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T:\04_設計検討\10_計画書_算定資料\"/>
    </mc:Choice>
  </mc:AlternateContent>
  <xr:revisionPtr revIDLastSave="0" documentId="13_ncr:1_{13933775-2099-465C-B15D-3D175CB0C87C}" xr6:coauthVersionLast="47" xr6:coauthVersionMax="47" xr10:uidLastSave="{00000000-0000-0000-0000-000000000000}"/>
  <workbookProtection workbookAlgorithmName="SHA-512" workbookHashValue="T5J0TYd58jmqoPtFWaIUB0679QINmLf39JRA9gNdVpChWZwGUvQiibH6dsf0vqhrPWWyapKFURDAQJ4yYowm5w==" workbookSaltValue="ez0F+ZUqO8QDOVnIeQex2Q==" workbookSpinCount="100000" lockStructure="1"/>
  <bookViews>
    <workbookView xWindow="-120" yWindow="-120" windowWidth="29040" windowHeight="15720" tabRatio="898" xr2:uid="{00000000-000D-0000-FFFF-FFFF00000000}"/>
  </bookViews>
  <sheets>
    <sheet name="事業所概要_算定体制" sheetId="15" r:id="rId1"/>
    <sheet name="事業所境界と監視点図面" sheetId="16" r:id="rId2"/>
    <sheet name="監視点一覧" sheetId="22" r:id="rId3"/>
    <sheet name="床面積" sheetId="17" r:id="rId4"/>
    <sheet name="燃料" sheetId="10" r:id="rId5"/>
    <sheet name="電気・熱_都市ガス" sheetId="13" r:id="rId6"/>
    <sheet name="再エネ電気・熱" sheetId="14" r:id="rId7"/>
    <sheet name="非化石燃料" sheetId="11" r:id="rId8"/>
    <sheet name="証書_森林吸収量" sheetId="7" r:id="rId9"/>
    <sheet name="エネルギーと目標設定ガス" sheetId="19" r:id="rId10"/>
    <sheet name="その他ガス" sheetId="8" r:id="rId11"/>
    <sheet name="参考" sheetId="29" r:id="rId12"/>
    <sheet name="非_燃料種類_選択リスト" sheetId="23" state="hidden" r:id="rId13"/>
    <sheet name="非_選択リスト" sheetId="20" state="hidden" r:id="rId14"/>
    <sheet name="非_まとめ表行番号" sheetId="28" state="hidden" r:id="rId15"/>
    <sheet name="非_係数" sheetId="24" state="hidden" r:id="rId16"/>
    <sheet name="非_単位" sheetId="25" state="hidden" r:id="rId17"/>
    <sheet name="非_単位補正換算" sheetId="27" state="hidden" r:id="rId18"/>
    <sheet name="非_電気事業者" sheetId="31" state="hidden" r:id="rId19"/>
    <sheet name="非_都市ガス事業者" sheetId="30" state="hidden" r:id="rId20"/>
    <sheet name="非_熱供給事業者" sheetId="32" state="hidden" r:id="rId21"/>
  </sheets>
  <definedNames>
    <definedName name="_xlnm._FilterDatabase" localSheetId="18" hidden="1">非_電気事業者!$B$8:$S$8</definedName>
    <definedName name="A重油_単位">非_単位!$C$9:$D$9</definedName>
    <definedName name="Ｂ・Ｃ重油_単位">非_単位!$C$10:$D$10</definedName>
    <definedName name="FIT非化石証書_単位">非_単位!$C$84:$D$84</definedName>
    <definedName name="_xlnm.Print_Area" localSheetId="9">エネルギーと目標設定ガス!$A$1:$K$107</definedName>
    <definedName name="_xlnm.Print_Area" localSheetId="10">その他ガス!$A$1:$K$99</definedName>
    <definedName name="_xlnm.Print_Area" localSheetId="2">監視点一覧!$A$1:$O$104</definedName>
    <definedName name="_xlnm.Print_Area" localSheetId="6">再エネ電気・熱!$A$1:$AF$78</definedName>
    <definedName name="_xlnm.Print_Area" localSheetId="11">参考!$A$1:$I$58</definedName>
    <definedName name="_xlnm.Print_Area" localSheetId="0">事業所概要_算定体制!$A$1:$P$39</definedName>
    <definedName name="_xlnm.Print_Area" localSheetId="1">事業所境界と監視点図面!$A$1:$O$34</definedName>
    <definedName name="_xlnm.Print_Area" localSheetId="3">床面積!$A$1:$S$40</definedName>
    <definedName name="_xlnm.Print_Area" localSheetId="8">証書_森林吸収量!$A$1:$E$59</definedName>
    <definedName name="_xlnm.Print_Area" localSheetId="5">電気・熱_都市ガス!$A$1:$AI$80</definedName>
    <definedName name="_xlnm.Print_Area" localSheetId="4">燃料!$A$1:$AA$58</definedName>
    <definedName name="_xlnm.Print_Area" localSheetId="7">非化石燃料!$A$1:$L$32</definedName>
    <definedName name="グリーン電力証書_単位">非_単位!$C$82:$D$82</definedName>
    <definedName name="グリーン熱証書_単位">非_単位!$C$83:$D$83</definedName>
    <definedName name="コークス炉ガス_単位">非_単位!$C$28:$H$28</definedName>
    <definedName name="コールタール_単位">非_単位!$C$27:$D$27</definedName>
    <definedName name="ジェット燃料油_単位">非_単位!$C$32:$D$32</definedName>
    <definedName name="その他の燃料①_単位">非_単位!$O$33</definedName>
    <definedName name="その他の燃料②_単位">非_単位!$O$34</definedName>
    <definedName name="その他可燃性天然ガス_単位">非_単位!$C$19:$H$19</definedName>
    <definedName name="ナフサ_単位">非_単位!$C$6:$D$6</definedName>
    <definedName name="バイオマス_種類_選択">非_燃料種類_選択リスト!$T$3:$T$9</definedName>
    <definedName name="バイオマス燃料_持続可能性_選択">非_選択リスト!$Y$3:$Y$4</definedName>
    <definedName name="一般送配電_種類">非_燃料種類_選択リスト!$K$3:$K$4</definedName>
    <definedName name="一般送配電以外_種類">非_燃料種類_選択リスト!$K$7</definedName>
    <definedName name="一般炭_国産一般炭_単位">非_単位!$C$24:$D$24</definedName>
    <definedName name="一般炭_輸入一般炭_単位">非_単位!$C$23:$D$23</definedName>
    <definedName name="液化石油ガス_LPG_その他_単位">非_単位!$C$16:$F$16</definedName>
    <definedName name="液化石油ガス_LPG_ブタン_単位">非_単位!$C$15:$F$15</definedName>
    <definedName name="液化石油ガス_LPG_プロパン_単位">非_単位!$C$14:$F$14</definedName>
    <definedName name="液化石油ガス_LPG_プロパン・ブタン混合_単位">非_単位!$C$13:$F$13</definedName>
    <definedName name="液化天然ガス_ＬＮＧ_単位">非_単位!$C$18:$D$18</definedName>
    <definedName name="外部供給_種類">非_燃料種類_選択リスト!$K$29:$K$30</definedName>
    <definedName name="外部供給以外_種類">非_燃料種類_選択リスト!$K$19:$K$26</definedName>
    <definedName name="環境価値_バイオマス持続可能性無_選択">非_選択リスト!$AA$10</definedName>
    <definedName name="環境価値_仮想電力購入契約_選択">非_選択リスト!$AA$7</definedName>
    <definedName name="環境価値_選択">非_選択リスト!$AA$3:$AA$4</definedName>
    <definedName name="監視点用燃料種類_選択">非_選択リスト!$I$3:$I$33</definedName>
    <definedName name="揮発油_ガソリン_単位">非_単位!$C$5:$D$5</definedName>
    <definedName name="計量器_検定有無_選択">非_選択リスト!$O$3:$O$4</definedName>
    <definedName name="軽油_単位">非_単位!$C$8:$D$8</definedName>
    <definedName name="原油_コンデンセート_ＮＧＬ_単位">非_単位!$C$4:$D$4</definedName>
    <definedName name="原油_コンデンセートを除く_単位">非_単位!$C$3:$D$3</definedName>
    <definedName name="原料炭_コークス炉用原料炭_単位">非_単位!$C$21:$D$21</definedName>
    <definedName name="原料炭_吹込用原料炭_単位">非_単位!$C$22:$D$22</definedName>
    <definedName name="原料炭_輸入原料炭_単位">非_単位!$C$20:$D$20</definedName>
    <definedName name="高炉ガス_発電用_単位">非_単位!$C$30:$H$30</definedName>
    <definedName name="高炉ガス_発電用以外_単位">非_単位!$C$29:$H$29</definedName>
    <definedName name="再エネ_係数根拠_仮想電力購入契約">非_選択リスト!$AC$9:$AC$11</definedName>
    <definedName name="再エネ_係数根拠_環境価値無">非_選択リスト!$AC$6</definedName>
    <definedName name="再エネ_係数根拠_環境価値有">非_選択リスト!$AC$3</definedName>
    <definedName name="再エネ_係数根拠_持続可能性無">非_選択リスト!$AC$14</definedName>
    <definedName name="再エネ_事業所外_電気_種類">非_燃料種類_選択リスト!$P$14:$P$17</definedName>
    <definedName name="再エネ_事業所外_熱_種類">非_燃料種類_選択リスト!$P$20:$P$23</definedName>
    <definedName name="再エネ_事業所内_電気_種類">非_燃料種類_選択リスト!$P$3:$P$5</definedName>
    <definedName name="再エネ_事業所内_熱_種類">非_燃料種類_選択リスト!$P$8:$P$11</definedName>
    <definedName name="再エネ_自家消費_対象外_種類">非_燃料種類_選択リスト!$P$26:$P$32</definedName>
    <definedName name="再エネ_自家消費以外_対象外_種類">非_燃料種類_選択リスト!$P$35:$P$41</definedName>
    <definedName name="再エネ_種類_選択">非_燃料種類_選択リスト!$R$3:$R$14</definedName>
    <definedName name="再エネ_把握方法_選択_事業所外">非_選択リスト!$AE$9:$AE$11</definedName>
    <definedName name="再エネ_把握方法_選択_事業所内">非_選択リスト!$AE$3:$AE$5</definedName>
    <definedName name="再エネ電気熱_排出活動①">非_燃料種類_選択リスト!$N$3:$N$4</definedName>
    <definedName name="再エネ電気熱_排出活動②">非_燃料種類_選択リスト!$N$8:$N$9</definedName>
    <definedName name="再エネ電気熱_排出活動③">非_燃料種類_選択リスト!$N$12:$N$19</definedName>
    <definedName name="使用量把握方法_選択">非_選択リスト!$Q$3:$Q$5</definedName>
    <definedName name="事業所種別_選択">非_選択リスト!$G$3:$G$6</definedName>
    <definedName name="自己電気熱_係数根拠_選択">非_選択リスト!$U$12</definedName>
    <definedName name="実績検証状況_選択">非_選択リスト!$E$3:$E$4</definedName>
    <definedName name="床面積_把握方法_選択">非_選択リスト!$K$3:$K$5</definedName>
    <definedName name="床面積_変更の有無_選択">非_選択リスト!$M$3:$M$4</definedName>
    <definedName name="証書等_種類">非_燃料種類_選択リスト!$V$3:$V$8</definedName>
    <definedName name="証書等_種類_森林吸収量のみ">非_燃料種類_選択リスト!$V$23:$V$24</definedName>
    <definedName name="証書等_種類_電気なし">非_燃料種類_選択リスト!$V$18:$V$20</definedName>
    <definedName name="証書等_種類_熱なし">非_燃料種類_選択リスト!$V$11:$V$15</definedName>
    <definedName name="乗率_除外する排出量">非_選択リスト!$AG$8:$AG$10</definedName>
    <definedName name="乗率_排出量">非_選択リスト!$AG$3:$AG$5</definedName>
    <definedName name="石炭コークス_単位">非_単位!$C$26:$D$26</definedName>
    <definedName name="石油アスファルト_単位">非_単位!$C$11:$D$11</definedName>
    <definedName name="石油コークス_単位">非_単位!$C$12:$D$12</definedName>
    <definedName name="石油系炭化水素ガス_単位">非_単位!$C$17:$F$17</definedName>
    <definedName name="選択肢なし">非_選択リスト!$AI$3</definedName>
    <definedName name="転炉ガス_単位">非_単位!$C$31:$H$31</definedName>
    <definedName name="電気_「オンサイト型PPA_自家発電_非燃料由来の非化石電気」以外からの買電_単位">非_単位!$C$45:$D$45</definedName>
    <definedName name="電気_オフサイト型PPA_単位">非_単位!$C$39:$D$39</definedName>
    <definedName name="電気_オンサイト型PPA_単位">非_単位!$C$42:$D$42</definedName>
    <definedName name="電気_メニュー_選択">非_電気事業者!$F$9:$F$36</definedName>
    <definedName name="電気_仮想電力購入契約_単位">非_単位!$C$46:$D$46</definedName>
    <definedName name="電気_供給事業者_選択">非_電気事業者!$D$9:INDEX(非_電気事業者!$D$9:$D$800,IFERROR(LOOKUP(2,1/(非_電気事業者!$D$9:$D$800&lt;&gt;""),ROW(非_電気事業者!$D$9:$D$800)-ROW(非_電気事業者!$D$9)+1),1))</definedName>
    <definedName name="電気_自ら生成した電気_単位">非_単位!$C$52:$D$52</definedName>
    <definedName name="電気_自家発電_単位">非_単位!$C$43:$D$43</definedName>
    <definedName name="電気_自己託送_非燃料由来の非化石電気_単位">非_単位!$C$40:$D$40</definedName>
    <definedName name="電気_自己託送_非燃料由来の非化石電気以外_単位">非_単位!$C$41:$D$41</definedName>
    <definedName name="電気_電気事業者からの買電_単位">非_単位!$C$38:$D$38</definedName>
    <definedName name="電気_非燃料由来の非化石電気_単位">非_単位!$C$44:$D$44</definedName>
    <definedName name="電気熱_係数根拠_選択">非_選択リスト!$U$3:$U$5</definedName>
    <definedName name="電気熱ガス_契約メニュー有無_選択">非_選択リスト!$S$3:$S$4</definedName>
    <definedName name="電気熱ガス_排出活動①">非_燃料種類_選択リスト!$I$3:$I$6</definedName>
    <definedName name="電気熱ガス_排出活動②">非_燃料種類_選択リスト!$I$9:$I$13</definedName>
    <definedName name="都市ガス_メーター種_選択">非_選択リスト!$W$3:$W$4</definedName>
    <definedName name="都市ガス_メニュー_選択">非_都市ガス事業者!$F$8:$F$14</definedName>
    <definedName name="都市ガス_供給事業者_選択">非_都市ガス事業者!$D$8:INDEX(非_都市ガス事業者!$D$8:$D$50,IFERROR(LOOKUP(2,1/(非_都市ガス事業者!$D$8:$D$50&lt;&gt;""),ROW(非_都市ガス事業者!$D$8:$D$50)-ROW(非_都市ガス事業者!$D$8)+1),1))</definedName>
    <definedName name="都市ガス_係数根拠_選択">非_選択リスト!$U$8:$U$9</definedName>
    <definedName name="都市ガス_種類">非_燃料種類_選択リスト!$K$16</definedName>
    <definedName name="都市ガス_単位">非_単位!$C$53:$H$53</definedName>
    <definedName name="灯油_単位">非_単位!$C$7:$D$7</definedName>
    <definedName name="熱_メニュー_選択">非_熱供給事業者!$G$8:$G$14</definedName>
    <definedName name="熱_温水_単位">非_単位!$C$49:$D$49</definedName>
    <definedName name="熱_供給事業者_選択">非_熱供給事業者!$E$8:INDEX(非_熱供給事業者!$E$8:$E$80,IFERROR(LOOKUP(2,1/(非_熱供給事業者!$E$8:$E$80&lt;&gt;""),ROW(非_熱供給事業者!$E$8:$E$80)-ROW(非_熱供給事業者!$E$8)+1),1))</definedName>
    <definedName name="熱_産業用以外の蒸気_単位">非_単位!$C$48:$D$48</definedName>
    <definedName name="熱_産業用蒸気_単位">非_単位!$C$47:$D$47</definedName>
    <definedName name="熱_自ら生成した熱_単位">非_単位!$C$51:$D$51</definedName>
    <definedName name="熱_種類">非_燃料種類_選択リスト!$K$10:$K$13</definedName>
    <definedName name="熱_冷水_単位">非_単位!$C$50:$D$50</definedName>
    <definedName name="燃料_排出活動①">非_燃料種類_選択リスト!$C$3</definedName>
    <definedName name="燃料_排出活動②">非_燃料種類_選択リスト!$C$6:$C$9</definedName>
    <definedName name="燃料種選択">非_燃料種類_選択リスト!$F$3:$F$34</definedName>
    <definedName name="非FIT非化石証書_再生可能エネルギー指定_単位">非_単位!$C$85:$D$85</definedName>
    <definedName name="無煙炭_輸入無煙炭_単位">非_単位!$C$25:$D$25</definedName>
    <definedName name="和暦年度_選択">非_選択リスト!$C$3:$C$7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9" i="27" l="1"/>
  <c r="D58" i="27"/>
  <c r="I49" i="29" l="1"/>
  <c r="I48" i="29"/>
  <c r="I47" i="29"/>
  <c r="I46" i="29"/>
  <c r="I45" i="29"/>
  <c r="I44" i="29"/>
  <c r="I41" i="29"/>
  <c r="I40" i="29"/>
  <c r="I39" i="29"/>
  <c r="I38" i="29"/>
  <c r="I37" i="29"/>
  <c r="AL78" i="14"/>
  <c r="AL77" i="14"/>
  <c r="AL76" i="14"/>
  <c r="AL75" i="14"/>
  <c r="AL74" i="14"/>
  <c r="AL73" i="14"/>
  <c r="AL72" i="14"/>
  <c r="AL71" i="14"/>
  <c r="AL70" i="14"/>
  <c r="AL69" i="14"/>
  <c r="BR78" i="14"/>
  <c r="BR77" i="14"/>
  <c r="BR76" i="14"/>
  <c r="BR75" i="14"/>
  <c r="BR74" i="14"/>
  <c r="BR73" i="14"/>
  <c r="BR72" i="14"/>
  <c r="BR71" i="14"/>
  <c r="BR70" i="14"/>
  <c r="BR69" i="14"/>
  <c r="BR67" i="14"/>
  <c r="BR66" i="14"/>
  <c r="BR65" i="14"/>
  <c r="BR64" i="14"/>
  <c r="BR63" i="14"/>
  <c r="BR62" i="14"/>
  <c r="BR61" i="14"/>
  <c r="BR60" i="14"/>
  <c r="BR59" i="14"/>
  <c r="BR58" i="14"/>
  <c r="BR57" i="14"/>
  <c r="BR56" i="14"/>
  <c r="BR55" i="14"/>
  <c r="BR54" i="14"/>
  <c r="BR53" i="14"/>
  <c r="BR52" i="14"/>
  <c r="BR51" i="14"/>
  <c r="BR50" i="14"/>
  <c r="BR49" i="14"/>
  <c r="BR48" i="14"/>
  <c r="BR47" i="14"/>
  <c r="BR46" i="14"/>
  <c r="BR45" i="14"/>
  <c r="BR44" i="14"/>
  <c r="BR43" i="14"/>
  <c r="BR42" i="14"/>
  <c r="BR41" i="14"/>
  <c r="BR40" i="14"/>
  <c r="BR39" i="14"/>
  <c r="BR38" i="14"/>
  <c r="BR36" i="14"/>
  <c r="BR35" i="14"/>
  <c r="BR34" i="14"/>
  <c r="BR33" i="14"/>
  <c r="BR32" i="14"/>
  <c r="BR31" i="14"/>
  <c r="BR30" i="14"/>
  <c r="BR29" i="14"/>
  <c r="BR28" i="14"/>
  <c r="BR27" i="14"/>
  <c r="BR26" i="14"/>
  <c r="BR25" i="14"/>
  <c r="BR24" i="14"/>
  <c r="BR23" i="14"/>
  <c r="BR22" i="14"/>
  <c r="BR21" i="14"/>
  <c r="BR20" i="14"/>
  <c r="BR19" i="14"/>
  <c r="BR18" i="14"/>
  <c r="BR17" i="14"/>
  <c r="BR16" i="14"/>
  <c r="BR15" i="14"/>
  <c r="BR14" i="14"/>
  <c r="BR13" i="14"/>
  <c r="BR12" i="14"/>
  <c r="BR11" i="14"/>
  <c r="BR10" i="14"/>
  <c r="BR9" i="14"/>
  <c r="BR8" i="14"/>
  <c r="BQ78" i="14"/>
  <c r="BQ77" i="14"/>
  <c r="BQ76" i="14"/>
  <c r="BQ75" i="14"/>
  <c r="BQ74" i="14"/>
  <c r="BQ73" i="14"/>
  <c r="BQ72" i="14"/>
  <c r="BQ71" i="14"/>
  <c r="BQ70" i="14"/>
  <c r="BQ69" i="14"/>
  <c r="BQ67" i="14"/>
  <c r="BQ66" i="14"/>
  <c r="BQ65" i="14"/>
  <c r="BQ64" i="14"/>
  <c r="BQ63" i="14"/>
  <c r="BQ62" i="14"/>
  <c r="BQ61" i="14"/>
  <c r="BQ60" i="14"/>
  <c r="BQ59" i="14"/>
  <c r="BQ58" i="14"/>
  <c r="BQ57" i="14"/>
  <c r="BQ56" i="14"/>
  <c r="BQ55" i="14"/>
  <c r="BQ54" i="14"/>
  <c r="BQ53" i="14"/>
  <c r="BQ52" i="14"/>
  <c r="BQ51" i="14"/>
  <c r="BQ50" i="14"/>
  <c r="BQ49" i="14"/>
  <c r="BQ48" i="14"/>
  <c r="BQ47" i="14"/>
  <c r="BQ46" i="14"/>
  <c r="BQ45" i="14"/>
  <c r="BQ44" i="14"/>
  <c r="BQ43" i="14"/>
  <c r="BQ42" i="14"/>
  <c r="BQ41" i="14"/>
  <c r="BQ40" i="14"/>
  <c r="BQ39" i="14"/>
  <c r="BQ38" i="14"/>
  <c r="BQ36" i="14"/>
  <c r="BQ35" i="14"/>
  <c r="BQ34" i="14"/>
  <c r="BQ33" i="14"/>
  <c r="BQ32" i="14"/>
  <c r="BQ31" i="14"/>
  <c r="BQ30" i="14"/>
  <c r="BQ29" i="14"/>
  <c r="BQ28" i="14"/>
  <c r="BQ27" i="14"/>
  <c r="BQ26" i="14"/>
  <c r="BQ25" i="14"/>
  <c r="BQ24" i="14"/>
  <c r="BQ23" i="14"/>
  <c r="BQ22" i="14"/>
  <c r="BQ21" i="14"/>
  <c r="BQ20" i="14"/>
  <c r="BQ19" i="14"/>
  <c r="BQ18" i="14"/>
  <c r="BQ17" i="14"/>
  <c r="BQ16" i="14"/>
  <c r="BQ15" i="14"/>
  <c r="BQ14" i="14"/>
  <c r="BQ13" i="14"/>
  <c r="BQ12" i="14"/>
  <c r="BQ11" i="14"/>
  <c r="BQ10" i="14"/>
  <c r="BQ9" i="14"/>
  <c r="BQ8" i="14"/>
  <c r="BC80" i="13" l="1"/>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G55" i="24"/>
  <c r="G33" i="24"/>
  <c r="D60" i="27" l="1"/>
  <c r="D54" i="27"/>
  <c r="D52" i="27"/>
  <c r="D61" i="27"/>
  <c r="D55" i="27"/>
  <c r="D53" i="27"/>
  <c r="J38" i="14"/>
  <c r="J39" i="14"/>
  <c r="BO67" i="14"/>
  <c r="BO66" i="14"/>
  <c r="BO65" i="14"/>
  <c r="BO64" i="14"/>
  <c r="BO63" i="14"/>
  <c r="BO62" i="14"/>
  <c r="BO61" i="14"/>
  <c r="BO60" i="14"/>
  <c r="BO59" i="14"/>
  <c r="BO58" i="14"/>
  <c r="BO57" i="14"/>
  <c r="BO56" i="14"/>
  <c r="BO55" i="14"/>
  <c r="BO54" i="14"/>
  <c r="BO53" i="14"/>
  <c r="BO52" i="14"/>
  <c r="BO51" i="14"/>
  <c r="BO50" i="14"/>
  <c r="BO49" i="14"/>
  <c r="BO48" i="14"/>
  <c r="BO47" i="14"/>
  <c r="BO46" i="14"/>
  <c r="BO45" i="14"/>
  <c r="BO44" i="14"/>
  <c r="BO43" i="14"/>
  <c r="BO42" i="14"/>
  <c r="BO41" i="14"/>
  <c r="BO40" i="14"/>
  <c r="G19" i="24" l="1"/>
  <c r="D27" i="27"/>
  <c r="R86" i="17"/>
  <c r="S86" i="17"/>
  <c r="R126" i="17"/>
  <c r="S126" i="17"/>
  <c r="Q28" i="15"/>
  <c r="J7" i="13"/>
  <c r="C22" i="8"/>
  <c r="D200" i="30"/>
  <c r="D199" i="30"/>
  <c r="D198" i="30"/>
  <c r="D197" i="30"/>
  <c r="D196" i="30"/>
  <c r="D195" i="30"/>
  <c r="D194" i="30"/>
  <c r="D193" i="30"/>
  <c r="D192" i="30"/>
  <c r="D191" i="30"/>
  <c r="D190" i="30"/>
  <c r="D189" i="30"/>
  <c r="D188" i="30"/>
  <c r="D187" i="30"/>
  <c r="D186" i="30"/>
  <c r="D185" i="30"/>
  <c r="D184" i="30"/>
  <c r="D183" i="30"/>
  <c r="D182" i="30"/>
  <c r="D181" i="30"/>
  <c r="D180" i="30"/>
  <c r="D179" i="30"/>
  <c r="D178" i="30"/>
  <c r="D177" i="30"/>
  <c r="D176" i="30"/>
  <c r="D175" i="30"/>
  <c r="D174" i="30"/>
  <c r="D173" i="30"/>
  <c r="D172" i="30"/>
  <c r="D171" i="30"/>
  <c r="D170" i="30"/>
  <c r="D169" i="30"/>
  <c r="D168" i="30"/>
  <c r="D167" i="30"/>
  <c r="D166" i="30"/>
  <c r="D165" i="30"/>
  <c r="D164" i="30"/>
  <c r="D163" i="30"/>
  <c r="D162" i="30"/>
  <c r="D161" i="30"/>
  <c r="D160" i="30"/>
  <c r="D159" i="30"/>
  <c r="D158" i="30"/>
  <c r="D157" i="30"/>
  <c r="D156" i="30"/>
  <c r="D155" i="30"/>
  <c r="D154" i="30"/>
  <c r="D153" i="30"/>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E8" i="32"/>
  <c r="E200" i="32"/>
  <c r="E199" i="32"/>
  <c r="E198" i="32"/>
  <c r="E197" i="32"/>
  <c r="E196" i="32"/>
  <c r="E195" i="32"/>
  <c r="E194" i="32"/>
  <c r="E193" i="32"/>
  <c r="E192" i="32"/>
  <c r="E191" i="32"/>
  <c r="E190" i="32"/>
  <c r="E189" i="32"/>
  <c r="E188" i="32"/>
  <c r="E187" i="32"/>
  <c r="E186" i="32"/>
  <c r="E185" i="32"/>
  <c r="E184" i="32"/>
  <c r="E183" i="32"/>
  <c r="E182" i="32"/>
  <c r="E181" i="32"/>
  <c r="E180" i="32"/>
  <c r="E179" i="32"/>
  <c r="E178" i="32"/>
  <c r="E177" i="32"/>
  <c r="E176" i="32"/>
  <c r="E175" i="32"/>
  <c r="E174" i="32"/>
  <c r="E173" i="32"/>
  <c r="E172" i="32"/>
  <c r="E171" i="32"/>
  <c r="E170" i="32"/>
  <c r="E169" i="32"/>
  <c r="E168" i="32"/>
  <c r="E167" i="32"/>
  <c r="E166" i="32"/>
  <c r="E165" i="32"/>
  <c r="E164" i="32"/>
  <c r="E163" i="32"/>
  <c r="E162" i="32"/>
  <c r="E161" i="32"/>
  <c r="E160" i="32"/>
  <c r="E159" i="32"/>
  <c r="E158" i="32"/>
  <c r="E157" i="32"/>
  <c r="E156" i="32"/>
  <c r="E155" i="32"/>
  <c r="E154" i="32"/>
  <c r="E153" i="32"/>
  <c r="E152" i="32"/>
  <c r="E151" i="32"/>
  <c r="E150" i="32"/>
  <c r="E149" i="32"/>
  <c r="E148" i="32"/>
  <c r="E147" i="32"/>
  <c r="E146" i="32"/>
  <c r="E145" i="32"/>
  <c r="E144" i="32"/>
  <c r="E143" i="32"/>
  <c r="E142" i="32"/>
  <c r="E141" i="32"/>
  <c r="E140" i="32"/>
  <c r="E139" i="32"/>
  <c r="E138" i="32"/>
  <c r="E137" i="32"/>
  <c r="E136" i="32"/>
  <c r="E135" i="32"/>
  <c r="E134" i="32"/>
  <c r="E133" i="32"/>
  <c r="E132" i="32"/>
  <c r="E131" i="32"/>
  <c r="E130" i="32"/>
  <c r="E129" i="32"/>
  <c r="E128" i="32"/>
  <c r="E127" i="32"/>
  <c r="E126" i="32"/>
  <c r="E125" i="32"/>
  <c r="E124" i="32"/>
  <c r="E123" i="32"/>
  <c r="E122" i="32"/>
  <c r="E121" i="32"/>
  <c r="E120" i="32"/>
  <c r="E119" i="32"/>
  <c r="E118" i="32"/>
  <c r="E117" i="32"/>
  <c r="E116" i="32"/>
  <c r="E115" i="32"/>
  <c r="E114" i="32"/>
  <c r="E113" i="32"/>
  <c r="E112" i="32"/>
  <c r="E111" i="32"/>
  <c r="E110" i="32"/>
  <c r="E109" i="32"/>
  <c r="E108" i="32"/>
  <c r="E107"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R1357" i="31"/>
  <c r="D2000" i="31"/>
  <c r="D1999" i="31"/>
  <c r="D1998" i="31"/>
  <c r="D1997" i="31"/>
  <c r="D1996" i="31"/>
  <c r="D1995" i="31"/>
  <c r="D1994" i="31"/>
  <c r="D1993" i="31"/>
  <c r="D1992" i="31"/>
  <c r="D1991" i="31"/>
  <c r="D1990" i="31"/>
  <c r="D1989" i="31"/>
  <c r="D1988" i="31"/>
  <c r="D1987" i="31"/>
  <c r="D1986" i="31"/>
  <c r="D1985" i="31"/>
  <c r="D1984" i="31"/>
  <c r="D1983" i="31"/>
  <c r="D1982" i="31"/>
  <c r="D1981" i="31"/>
  <c r="D1980" i="31"/>
  <c r="D1979" i="31"/>
  <c r="D1978" i="31"/>
  <c r="D1977" i="31"/>
  <c r="D1976" i="31"/>
  <c r="D1975" i="31"/>
  <c r="D1974" i="31"/>
  <c r="D1973" i="31"/>
  <c r="D1972" i="31"/>
  <c r="D1971" i="31"/>
  <c r="D1970" i="31"/>
  <c r="D1969" i="31"/>
  <c r="D1968" i="31"/>
  <c r="D1967" i="31"/>
  <c r="D1966" i="31"/>
  <c r="D1965" i="31"/>
  <c r="D1964" i="31"/>
  <c r="D1963" i="31"/>
  <c r="D1962" i="31"/>
  <c r="D1961" i="31"/>
  <c r="D1960" i="31"/>
  <c r="D1959" i="31"/>
  <c r="D1958" i="31"/>
  <c r="D1957" i="31"/>
  <c r="D1956" i="31"/>
  <c r="D1955" i="31"/>
  <c r="D1954" i="31"/>
  <c r="D1953" i="31"/>
  <c r="D1952" i="31"/>
  <c r="D1951" i="31"/>
  <c r="D1950" i="31"/>
  <c r="D1949" i="31"/>
  <c r="D1948" i="31"/>
  <c r="D1947" i="31"/>
  <c r="D1946" i="31"/>
  <c r="D1945" i="31"/>
  <c r="D1944" i="31"/>
  <c r="D1943" i="31"/>
  <c r="D1942" i="31"/>
  <c r="D1941" i="31"/>
  <c r="D1940" i="31"/>
  <c r="D1939" i="31"/>
  <c r="D1938" i="31"/>
  <c r="D1937" i="31"/>
  <c r="D1936" i="31"/>
  <c r="D1935" i="31"/>
  <c r="D1934" i="31"/>
  <c r="D1933" i="31"/>
  <c r="D1932" i="31"/>
  <c r="D1931" i="31"/>
  <c r="D1930" i="31"/>
  <c r="D1929" i="31"/>
  <c r="D1928" i="31"/>
  <c r="D1927" i="31"/>
  <c r="D1926" i="31"/>
  <c r="D1925" i="31"/>
  <c r="D1924" i="31"/>
  <c r="D1923" i="31"/>
  <c r="D1922" i="31"/>
  <c r="D1921" i="31"/>
  <c r="D1920" i="31"/>
  <c r="D1919" i="31"/>
  <c r="D1918" i="31"/>
  <c r="D1917" i="31"/>
  <c r="D1916" i="31"/>
  <c r="D1915" i="31"/>
  <c r="D1914" i="31"/>
  <c r="D1913" i="31"/>
  <c r="D1912" i="31"/>
  <c r="D1911" i="31"/>
  <c r="D1910" i="31"/>
  <c r="D1909" i="31"/>
  <c r="D1908" i="31"/>
  <c r="D1907" i="31"/>
  <c r="D1906" i="31"/>
  <c r="D1905" i="31"/>
  <c r="D1904" i="31"/>
  <c r="D1903" i="31"/>
  <c r="D1902" i="31"/>
  <c r="D1901" i="31"/>
  <c r="D1900" i="31"/>
  <c r="D1899" i="31"/>
  <c r="D1898" i="31"/>
  <c r="D1897" i="31"/>
  <c r="D1896" i="31"/>
  <c r="D1895" i="31"/>
  <c r="D1894" i="31"/>
  <c r="D1893" i="31"/>
  <c r="D1892" i="31"/>
  <c r="D1891" i="31"/>
  <c r="D1890" i="31"/>
  <c r="D1889" i="31"/>
  <c r="D1888" i="31"/>
  <c r="D1887" i="31"/>
  <c r="D1886" i="31"/>
  <c r="D1885" i="31"/>
  <c r="D1884" i="31"/>
  <c r="D1883" i="31"/>
  <c r="D1882" i="31"/>
  <c r="D1881" i="31"/>
  <c r="D1880" i="31"/>
  <c r="D1879" i="31"/>
  <c r="D1878" i="31"/>
  <c r="D1877" i="31"/>
  <c r="D1876" i="31"/>
  <c r="D1875" i="31"/>
  <c r="D1874" i="31"/>
  <c r="D1873" i="31"/>
  <c r="D1872" i="31"/>
  <c r="D1871" i="31"/>
  <c r="D1870" i="31"/>
  <c r="D1869" i="31"/>
  <c r="D1868" i="31"/>
  <c r="D1867" i="31"/>
  <c r="D1866" i="31"/>
  <c r="D1865" i="31"/>
  <c r="D1864" i="31"/>
  <c r="D1863" i="31"/>
  <c r="D1862" i="31"/>
  <c r="D1861" i="31"/>
  <c r="D1860" i="31"/>
  <c r="D1859" i="31"/>
  <c r="D1858" i="31"/>
  <c r="D1857" i="31"/>
  <c r="D1856" i="31"/>
  <c r="D1855" i="31"/>
  <c r="D1854" i="31"/>
  <c r="D1853" i="31"/>
  <c r="D1852" i="31"/>
  <c r="D1851" i="31"/>
  <c r="D1850" i="31"/>
  <c r="D1849" i="31"/>
  <c r="D1848" i="31"/>
  <c r="D1847" i="31"/>
  <c r="D1846" i="31"/>
  <c r="D1845" i="31"/>
  <c r="D1844" i="31"/>
  <c r="D1843" i="31"/>
  <c r="D1842" i="31"/>
  <c r="D1841" i="31"/>
  <c r="D1840" i="31"/>
  <c r="D1839" i="31"/>
  <c r="D1838" i="31"/>
  <c r="D1837" i="31"/>
  <c r="D1836" i="31"/>
  <c r="D1835" i="31"/>
  <c r="D1834" i="31"/>
  <c r="D1833" i="31"/>
  <c r="D1832" i="31"/>
  <c r="D1831" i="31"/>
  <c r="D1830" i="31"/>
  <c r="D1829" i="31"/>
  <c r="D1828" i="31"/>
  <c r="D1827" i="31"/>
  <c r="D1826" i="31"/>
  <c r="D1825" i="31"/>
  <c r="D1824" i="31"/>
  <c r="D1823" i="31"/>
  <c r="D1822" i="31"/>
  <c r="D1821" i="31"/>
  <c r="D1820" i="31"/>
  <c r="D1819" i="31"/>
  <c r="D1818" i="31"/>
  <c r="D1817" i="31"/>
  <c r="D1816" i="31"/>
  <c r="D1815" i="31"/>
  <c r="D1814" i="31"/>
  <c r="D1813" i="31"/>
  <c r="D1812" i="31"/>
  <c r="D1811" i="31"/>
  <c r="D1810" i="31"/>
  <c r="D1809" i="31"/>
  <c r="D1808" i="31"/>
  <c r="D1807" i="31"/>
  <c r="D1806" i="31"/>
  <c r="D1805" i="31"/>
  <c r="D1804" i="31"/>
  <c r="D1803" i="31"/>
  <c r="D1802" i="31"/>
  <c r="D1801" i="31"/>
  <c r="D1800" i="31"/>
  <c r="D1799" i="31"/>
  <c r="D1798" i="31"/>
  <c r="D1797" i="31"/>
  <c r="D1796" i="31"/>
  <c r="D1795" i="31"/>
  <c r="D1794" i="31"/>
  <c r="D1793" i="31"/>
  <c r="D1792" i="31"/>
  <c r="D1791" i="31"/>
  <c r="D1790" i="31"/>
  <c r="D1789" i="31"/>
  <c r="D1788" i="31"/>
  <c r="D1787" i="31"/>
  <c r="D1786" i="31"/>
  <c r="D1785" i="31"/>
  <c r="D1784" i="31"/>
  <c r="D1783" i="31"/>
  <c r="D1782" i="31"/>
  <c r="D1781" i="31"/>
  <c r="D1780" i="31"/>
  <c r="D1779" i="31"/>
  <c r="D1778" i="31"/>
  <c r="D1777" i="31"/>
  <c r="D1776" i="31"/>
  <c r="D1775" i="31"/>
  <c r="D1774" i="31"/>
  <c r="D1773" i="31"/>
  <c r="D1772" i="31"/>
  <c r="D1771" i="31"/>
  <c r="D1770" i="31"/>
  <c r="D1769" i="31"/>
  <c r="D1768" i="31"/>
  <c r="D1767" i="31"/>
  <c r="D1766" i="31"/>
  <c r="D1765" i="31"/>
  <c r="D1764" i="31"/>
  <c r="D1763" i="31"/>
  <c r="D1762" i="31"/>
  <c r="D1761" i="31"/>
  <c r="D1760" i="31"/>
  <c r="D1759" i="31"/>
  <c r="D1758" i="31"/>
  <c r="D1757" i="31"/>
  <c r="D1756" i="31"/>
  <c r="D1755" i="31"/>
  <c r="D1754" i="31"/>
  <c r="D1753" i="31"/>
  <c r="D1752" i="31"/>
  <c r="D1751" i="31"/>
  <c r="D1750" i="31"/>
  <c r="D1749" i="31"/>
  <c r="D1748" i="31"/>
  <c r="D1747" i="31"/>
  <c r="D1746" i="31"/>
  <c r="D1745" i="31"/>
  <c r="D1744" i="31"/>
  <c r="D1743" i="31"/>
  <c r="D1742" i="31"/>
  <c r="D1741" i="31"/>
  <c r="D1740" i="31"/>
  <c r="D1739" i="31"/>
  <c r="D1738" i="31"/>
  <c r="D1737" i="31"/>
  <c r="D1736" i="31"/>
  <c r="D1735" i="31"/>
  <c r="D1734" i="31"/>
  <c r="D1733" i="31"/>
  <c r="D1732" i="31"/>
  <c r="D1731" i="31"/>
  <c r="D1730" i="31"/>
  <c r="D1729" i="31"/>
  <c r="D1728" i="31"/>
  <c r="D1727" i="31"/>
  <c r="D1726" i="31"/>
  <c r="D1725" i="31"/>
  <c r="D1724" i="31"/>
  <c r="D1723" i="31"/>
  <c r="D1722" i="31"/>
  <c r="D1721" i="31"/>
  <c r="D1720" i="31"/>
  <c r="D1719" i="31"/>
  <c r="D1718" i="31"/>
  <c r="D1717" i="31"/>
  <c r="D1716" i="31"/>
  <c r="D1715" i="31"/>
  <c r="D1714" i="31"/>
  <c r="D1713" i="31"/>
  <c r="D1712" i="31"/>
  <c r="D1711" i="31"/>
  <c r="D1710" i="31"/>
  <c r="D1709" i="31"/>
  <c r="D1708" i="31"/>
  <c r="D1707" i="31"/>
  <c r="D1706" i="31"/>
  <c r="D1705" i="31"/>
  <c r="D1704" i="31"/>
  <c r="D1703" i="31"/>
  <c r="D1702" i="31"/>
  <c r="D1701" i="31"/>
  <c r="D1700" i="31"/>
  <c r="D1699" i="31"/>
  <c r="D1698" i="31"/>
  <c r="D1697" i="31"/>
  <c r="D1696" i="31"/>
  <c r="D1695" i="31"/>
  <c r="D1694" i="31"/>
  <c r="D1693" i="31"/>
  <c r="D1692" i="31"/>
  <c r="D1691" i="31"/>
  <c r="D1690" i="31"/>
  <c r="D1689" i="31"/>
  <c r="D1688" i="31"/>
  <c r="D1687" i="31"/>
  <c r="D1686" i="31"/>
  <c r="D1685" i="31"/>
  <c r="D1684" i="31"/>
  <c r="D1683" i="31"/>
  <c r="D1682" i="31"/>
  <c r="D1681" i="31"/>
  <c r="D1680" i="31"/>
  <c r="D1679" i="31"/>
  <c r="D1678" i="31"/>
  <c r="D1677" i="31"/>
  <c r="D1676" i="31"/>
  <c r="D1675" i="31"/>
  <c r="D1674" i="31"/>
  <c r="D1673" i="31"/>
  <c r="D1672" i="31"/>
  <c r="D1671" i="31"/>
  <c r="D1670" i="31"/>
  <c r="D1669" i="31"/>
  <c r="D1668" i="31"/>
  <c r="D1667" i="31"/>
  <c r="D1666" i="31"/>
  <c r="D1665" i="31"/>
  <c r="D1664" i="31"/>
  <c r="D1663" i="31"/>
  <c r="D1662" i="31"/>
  <c r="D1661" i="31"/>
  <c r="D1660" i="31"/>
  <c r="D1659" i="31"/>
  <c r="D1658" i="31"/>
  <c r="D1657" i="31"/>
  <c r="D1656" i="31"/>
  <c r="D1655" i="31"/>
  <c r="D1654" i="31"/>
  <c r="D1653" i="31"/>
  <c r="D1652" i="31"/>
  <c r="D1651" i="31"/>
  <c r="D1650" i="31"/>
  <c r="D1649" i="31"/>
  <c r="D1648" i="31"/>
  <c r="D1647" i="31"/>
  <c r="D1646" i="31"/>
  <c r="D1645" i="31"/>
  <c r="D1644" i="31"/>
  <c r="D1643" i="31"/>
  <c r="D1642" i="31"/>
  <c r="D1641" i="31"/>
  <c r="D1640" i="31"/>
  <c r="D1639" i="31"/>
  <c r="D1638" i="31"/>
  <c r="D1637" i="31"/>
  <c r="D1636" i="31"/>
  <c r="D1635" i="31"/>
  <c r="D1634" i="31"/>
  <c r="D1633" i="31"/>
  <c r="D1632" i="31"/>
  <c r="D1631" i="31"/>
  <c r="D1630" i="31"/>
  <c r="D1629" i="31"/>
  <c r="D1628" i="31"/>
  <c r="D1627" i="31"/>
  <c r="D1626" i="31"/>
  <c r="D1625" i="31"/>
  <c r="D1624" i="31"/>
  <c r="D1623" i="31"/>
  <c r="D1622" i="31"/>
  <c r="D1621" i="31"/>
  <c r="D1620" i="31"/>
  <c r="D1619" i="31"/>
  <c r="D1618" i="31"/>
  <c r="D1617" i="31"/>
  <c r="D1616" i="31"/>
  <c r="D1615" i="31"/>
  <c r="D1614" i="31"/>
  <c r="D1613" i="31"/>
  <c r="D1612" i="31"/>
  <c r="D1611" i="31"/>
  <c r="D1610" i="31"/>
  <c r="D1609" i="31"/>
  <c r="D1608" i="31"/>
  <c r="D1607" i="31"/>
  <c r="D1606" i="31"/>
  <c r="D1605" i="31"/>
  <c r="D1604" i="31"/>
  <c r="D1603" i="31"/>
  <c r="D1602" i="31"/>
  <c r="D1601" i="31"/>
  <c r="D1600" i="31"/>
  <c r="D1599" i="31"/>
  <c r="D1598" i="31"/>
  <c r="D1597" i="31"/>
  <c r="D1596" i="31"/>
  <c r="D1595" i="31"/>
  <c r="D1594" i="31"/>
  <c r="D1593" i="31"/>
  <c r="D1592" i="31"/>
  <c r="D1591" i="31"/>
  <c r="D1590" i="31"/>
  <c r="D1589" i="31"/>
  <c r="D1588" i="31"/>
  <c r="D1587" i="31"/>
  <c r="D1586" i="31"/>
  <c r="D1585" i="31"/>
  <c r="D1584" i="31"/>
  <c r="D1583" i="31"/>
  <c r="D1582" i="31"/>
  <c r="D1581" i="31"/>
  <c r="D1580" i="31"/>
  <c r="D1579" i="31"/>
  <c r="D1578" i="31"/>
  <c r="D1577" i="31"/>
  <c r="D1576" i="31"/>
  <c r="D1575" i="31"/>
  <c r="D1574" i="31"/>
  <c r="D1573" i="31"/>
  <c r="D1572" i="31"/>
  <c r="D1571" i="31"/>
  <c r="D1570" i="31"/>
  <c r="D1569" i="31"/>
  <c r="D1568" i="31"/>
  <c r="D1567" i="31"/>
  <c r="D1566" i="31"/>
  <c r="D1565" i="31"/>
  <c r="D1564" i="31"/>
  <c r="D1563" i="31"/>
  <c r="D1562" i="31"/>
  <c r="D1561" i="31"/>
  <c r="D1560" i="31"/>
  <c r="D1559" i="31"/>
  <c r="D1558" i="31"/>
  <c r="D1557" i="31"/>
  <c r="D1556" i="31"/>
  <c r="D1555" i="31"/>
  <c r="D1554" i="31"/>
  <c r="D1553" i="31"/>
  <c r="D1552" i="31"/>
  <c r="D1551" i="31"/>
  <c r="D1550" i="31"/>
  <c r="D1549" i="31"/>
  <c r="D1548" i="31"/>
  <c r="D1547" i="31"/>
  <c r="D1546" i="31"/>
  <c r="D1545" i="31"/>
  <c r="D1544" i="31"/>
  <c r="D1543" i="31"/>
  <c r="D1542" i="31"/>
  <c r="D1541" i="31"/>
  <c r="D1540" i="31"/>
  <c r="D1539" i="31"/>
  <c r="D1538" i="31"/>
  <c r="D1537" i="31"/>
  <c r="D1536" i="31"/>
  <c r="D1535" i="31"/>
  <c r="D1534" i="31"/>
  <c r="D1533" i="31"/>
  <c r="D1532" i="31"/>
  <c r="D1531" i="31"/>
  <c r="D1530" i="31"/>
  <c r="D1529" i="31"/>
  <c r="D1528" i="31"/>
  <c r="D1527" i="31"/>
  <c r="D1526" i="31"/>
  <c r="D1525" i="31"/>
  <c r="D1524" i="31"/>
  <c r="D1523" i="31"/>
  <c r="D1522" i="31"/>
  <c r="D1521" i="31"/>
  <c r="D1520" i="31"/>
  <c r="D1519" i="31"/>
  <c r="D1518" i="31"/>
  <c r="D1517" i="31"/>
  <c r="D1516" i="31"/>
  <c r="D1515" i="31"/>
  <c r="D1514" i="31"/>
  <c r="D1513" i="31"/>
  <c r="D1512" i="31"/>
  <c r="D1511" i="31"/>
  <c r="D1510" i="31"/>
  <c r="D1509" i="31"/>
  <c r="D1508" i="31"/>
  <c r="D1507" i="31"/>
  <c r="D1506" i="31"/>
  <c r="D1505" i="31"/>
  <c r="D1504" i="31"/>
  <c r="D1503" i="31"/>
  <c r="D1502" i="31"/>
  <c r="D1501" i="31"/>
  <c r="D1500" i="31"/>
  <c r="D1499" i="31"/>
  <c r="D1498" i="31"/>
  <c r="D1497" i="31"/>
  <c r="D1496" i="31"/>
  <c r="D1495" i="31"/>
  <c r="D1494" i="31"/>
  <c r="D1493" i="31"/>
  <c r="D1492" i="31"/>
  <c r="D1491" i="31"/>
  <c r="D1490" i="31"/>
  <c r="D1489" i="31"/>
  <c r="D1488" i="31"/>
  <c r="D1487" i="31"/>
  <c r="D1486" i="31"/>
  <c r="D1485" i="31"/>
  <c r="D1484" i="31"/>
  <c r="D1483" i="31"/>
  <c r="D1482" i="31"/>
  <c r="D1481" i="31"/>
  <c r="D1480" i="31"/>
  <c r="D1479" i="31"/>
  <c r="D1478" i="31"/>
  <c r="D1477" i="31"/>
  <c r="D1476" i="31"/>
  <c r="D1475" i="31"/>
  <c r="D1474" i="31"/>
  <c r="D1473" i="31"/>
  <c r="D1472" i="31"/>
  <c r="D1471" i="31"/>
  <c r="D1470" i="31"/>
  <c r="D1469" i="31"/>
  <c r="D1468" i="31"/>
  <c r="D1467" i="31"/>
  <c r="D1466" i="31"/>
  <c r="D1465" i="31"/>
  <c r="D1464" i="31"/>
  <c r="D1463" i="31"/>
  <c r="D1462" i="31"/>
  <c r="D1461" i="31"/>
  <c r="D1460" i="31"/>
  <c r="D1459" i="31"/>
  <c r="D1458" i="31"/>
  <c r="D1457" i="31"/>
  <c r="D1456" i="31"/>
  <c r="D1455" i="31"/>
  <c r="D1454" i="31"/>
  <c r="D1453" i="31"/>
  <c r="D1452" i="31"/>
  <c r="D1451" i="31"/>
  <c r="D1450" i="31"/>
  <c r="D1449" i="31"/>
  <c r="D1448" i="31"/>
  <c r="D1447" i="31"/>
  <c r="D1446" i="31"/>
  <c r="D1445" i="31"/>
  <c r="D1444" i="31"/>
  <c r="D1443" i="31"/>
  <c r="D1442" i="31"/>
  <c r="D1441" i="31"/>
  <c r="D1440" i="31"/>
  <c r="D1439" i="31"/>
  <c r="D1438" i="31"/>
  <c r="D1437" i="31"/>
  <c r="D1436" i="31"/>
  <c r="D1435" i="31"/>
  <c r="D1434" i="31"/>
  <c r="D1433" i="31"/>
  <c r="D1432" i="31"/>
  <c r="D1431" i="31"/>
  <c r="D1430" i="31"/>
  <c r="D1429" i="31"/>
  <c r="D1428" i="31"/>
  <c r="D1427" i="31"/>
  <c r="D1426" i="31"/>
  <c r="D1425" i="31"/>
  <c r="D1424" i="31"/>
  <c r="D1423" i="31"/>
  <c r="D1422" i="31"/>
  <c r="D1421" i="31"/>
  <c r="D1420" i="31"/>
  <c r="D1419" i="31"/>
  <c r="D1418" i="31"/>
  <c r="D1417" i="31"/>
  <c r="D1416" i="31"/>
  <c r="D1415" i="31"/>
  <c r="D1414" i="31"/>
  <c r="D1413" i="31"/>
  <c r="D1412" i="31"/>
  <c r="D1411" i="31"/>
  <c r="D1410" i="31"/>
  <c r="D1409" i="31"/>
  <c r="D1408" i="31"/>
  <c r="D1407" i="31"/>
  <c r="D1406" i="31"/>
  <c r="D1405" i="31"/>
  <c r="D1404" i="31"/>
  <c r="D1403" i="31"/>
  <c r="D1402" i="31"/>
  <c r="D1401" i="31"/>
  <c r="D1400" i="31"/>
  <c r="D1399" i="31"/>
  <c r="D1398" i="31"/>
  <c r="D1397" i="31"/>
  <c r="D1396" i="31"/>
  <c r="D1395" i="31"/>
  <c r="D1394" i="31"/>
  <c r="D1393" i="31"/>
  <c r="D1392" i="31"/>
  <c r="D1391" i="31"/>
  <c r="D1390" i="31"/>
  <c r="D1389" i="31"/>
  <c r="D1388" i="31"/>
  <c r="D1387" i="31"/>
  <c r="D1386" i="31"/>
  <c r="D1385" i="31"/>
  <c r="D1384" i="31"/>
  <c r="D1383" i="31"/>
  <c r="D1382" i="31"/>
  <c r="D1381" i="31"/>
  <c r="D1380" i="31"/>
  <c r="D1379" i="31"/>
  <c r="D1378" i="31"/>
  <c r="D1377" i="31"/>
  <c r="D1376" i="31"/>
  <c r="D1375" i="31"/>
  <c r="D1374" i="31"/>
  <c r="D1373" i="31"/>
  <c r="D1372" i="31"/>
  <c r="D1371" i="31"/>
  <c r="D1370" i="31"/>
  <c r="D1369" i="31"/>
  <c r="D1368" i="31"/>
  <c r="D1367" i="31"/>
  <c r="D1366" i="31"/>
  <c r="D1365" i="31"/>
  <c r="D1364" i="31"/>
  <c r="D1363" i="31"/>
  <c r="D1362" i="31"/>
  <c r="D1361" i="31"/>
  <c r="D1360" i="31"/>
  <c r="D1359" i="31"/>
  <c r="D1358" i="31"/>
  <c r="D1357" i="31"/>
  <c r="D1356" i="31"/>
  <c r="D1355" i="31"/>
  <c r="D1354" i="31"/>
  <c r="D1353" i="31"/>
  <c r="D1352" i="31"/>
  <c r="D1351" i="31"/>
  <c r="D1350" i="31"/>
  <c r="D1349" i="31"/>
  <c r="D1348" i="31"/>
  <c r="D1347" i="31"/>
  <c r="D1346" i="31"/>
  <c r="D1345" i="31"/>
  <c r="D1344" i="31"/>
  <c r="D1343" i="31"/>
  <c r="D1342" i="31"/>
  <c r="D1341" i="31"/>
  <c r="D1340" i="31"/>
  <c r="D1339" i="31"/>
  <c r="D1338" i="31"/>
  <c r="D1337" i="31"/>
  <c r="D1336" i="31"/>
  <c r="D1335" i="31"/>
  <c r="D1334" i="31"/>
  <c r="D1333" i="31"/>
  <c r="D1332" i="31"/>
  <c r="D1331" i="31"/>
  <c r="D1330" i="31"/>
  <c r="D1329" i="31"/>
  <c r="D1328" i="31"/>
  <c r="D1327" i="31"/>
  <c r="D1326" i="31"/>
  <c r="D1325" i="31"/>
  <c r="D1324" i="31"/>
  <c r="D1323" i="31"/>
  <c r="D1322" i="31"/>
  <c r="D1321" i="31"/>
  <c r="D1320" i="31"/>
  <c r="D1319" i="31"/>
  <c r="D1318" i="31"/>
  <c r="D1317" i="31"/>
  <c r="D1316" i="31"/>
  <c r="D1315" i="31"/>
  <c r="D1314" i="31"/>
  <c r="D1313" i="31"/>
  <c r="D1312" i="31"/>
  <c r="D1311" i="31"/>
  <c r="D1310" i="31"/>
  <c r="D1309" i="31"/>
  <c r="D1308" i="31"/>
  <c r="D1307" i="31"/>
  <c r="D1306" i="31"/>
  <c r="D1305" i="31"/>
  <c r="D1304" i="31"/>
  <c r="D1303" i="31"/>
  <c r="D1302" i="31"/>
  <c r="D1301" i="31"/>
  <c r="D1300" i="31"/>
  <c r="D1299" i="31"/>
  <c r="D1298" i="31"/>
  <c r="D1297" i="31"/>
  <c r="D1296" i="31"/>
  <c r="D1295" i="31"/>
  <c r="D1294" i="31"/>
  <c r="D1293" i="31"/>
  <c r="D1292" i="31"/>
  <c r="D1291" i="31"/>
  <c r="D1290" i="31"/>
  <c r="D1289" i="31"/>
  <c r="D1288" i="31"/>
  <c r="D1287" i="31"/>
  <c r="D1286" i="31"/>
  <c r="D1285" i="31"/>
  <c r="D1284" i="31"/>
  <c r="D1283" i="31"/>
  <c r="D1282" i="31"/>
  <c r="D1281" i="31"/>
  <c r="D1280" i="31"/>
  <c r="D1279" i="31"/>
  <c r="D1278" i="31"/>
  <c r="D1277" i="31"/>
  <c r="D1276" i="31"/>
  <c r="D1275" i="31"/>
  <c r="D1274" i="31"/>
  <c r="D1273" i="31"/>
  <c r="D1272" i="31"/>
  <c r="D1271" i="31"/>
  <c r="D1270" i="31"/>
  <c r="D1269" i="31"/>
  <c r="D1268" i="31"/>
  <c r="D1267" i="31"/>
  <c r="D1266" i="31"/>
  <c r="D1265" i="31"/>
  <c r="D1264" i="31"/>
  <c r="D1263" i="31"/>
  <c r="D1262" i="31"/>
  <c r="D1261" i="31"/>
  <c r="D1260" i="31"/>
  <c r="D1259" i="31"/>
  <c r="D1258" i="31"/>
  <c r="D1257" i="31"/>
  <c r="D1256" i="31"/>
  <c r="D1255" i="31"/>
  <c r="D1254" i="31"/>
  <c r="D1253" i="31"/>
  <c r="D1252" i="31"/>
  <c r="D1251" i="31"/>
  <c r="D1250" i="31"/>
  <c r="D1249" i="31"/>
  <c r="D1248" i="31"/>
  <c r="D1247" i="31"/>
  <c r="D1246" i="31"/>
  <c r="D1245" i="31"/>
  <c r="D1244" i="31"/>
  <c r="D1243" i="31"/>
  <c r="D1242" i="31"/>
  <c r="D1241" i="31"/>
  <c r="D1240" i="31"/>
  <c r="D1239" i="31"/>
  <c r="D1238" i="31"/>
  <c r="D1237" i="31"/>
  <c r="D1236" i="31"/>
  <c r="D1235" i="31"/>
  <c r="D1234" i="31"/>
  <c r="D1233" i="31"/>
  <c r="D1232" i="31"/>
  <c r="D1231" i="31"/>
  <c r="D1230" i="31"/>
  <c r="D1229" i="31"/>
  <c r="D1228" i="31"/>
  <c r="D1227" i="31"/>
  <c r="D1226" i="31"/>
  <c r="D1225" i="31"/>
  <c r="D1224" i="31"/>
  <c r="D1223" i="31"/>
  <c r="D1222" i="31"/>
  <c r="D1221" i="31"/>
  <c r="D1220" i="31"/>
  <c r="D1219" i="31"/>
  <c r="D1218" i="31"/>
  <c r="D1217" i="31"/>
  <c r="D1216" i="31"/>
  <c r="D1215" i="31"/>
  <c r="D1214" i="31"/>
  <c r="D1213" i="31"/>
  <c r="D1212" i="31"/>
  <c r="D1211" i="31"/>
  <c r="D1210" i="31"/>
  <c r="D1209" i="31"/>
  <c r="D1208" i="31"/>
  <c r="D1207" i="31"/>
  <c r="D1206" i="31"/>
  <c r="D1205" i="31"/>
  <c r="D1204" i="31"/>
  <c r="D1203" i="31"/>
  <c r="D1202" i="31"/>
  <c r="D1201" i="31"/>
  <c r="D1200" i="31"/>
  <c r="D1199" i="31"/>
  <c r="D1198" i="31"/>
  <c r="D1197" i="31"/>
  <c r="D1196" i="31"/>
  <c r="D1195" i="31"/>
  <c r="D1194" i="31"/>
  <c r="D1193" i="31"/>
  <c r="D1192" i="31"/>
  <c r="D1191" i="31"/>
  <c r="D1190" i="31"/>
  <c r="D1189" i="31"/>
  <c r="D1188" i="31"/>
  <c r="D1187" i="31"/>
  <c r="D1186" i="31"/>
  <c r="D1185" i="31"/>
  <c r="D1184" i="31"/>
  <c r="D1183" i="31"/>
  <c r="D1182" i="31"/>
  <c r="D1181" i="31"/>
  <c r="D1180" i="31"/>
  <c r="D1179" i="31"/>
  <c r="D1178" i="31"/>
  <c r="D1177" i="31"/>
  <c r="D1176" i="31"/>
  <c r="D1175" i="31"/>
  <c r="D1174" i="31"/>
  <c r="D1173" i="31"/>
  <c r="D1172" i="31"/>
  <c r="D1171" i="31"/>
  <c r="D1170" i="31"/>
  <c r="D1169" i="31"/>
  <c r="D1168" i="31"/>
  <c r="D1167" i="31"/>
  <c r="D1166" i="31"/>
  <c r="D1165" i="31"/>
  <c r="D1164" i="31"/>
  <c r="D1163" i="31"/>
  <c r="D1162" i="31"/>
  <c r="D1161" i="31"/>
  <c r="D1160" i="31"/>
  <c r="D1159" i="31"/>
  <c r="D1158" i="31"/>
  <c r="D1157" i="31"/>
  <c r="D1156" i="31"/>
  <c r="D1155" i="31"/>
  <c r="D1154" i="31"/>
  <c r="D1153" i="31"/>
  <c r="D1152" i="31"/>
  <c r="D1151" i="31"/>
  <c r="D1150" i="31"/>
  <c r="D1149" i="31"/>
  <c r="D1148" i="31"/>
  <c r="D1147" i="31"/>
  <c r="D1146" i="31"/>
  <c r="D1145" i="31"/>
  <c r="D1144" i="31"/>
  <c r="D1143" i="31"/>
  <c r="D1142" i="31"/>
  <c r="D1141" i="31"/>
  <c r="D1140" i="31"/>
  <c r="D1139" i="31"/>
  <c r="D1138" i="31"/>
  <c r="D1137" i="31"/>
  <c r="D1136" i="31"/>
  <c r="D1135" i="31"/>
  <c r="D1134" i="31"/>
  <c r="D1133" i="31"/>
  <c r="D1132" i="31"/>
  <c r="D1131" i="31"/>
  <c r="D1130" i="31"/>
  <c r="D1129" i="31"/>
  <c r="D1128" i="31"/>
  <c r="D1127" i="31"/>
  <c r="D1126" i="31"/>
  <c r="D1125" i="31"/>
  <c r="D1124" i="31"/>
  <c r="D1123" i="31"/>
  <c r="D1122" i="31"/>
  <c r="D1121" i="31"/>
  <c r="D1120" i="31"/>
  <c r="D1119" i="31"/>
  <c r="D1118" i="31"/>
  <c r="D1117" i="31"/>
  <c r="D1116" i="31"/>
  <c r="D1115" i="31"/>
  <c r="D1114" i="31"/>
  <c r="D1113" i="31"/>
  <c r="D1112" i="31"/>
  <c r="D1111" i="31"/>
  <c r="D1110" i="31"/>
  <c r="D1109" i="31"/>
  <c r="D1108" i="31"/>
  <c r="D1107" i="31"/>
  <c r="D1106" i="31"/>
  <c r="D1105" i="31"/>
  <c r="D1104" i="31"/>
  <c r="D1103" i="31"/>
  <c r="D1102" i="31"/>
  <c r="D1101" i="31"/>
  <c r="D1100" i="31"/>
  <c r="D1099" i="31"/>
  <c r="D1098" i="31"/>
  <c r="D1097" i="31"/>
  <c r="D1096" i="31"/>
  <c r="D1095" i="31"/>
  <c r="D1094" i="31"/>
  <c r="D1093" i="31"/>
  <c r="D1092" i="31"/>
  <c r="D1091" i="31"/>
  <c r="D1090" i="31"/>
  <c r="D1089" i="31"/>
  <c r="D1088" i="31"/>
  <c r="D1087" i="31"/>
  <c r="D1086" i="31"/>
  <c r="D1085" i="31"/>
  <c r="D1084" i="31"/>
  <c r="D1083" i="31"/>
  <c r="D1082" i="31"/>
  <c r="D1081" i="31"/>
  <c r="D1080" i="31"/>
  <c r="D1079" i="31"/>
  <c r="D1078" i="31"/>
  <c r="D1077" i="31"/>
  <c r="D1076" i="31"/>
  <c r="D1075" i="31"/>
  <c r="D1074" i="31"/>
  <c r="D1073" i="31"/>
  <c r="D1072" i="31"/>
  <c r="D1071" i="31"/>
  <c r="D1070" i="31"/>
  <c r="D1069" i="31"/>
  <c r="D1068" i="31"/>
  <c r="D1067" i="31"/>
  <c r="D1066" i="31"/>
  <c r="D1065" i="31"/>
  <c r="D1064" i="31"/>
  <c r="D1063" i="31"/>
  <c r="D1062" i="31"/>
  <c r="D1061" i="31"/>
  <c r="D1060" i="31"/>
  <c r="D1059" i="31"/>
  <c r="D1058" i="31"/>
  <c r="D1057" i="31"/>
  <c r="D1056" i="31"/>
  <c r="D1055" i="31"/>
  <c r="D1054" i="31"/>
  <c r="D1053" i="31"/>
  <c r="D1052" i="31"/>
  <c r="D1051" i="31"/>
  <c r="D1050" i="31"/>
  <c r="D1049" i="31"/>
  <c r="D1048" i="31"/>
  <c r="D1047" i="31"/>
  <c r="D1046" i="31"/>
  <c r="D1045" i="31"/>
  <c r="D1044" i="31"/>
  <c r="D1043" i="31"/>
  <c r="D1042" i="31"/>
  <c r="D1041" i="31"/>
  <c r="D1040" i="31"/>
  <c r="D1039" i="31"/>
  <c r="D1038" i="31"/>
  <c r="D1037" i="31"/>
  <c r="D1036" i="31"/>
  <c r="D1035" i="31"/>
  <c r="D1034" i="31"/>
  <c r="D1033" i="31"/>
  <c r="D1032" i="31"/>
  <c r="D1031" i="31"/>
  <c r="D1030" i="31"/>
  <c r="D1029" i="31"/>
  <c r="D1028" i="31"/>
  <c r="D1027" i="31"/>
  <c r="D1026" i="31"/>
  <c r="D1025" i="31"/>
  <c r="D1024" i="31"/>
  <c r="D1023" i="31"/>
  <c r="D1022" i="31"/>
  <c r="D1021" i="31"/>
  <c r="D1020" i="31"/>
  <c r="D1019" i="31"/>
  <c r="D1018" i="31"/>
  <c r="D1017" i="31"/>
  <c r="D1016" i="31"/>
  <c r="D1015" i="31"/>
  <c r="D1014" i="31"/>
  <c r="D1013" i="31"/>
  <c r="D1012" i="31"/>
  <c r="D1011" i="31"/>
  <c r="D1010" i="31"/>
  <c r="D1009" i="31"/>
  <c r="D1008" i="31"/>
  <c r="D1007" i="31"/>
  <c r="D1006" i="31"/>
  <c r="D1005" i="31"/>
  <c r="D1004" i="31"/>
  <c r="D1003" i="31"/>
  <c r="D1002" i="31"/>
  <c r="D1001" i="31"/>
  <c r="D1000" i="31"/>
  <c r="D999" i="31"/>
  <c r="D998" i="31"/>
  <c r="D997" i="31"/>
  <c r="D996" i="31"/>
  <c r="D995" i="31"/>
  <c r="D994" i="31"/>
  <c r="D993" i="31"/>
  <c r="D992" i="31"/>
  <c r="D991" i="31"/>
  <c r="D990" i="31"/>
  <c r="D989" i="31"/>
  <c r="D988" i="31"/>
  <c r="D987" i="31"/>
  <c r="D986" i="31"/>
  <c r="D985" i="31"/>
  <c r="D984" i="31"/>
  <c r="D983" i="31"/>
  <c r="D982" i="31"/>
  <c r="D981" i="31"/>
  <c r="D980" i="31"/>
  <c r="D979" i="31"/>
  <c r="D978" i="31"/>
  <c r="D977" i="31"/>
  <c r="D976" i="31"/>
  <c r="D975" i="31"/>
  <c r="D974" i="31"/>
  <c r="D973" i="31"/>
  <c r="D972" i="31"/>
  <c r="D971" i="31"/>
  <c r="D970" i="31"/>
  <c r="D969" i="31"/>
  <c r="D968" i="31"/>
  <c r="D967" i="31"/>
  <c r="D966" i="31"/>
  <c r="D965" i="31"/>
  <c r="D964" i="31"/>
  <c r="D963" i="31"/>
  <c r="D962" i="31"/>
  <c r="D961" i="31"/>
  <c r="D960" i="31"/>
  <c r="D959" i="31"/>
  <c r="D958" i="31"/>
  <c r="D957" i="31"/>
  <c r="D956" i="31"/>
  <c r="D955" i="31"/>
  <c r="D954" i="31"/>
  <c r="D953" i="31"/>
  <c r="D952" i="31"/>
  <c r="D951" i="31"/>
  <c r="D950" i="31"/>
  <c r="D949" i="31"/>
  <c r="D948" i="31"/>
  <c r="D947" i="31"/>
  <c r="D946" i="31"/>
  <c r="D945" i="31"/>
  <c r="D944" i="31"/>
  <c r="D943" i="31"/>
  <c r="D942" i="31"/>
  <c r="D941" i="31"/>
  <c r="D940" i="31"/>
  <c r="D939" i="31"/>
  <c r="D938" i="31"/>
  <c r="D937" i="31"/>
  <c r="D936" i="31"/>
  <c r="D935" i="31"/>
  <c r="D934" i="31"/>
  <c r="D933" i="31"/>
  <c r="D932" i="31"/>
  <c r="D931" i="31"/>
  <c r="D930" i="31"/>
  <c r="D929" i="31"/>
  <c r="D928" i="31"/>
  <c r="D927" i="31"/>
  <c r="D926" i="31"/>
  <c r="D925" i="31"/>
  <c r="D924" i="31"/>
  <c r="D923" i="31"/>
  <c r="D922" i="31"/>
  <c r="D921" i="31"/>
  <c r="D920" i="31"/>
  <c r="D919" i="31"/>
  <c r="D918" i="31"/>
  <c r="D917" i="31"/>
  <c r="D916" i="31"/>
  <c r="D915" i="31"/>
  <c r="D914" i="31"/>
  <c r="D913" i="31"/>
  <c r="D912" i="31"/>
  <c r="D911" i="31"/>
  <c r="D910" i="31"/>
  <c r="D909" i="31"/>
  <c r="D908" i="31"/>
  <c r="D907" i="31"/>
  <c r="D906" i="31"/>
  <c r="D905" i="31"/>
  <c r="D904" i="31"/>
  <c r="D903" i="31"/>
  <c r="D902" i="31"/>
  <c r="D901" i="31"/>
  <c r="D900" i="31"/>
  <c r="D899" i="31"/>
  <c r="D898" i="31"/>
  <c r="D897" i="31"/>
  <c r="D896" i="31"/>
  <c r="D895" i="31"/>
  <c r="D894" i="31"/>
  <c r="D893" i="31"/>
  <c r="D892" i="31"/>
  <c r="D891" i="31"/>
  <c r="D890" i="31"/>
  <c r="D889" i="31"/>
  <c r="D888" i="31"/>
  <c r="D887" i="31"/>
  <c r="D886" i="31"/>
  <c r="D885" i="31"/>
  <c r="D884" i="31"/>
  <c r="D883" i="31"/>
  <c r="D882" i="31"/>
  <c r="D881" i="31"/>
  <c r="D880" i="31"/>
  <c r="D879" i="31"/>
  <c r="D878" i="31"/>
  <c r="D877" i="31"/>
  <c r="D876" i="31"/>
  <c r="D875" i="31"/>
  <c r="D874" i="31"/>
  <c r="D873" i="31"/>
  <c r="D872" i="31"/>
  <c r="D871" i="31"/>
  <c r="D870" i="31"/>
  <c r="D869" i="31"/>
  <c r="D868" i="31"/>
  <c r="D867" i="31"/>
  <c r="D866" i="31"/>
  <c r="D865" i="31"/>
  <c r="D864" i="31"/>
  <c r="D863" i="31"/>
  <c r="D862" i="31"/>
  <c r="D861" i="31"/>
  <c r="D860" i="31"/>
  <c r="D859" i="31"/>
  <c r="D858" i="31"/>
  <c r="D857" i="31"/>
  <c r="D856" i="31"/>
  <c r="D855" i="31"/>
  <c r="D854" i="31"/>
  <c r="D853" i="31"/>
  <c r="D852" i="31"/>
  <c r="D851" i="31"/>
  <c r="D850" i="31"/>
  <c r="D849" i="31"/>
  <c r="D848" i="31"/>
  <c r="D847" i="31"/>
  <c r="D846" i="31"/>
  <c r="D845" i="31"/>
  <c r="D844" i="31"/>
  <c r="D843" i="31"/>
  <c r="D842" i="31"/>
  <c r="D841" i="31"/>
  <c r="D840" i="31"/>
  <c r="D839" i="31"/>
  <c r="D838" i="31"/>
  <c r="D837" i="31"/>
  <c r="D836" i="31"/>
  <c r="D835" i="31"/>
  <c r="D834" i="31"/>
  <c r="D833" i="31"/>
  <c r="D832" i="31"/>
  <c r="D831" i="31"/>
  <c r="D830" i="31"/>
  <c r="D829" i="31"/>
  <c r="D828" i="31"/>
  <c r="D827" i="31"/>
  <c r="D826" i="31"/>
  <c r="D825" i="31"/>
  <c r="D824" i="31"/>
  <c r="D823" i="31"/>
  <c r="D822" i="31"/>
  <c r="D821" i="31"/>
  <c r="D820" i="31"/>
  <c r="D819" i="31"/>
  <c r="D818" i="31"/>
  <c r="D817" i="31"/>
  <c r="D816" i="31"/>
  <c r="D815" i="31"/>
  <c r="D814" i="31"/>
  <c r="D813" i="31"/>
  <c r="D812" i="31"/>
  <c r="D811" i="31"/>
  <c r="D810" i="31"/>
  <c r="D809" i="31"/>
  <c r="D808" i="31"/>
  <c r="D807" i="31"/>
  <c r="D806" i="31"/>
  <c r="D805" i="31"/>
  <c r="D804" i="31"/>
  <c r="D803" i="31"/>
  <c r="D802" i="31"/>
  <c r="D801" i="31"/>
  <c r="D800" i="31"/>
  <c r="D799" i="31"/>
  <c r="D798" i="31"/>
  <c r="D797" i="31"/>
  <c r="D796" i="31"/>
  <c r="D795" i="31"/>
  <c r="D794" i="31"/>
  <c r="D793" i="31"/>
  <c r="D792" i="31"/>
  <c r="D791" i="31"/>
  <c r="D790" i="31"/>
  <c r="D789" i="31"/>
  <c r="D788" i="31"/>
  <c r="D787" i="31"/>
  <c r="D786" i="31"/>
  <c r="D785" i="31"/>
  <c r="D784" i="31"/>
  <c r="D783" i="31"/>
  <c r="D782" i="31"/>
  <c r="D781" i="31"/>
  <c r="D780" i="31"/>
  <c r="D779" i="31"/>
  <c r="D778" i="31"/>
  <c r="D777" i="31"/>
  <c r="D776" i="31"/>
  <c r="D775" i="31"/>
  <c r="D774" i="31"/>
  <c r="D773" i="31"/>
  <c r="D772" i="31"/>
  <c r="D771" i="31"/>
  <c r="D770" i="31"/>
  <c r="D769" i="31"/>
  <c r="D768" i="31"/>
  <c r="D767" i="31"/>
  <c r="D766" i="31"/>
  <c r="D765" i="31"/>
  <c r="D764" i="31"/>
  <c r="D763" i="31"/>
  <c r="D762" i="31"/>
  <c r="D761" i="31"/>
  <c r="D760" i="31"/>
  <c r="D759" i="31"/>
  <c r="D758" i="31"/>
  <c r="D757" i="31"/>
  <c r="D756" i="31"/>
  <c r="D755" i="31"/>
  <c r="D754" i="31"/>
  <c r="D753" i="31"/>
  <c r="D752" i="31"/>
  <c r="D751" i="31"/>
  <c r="D750" i="31"/>
  <c r="D749" i="31"/>
  <c r="D748" i="31"/>
  <c r="D747" i="31"/>
  <c r="D746" i="31"/>
  <c r="D745" i="31"/>
  <c r="D744" i="31"/>
  <c r="D743" i="31"/>
  <c r="D742" i="31"/>
  <c r="D741" i="31"/>
  <c r="D740" i="31"/>
  <c r="D739" i="31"/>
  <c r="D738" i="31"/>
  <c r="D737" i="31"/>
  <c r="D736" i="31"/>
  <c r="D735" i="31"/>
  <c r="D734" i="31"/>
  <c r="D733" i="31"/>
  <c r="D732" i="31"/>
  <c r="D731" i="31"/>
  <c r="D730" i="31"/>
  <c r="D729" i="31"/>
  <c r="D728" i="31"/>
  <c r="D727" i="31"/>
  <c r="D726" i="31"/>
  <c r="D725" i="31"/>
  <c r="D724" i="31"/>
  <c r="D723" i="31"/>
  <c r="D722" i="31"/>
  <c r="D721" i="31"/>
  <c r="D720" i="31"/>
  <c r="D719" i="31"/>
  <c r="D718" i="31"/>
  <c r="D717" i="31"/>
  <c r="D716" i="31"/>
  <c r="D715" i="31"/>
  <c r="D714" i="31"/>
  <c r="D713" i="31"/>
  <c r="D712" i="31"/>
  <c r="D711" i="31"/>
  <c r="D710" i="31"/>
  <c r="D709" i="31"/>
  <c r="D708" i="31"/>
  <c r="D707" i="31"/>
  <c r="D706" i="31"/>
  <c r="D705" i="31"/>
  <c r="D704" i="31"/>
  <c r="D703" i="31"/>
  <c r="D702" i="31"/>
  <c r="D701" i="31"/>
  <c r="D700" i="31"/>
  <c r="D699" i="31"/>
  <c r="D698" i="31"/>
  <c r="D697" i="31"/>
  <c r="D696" i="31"/>
  <c r="D695" i="31"/>
  <c r="D694" i="31"/>
  <c r="D693" i="31"/>
  <c r="D692" i="31"/>
  <c r="D691" i="31"/>
  <c r="D690" i="31"/>
  <c r="D689" i="31"/>
  <c r="D688" i="31"/>
  <c r="D687" i="31"/>
  <c r="D686" i="31"/>
  <c r="D685" i="31"/>
  <c r="D684" i="31"/>
  <c r="D683" i="31"/>
  <c r="D682" i="31"/>
  <c r="D681" i="31"/>
  <c r="D680" i="31"/>
  <c r="D679" i="31"/>
  <c r="D678" i="31"/>
  <c r="D677" i="31"/>
  <c r="D676" i="31"/>
  <c r="D675" i="31"/>
  <c r="D674" i="31"/>
  <c r="D673" i="31"/>
  <c r="D672" i="31"/>
  <c r="D671" i="31"/>
  <c r="D670" i="31"/>
  <c r="D669" i="31"/>
  <c r="D668" i="31"/>
  <c r="D667" i="31"/>
  <c r="D666" i="31"/>
  <c r="D665" i="31"/>
  <c r="D664" i="31"/>
  <c r="D663" i="31"/>
  <c r="D662" i="31"/>
  <c r="D661" i="31"/>
  <c r="D660" i="31"/>
  <c r="D659" i="31"/>
  <c r="D658" i="31"/>
  <c r="D657" i="31"/>
  <c r="D656" i="31"/>
  <c r="D655" i="31"/>
  <c r="D654" i="31"/>
  <c r="D653" i="31"/>
  <c r="D652" i="31"/>
  <c r="D651" i="31"/>
  <c r="D650" i="31"/>
  <c r="D649" i="31"/>
  <c r="D648" i="31"/>
  <c r="D647" i="31"/>
  <c r="D646" i="31"/>
  <c r="D645" i="31"/>
  <c r="D644" i="31"/>
  <c r="D643" i="31"/>
  <c r="D642" i="31"/>
  <c r="D641" i="31"/>
  <c r="D640" i="31"/>
  <c r="D639" i="31"/>
  <c r="D638" i="31"/>
  <c r="D637" i="31"/>
  <c r="D636" i="31"/>
  <c r="D635" i="31"/>
  <c r="D634" i="31"/>
  <c r="D633" i="31"/>
  <c r="D632" i="31"/>
  <c r="D631" i="31"/>
  <c r="D630" i="31"/>
  <c r="D629" i="31"/>
  <c r="D628" i="31"/>
  <c r="D627" i="31"/>
  <c r="D626" i="31"/>
  <c r="D625" i="31"/>
  <c r="D624" i="31"/>
  <c r="D623" i="31"/>
  <c r="D622" i="31"/>
  <c r="D621" i="31"/>
  <c r="D620" i="31"/>
  <c r="D619" i="31"/>
  <c r="D618" i="31"/>
  <c r="D617" i="31"/>
  <c r="D616" i="31"/>
  <c r="D615" i="31"/>
  <c r="D614" i="31"/>
  <c r="D613" i="31"/>
  <c r="D612" i="31"/>
  <c r="D611" i="31"/>
  <c r="D610" i="31"/>
  <c r="D609" i="31"/>
  <c r="D608" i="31"/>
  <c r="D607" i="31"/>
  <c r="D606" i="31"/>
  <c r="D605" i="31"/>
  <c r="D604" i="31"/>
  <c r="D603" i="31"/>
  <c r="D602" i="31"/>
  <c r="D601" i="31"/>
  <c r="D600" i="31"/>
  <c r="D599" i="31"/>
  <c r="D598" i="31"/>
  <c r="D597" i="31"/>
  <c r="D596" i="31"/>
  <c r="D595" i="31"/>
  <c r="D594" i="31"/>
  <c r="D593" i="31"/>
  <c r="D592" i="31"/>
  <c r="D591" i="31"/>
  <c r="D590" i="31"/>
  <c r="D589" i="31"/>
  <c r="D588" i="31"/>
  <c r="D587" i="31"/>
  <c r="D586" i="31"/>
  <c r="D585" i="31"/>
  <c r="D584" i="31"/>
  <c r="D583" i="31"/>
  <c r="D582" i="31"/>
  <c r="D581" i="31"/>
  <c r="D580" i="31"/>
  <c r="D579" i="31"/>
  <c r="D578" i="31"/>
  <c r="D577" i="31"/>
  <c r="D576" i="31"/>
  <c r="D575" i="31"/>
  <c r="D574" i="31"/>
  <c r="D573" i="31"/>
  <c r="D572" i="31"/>
  <c r="D571" i="31"/>
  <c r="D570" i="31"/>
  <c r="D569" i="31"/>
  <c r="D568" i="31"/>
  <c r="D567" i="31"/>
  <c r="D566" i="31"/>
  <c r="D565" i="31"/>
  <c r="D564" i="31"/>
  <c r="D563" i="31"/>
  <c r="D562" i="31"/>
  <c r="D561" i="31"/>
  <c r="D560" i="31"/>
  <c r="D559" i="31"/>
  <c r="D558" i="31"/>
  <c r="D557" i="31"/>
  <c r="D556" i="31"/>
  <c r="D555" i="31"/>
  <c r="D554" i="31"/>
  <c r="D553" i="31"/>
  <c r="D552" i="31"/>
  <c r="D551" i="31"/>
  <c r="D550" i="31"/>
  <c r="D549" i="31"/>
  <c r="D548" i="31"/>
  <c r="D547" i="31"/>
  <c r="D546" i="31"/>
  <c r="D545" i="31"/>
  <c r="D544" i="31"/>
  <c r="D543" i="31"/>
  <c r="D542" i="31"/>
  <c r="D541" i="31"/>
  <c r="D540" i="31"/>
  <c r="D539" i="31"/>
  <c r="D538" i="31"/>
  <c r="D537" i="31"/>
  <c r="D536" i="31"/>
  <c r="D535" i="31"/>
  <c r="D534" i="31"/>
  <c r="D533" i="31"/>
  <c r="D532" i="31"/>
  <c r="D531" i="31"/>
  <c r="D530" i="31"/>
  <c r="D529" i="31"/>
  <c r="D528" i="31"/>
  <c r="D527" i="31"/>
  <c r="D526" i="31"/>
  <c r="D525" i="31"/>
  <c r="D524" i="31"/>
  <c r="D523" i="31"/>
  <c r="D522" i="31"/>
  <c r="D521" i="31"/>
  <c r="D520" i="31"/>
  <c r="D519" i="31"/>
  <c r="D518" i="31"/>
  <c r="D517" i="31"/>
  <c r="D516" i="31"/>
  <c r="D515" i="31"/>
  <c r="D514" i="31"/>
  <c r="D513" i="31"/>
  <c r="D512" i="31"/>
  <c r="D511" i="31"/>
  <c r="D510" i="31"/>
  <c r="D509" i="31"/>
  <c r="D508" i="31"/>
  <c r="D507" i="31"/>
  <c r="D506" i="31"/>
  <c r="D505" i="31"/>
  <c r="D504" i="31"/>
  <c r="D503" i="31"/>
  <c r="D502" i="31"/>
  <c r="D501" i="31"/>
  <c r="D500" i="31"/>
  <c r="D499" i="31"/>
  <c r="D498" i="31"/>
  <c r="D497" i="31"/>
  <c r="D496" i="31"/>
  <c r="D495" i="31"/>
  <c r="D494" i="31"/>
  <c r="D493" i="31"/>
  <c r="D492" i="31"/>
  <c r="D491" i="31"/>
  <c r="D490" i="31"/>
  <c r="D489" i="31"/>
  <c r="D488" i="31"/>
  <c r="D487" i="31"/>
  <c r="D486" i="31"/>
  <c r="D485" i="31"/>
  <c r="D484" i="31"/>
  <c r="D483" i="31"/>
  <c r="D482" i="31"/>
  <c r="D481" i="31"/>
  <c r="D480" i="31"/>
  <c r="D479" i="31"/>
  <c r="D478" i="31"/>
  <c r="D477" i="31"/>
  <c r="D476" i="31"/>
  <c r="D475" i="31"/>
  <c r="D474" i="31"/>
  <c r="D473" i="31"/>
  <c r="D472" i="31"/>
  <c r="D471" i="31"/>
  <c r="D470" i="31"/>
  <c r="D469" i="31"/>
  <c r="D468" i="31"/>
  <c r="D467" i="31"/>
  <c r="D466" i="31"/>
  <c r="D465" i="31"/>
  <c r="D464" i="31"/>
  <c r="D463" i="31"/>
  <c r="D462" i="31"/>
  <c r="D461" i="31"/>
  <c r="D460" i="31"/>
  <c r="D459" i="31"/>
  <c r="D458" i="31"/>
  <c r="D457" i="31"/>
  <c r="D456" i="31"/>
  <c r="D455" i="31"/>
  <c r="D454" i="31"/>
  <c r="D453" i="31"/>
  <c r="D452" i="31"/>
  <c r="D451" i="31"/>
  <c r="D450" i="31"/>
  <c r="D449" i="31"/>
  <c r="D448" i="31"/>
  <c r="D447" i="31"/>
  <c r="D446" i="31"/>
  <c r="D445" i="31"/>
  <c r="D444" i="31"/>
  <c r="D443" i="31"/>
  <c r="D442" i="31"/>
  <c r="D441" i="31"/>
  <c r="D440" i="31"/>
  <c r="D439" i="31"/>
  <c r="D438" i="31"/>
  <c r="D437" i="31"/>
  <c r="D436" i="31"/>
  <c r="D435" i="31"/>
  <c r="D434" i="31"/>
  <c r="D433" i="31"/>
  <c r="D432" i="31"/>
  <c r="D431" i="31"/>
  <c r="D430" i="31"/>
  <c r="D429" i="31"/>
  <c r="D428" i="31"/>
  <c r="D427" i="31"/>
  <c r="D426" i="31"/>
  <c r="D425" i="31"/>
  <c r="D424" i="31"/>
  <c r="D423" i="31"/>
  <c r="D422" i="31"/>
  <c r="D421" i="31"/>
  <c r="D420" i="31"/>
  <c r="D419" i="31"/>
  <c r="D418" i="31"/>
  <c r="D417" i="31"/>
  <c r="D416" i="31"/>
  <c r="D415" i="31"/>
  <c r="D414" i="31"/>
  <c r="D413" i="31"/>
  <c r="D412" i="31"/>
  <c r="D411" i="31"/>
  <c r="D410" i="31"/>
  <c r="D409" i="31"/>
  <c r="D408" i="31"/>
  <c r="D407" i="31"/>
  <c r="D406" i="31"/>
  <c r="D405" i="31"/>
  <c r="D404" i="31"/>
  <c r="D403" i="31"/>
  <c r="D402" i="31"/>
  <c r="D401" i="31"/>
  <c r="D400" i="31"/>
  <c r="D399" i="31"/>
  <c r="D398" i="31"/>
  <c r="D397" i="31"/>
  <c r="D396" i="31"/>
  <c r="D395" i="31"/>
  <c r="D394" i="31"/>
  <c r="D393" i="31"/>
  <c r="D392" i="31"/>
  <c r="D391" i="31"/>
  <c r="D390" i="31"/>
  <c r="D389" i="31"/>
  <c r="D388" i="31"/>
  <c r="D387" i="31"/>
  <c r="D386" i="31"/>
  <c r="D385" i="31"/>
  <c r="D384" i="31"/>
  <c r="D383" i="31"/>
  <c r="D382" i="31"/>
  <c r="D381" i="31"/>
  <c r="D380" i="31"/>
  <c r="D379" i="31"/>
  <c r="D378" i="31"/>
  <c r="D377" i="31"/>
  <c r="D376" i="31"/>
  <c r="D375" i="31"/>
  <c r="D374" i="31"/>
  <c r="D373" i="31"/>
  <c r="D372" i="31"/>
  <c r="D371" i="31"/>
  <c r="D370" i="31"/>
  <c r="D369" i="31"/>
  <c r="D368" i="31"/>
  <c r="D367" i="31"/>
  <c r="D366" i="31"/>
  <c r="D365" i="31"/>
  <c r="D364" i="31"/>
  <c r="D363" i="31"/>
  <c r="D362" i="31"/>
  <c r="D361" i="31"/>
  <c r="D360" i="31"/>
  <c r="D359" i="31"/>
  <c r="D358" i="31"/>
  <c r="D357" i="31"/>
  <c r="D356" i="31"/>
  <c r="D355" i="31"/>
  <c r="D354" i="31"/>
  <c r="D353" i="31"/>
  <c r="D352" i="31"/>
  <c r="D351" i="31"/>
  <c r="D350" i="31"/>
  <c r="D349" i="31"/>
  <c r="D348" i="31"/>
  <c r="D347" i="31"/>
  <c r="D346" i="31"/>
  <c r="D345" i="31"/>
  <c r="D344" i="31"/>
  <c r="D343" i="31"/>
  <c r="D342" i="31"/>
  <c r="D341" i="31"/>
  <c r="D340" i="31"/>
  <c r="D339" i="31"/>
  <c r="D338" i="31"/>
  <c r="D337" i="31"/>
  <c r="D336" i="31"/>
  <c r="D335" i="31"/>
  <c r="D334" i="31"/>
  <c r="D333" i="31"/>
  <c r="D332" i="31"/>
  <c r="D331" i="31"/>
  <c r="D330" i="31"/>
  <c r="D329" i="31"/>
  <c r="D328" i="31"/>
  <c r="D327" i="31"/>
  <c r="D326" i="31"/>
  <c r="D325" i="31"/>
  <c r="D324" i="31"/>
  <c r="D323" i="31"/>
  <c r="D322" i="31"/>
  <c r="D321" i="31"/>
  <c r="D320" i="31"/>
  <c r="D319" i="31"/>
  <c r="D318" i="31"/>
  <c r="D317" i="31"/>
  <c r="D316" i="31"/>
  <c r="D315" i="31"/>
  <c r="D314" i="31"/>
  <c r="D313" i="31"/>
  <c r="D312" i="31"/>
  <c r="D311" i="31"/>
  <c r="D310" i="31"/>
  <c r="D309" i="31"/>
  <c r="D308" i="31"/>
  <c r="D307" i="31"/>
  <c r="D306" i="31"/>
  <c r="D305" i="31"/>
  <c r="D304" i="31"/>
  <c r="D303" i="31"/>
  <c r="D302" i="31"/>
  <c r="D301" i="31"/>
  <c r="D300" i="31"/>
  <c r="D299" i="31"/>
  <c r="D298" i="31"/>
  <c r="D297" i="31"/>
  <c r="D296" i="31"/>
  <c r="D295" i="31"/>
  <c r="D294" i="31"/>
  <c r="D293" i="31"/>
  <c r="D292" i="31"/>
  <c r="D291" i="31"/>
  <c r="D290" i="31"/>
  <c r="D289" i="31"/>
  <c r="D288" i="31"/>
  <c r="D287" i="31"/>
  <c r="D286" i="31"/>
  <c r="D285" i="31"/>
  <c r="D284" i="31"/>
  <c r="D283" i="31"/>
  <c r="D282" i="31"/>
  <c r="D281" i="31"/>
  <c r="D280" i="31"/>
  <c r="D279" i="31"/>
  <c r="D278" i="31"/>
  <c r="D277" i="31"/>
  <c r="D276" i="31"/>
  <c r="D275" i="31"/>
  <c r="D274" i="31"/>
  <c r="D273" i="31"/>
  <c r="D272" i="31"/>
  <c r="D271" i="31"/>
  <c r="D270" i="31"/>
  <c r="D269" i="31"/>
  <c r="D268" i="31"/>
  <c r="D267" i="31"/>
  <c r="D266" i="31"/>
  <c r="D265" i="31"/>
  <c r="D264" i="31"/>
  <c r="D263" i="31"/>
  <c r="D262" i="31"/>
  <c r="D261" i="31"/>
  <c r="D260" i="31"/>
  <c r="D259" i="31"/>
  <c r="D258" i="31"/>
  <c r="D257" i="31"/>
  <c r="D256" i="31"/>
  <c r="D255" i="31"/>
  <c r="D254" i="31"/>
  <c r="D253" i="31"/>
  <c r="D252" i="31"/>
  <c r="D251" i="31"/>
  <c r="D250" i="31"/>
  <c r="D249" i="31"/>
  <c r="D248" i="31"/>
  <c r="D247" i="31"/>
  <c r="D246" i="31"/>
  <c r="D245" i="31"/>
  <c r="D244" i="31"/>
  <c r="D243" i="31"/>
  <c r="D242" i="31"/>
  <c r="D241" i="31"/>
  <c r="D240" i="31"/>
  <c r="D239" i="31"/>
  <c r="D238" i="31"/>
  <c r="D237" i="31"/>
  <c r="D236" i="31"/>
  <c r="D235" i="31"/>
  <c r="D234" i="31"/>
  <c r="D233" i="31"/>
  <c r="D232" i="31"/>
  <c r="D231" i="31"/>
  <c r="D230" i="31"/>
  <c r="D229" i="31"/>
  <c r="D228" i="31"/>
  <c r="D227" i="31"/>
  <c r="D226" i="31"/>
  <c r="D225" i="31"/>
  <c r="D224" i="31"/>
  <c r="D223" i="31"/>
  <c r="D222" i="31"/>
  <c r="D221" i="31"/>
  <c r="D220" i="31"/>
  <c r="D219" i="31"/>
  <c r="D218" i="31"/>
  <c r="D217" i="31"/>
  <c r="D216" i="31"/>
  <c r="D215" i="31"/>
  <c r="D214" i="31"/>
  <c r="D213" i="31"/>
  <c r="D212" i="31"/>
  <c r="D211" i="31"/>
  <c r="D210" i="31"/>
  <c r="D209" i="31"/>
  <c r="D208" i="31"/>
  <c r="D207" i="31"/>
  <c r="D206" i="31"/>
  <c r="D205" i="31"/>
  <c r="D204" i="31"/>
  <c r="D203" i="31"/>
  <c r="D202" i="31"/>
  <c r="D201" i="31"/>
  <c r="D200" i="31"/>
  <c r="D199" i="31"/>
  <c r="D198" i="31"/>
  <c r="D197" i="31"/>
  <c r="D196" i="31"/>
  <c r="D195" i="31"/>
  <c r="D194" i="31"/>
  <c r="D193" i="31"/>
  <c r="D192" i="31"/>
  <c r="D191" i="31"/>
  <c r="D190" i="31"/>
  <c r="D189" i="31"/>
  <c r="D188" i="31"/>
  <c r="D187" i="31"/>
  <c r="D186" i="31"/>
  <c r="D185" i="31"/>
  <c r="D184" i="31"/>
  <c r="D183" i="31"/>
  <c r="D182" i="31"/>
  <c r="D181" i="31"/>
  <c r="D180" i="31"/>
  <c r="D179" i="31"/>
  <c r="D178" i="31"/>
  <c r="D177" i="31"/>
  <c r="D176" i="31"/>
  <c r="D175" i="31"/>
  <c r="D174" i="31"/>
  <c r="D173" i="31"/>
  <c r="D172" i="31"/>
  <c r="D171" i="31"/>
  <c r="D170" i="31"/>
  <c r="D169" i="31"/>
  <c r="D168" i="31"/>
  <c r="D167" i="31"/>
  <c r="D166" i="31"/>
  <c r="D165" i="31"/>
  <c r="D164" i="31"/>
  <c r="D163" i="31"/>
  <c r="D162" i="31"/>
  <c r="D161" i="31"/>
  <c r="D160" i="31"/>
  <c r="D159" i="31"/>
  <c r="D158" i="31"/>
  <c r="D157" i="31"/>
  <c r="D156" i="31"/>
  <c r="D155" i="31"/>
  <c r="D154" i="31"/>
  <c r="D153" i="31"/>
  <c r="D152" i="31"/>
  <c r="D151" i="31"/>
  <c r="D150" i="31"/>
  <c r="D149" i="31"/>
  <c r="D148" i="31"/>
  <c r="D147" i="31"/>
  <c r="D146" i="31"/>
  <c r="D145" i="31"/>
  <c r="D144" i="31"/>
  <c r="D143" i="31"/>
  <c r="D142" i="31"/>
  <c r="D141" i="31"/>
  <c r="D140" i="31"/>
  <c r="D139" i="31"/>
  <c r="D138" i="31"/>
  <c r="D137" i="31"/>
  <c r="D136" i="31"/>
  <c r="D135" i="31"/>
  <c r="D134" i="31"/>
  <c r="D133" i="31"/>
  <c r="D132" i="31"/>
  <c r="D131" i="31"/>
  <c r="D130" i="31"/>
  <c r="D129" i="31"/>
  <c r="D128" i="31"/>
  <c r="D127" i="31"/>
  <c r="D126" i="31"/>
  <c r="D125" i="31"/>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S200" i="32" l="1"/>
  <c r="S199" i="32"/>
  <c r="S198" i="32"/>
  <c r="S197" i="32"/>
  <c r="S196" i="32"/>
  <c r="S195" i="32"/>
  <c r="S194" i="32"/>
  <c r="S193" i="32"/>
  <c r="S192" i="32"/>
  <c r="S191" i="32"/>
  <c r="S190" i="32"/>
  <c r="S189" i="32"/>
  <c r="S188" i="32"/>
  <c r="S187" i="32"/>
  <c r="S186" i="32"/>
  <c r="S185" i="32"/>
  <c r="S184" i="32"/>
  <c r="S183" i="32"/>
  <c r="S182" i="32"/>
  <c r="S181" i="32"/>
  <c r="S180" i="32"/>
  <c r="S179" i="32"/>
  <c r="S178" i="32"/>
  <c r="S177" i="32"/>
  <c r="S176" i="32"/>
  <c r="S175" i="32"/>
  <c r="S174" i="32"/>
  <c r="S173" i="32"/>
  <c r="S172" i="32"/>
  <c r="S171" i="32"/>
  <c r="S170" i="32"/>
  <c r="S169" i="32"/>
  <c r="S168" i="32"/>
  <c r="S167" i="32"/>
  <c r="S166" i="32"/>
  <c r="S165" i="32"/>
  <c r="S164" i="32"/>
  <c r="S163" i="32"/>
  <c r="S162" i="32"/>
  <c r="S161" i="32"/>
  <c r="S160" i="32"/>
  <c r="S159" i="32"/>
  <c r="S158" i="32"/>
  <c r="S157" i="32"/>
  <c r="S156" i="32"/>
  <c r="S155" i="32"/>
  <c r="S154" i="32"/>
  <c r="S153" i="32"/>
  <c r="S152" i="32"/>
  <c r="S151" i="32"/>
  <c r="S150" i="32"/>
  <c r="S149" i="32"/>
  <c r="S148" i="32"/>
  <c r="S147" i="32"/>
  <c r="S146" i="32"/>
  <c r="S145" i="32"/>
  <c r="S144" i="32"/>
  <c r="S143" i="32"/>
  <c r="S142" i="32"/>
  <c r="S141" i="32"/>
  <c r="S140" i="32"/>
  <c r="S139" i="32"/>
  <c r="S138" i="32"/>
  <c r="S137" i="32"/>
  <c r="S136" i="32"/>
  <c r="S135" i="32"/>
  <c r="S134" i="32"/>
  <c r="S133" i="32"/>
  <c r="S132" i="32"/>
  <c r="S131" i="32"/>
  <c r="S130" i="32"/>
  <c r="S129" i="32"/>
  <c r="S128" i="32"/>
  <c r="S127" i="32"/>
  <c r="S126" i="32"/>
  <c r="S125" i="32"/>
  <c r="S124" i="32"/>
  <c r="S123" i="32"/>
  <c r="S122" i="32"/>
  <c r="S121" i="32"/>
  <c r="S120" i="32"/>
  <c r="S119" i="32"/>
  <c r="S118" i="32"/>
  <c r="S117" i="32"/>
  <c r="S116" i="32"/>
  <c r="S115" i="32"/>
  <c r="S114" i="32"/>
  <c r="S113" i="32"/>
  <c r="S112" i="32"/>
  <c r="S111" i="32"/>
  <c r="S110" i="32"/>
  <c r="S109" i="32"/>
  <c r="S108" i="32"/>
  <c r="S107" i="32"/>
  <c r="S106" i="32"/>
  <c r="S105" i="32"/>
  <c r="S104" i="32"/>
  <c r="S103" i="32"/>
  <c r="S102" i="32"/>
  <c r="S101" i="32"/>
  <c r="S100" i="32"/>
  <c r="S99" i="32"/>
  <c r="S98" i="32"/>
  <c r="S97" i="32"/>
  <c r="S96" i="32"/>
  <c r="S95" i="32"/>
  <c r="S94" i="32"/>
  <c r="S93" i="32"/>
  <c r="S92" i="32"/>
  <c r="S91" i="32"/>
  <c r="S90" i="32"/>
  <c r="S89" i="32"/>
  <c r="S88" i="32"/>
  <c r="S87" i="32"/>
  <c r="S86" i="32"/>
  <c r="S85" i="32"/>
  <c r="S84" i="32"/>
  <c r="S83" i="32"/>
  <c r="S82" i="32"/>
  <c r="S81" i="32"/>
  <c r="S80" i="32"/>
  <c r="S79" i="32"/>
  <c r="S78" i="32"/>
  <c r="S77" i="32"/>
  <c r="S76" i="32"/>
  <c r="S75" i="32"/>
  <c r="S74" i="32"/>
  <c r="S73" i="32"/>
  <c r="S72" i="32"/>
  <c r="S71" i="32"/>
  <c r="S70" i="32"/>
  <c r="S69" i="32"/>
  <c r="S68" i="32"/>
  <c r="S67" i="32"/>
  <c r="S66" i="32"/>
  <c r="S65" i="32"/>
  <c r="S64" i="32"/>
  <c r="S63" i="32"/>
  <c r="S62" i="32"/>
  <c r="S61" i="32"/>
  <c r="S60" i="32"/>
  <c r="S59" i="32"/>
  <c r="S58" i="32"/>
  <c r="S57" i="32"/>
  <c r="S56" i="32"/>
  <c r="S55" i="32"/>
  <c r="S54" i="32"/>
  <c r="S53" i="32"/>
  <c r="S52" i="32"/>
  <c r="S51" i="32"/>
  <c r="S50" i="32"/>
  <c r="S49" i="32"/>
  <c r="S48" i="32"/>
  <c r="S47" i="32"/>
  <c r="S46" i="32"/>
  <c r="S45" i="32"/>
  <c r="AA200" i="30"/>
  <c r="AA199" i="30"/>
  <c r="AA198" i="30"/>
  <c r="AA197" i="30"/>
  <c r="AA196" i="30"/>
  <c r="AA195" i="30"/>
  <c r="AA194" i="30"/>
  <c r="AA193" i="30"/>
  <c r="AA192" i="30"/>
  <c r="AA191" i="30"/>
  <c r="AA190" i="30"/>
  <c r="AA189" i="30"/>
  <c r="AA188" i="30"/>
  <c r="AA187" i="30"/>
  <c r="AA186" i="30"/>
  <c r="AA185" i="30"/>
  <c r="AA184" i="30"/>
  <c r="AA183" i="30"/>
  <c r="AA182" i="30"/>
  <c r="AA181" i="30"/>
  <c r="AA180" i="30"/>
  <c r="AA179" i="30"/>
  <c r="AA178" i="30"/>
  <c r="AA177" i="30"/>
  <c r="AA176" i="30"/>
  <c r="AA175" i="30"/>
  <c r="AA174" i="30"/>
  <c r="AA173" i="30"/>
  <c r="AA172" i="30"/>
  <c r="AA171" i="30"/>
  <c r="AA170" i="30"/>
  <c r="AA169" i="30"/>
  <c r="AA168" i="30"/>
  <c r="AA167" i="30"/>
  <c r="AA166" i="30"/>
  <c r="AA165" i="30"/>
  <c r="AA164" i="30"/>
  <c r="AA163" i="30"/>
  <c r="AA162" i="30"/>
  <c r="AA161" i="30"/>
  <c r="AA160" i="30"/>
  <c r="AA159" i="30"/>
  <c r="AA158" i="30"/>
  <c r="AA157" i="30"/>
  <c r="AA156" i="30"/>
  <c r="AA155" i="30"/>
  <c r="AA154" i="30"/>
  <c r="AA153" i="30"/>
  <c r="AA152" i="30"/>
  <c r="AA151" i="30"/>
  <c r="AA150" i="30"/>
  <c r="AA149" i="30"/>
  <c r="AA148" i="30"/>
  <c r="AA147" i="30"/>
  <c r="AA146" i="30"/>
  <c r="AA145" i="30"/>
  <c r="AA144" i="30"/>
  <c r="AA143" i="30"/>
  <c r="AA142" i="30"/>
  <c r="AA141" i="30"/>
  <c r="AA140" i="30"/>
  <c r="AA139" i="30"/>
  <c r="AA138" i="30"/>
  <c r="AA137" i="30"/>
  <c r="AA136" i="30"/>
  <c r="AA135" i="30"/>
  <c r="AA134" i="30"/>
  <c r="AA133" i="30"/>
  <c r="AA132" i="30"/>
  <c r="AA131" i="30"/>
  <c r="AA130" i="30"/>
  <c r="AA129" i="30"/>
  <c r="AA128" i="30"/>
  <c r="AA127" i="30"/>
  <c r="AA126" i="30"/>
  <c r="AA125" i="30"/>
  <c r="AA124" i="30"/>
  <c r="AA123" i="30"/>
  <c r="AA122" i="30"/>
  <c r="AA121" i="30"/>
  <c r="AA120" i="30"/>
  <c r="AA119" i="30"/>
  <c r="AA118" i="30"/>
  <c r="AA117" i="30"/>
  <c r="AA116" i="30"/>
  <c r="AA115" i="30"/>
  <c r="AA114" i="30"/>
  <c r="AA113" i="30"/>
  <c r="AA112" i="30"/>
  <c r="AA111" i="30"/>
  <c r="AA110" i="30"/>
  <c r="AA109" i="30"/>
  <c r="AA108" i="30"/>
  <c r="AA107" i="30"/>
  <c r="AA106" i="30"/>
  <c r="AA105" i="30"/>
  <c r="AA104" i="30"/>
  <c r="AA103" i="30"/>
  <c r="AA102" i="30"/>
  <c r="AA101" i="30"/>
  <c r="AA100" i="30"/>
  <c r="AA99" i="30"/>
  <c r="AA98" i="30"/>
  <c r="AA97" i="30"/>
  <c r="AA96" i="30"/>
  <c r="AA95" i="30"/>
  <c r="AA94" i="30"/>
  <c r="AA93" i="30"/>
  <c r="AA92" i="30"/>
  <c r="AA91" i="30"/>
  <c r="AA90" i="30"/>
  <c r="AA89" i="30"/>
  <c r="AA88" i="30"/>
  <c r="AA87" i="30"/>
  <c r="AA86" i="30"/>
  <c r="AA85" i="30"/>
  <c r="AA84" i="30"/>
  <c r="AA83" i="30"/>
  <c r="AA82" i="30"/>
  <c r="AA81" i="30"/>
  <c r="AA80" i="30"/>
  <c r="AA79" i="30"/>
  <c r="AA78" i="30"/>
  <c r="AA77" i="30"/>
  <c r="AA76" i="30"/>
  <c r="AA75" i="30"/>
  <c r="AA74" i="30"/>
  <c r="AA73" i="30"/>
  <c r="AA72" i="30"/>
  <c r="AA71" i="30"/>
  <c r="AA70" i="30"/>
  <c r="AA69" i="30"/>
  <c r="AA68" i="30"/>
  <c r="AA67" i="30"/>
  <c r="AA66" i="30"/>
  <c r="AA65" i="30"/>
  <c r="AA64" i="30"/>
  <c r="AA63" i="30"/>
  <c r="AA62" i="30"/>
  <c r="AA61" i="30"/>
  <c r="AA60" i="30"/>
  <c r="AA59" i="30"/>
  <c r="AA58" i="30"/>
  <c r="AA57" i="30"/>
  <c r="AA56" i="30"/>
  <c r="AA55" i="30"/>
  <c r="AA54" i="30"/>
  <c r="AA53" i="30"/>
  <c r="AA52" i="30"/>
  <c r="AA51" i="30"/>
  <c r="AA50" i="30"/>
  <c r="AA49" i="30"/>
  <c r="AA48" i="30"/>
  <c r="AA47" i="30"/>
  <c r="AA46" i="30"/>
  <c r="AA45" i="30"/>
  <c r="AA44" i="30"/>
  <c r="AA43" i="30"/>
  <c r="AA42" i="30"/>
  <c r="AA41" i="30"/>
  <c r="AA40" i="30"/>
  <c r="AA39" i="30"/>
  <c r="AA38" i="30"/>
  <c r="AA37" i="30"/>
  <c r="AA36" i="30"/>
  <c r="AA35" i="30"/>
  <c r="AA34" i="30"/>
  <c r="AA33" i="30"/>
  <c r="AA32" i="30"/>
  <c r="AA31" i="30"/>
  <c r="AA30" i="30"/>
  <c r="O200" i="30"/>
  <c r="O199" i="30"/>
  <c r="O198" i="30"/>
  <c r="O197" i="30"/>
  <c r="O196" i="30"/>
  <c r="O195" i="30"/>
  <c r="O194" i="30"/>
  <c r="O193" i="30"/>
  <c r="O192" i="30"/>
  <c r="O191" i="30"/>
  <c r="O190" i="30"/>
  <c r="O189" i="30"/>
  <c r="O188" i="30"/>
  <c r="O187" i="30"/>
  <c r="O186" i="30"/>
  <c r="O185" i="30"/>
  <c r="O184" i="30"/>
  <c r="O183" i="30"/>
  <c r="O182" i="30"/>
  <c r="O181" i="30"/>
  <c r="O180" i="30"/>
  <c r="O179" i="30"/>
  <c r="O178" i="30"/>
  <c r="O177" i="30"/>
  <c r="O176" i="30"/>
  <c r="O175" i="30"/>
  <c r="O174" i="30"/>
  <c r="O173" i="30"/>
  <c r="O172" i="30"/>
  <c r="O171" i="30"/>
  <c r="O170" i="30"/>
  <c r="O169" i="30"/>
  <c r="O168" i="30"/>
  <c r="O167" i="30"/>
  <c r="O166" i="30"/>
  <c r="O165" i="30"/>
  <c r="O164" i="30"/>
  <c r="O163" i="30"/>
  <c r="O162" i="30"/>
  <c r="O161" i="30"/>
  <c r="O160" i="30"/>
  <c r="O159" i="30"/>
  <c r="O158" i="30"/>
  <c r="O157" i="30"/>
  <c r="O156" i="30"/>
  <c r="O155" i="30"/>
  <c r="O154" i="30"/>
  <c r="O153" i="30"/>
  <c r="O152" i="30"/>
  <c r="O151" i="30"/>
  <c r="O150" i="30"/>
  <c r="O149" i="30"/>
  <c r="O148" i="30"/>
  <c r="O147" i="30"/>
  <c r="O146" i="30"/>
  <c r="O145" i="30"/>
  <c r="O144" i="30"/>
  <c r="O143" i="30"/>
  <c r="O142" i="30"/>
  <c r="O141" i="30"/>
  <c r="O140" i="30"/>
  <c r="O139" i="30"/>
  <c r="O138" i="30"/>
  <c r="O137" i="30"/>
  <c r="O136" i="30"/>
  <c r="O135" i="30"/>
  <c r="O134" i="30"/>
  <c r="O133" i="30"/>
  <c r="O132" i="30"/>
  <c r="O131" i="30"/>
  <c r="O130" i="30"/>
  <c r="O129" i="30"/>
  <c r="O128" i="30"/>
  <c r="O127" i="30"/>
  <c r="O126" i="30"/>
  <c r="O125" i="30"/>
  <c r="O124" i="30"/>
  <c r="O123" i="30"/>
  <c r="O122" i="30"/>
  <c r="O121" i="30"/>
  <c r="O120" i="30"/>
  <c r="O119" i="30"/>
  <c r="O118" i="30"/>
  <c r="O117" i="30"/>
  <c r="O116" i="30"/>
  <c r="O115" i="30"/>
  <c r="O114" i="30"/>
  <c r="O113" i="30"/>
  <c r="O112" i="30"/>
  <c r="O111" i="30"/>
  <c r="O110" i="30"/>
  <c r="O109" i="30"/>
  <c r="O108" i="30"/>
  <c r="O107" i="30"/>
  <c r="O106" i="30"/>
  <c r="O105" i="30"/>
  <c r="O104" i="30"/>
  <c r="O103" i="30"/>
  <c r="O102" i="30"/>
  <c r="O101" i="30"/>
  <c r="O100" i="30"/>
  <c r="O99" i="30"/>
  <c r="O98" i="30"/>
  <c r="O97" i="30"/>
  <c r="O96" i="30"/>
  <c r="O95" i="30"/>
  <c r="O94" i="30"/>
  <c r="O93" i="30"/>
  <c r="O92" i="30"/>
  <c r="O91" i="30"/>
  <c r="O90" i="30"/>
  <c r="O89" i="30"/>
  <c r="O88" i="30"/>
  <c r="O87" i="30"/>
  <c r="O86" i="30"/>
  <c r="O85" i="30"/>
  <c r="O84" i="30"/>
  <c r="O83" i="30"/>
  <c r="O82" i="30"/>
  <c r="O81" i="30"/>
  <c r="O80" i="30"/>
  <c r="O79" i="30"/>
  <c r="O78" i="30"/>
  <c r="O77" i="30"/>
  <c r="O76" i="30"/>
  <c r="O75" i="30"/>
  <c r="O74" i="30"/>
  <c r="O73" i="30"/>
  <c r="O72" i="30"/>
  <c r="O71" i="30"/>
  <c r="O70" i="30"/>
  <c r="O69" i="30"/>
  <c r="O68" i="30"/>
  <c r="O67" i="30"/>
  <c r="O66" i="30"/>
  <c r="O65" i="30"/>
  <c r="O64" i="30"/>
  <c r="O63" i="30"/>
  <c r="O62" i="30"/>
  <c r="O61" i="30"/>
  <c r="O60" i="30"/>
  <c r="O59" i="30"/>
  <c r="O58" i="30"/>
  <c r="O57" i="30"/>
  <c r="O56" i="30"/>
  <c r="O55" i="30"/>
  <c r="O54" i="30"/>
  <c r="O53" i="30"/>
  <c r="O52" i="30"/>
  <c r="O51" i="30"/>
  <c r="O50" i="30"/>
  <c r="O49" i="30"/>
  <c r="O48" i="30"/>
  <c r="O47" i="30"/>
  <c r="O46" i="30"/>
  <c r="O45" i="30"/>
  <c r="O44" i="30"/>
  <c r="O43" i="30"/>
  <c r="O42" i="30"/>
  <c r="O41" i="30"/>
  <c r="O40" i="30"/>
  <c r="O39" i="30"/>
  <c r="O38" i="30"/>
  <c r="O37" i="30"/>
  <c r="O36" i="30"/>
  <c r="O35" i="30"/>
  <c r="O34" i="30"/>
  <c r="O33" i="30"/>
  <c r="O32" i="30"/>
  <c r="O31" i="30"/>
  <c r="O30" i="30"/>
  <c r="O29" i="30"/>
  <c r="R2000" i="31"/>
  <c r="R1999" i="31"/>
  <c r="R1998" i="31"/>
  <c r="R1997" i="31"/>
  <c r="R1996" i="31"/>
  <c r="R1995" i="31"/>
  <c r="R1994" i="31"/>
  <c r="R1993" i="31"/>
  <c r="R1992" i="31"/>
  <c r="R1991" i="31"/>
  <c r="R1990" i="31"/>
  <c r="R1989" i="31"/>
  <c r="R1988" i="31"/>
  <c r="R1987" i="31"/>
  <c r="R1986" i="31"/>
  <c r="R1985" i="31"/>
  <c r="R1984" i="31"/>
  <c r="R1983" i="31"/>
  <c r="R1982" i="31"/>
  <c r="R1981" i="31"/>
  <c r="R1980" i="31"/>
  <c r="R1979" i="31"/>
  <c r="R1978" i="31"/>
  <c r="R1977" i="31"/>
  <c r="R1976" i="31"/>
  <c r="R1975" i="31"/>
  <c r="R1974" i="31"/>
  <c r="R1973" i="31"/>
  <c r="R1972" i="31"/>
  <c r="R1971" i="31"/>
  <c r="R1970" i="31"/>
  <c r="R1969" i="31"/>
  <c r="R1968" i="31"/>
  <c r="R1967" i="31"/>
  <c r="R1966" i="31"/>
  <c r="R1965" i="31"/>
  <c r="R1964" i="31"/>
  <c r="R1963" i="31"/>
  <c r="R1962" i="31"/>
  <c r="R1961" i="31"/>
  <c r="R1960" i="31"/>
  <c r="R1959" i="31"/>
  <c r="R1958" i="31"/>
  <c r="R1957" i="31"/>
  <c r="R1956" i="31"/>
  <c r="R1955" i="31"/>
  <c r="R1954" i="31"/>
  <c r="R1953" i="31"/>
  <c r="R1952" i="31"/>
  <c r="R1951" i="31"/>
  <c r="R1950" i="31"/>
  <c r="R1949" i="31"/>
  <c r="R1948" i="31"/>
  <c r="R1947" i="31"/>
  <c r="R1946" i="31"/>
  <c r="R1945" i="31"/>
  <c r="R1944" i="31"/>
  <c r="R1943" i="31"/>
  <c r="R1942" i="31"/>
  <c r="R1941" i="31"/>
  <c r="R1940" i="31"/>
  <c r="R1939" i="31"/>
  <c r="R1938" i="31"/>
  <c r="R1937" i="31"/>
  <c r="R1936" i="31"/>
  <c r="R1935" i="31"/>
  <c r="R1934" i="31"/>
  <c r="R1933" i="31"/>
  <c r="R1932" i="31"/>
  <c r="R1931" i="31"/>
  <c r="R1930" i="31"/>
  <c r="R1929" i="31"/>
  <c r="R1928" i="31"/>
  <c r="R1927" i="31"/>
  <c r="R1926" i="31"/>
  <c r="R1925" i="31"/>
  <c r="R1924" i="31"/>
  <c r="R1923" i="31"/>
  <c r="R1922" i="31"/>
  <c r="R1921" i="31"/>
  <c r="R1920" i="31"/>
  <c r="R1919" i="31"/>
  <c r="R1918" i="31"/>
  <c r="R1917" i="31"/>
  <c r="R1916" i="31"/>
  <c r="R1915" i="31"/>
  <c r="R1914" i="31"/>
  <c r="R1913" i="31"/>
  <c r="R1912" i="31"/>
  <c r="R1911" i="31"/>
  <c r="R1910" i="31"/>
  <c r="R1909" i="31"/>
  <c r="R1908" i="31"/>
  <c r="R1907" i="31"/>
  <c r="R1906" i="31"/>
  <c r="R1905" i="31"/>
  <c r="R1904" i="31"/>
  <c r="R1903" i="31"/>
  <c r="R1902" i="31"/>
  <c r="R1901" i="31"/>
  <c r="R1900" i="31"/>
  <c r="R1899" i="31"/>
  <c r="R1898" i="31"/>
  <c r="R1897" i="31"/>
  <c r="R1896" i="31"/>
  <c r="R1895" i="31"/>
  <c r="R1894" i="31"/>
  <c r="R1893" i="31"/>
  <c r="R1892" i="31"/>
  <c r="R1891" i="31"/>
  <c r="R1890" i="31"/>
  <c r="R1889" i="31"/>
  <c r="R1888" i="31"/>
  <c r="R1887" i="31"/>
  <c r="R1886" i="31"/>
  <c r="R1885" i="31"/>
  <c r="R1884" i="31"/>
  <c r="R1883" i="31"/>
  <c r="R1882" i="31"/>
  <c r="R1881" i="31"/>
  <c r="R1880" i="31"/>
  <c r="R1879" i="31"/>
  <c r="R1878" i="31"/>
  <c r="R1877" i="31"/>
  <c r="R1876" i="31"/>
  <c r="R1875" i="31"/>
  <c r="R1874" i="31"/>
  <c r="R1873" i="31"/>
  <c r="R1872" i="31"/>
  <c r="R1871" i="31"/>
  <c r="R1870" i="31"/>
  <c r="R1869" i="31"/>
  <c r="R1868" i="31"/>
  <c r="R1867" i="31"/>
  <c r="R1866" i="31"/>
  <c r="R1865" i="31"/>
  <c r="R1864" i="31"/>
  <c r="R1863" i="31"/>
  <c r="R1862" i="31"/>
  <c r="R1861" i="31"/>
  <c r="R1860" i="31"/>
  <c r="R1859" i="31"/>
  <c r="R1858" i="31"/>
  <c r="R1857" i="31"/>
  <c r="R1856" i="31"/>
  <c r="R1855" i="31"/>
  <c r="R1854" i="31"/>
  <c r="R1853" i="31"/>
  <c r="R1852" i="31"/>
  <c r="R1851" i="31"/>
  <c r="R1850" i="31"/>
  <c r="R1849" i="31"/>
  <c r="R1848" i="31"/>
  <c r="R1847" i="31"/>
  <c r="R1846" i="31"/>
  <c r="R1845" i="31"/>
  <c r="R1844" i="31"/>
  <c r="R1843" i="31"/>
  <c r="R1842" i="31"/>
  <c r="R1841" i="31"/>
  <c r="R1840" i="31"/>
  <c r="R1839" i="31"/>
  <c r="R1838" i="31"/>
  <c r="R1837" i="31"/>
  <c r="R1836" i="31"/>
  <c r="R1835" i="31"/>
  <c r="R1834" i="31"/>
  <c r="R1833" i="31"/>
  <c r="R1832" i="31"/>
  <c r="R1831" i="31"/>
  <c r="R1830" i="31"/>
  <c r="R1829" i="31"/>
  <c r="R1828" i="31"/>
  <c r="R1827" i="31"/>
  <c r="R1826" i="31"/>
  <c r="R1825" i="31"/>
  <c r="R1824" i="31"/>
  <c r="R1823" i="31"/>
  <c r="R1822" i="31"/>
  <c r="R1821" i="31"/>
  <c r="R1820" i="31"/>
  <c r="R1819" i="31"/>
  <c r="R1818" i="31"/>
  <c r="R1817" i="31"/>
  <c r="R1816" i="31"/>
  <c r="R1815" i="31"/>
  <c r="R1814" i="31"/>
  <c r="R1813" i="31"/>
  <c r="R1812" i="31"/>
  <c r="R1811" i="31"/>
  <c r="R1810" i="31"/>
  <c r="R1809" i="31"/>
  <c r="R1808" i="31"/>
  <c r="R1807" i="31"/>
  <c r="R1806" i="31"/>
  <c r="R1805" i="31"/>
  <c r="R1804" i="31"/>
  <c r="R1803" i="31"/>
  <c r="R1802" i="31"/>
  <c r="R1801" i="31"/>
  <c r="R1800" i="31"/>
  <c r="R1799" i="31"/>
  <c r="R1798" i="31"/>
  <c r="R1797" i="31"/>
  <c r="R1796" i="31"/>
  <c r="R1795" i="31"/>
  <c r="R1794" i="31"/>
  <c r="R1793" i="31"/>
  <c r="R1792" i="31"/>
  <c r="R1791" i="31"/>
  <c r="R1790" i="31"/>
  <c r="R1789" i="31"/>
  <c r="R1788" i="31"/>
  <c r="R1787" i="31"/>
  <c r="R1786" i="31"/>
  <c r="R1785" i="31"/>
  <c r="R1784" i="31"/>
  <c r="R1783" i="31"/>
  <c r="R1782" i="31"/>
  <c r="R1781" i="31"/>
  <c r="R1780" i="31"/>
  <c r="R1779" i="31"/>
  <c r="R1778" i="31"/>
  <c r="R1777" i="31"/>
  <c r="R1776" i="31"/>
  <c r="R1775" i="31"/>
  <c r="R1774" i="31"/>
  <c r="R1773" i="31"/>
  <c r="R1772" i="31"/>
  <c r="R1771" i="31"/>
  <c r="R1770" i="31"/>
  <c r="R1769" i="31"/>
  <c r="R1768" i="31"/>
  <c r="R1767" i="31"/>
  <c r="R1766" i="31"/>
  <c r="R1765" i="31"/>
  <c r="R1764" i="31"/>
  <c r="R1763" i="31"/>
  <c r="R1762" i="31"/>
  <c r="R1761" i="31"/>
  <c r="R1760" i="31"/>
  <c r="R1759" i="31"/>
  <c r="R1758" i="31"/>
  <c r="R1757" i="31"/>
  <c r="R1756" i="31"/>
  <c r="R1755" i="31"/>
  <c r="R1754" i="31"/>
  <c r="R1753" i="31"/>
  <c r="R1752" i="31"/>
  <c r="R1751" i="31"/>
  <c r="R1750" i="31"/>
  <c r="R1749" i="31"/>
  <c r="R1748" i="31"/>
  <c r="R1747" i="31"/>
  <c r="R1746" i="31"/>
  <c r="R1745" i="31"/>
  <c r="R1744" i="31"/>
  <c r="R1743" i="31"/>
  <c r="R1742" i="31"/>
  <c r="R1741" i="31"/>
  <c r="R1740" i="31"/>
  <c r="R1739" i="31"/>
  <c r="R1738" i="31"/>
  <c r="R1737" i="31"/>
  <c r="R1736" i="31"/>
  <c r="R1735" i="31"/>
  <c r="R1734" i="31"/>
  <c r="R1733" i="31"/>
  <c r="R1732" i="31"/>
  <c r="R1731" i="31"/>
  <c r="R1730" i="31"/>
  <c r="R1729" i="31"/>
  <c r="R1728" i="31"/>
  <c r="R1727" i="31"/>
  <c r="R1726" i="31"/>
  <c r="R1725" i="31"/>
  <c r="R1724" i="31"/>
  <c r="R1723" i="31"/>
  <c r="R1722" i="31"/>
  <c r="R1721" i="31"/>
  <c r="R1720" i="31"/>
  <c r="R1719" i="31"/>
  <c r="R1718" i="31"/>
  <c r="R1717" i="31"/>
  <c r="R1716" i="31"/>
  <c r="R1715" i="31"/>
  <c r="R1714" i="31"/>
  <c r="R1713" i="31"/>
  <c r="R1712" i="31"/>
  <c r="R1711" i="31"/>
  <c r="R1710" i="31"/>
  <c r="R1709" i="31"/>
  <c r="R1708" i="31"/>
  <c r="R1707" i="31"/>
  <c r="R1706" i="31"/>
  <c r="R1705" i="31"/>
  <c r="R1704" i="31"/>
  <c r="R1703" i="31"/>
  <c r="R1702" i="31"/>
  <c r="R1701" i="31"/>
  <c r="R1700" i="31"/>
  <c r="R1699" i="31"/>
  <c r="R1698" i="31"/>
  <c r="R1697" i="31"/>
  <c r="R1696" i="31"/>
  <c r="R1695" i="31"/>
  <c r="R1694" i="31"/>
  <c r="R1693" i="31"/>
  <c r="R1692" i="31"/>
  <c r="R1691" i="31"/>
  <c r="R1690" i="31"/>
  <c r="R1689" i="31"/>
  <c r="R1688" i="31"/>
  <c r="R1687" i="31"/>
  <c r="R1686" i="31"/>
  <c r="R1685" i="31"/>
  <c r="R1684" i="31"/>
  <c r="R1683" i="31"/>
  <c r="R1682" i="31"/>
  <c r="R1681" i="31"/>
  <c r="R1680" i="31"/>
  <c r="R1679" i="31"/>
  <c r="R1678" i="31"/>
  <c r="R1677" i="31"/>
  <c r="R1676" i="31"/>
  <c r="R1675" i="31"/>
  <c r="R1674" i="31"/>
  <c r="R1673" i="31"/>
  <c r="R1672" i="31"/>
  <c r="R1671" i="31"/>
  <c r="R1670" i="31"/>
  <c r="R1669" i="31"/>
  <c r="R1668" i="31"/>
  <c r="R1667" i="31"/>
  <c r="R1666" i="31"/>
  <c r="R1665" i="31"/>
  <c r="R1664" i="31"/>
  <c r="R1663" i="31"/>
  <c r="R1662" i="31"/>
  <c r="R1661" i="31"/>
  <c r="R1660" i="31"/>
  <c r="R1659" i="31"/>
  <c r="R1658" i="31"/>
  <c r="R1657" i="31"/>
  <c r="R1656" i="31"/>
  <c r="R1655" i="31"/>
  <c r="R1654" i="31"/>
  <c r="R1653" i="31"/>
  <c r="R1652" i="31"/>
  <c r="R1651" i="31"/>
  <c r="R1650" i="31"/>
  <c r="R1649" i="31"/>
  <c r="R1648" i="31"/>
  <c r="R1647" i="31"/>
  <c r="R1646" i="31"/>
  <c r="R1645" i="31"/>
  <c r="R1644" i="31"/>
  <c r="R1643" i="31"/>
  <c r="R1642" i="31"/>
  <c r="R1641" i="31"/>
  <c r="R1640" i="31"/>
  <c r="R1639" i="31"/>
  <c r="R1638" i="31"/>
  <c r="R1637" i="31"/>
  <c r="R1636" i="31"/>
  <c r="R1635" i="31"/>
  <c r="R1634" i="31"/>
  <c r="R1633" i="31"/>
  <c r="R1632" i="31"/>
  <c r="R1631" i="31"/>
  <c r="R1630" i="31"/>
  <c r="R1629" i="31"/>
  <c r="R1628" i="31"/>
  <c r="R1627" i="31"/>
  <c r="R1626" i="31"/>
  <c r="R1625" i="31"/>
  <c r="R1624" i="31"/>
  <c r="R1623" i="31"/>
  <c r="R1622" i="31"/>
  <c r="R1621" i="31"/>
  <c r="R1620" i="31"/>
  <c r="R1619" i="31"/>
  <c r="R1618" i="31"/>
  <c r="R1617" i="31"/>
  <c r="R1616" i="31"/>
  <c r="R1615" i="31"/>
  <c r="R1614" i="31"/>
  <c r="R1613" i="31"/>
  <c r="R1612" i="31"/>
  <c r="R1611" i="31"/>
  <c r="R1610" i="31"/>
  <c r="R1609" i="31"/>
  <c r="R1608" i="31"/>
  <c r="R1607" i="31"/>
  <c r="R1606" i="31"/>
  <c r="R1605" i="31"/>
  <c r="R1604" i="31"/>
  <c r="R1603" i="31"/>
  <c r="R1602" i="31"/>
  <c r="R1601" i="31"/>
  <c r="R1600" i="31"/>
  <c r="R1599" i="31"/>
  <c r="R1598" i="31"/>
  <c r="R1597" i="31"/>
  <c r="R1596" i="31"/>
  <c r="R1595" i="31"/>
  <c r="R1594" i="31"/>
  <c r="R1593" i="31"/>
  <c r="R1592" i="31"/>
  <c r="R1591" i="31"/>
  <c r="R1590" i="31"/>
  <c r="R1589" i="31"/>
  <c r="R1588" i="31"/>
  <c r="R1587" i="31"/>
  <c r="R1586" i="31"/>
  <c r="R1585" i="31"/>
  <c r="R1584" i="31"/>
  <c r="R1583" i="31"/>
  <c r="R1582" i="31"/>
  <c r="R1581" i="31"/>
  <c r="R1580" i="31"/>
  <c r="R1579" i="31"/>
  <c r="R1578" i="31"/>
  <c r="R1577" i="31"/>
  <c r="R1576" i="31"/>
  <c r="R1575" i="31"/>
  <c r="R1574" i="31"/>
  <c r="R1573" i="31"/>
  <c r="R1572" i="31"/>
  <c r="R1571" i="31"/>
  <c r="R1570" i="31"/>
  <c r="R1569" i="31"/>
  <c r="R1568" i="31"/>
  <c r="R1567" i="31"/>
  <c r="R1566" i="31"/>
  <c r="R1565" i="31"/>
  <c r="R1564" i="31"/>
  <c r="R1563" i="31"/>
  <c r="R1562" i="31"/>
  <c r="R1561" i="31"/>
  <c r="R1560" i="31"/>
  <c r="R1559" i="31"/>
  <c r="R1558" i="31"/>
  <c r="R1557" i="31"/>
  <c r="R1556" i="31"/>
  <c r="R1555" i="31"/>
  <c r="R1554" i="31"/>
  <c r="R1553" i="31"/>
  <c r="R1552" i="31"/>
  <c r="R1551" i="31"/>
  <c r="R1550" i="31"/>
  <c r="R1549" i="31"/>
  <c r="R1548" i="31"/>
  <c r="R1547" i="31"/>
  <c r="R1546" i="31"/>
  <c r="R1545" i="31"/>
  <c r="R1544" i="31"/>
  <c r="R1543" i="31"/>
  <c r="R1542" i="31"/>
  <c r="R1541" i="31"/>
  <c r="R1540" i="31"/>
  <c r="R1539" i="31"/>
  <c r="R1538" i="31"/>
  <c r="R1537" i="31"/>
  <c r="R1536" i="31"/>
  <c r="R1535" i="31"/>
  <c r="R1534" i="31"/>
  <c r="R1533" i="31"/>
  <c r="R1532" i="31"/>
  <c r="R1531" i="31"/>
  <c r="R1530" i="31"/>
  <c r="R1529" i="31"/>
  <c r="R1528" i="31"/>
  <c r="R1527" i="31"/>
  <c r="R1526" i="31"/>
  <c r="R1525" i="31"/>
  <c r="R1524" i="31"/>
  <c r="R1523" i="31"/>
  <c r="R1522" i="31"/>
  <c r="R1521" i="31"/>
  <c r="R1520" i="31"/>
  <c r="R1519" i="31"/>
  <c r="R1518" i="31"/>
  <c r="R1517" i="31"/>
  <c r="R1516" i="31"/>
  <c r="R1515" i="31"/>
  <c r="R1514" i="31"/>
  <c r="R1513" i="31"/>
  <c r="R1512" i="31"/>
  <c r="R1511" i="31"/>
  <c r="R1510" i="31"/>
  <c r="R1509" i="31"/>
  <c r="R1508" i="31"/>
  <c r="R1507" i="31"/>
  <c r="R1506" i="31"/>
  <c r="R1505" i="31"/>
  <c r="R1504" i="31"/>
  <c r="R1503" i="31"/>
  <c r="R1502" i="31"/>
  <c r="R1501" i="31"/>
  <c r="R1500" i="31"/>
  <c r="R1499" i="31"/>
  <c r="R1498" i="31"/>
  <c r="R1497" i="31"/>
  <c r="R1496" i="31"/>
  <c r="R1495" i="31"/>
  <c r="R1494" i="31"/>
  <c r="R1493" i="31"/>
  <c r="R1492" i="31"/>
  <c r="R1491" i="31"/>
  <c r="R1490" i="31"/>
  <c r="R1489" i="31"/>
  <c r="R1488" i="31"/>
  <c r="R1487" i="31"/>
  <c r="R1486" i="31"/>
  <c r="R1485" i="31"/>
  <c r="R1484" i="31"/>
  <c r="R1483" i="31"/>
  <c r="R1482" i="31"/>
  <c r="R1481" i="31"/>
  <c r="R1480" i="31"/>
  <c r="R1479" i="31"/>
  <c r="R1478" i="31"/>
  <c r="R1477" i="31"/>
  <c r="R1476" i="31"/>
  <c r="R1475" i="31"/>
  <c r="R1474" i="31"/>
  <c r="R1473" i="31"/>
  <c r="R1472" i="31"/>
  <c r="R1471" i="31"/>
  <c r="R1470" i="31"/>
  <c r="R1469" i="31"/>
  <c r="R1468" i="31"/>
  <c r="R1467" i="31"/>
  <c r="R1466" i="31"/>
  <c r="R1465" i="31"/>
  <c r="R1464" i="31"/>
  <c r="R1463" i="31"/>
  <c r="R1462" i="31"/>
  <c r="R1461" i="31"/>
  <c r="R1460" i="31"/>
  <c r="R1459" i="31"/>
  <c r="R1458" i="31"/>
  <c r="R1457" i="31"/>
  <c r="R1456" i="31"/>
  <c r="R1455" i="31"/>
  <c r="R1454" i="31"/>
  <c r="R1453" i="31"/>
  <c r="R1452" i="31"/>
  <c r="R1451" i="31"/>
  <c r="R1450" i="31"/>
  <c r="R1449" i="31"/>
  <c r="R1448" i="31"/>
  <c r="R1447" i="31"/>
  <c r="R1446" i="31"/>
  <c r="R1445" i="31"/>
  <c r="R1444" i="31"/>
  <c r="R1443" i="31"/>
  <c r="R1442" i="31"/>
  <c r="R1441" i="31"/>
  <c r="R1440" i="31"/>
  <c r="R1439" i="31"/>
  <c r="R1438" i="31"/>
  <c r="R1437" i="31"/>
  <c r="R1436" i="31"/>
  <c r="R1435" i="31"/>
  <c r="R1434" i="31"/>
  <c r="R1433" i="31"/>
  <c r="R1432" i="31"/>
  <c r="R1431" i="31"/>
  <c r="R1430" i="31"/>
  <c r="R1429" i="31"/>
  <c r="R1428" i="31"/>
  <c r="R1427" i="31"/>
  <c r="R1426" i="31"/>
  <c r="R1425" i="31"/>
  <c r="R1424" i="31"/>
  <c r="R1423" i="31"/>
  <c r="R1422" i="31"/>
  <c r="R1421" i="31"/>
  <c r="R1420" i="31"/>
  <c r="R1419" i="31"/>
  <c r="R1418" i="31"/>
  <c r="R1417" i="31"/>
  <c r="R1416" i="31"/>
  <c r="R1415" i="31"/>
  <c r="R1414" i="31"/>
  <c r="R1413" i="31"/>
  <c r="R1412" i="31"/>
  <c r="R1411" i="31"/>
  <c r="R1410" i="31"/>
  <c r="R1409" i="31"/>
  <c r="R1408" i="31"/>
  <c r="R1407" i="31"/>
  <c r="R1406" i="31"/>
  <c r="R1405" i="31"/>
  <c r="R1404" i="31"/>
  <c r="R1403" i="31"/>
  <c r="R1402" i="31"/>
  <c r="R1401" i="31"/>
  <c r="R1400" i="31"/>
  <c r="R1399" i="31"/>
  <c r="R1398" i="31"/>
  <c r="R1397" i="31"/>
  <c r="R1396" i="31"/>
  <c r="R1395" i="31"/>
  <c r="R1394" i="31"/>
  <c r="R1393" i="31"/>
  <c r="R1392" i="31"/>
  <c r="R1391" i="31"/>
  <c r="R1390" i="31"/>
  <c r="R1389" i="31"/>
  <c r="R1388" i="31"/>
  <c r="R1387" i="31"/>
  <c r="R1386" i="31"/>
  <c r="R1385" i="31"/>
  <c r="R1384" i="31"/>
  <c r="R1383" i="31"/>
  <c r="R1382" i="31"/>
  <c r="R1381" i="31"/>
  <c r="R1380" i="31"/>
  <c r="R1379" i="31"/>
  <c r="R1378" i="31"/>
  <c r="R1377" i="31"/>
  <c r="R1376" i="31"/>
  <c r="R1375" i="31"/>
  <c r="R1374" i="31"/>
  <c r="R1373" i="31"/>
  <c r="R1372" i="31"/>
  <c r="R1371" i="31"/>
  <c r="R1370" i="31"/>
  <c r="R1369" i="31"/>
  <c r="R1368" i="31"/>
  <c r="R1367" i="31"/>
  <c r="R1366" i="31"/>
  <c r="R1365" i="31"/>
  <c r="R1364" i="31"/>
  <c r="R1363" i="31"/>
  <c r="R1362" i="31"/>
  <c r="R1361" i="31"/>
  <c r="R1360" i="31"/>
  <c r="R1359" i="31"/>
  <c r="R1358" i="31"/>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J56" i="13"/>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BB80" i="13" l="1"/>
  <c r="BB79" i="13"/>
  <c r="BB78" i="13"/>
  <c r="BB77" i="13"/>
  <c r="BB76" i="13"/>
  <c r="BB75" i="13"/>
  <c r="BB74" i="13"/>
  <c r="BB73" i="13"/>
  <c r="BB72" i="13"/>
  <c r="BB71" i="13"/>
  <c r="BB70" i="13"/>
  <c r="BB69" i="13"/>
  <c r="BB68" i="13"/>
  <c r="BB67" i="13"/>
  <c r="BB66" i="13"/>
  <c r="BB65" i="13"/>
  <c r="BB64" i="13"/>
  <c r="BB63" i="13"/>
  <c r="BB62" i="13"/>
  <c r="BB61" i="13"/>
  <c r="BB60" i="13"/>
  <c r="BB59" i="13"/>
  <c r="BB58" i="13"/>
  <c r="BB57" i="13"/>
  <c r="BB56" i="13"/>
  <c r="BB55" i="13"/>
  <c r="BB54" i="13"/>
  <c r="BB53" i="13"/>
  <c r="BB52" i="13"/>
  <c r="BB50" i="13"/>
  <c r="BB49" i="13"/>
  <c r="BB48" i="13"/>
  <c r="BB47" i="13"/>
  <c r="BB46" i="13"/>
  <c r="BB45" i="13"/>
  <c r="BB44" i="13"/>
  <c r="BB43" i="13"/>
  <c r="BB42" i="13"/>
  <c r="BB41" i="13"/>
  <c r="BB40" i="13"/>
  <c r="BB39" i="13"/>
  <c r="BB38" i="13"/>
  <c r="BB37" i="13"/>
  <c r="BB36" i="13"/>
  <c r="BB35" i="13"/>
  <c r="BB34" i="13"/>
  <c r="BB33" i="13"/>
  <c r="BB32" i="13"/>
  <c r="BB31" i="13"/>
  <c r="BB30" i="13"/>
  <c r="BB29" i="13"/>
  <c r="BB28" i="13"/>
  <c r="BB27" i="13"/>
  <c r="BB26" i="13"/>
  <c r="BB25" i="13"/>
  <c r="BB24" i="13"/>
  <c r="BB23" i="13"/>
  <c r="BB22" i="13"/>
  <c r="BB21" i="13"/>
  <c r="BB20" i="13"/>
  <c r="BB19" i="13"/>
  <c r="BB18" i="13"/>
  <c r="BB17" i="13"/>
  <c r="BB16" i="13"/>
  <c r="BB15" i="13"/>
  <c r="BB14" i="13"/>
  <c r="BB13" i="13"/>
  <c r="BB12" i="13"/>
  <c r="BB11" i="13"/>
  <c r="BB10" i="13"/>
  <c r="BB9" i="13"/>
  <c r="BB8" i="13"/>
  <c r="BB7" i="13"/>
  <c r="J46" i="13"/>
  <c r="J45" i="13"/>
  <c r="J44" i="13"/>
  <c r="J43" i="13"/>
  <c r="J42" i="13"/>
  <c r="J41" i="13"/>
  <c r="J40" i="13"/>
  <c r="J39" i="13"/>
  <c r="J38" i="13"/>
  <c r="J37" i="13"/>
  <c r="AM39" i="14"/>
  <c r="AM40" i="14"/>
  <c r="AM41" i="14"/>
  <c r="AM42" i="14"/>
  <c r="AM43" i="14"/>
  <c r="AM44" i="14"/>
  <c r="AM45" i="14"/>
  <c r="AM46" i="14"/>
  <c r="AM47" i="14"/>
  <c r="AM48" i="14"/>
  <c r="AM49" i="14"/>
  <c r="AM50" i="14"/>
  <c r="AM51" i="14"/>
  <c r="AM52" i="14"/>
  <c r="AM53" i="14"/>
  <c r="AM54" i="14"/>
  <c r="AM55" i="14"/>
  <c r="AM56" i="14"/>
  <c r="AM57" i="14"/>
  <c r="AM58" i="14"/>
  <c r="AM59" i="14"/>
  <c r="AM60" i="14"/>
  <c r="AM61" i="14"/>
  <c r="AM62" i="14"/>
  <c r="AM63" i="14"/>
  <c r="AM64" i="14"/>
  <c r="AM65" i="14"/>
  <c r="AM66" i="14"/>
  <c r="AM67" i="14"/>
  <c r="AM38" i="14"/>
  <c r="J78" i="14"/>
  <c r="AX78" i="14"/>
  <c r="AX77" i="14"/>
  <c r="AX76" i="14"/>
  <c r="AX75" i="14"/>
  <c r="AX74" i="14"/>
  <c r="AX73" i="14"/>
  <c r="AX72" i="14"/>
  <c r="AX71" i="14"/>
  <c r="AX70" i="14"/>
  <c r="AX69" i="14"/>
  <c r="AX67" i="14"/>
  <c r="AX66" i="14"/>
  <c r="AX65" i="14"/>
  <c r="AX64" i="14"/>
  <c r="AX63" i="14"/>
  <c r="AX62" i="14"/>
  <c r="AX61" i="14"/>
  <c r="AX60" i="14"/>
  <c r="AX59" i="14"/>
  <c r="AX58" i="14"/>
  <c r="AX57" i="14"/>
  <c r="AX56" i="14"/>
  <c r="AX55" i="14"/>
  <c r="AX54" i="14"/>
  <c r="AX53" i="14"/>
  <c r="AX52" i="14"/>
  <c r="AX51" i="14"/>
  <c r="AX50" i="14"/>
  <c r="AX49" i="14"/>
  <c r="AX48" i="14"/>
  <c r="AX47" i="14"/>
  <c r="AX46" i="14"/>
  <c r="AX45" i="14"/>
  <c r="AX44" i="14"/>
  <c r="AX43" i="14"/>
  <c r="AX42" i="14"/>
  <c r="AX41" i="14"/>
  <c r="AX40" i="14"/>
  <c r="AX39" i="14"/>
  <c r="AX38" i="14"/>
  <c r="AX36" i="14"/>
  <c r="AX35" i="14"/>
  <c r="AX34" i="14"/>
  <c r="AX33" i="14"/>
  <c r="AX32" i="14"/>
  <c r="AX31" i="14"/>
  <c r="AX30" i="14"/>
  <c r="AX29" i="14"/>
  <c r="AX28" i="14"/>
  <c r="AX27" i="14"/>
  <c r="AX26" i="14"/>
  <c r="AX25" i="14"/>
  <c r="AX24" i="14"/>
  <c r="AX23" i="14"/>
  <c r="AX22" i="14"/>
  <c r="AX21" i="14"/>
  <c r="AX20" i="14"/>
  <c r="AX19" i="14"/>
  <c r="AX18" i="14"/>
  <c r="AX17" i="14"/>
  <c r="AX16" i="14"/>
  <c r="AX15" i="14"/>
  <c r="AX14" i="14"/>
  <c r="AX13" i="14"/>
  <c r="AX12" i="14"/>
  <c r="AX11" i="14"/>
  <c r="AX10" i="14"/>
  <c r="AX9" i="14"/>
  <c r="AX8" i="14"/>
  <c r="AX7" i="14"/>
  <c r="AU80" i="13"/>
  <c r="AU79" i="13"/>
  <c r="AU78" i="13"/>
  <c r="AU77" i="13"/>
  <c r="AU76" i="13"/>
  <c r="AU75" i="13"/>
  <c r="AU74" i="13"/>
  <c r="AU73" i="13"/>
  <c r="AU72" i="13"/>
  <c r="AU71" i="13"/>
  <c r="AU70" i="13"/>
  <c r="AU69" i="13"/>
  <c r="AU68" i="13"/>
  <c r="AU67" i="13"/>
  <c r="AU66" i="13"/>
  <c r="AU65" i="13"/>
  <c r="AU64" i="13"/>
  <c r="AU63" i="13"/>
  <c r="AU62" i="13"/>
  <c r="AU61" i="13"/>
  <c r="AU60" i="13"/>
  <c r="AU59" i="13"/>
  <c r="AU58" i="13"/>
  <c r="AU57" i="13"/>
  <c r="AU56" i="13"/>
  <c r="AU55" i="13"/>
  <c r="AU54" i="13"/>
  <c r="AU53" i="13"/>
  <c r="AU52" i="13"/>
  <c r="AU50" i="13"/>
  <c r="AU49" i="13"/>
  <c r="AU48" i="13"/>
  <c r="AU47" i="13"/>
  <c r="AU46" i="13"/>
  <c r="AU45" i="13"/>
  <c r="AU44" i="13"/>
  <c r="AU43" i="13"/>
  <c r="AU42" i="13"/>
  <c r="AU41" i="13"/>
  <c r="AU40" i="13"/>
  <c r="AU39" i="13"/>
  <c r="AU38" i="13"/>
  <c r="AU37" i="13"/>
  <c r="AU36" i="13"/>
  <c r="AU35" i="13"/>
  <c r="AU34" i="13"/>
  <c r="AU33" i="13"/>
  <c r="AU32" i="13"/>
  <c r="AU31" i="13"/>
  <c r="AU30" i="13"/>
  <c r="AU29" i="13"/>
  <c r="AU28" i="13"/>
  <c r="AU27" i="13"/>
  <c r="AU26" i="13"/>
  <c r="AU25" i="13"/>
  <c r="AU24" i="13"/>
  <c r="AU23" i="13"/>
  <c r="AU22" i="13"/>
  <c r="AU21" i="13"/>
  <c r="AU20" i="13"/>
  <c r="AU19" i="13"/>
  <c r="AU18" i="13"/>
  <c r="AU17" i="13"/>
  <c r="AU16" i="13"/>
  <c r="AU15" i="13"/>
  <c r="AU14" i="13"/>
  <c r="AU13" i="13"/>
  <c r="AU12" i="13"/>
  <c r="AU11" i="13"/>
  <c r="AU10" i="13"/>
  <c r="AU9" i="13"/>
  <c r="AU8" i="13"/>
  <c r="AU7" i="13"/>
  <c r="BJ7" i="14"/>
  <c r="BI7" i="14"/>
  <c r="BM78" i="14" l="1"/>
  <c r="BL78" i="14"/>
  <c r="BL77" i="14"/>
  <c r="BL76" i="14"/>
  <c r="BL75" i="14"/>
  <c r="BL74" i="14"/>
  <c r="BL73" i="14"/>
  <c r="BL72" i="14"/>
  <c r="BL71" i="14"/>
  <c r="BL70" i="14"/>
  <c r="BL69" i="14"/>
  <c r="BL67" i="14"/>
  <c r="BL66" i="14"/>
  <c r="BL65" i="14"/>
  <c r="BL64" i="14"/>
  <c r="BL63" i="14"/>
  <c r="BL62" i="14"/>
  <c r="BL61" i="14"/>
  <c r="BL60" i="14"/>
  <c r="BL59" i="14"/>
  <c r="BL58" i="14"/>
  <c r="BL57" i="14"/>
  <c r="BL56" i="14"/>
  <c r="BL55" i="14"/>
  <c r="BL54" i="14"/>
  <c r="BL53" i="14"/>
  <c r="BL52" i="14"/>
  <c r="BL51" i="14"/>
  <c r="BL50" i="14"/>
  <c r="BL49" i="14"/>
  <c r="BL48" i="14"/>
  <c r="BL47" i="14"/>
  <c r="BL46" i="14"/>
  <c r="BL45" i="14"/>
  <c r="BL44" i="14"/>
  <c r="BL43" i="14"/>
  <c r="BL42" i="14"/>
  <c r="BL41" i="14"/>
  <c r="BL40" i="14"/>
  <c r="BL39" i="14"/>
  <c r="BL38" i="14"/>
  <c r="BL36" i="14"/>
  <c r="BL35" i="14"/>
  <c r="BL34" i="14"/>
  <c r="BL33" i="14"/>
  <c r="BL32" i="14"/>
  <c r="BL31" i="14"/>
  <c r="BL30" i="14"/>
  <c r="BL29" i="14"/>
  <c r="BL28" i="14"/>
  <c r="BL27" i="14"/>
  <c r="BL26" i="14"/>
  <c r="BL25" i="14"/>
  <c r="BL24" i="14"/>
  <c r="BL23" i="14"/>
  <c r="BL22" i="14"/>
  <c r="BL21" i="14"/>
  <c r="BL20" i="14"/>
  <c r="BL19" i="14"/>
  <c r="BL18" i="14"/>
  <c r="BL17" i="14"/>
  <c r="BL16" i="14"/>
  <c r="BL15" i="14"/>
  <c r="BL14" i="14"/>
  <c r="BL13" i="14"/>
  <c r="BL12" i="14"/>
  <c r="BL11" i="14"/>
  <c r="BL10" i="14"/>
  <c r="BL9" i="14"/>
  <c r="BL8" i="14"/>
  <c r="BL7" i="14"/>
  <c r="BJ78" i="14"/>
  <c r="BI78" i="14"/>
  <c r="BJ77" i="14"/>
  <c r="BI77" i="14"/>
  <c r="BJ76" i="14"/>
  <c r="BI76" i="14"/>
  <c r="BJ75" i="14"/>
  <c r="BI75" i="14"/>
  <c r="BJ74" i="14"/>
  <c r="BI74" i="14"/>
  <c r="BJ73" i="14"/>
  <c r="BI73" i="14"/>
  <c r="BJ72" i="14"/>
  <c r="BI72" i="14"/>
  <c r="BJ71" i="14"/>
  <c r="BI71" i="14"/>
  <c r="BJ70" i="14"/>
  <c r="BI70" i="14"/>
  <c r="BJ69" i="14"/>
  <c r="BI69" i="14"/>
  <c r="BJ67" i="14"/>
  <c r="BI67" i="14"/>
  <c r="BJ66" i="14"/>
  <c r="BI66" i="14"/>
  <c r="BJ65" i="14"/>
  <c r="BI65" i="14"/>
  <c r="BJ64" i="14"/>
  <c r="BI64" i="14"/>
  <c r="BJ63" i="14"/>
  <c r="BI63" i="14"/>
  <c r="BJ62" i="14"/>
  <c r="BI62" i="14"/>
  <c r="BJ61" i="14"/>
  <c r="BI61" i="14"/>
  <c r="BJ60" i="14"/>
  <c r="BI60" i="14"/>
  <c r="BJ59" i="14"/>
  <c r="BI59" i="14"/>
  <c r="BJ58" i="14"/>
  <c r="BI58" i="14"/>
  <c r="BJ57" i="14"/>
  <c r="BI57" i="14"/>
  <c r="BJ56" i="14"/>
  <c r="BI56" i="14"/>
  <c r="BJ55" i="14"/>
  <c r="BI55" i="14"/>
  <c r="BJ54" i="14"/>
  <c r="BI54" i="14"/>
  <c r="BJ53" i="14"/>
  <c r="BI53" i="14"/>
  <c r="BJ52" i="14"/>
  <c r="BI52" i="14"/>
  <c r="BJ51" i="14"/>
  <c r="BI51" i="14"/>
  <c r="BJ50" i="14"/>
  <c r="BI50" i="14"/>
  <c r="BJ49" i="14"/>
  <c r="BI49" i="14"/>
  <c r="BJ48" i="14"/>
  <c r="BI48" i="14"/>
  <c r="BJ47" i="14"/>
  <c r="BI47" i="14"/>
  <c r="BJ46" i="14"/>
  <c r="BI46" i="14"/>
  <c r="BJ45" i="14"/>
  <c r="BI45" i="14"/>
  <c r="BJ44" i="14"/>
  <c r="BI44" i="14"/>
  <c r="BJ43" i="14"/>
  <c r="BI43" i="14"/>
  <c r="BJ42" i="14"/>
  <c r="BI42" i="14"/>
  <c r="BJ41" i="14"/>
  <c r="BI41" i="14"/>
  <c r="BJ40" i="14"/>
  <c r="BI40" i="14"/>
  <c r="BJ39" i="14"/>
  <c r="BI39" i="14"/>
  <c r="BJ38" i="14"/>
  <c r="BI38" i="14"/>
  <c r="BJ36" i="14"/>
  <c r="BI36" i="14"/>
  <c r="BJ35" i="14"/>
  <c r="BI35" i="14"/>
  <c r="BJ34" i="14"/>
  <c r="BI34" i="14"/>
  <c r="BJ33" i="14"/>
  <c r="BI33" i="14"/>
  <c r="BJ32" i="14"/>
  <c r="BI32" i="14"/>
  <c r="BJ31" i="14"/>
  <c r="BI31" i="14"/>
  <c r="BJ30" i="14"/>
  <c r="BI30" i="14"/>
  <c r="BJ29" i="14"/>
  <c r="BI29" i="14"/>
  <c r="BJ28" i="14"/>
  <c r="BI28" i="14"/>
  <c r="BJ27" i="14"/>
  <c r="BI27" i="14"/>
  <c r="BJ26" i="14"/>
  <c r="BI26" i="14"/>
  <c r="BJ25" i="14"/>
  <c r="BI25" i="14"/>
  <c r="BJ24" i="14"/>
  <c r="BI24" i="14"/>
  <c r="BJ23" i="14"/>
  <c r="BI23" i="14"/>
  <c r="BJ22" i="14"/>
  <c r="BI22" i="14"/>
  <c r="BJ21" i="14"/>
  <c r="BI21" i="14"/>
  <c r="BJ20" i="14"/>
  <c r="BI20" i="14"/>
  <c r="BJ19" i="14"/>
  <c r="BI19" i="14"/>
  <c r="BJ18" i="14"/>
  <c r="BI18" i="14"/>
  <c r="BJ17" i="14"/>
  <c r="BI17" i="14"/>
  <c r="BJ16" i="14"/>
  <c r="BI16" i="14"/>
  <c r="BJ15" i="14"/>
  <c r="BI15" i="14"/>
  <c r="BJ14" i="14"/>
  <c r="BI14" i="14"/>
  <c r="BJ13" i="14"/>
  <c r="BI13" i="14"/>
  <c r="BJ12" i="14"/>
  <c r="BI12" i="14"/>
  <c r="BJ11" i="14"/>
  <c r="BI11" i="14"/>
  <c r="BJ10" i="14"/>
  <c r="BI10" i="14"/>
  <c r="BJ9" i="14"/>
  <c r="BI9" i="14"/>
  <c r="BJ8" i="14"/>
  <c r="BI8" i="14"/>
  <c r="BP80" i="13" l="1"/>
  <c r="BP79" i="13"/>
  <c r="BP78" i="13"/>
  <c r="BP77" i="13"/>
  <c r="BP76" i="13"/>
  <c r="BP75" i="13"/>
  <c r="BP74" i="13"/>
  <c r="BP73" i="13"/>
  <c r="BP72" i="13"/>
  <c r="BP71" i="13"/>
  <c r="BP70" i="13"/>
  <c r="BP69" i="13"/>
  <c r="BP68" i="13"/>
  <c r="BP67" i="13"/>
  <c r="BP66" i="13"/>
  <c r="BP65" i="13"/>
  <c r="BP64" i="13"/>
  <c r="BP63" i="13"/>
  <c r="BP62" i="13"/>
  <c r="BP61" i="13"/>
  <c r="BP60" i="13"/>
  <c r="BP59" i="13"/>
  <c r="BP58" i="13"/>
  <c r="BP57" i="13"/>
  <c r="BP56" i="13"/>
  <c r="BP55" i="13"/>
  <c r="BP54" i="13"/>
  <c r="BP53" i="13"/>
  <c r="BP52" i="13"/>
  <c r="BP50" i="13"/>
  <c r="BP49" i="13"/>
  <c r="BP48" i="13"/>
  <c r="BP47" i="13"/>
  <c r="BP46" i="13"/>
  <c r="BP45" i="13"/>
  <c r="BP44" i="13"/>
  <c r="BP43" i="13"/>
  <c r="BP42" i="13"/>
  <c r="BP41" i="13"/>
  <c r="BP40" i="13"/>
  <c r="BP39" i="13"/>
  <c r="BP38" i="13"/>
  <c r="BP37" i="13"/>
  <c r="BP36" i="13"/>
  <c r="BP35" i="13"/>
  <c r="BP34" i="13"/>
  <c r="BP33" i="13"/>
  <c r="BP32" i="13"/>
  <c r="BP31" i="13"/>
  <c r="BP30" i="13"/>
  <c r="BP29" i="13"/>
  <c r="BP28" i="13"/>
  <c r="BP27" i="13"/>
  <c r="BP26" i="13"/>
  <c r="BP25" i="13"/>
  <c r="BP24" i="13"/>
  <c r="BP23" i="13"/>
  <c r="BP22" i="13"/>
  <c r="BP21" i="13"/>
  <c r="BP20" i="13"/>
  <c r="BP19" i="13"/>
  <c r="BP18" i="13"/>
  <c r="BP17" i="13"/>
  <c r="BP16" i="13"/>
  <c r="BP15" i="13"/>
  <c r="BP14" i="13"/>
  <c r="BP13" i="13"/>
  <c r="BP12" i="13"/>
  <c r="BP11" i="13"/>
  <c r="BP10" i="13"/>
  <c r="BP9" i="13"/>
  <c r="BP8" i="13"/>
  <c r="BP7" i="13"/>
  <c r="BM80" i="13"/>
  <c r="BM79" i="13"/>
  <c r="BM78" i="13"/>
  <c r="BM77" i="13"/>
  <c r="BM76" i="13"/>
  <c r="BM75" i="13"/>
  <c r="BM74" i="13"/>
  <c r="BM73" i="13"/>
  <c r="BM72" i="13"/>
  <c r="BM71" i="13"/>
  <c r="BM70" i="13"/>
  <c r="BM69" i="13"/>
  <c r="BM68" i="13"/>
  <c r="BM67" i="13"/>
  <c r="BM66" i="13"/>
  <c r="BM65" i="13"/>
  <c r="BM64" i="13"/>
  <c r="BM63" i="13"/>
  <c r="BM62" i="13"/>
  <c r="BM61" i="13"/>
  <c r="BM60" i="13"/>
  <c r="BM59" i="13"/>
  <c r="BM58" i="13"/>
  <c r="BM57" i="13"/>
  <c r="BM56" i="13"/>
  <c r="BM55" i="13"/>
  <c r="BM54" i="13"/>
  <c r="BM53" i="13"/>
  <c r="BM52" i="13"/>
  <c r="BM50" i="13"/>
  <c r="BM49" i="13"/>
  <c r="BM48" i="13"/>
  <c r="BM47" i="13"/>
  <c r="BM46" i="13"/>
  <c r="BM45" i="13"/>
  <c r="BM44" i="13"/>
  <c r="BM43" i="13"/>
  <c r="BM42" i="13"/>
  <c r="BM41" i="13"/>
  <c r="BM40" i="13"/>
  <c r="BM39" i="13"/>
  <c r="BM38" i="13"/>
  <c r="BM37" i="13"/>
  <c r="BM36" i="13"/>
  <c r="BM35" i="13"/>
  <c r="BM34" i="13"/>
  <c r="BM33" i="13"/>
  <c r="BM32" i="13"/>
  <c r="BM31" i="13"/>
  <c r="BM30" i="13"/>
  <c r="BM29" i="13"/>
  <c r="BM28" i="13"/>
  <c r="BM27" i="13"/>
  <c r="BM26" i="13"/>
  <c r="BM25" i="13"/>
  <c r="BM24" i="13"/>
  <c r="BM23" i="13"/>
  <c r="BM22" i="13"/>
  <c r="BM21" i="13"/>
  <c r="BM20" i="13"/>
  <c r="BM19" i="13"/>
  <c r="BM18" i="13"/>
  <c r="BM17" i="13"/>
  <c r="BM16" i="13"/>
  <c r="BM15" i="13"/>
  <c r="BM14" i="13"/>
  <c r="BM13" i="13"/>
  <c r="BM12" i="13"/>
  <c r="BM11" i="13"/>
  <c r="BM10" i="13"/>
  <c r="BM9" i="13"/>
  <c r="BM8" i="13"/>
  <c r="BM7" i="13"/>
  <c r="BL80" i="13"/>
  <c r="BL79" i="13"/>
  <c r="BL78" i="13"/>
  <c r="BL77" i="13"/>
  <c r="BL76" i="13"/>
  <c r="BL75" i="13"/>
  <c r="BL74" i="13"/>
  <c r="BL73" i="13"/>
  <c r="BL72" i="13"/>
  <c r="BL71" i="13"/>
  <c r="BL70" i="13"/>
  <c r="BL69" i="13"/>
  <c r="BL68" i="13"/>
  <c r="BL67" i="13"/>
  <c r="BL66" i="13"/>
  <c r="BL65" i="13"/>
  <c r="BL64" i="13"/>
  <c r="BL63" i="13"/>
  <c r="BL62" i="13"/>
  <c r="BL61" i="13"/>
  <c r="BL60" i="13"/>
  <c r="BL59" i="13"/>
  <c r="BL58" i="13"/>
  <c r="BL57" i="13"/>
  <c r="BL56" i="13"/>
  <c r="BL55" i="13"/>
  <c r="BL54" i="13"/>
  <c r="BL53" i="13"/>
  <c r="BL52" i="13"/>
  <c r="BL50" i="13"/>
  <c r="BL49" i="13"/>
  <c r="BL48" i="13"/>
  <c r="BL47" i="13"/>
  <c r="BL46" i="13"/>
  <c r="BL45" i="13"/>
  <c r="BL44" i="13"/>
  <c r="BL43" i="13"/>
  <c r="BL42" i="13"/>
  <c r="BL41" i="13"/>
  <c r="BL40" i="13"/>
  <c r="BL39" i="13"/>
  <c r="BL38" i="13"/>
  <c r="BL37" i="13"/>
  <c r="BL36" i="13"/>
  <c r="BL35" i="13"/>
  <c r="BL34" i="13"/>
  <c r="BL33" i="13"/>
  <c r="BL32" i="13"/>
  <c r="BL31" i="13"/>
  <c r="BL30" i="13"/>
  <c r="BL29" i="13"/>
  <c r="BL28" i="13"/>
  <c r="BL27" i="13"/>
  <c r="BL26" i="13"/>
  <c r="BL25" i="13"/>
  <c r="BL24" i="13"/>
  <c r="BL23" i="13"/>
  <c r="BL22" i="13"/>
  <c r="BL21" i="13"/>
  <c r="BL20" i="13"/>
  <c r="BL19" i="13"/>
  <c r="BL18" i="13"/>
  <c r="BL17" i="13"/>
  <c r="BL16" i="13"/>
  <c r="BL15" i="13"/>
  <c r="BL14" i="13"/>
  <c r="BL13" i="13"/>
  <c r="BL12" i="13"/>
  <c r="BL11" i="13"/>
  <c r="BL10" i="13"/>
  <c r="BL9" i="13"/>
  <c r="BL8" i="13"/>
  <c r="BL7" i="13"/>
  <c r="Q4" i="15" l="1"/>
  <c r="A35" i="17"/>
  <c r="J40" i="14" l="1"/>
  <c r="BM40" i="14" s="1"/>
  <c r="J41" i="14"/>
  <c r="BM41" i="14" s="1"/>
  <c r="J53" i="13"/>
  <c r="J54" i="13"/>
  <c r="J55" i="13" l="1"/>
  <c r="J57" i="13"/>
  <c r="J58" i="13"/>
  <c r="J59" i="13"/>
  <c r="J60" i="13"/>
  <c r="J61" i="13"/>
  <c r="J62" i="13"/>
  <c r="J63" i="13"/>
  <c r="J64" i="13"/>
  <c r="J65" i="13"/>
  <c r="J66" i="13"/>
  <c r="J67" i="13"/>
  <c r="J68" i="13"/>
  <c r="J69" i="13"/>
  <c r="J70" i="13"/>
  <c r="J71" i="13"/>
  <c r="J72" i="13"/>
  <c r="J73" i="13"/>
  <c r="J74" i="13"/>
  <c r="J75" i="13"/>
  <c r="J76" i="13"/>
  <c r="J77" i="13"/>
  <c r="J78" i="13"/>
  <c r="J79" i="13"/>
  <c r="J80" i="13"/>
  <c r="AB44" i="14" l="1"/>
  <c r="AB45" i="14"/>
  <c r="AB46" i="14"/>
  <c r="AB47" i="14"/>
  <c r="AB48" i="14"/>
  <c r="AB49" i="14"/>
  <c r="AB50" i="14"/>
  <c r="AB51" i="14"/>
  <c r="AB52" i="14"/>
  <c r="AB53" i="14"/>
  <c r="AB54" i="14"/>
  <c r="AB55" i="14"/>
  <c r="AB56" i="14"/>
  <c r="AB57" i="14"/>
  <c r="AB58" i="14"/>
  <c r="AB59" i="14"/>
  <c r="AB60" i="14"/>
  <c r="AB61" i="14"/>
  <c r="AB62" i="14"/>
  <c r="AB63" i="14"/>
  <c r="AB64" i="14"/>
  <c r="AB65" i="14"/>
  <c r="AB66" i="14"/>
  <c r="AB67" i="14"/>
  <c r="AB39" i="14"/>
  <c r="AB40" i="14"/>
  <c r="AB41" i="14"/>
  <c r="AB42" i="14"/>
  <c r="AB43" i="14"/>
  <c r="AB38" i="14"/>
  <c r="BF39" i="14"/>
  <c r="BF40" i="14"/>
  <c r="BF41" i="14"/>
  <c r="BF42" i="14"/>
  <c r="BF43" i="14"/>
  <c r="BF44" i="14"/>
  <c r="BF45" i="14"/>
  <c r="BF46" i="14"/>
  <c r="BF47" i="14"/>
  <c r="BF48" i="14"/>
  <c r="BF49" i="14"/>
  <c r="BF50" i="14"/>
  <c r="BF51" i="14"/>
  <c r="BF52" i="14"/>
  <c r="BF53" i="14"/>
  <c r="BF54" i="14"/>
  <c r="BF55" i="14"/>
  <c r="BF56" i="14"/>
  <c r="BF57" i="14"/>
  <c r="BF58" i="14"/>
  <c r="BF59" i="14"/>
  <c r="BF60" i="14"/>
  <c r="BF61" i="14"/>
  <c r="BF62" i="14"/>
  <c r="BF63" i="14"/>
  <c r="BF64" i="14"/>
  <c r="BF65" i="14"/>
  <c r="BF66" i="14"/>
  <c r="BF67" i="14"/>
  <c r="BF38" i="14"/>
  <c r="AB71" i="14"/>
  <c r="AB72" i="14"/>
  <c r="AB73" i="14"/>
  <c r="AB74" i="14"/>
  <c r="AB75" i="14"/>
  <c r="AB76" i="14"/>
  <c r="AB77" i="14"/>
  <c r="AB78" i="14"/>
  <c r="AB70" i="14"/>
  <c r="AB69" i="14"/>
  <c r="AB9" i="14"/>
  <c r="AB10" i="14"/>
  <c r="AB11" i="14"/>
  <c r="AB12" i="14"/>
  <c r="AB13" i="14"/>
  <c r="AB14" i="14"/>
  <c r="AB15" i="14"/>
  <c r="AB16" i="14"/>
  <c r="AB17" i="14"/>
  <c r="AB18" i="14"/>
  <c r="AB19" i="14"/>
  <c r="AB20" i="14"/>
  <c r="AB21" i="14"/>
  <c r="AB22" i="14"/>
  <c r="AB23" i="14"/>
  <c r="AB24" i="14"/>
  <c r="AB25" i="14"/>
  <c r="AB26" i="14"/>
  <c r="AB27" i="14"/>
  <c r="AB28" i="14"/>
  <c r="AB29" i="14"/>
  <c r="AB30" i="14"/>
  <c r="AB31" i="14"/>
  <c r="AB32" i="14"/>
  <c r="AB33" i="14"/>
  <c r="AB34" i="14"/>
  <c r="AB35" i="14"/>
  <c r="AB36" i="14"/>
  <c r="AB8" i="14"/>
  <c r="AB7" i="14"/>
  <c r="BF70" i="14"/>
  <c r="BF71" i="14"/>
  <c r="BF72" i="14"/>
  <c r="BF73" i="14"/>
  <c r="BF74" i="14"/>
  <c r="BF75" i="14"/>
  <c r="BF76" i="14"/>
  <c r="BF77" i="14"/>
  <c r="BF78" i="14"/>
  <c r="BF69" i="14"/>
  <c r="BF8" i="14"/>
  <c r="BF9" i="14"/>
  <c r="BF10" i="14"/>
  <c r="BF11" i="14"/>
  <c r="BF12" i="14"/>
  <c r="BF13" i="14"/>
  <c r="BF14" i="14"/>
  <c r="BF15" i="14"/>
  <c r="BF16" i="14"/>
  <c r="BF17" i="14"/>
  <c r="BF18" i="14"/>
  <c r="BF19" i="14"/>
  <c r="BF20" i="14"/>
  <c r="BF21" i="14"/>
  <c r="BF22" i="14"/>
  <c r="BF23" i="14"/>
  <c r="BF24" i="14"/>
  <c r="BF25" i="14"/>
  <c r="BF26" i="14"/>
  <c r="BF27" i="14"/>
  <c r="BF28" i="14"/>
  <c r="BF29" i="14"/>
  <c r="BF30" i="14"/>
  <c r="BF31" i="14"/>
  <c r="BF32" i="14"/>
  <c r="BF33" i="14"/>
  <c r="BF34" i="14"/>
  <c r="BF35" i="14"/>
  <c r="BF36" i="14"/>
  <c r="BF7" i="14"/>
  <c r="AE54" i="13"/>
  <c r="AE55" i="13"/>
  <c r="AE56" i="13"/>
  <c r="AE57" i="13"/>
  <c r="AE58" i="13"/>
  <c r="AE59" i="13"/>
  <c r="AE60" i="13"/>
  <c r="AE61" i="13"/>
  <c r="AE62" i="13"/>
  <c r="AE63" i="13"/>
  <c r="AE64" i="13"/>
  <c r="AE65" i="13"/>
  <c r="AE66" i="13"/>
  <c r="AE67" i="13"/>
  <c r="AE68" i="13"/>
  <c r="AE69" i="13"/>
  <c r="AE70" i="13"/>
  <c r="AE71" i="13"/>
  <c r="AE72" i="13"/>
  <c r="AE73" i="13"/>
  <c r="AE74" i="13"/>
  <c r="AE75" i="13"/>
  <c r="AE76" i="13"/>
  <c r="AE77" i="13"/>
  <c r="AE78" i="13"/>
  <c r="AE79" i="13"/>
  <c r="AE80" i="13"/>
  <c r="AE53" i="13"/>
  <c r="AE52" i="13"/>
  <c r="AE31" i="13"/>
  <c r="AE32" i="13"/>
  <c r="AE33" i="13"/>
  <c r="AE34" i="13"/>
  <c r="AE35" i="13"/>
  <c r="AE36" i="13"/>
  <c r="AE37" i="13"/>
  <c r="AE38" i="13"/>
  <c r="AE39" i="13"/>
  <c r="AE40" i="13"/>
  <c r="AE41" i="13"/>
  <c r="AE42" i="13"/>
  <c r="AE43" i="13"/>
  <c r="AE44" i="13"/>
  <c r="AE45" i="13"/>
  <c r="AE46" i="13"/>
  <c r="AE47" i="13"/>
  <c r="AE48" i="13"/>
  <c r="AE49" i="13"/>
  <c r="AE50" i="13"/>
  <c r="AE9" i="13"/>
  <c r="AE10" i="13"/>
  <c r="AE11" i="13"/>
  <c r="AE12" i="13"/>
  <c r="AE13" i="13"/>
  <c r="AE14" i="13"/>
  <c r="AE15" i="13"/>
  <c r="AE16" i="13"/>
  <c r="AE17" i="13"/>
  <c r="AE18" i="13"/>
  <c r="AE19" i="13"/>
  <c r="AE20" i="13"/>
  <c r="AE21" i="13"/>
  <c r="AE22" i="13"/>
  <c r="AE23" i="13"/>
  <c r="AE24" i="13"/>
  <c r="AE25" i="13"/>
  <c r="AE26" i="13"/>
  <c r="AE27" i="13"/>
  <c r="AE28" i="13"/>
  <c r="AE29" i="13"/>
  <c r="AE30" i="13"/>
  <c r="AE8" i="13"/>
  <c r="AE7" i="13" l="1"/>
  <c r="BI53" i="13"/>
  <c r="BI54" i="13"/>
  <c r="BI55" i="13"/>
  <c r="BI56" i="13"/>
  <c r="BI57" i="13"/>
  <c r="BI58" i="13"/>
  <c r="BI59" i="13"/>
  <c r="BI60" i="13"/>
  <c r="BI61" i="13"/>
  <c r="BI62" i="13"/>
  <c r="BI63" i="13"/>
  <c r="BI64" i="13"/>
  <c r="BI65" i="13"/>
  <c r="BI66" i="13"/>
  <c r="BI67" i="13"/>
  <c r="BI68" i="13"/>
  <c r="BI69" i="13"/>
  <c r="BI70" i="13"/>
  <c r="BI71" i="13"/>
  <c r="BI72" i="13"/>
  <c r="BI73" i="13"/>
  <c r="BI74" i="13"/>
  <c r="BI75" i="13"/>
  <c r="BI76" i="13"/>
  <c r="BI77" i="13"/>
  <c r="BI78" i="13"/>
  <c r="BI79" i="13"/>
  <c r="BI80" i="13"/>
  <c r="BI52" i="13"/>
  <c r="BI8" i="13"/>
  <c r="BI9" i="13"/>
  <c r="BI10" i="13"/>
  <c r="BI11" i="13"/>
  <c r="BI12" i="13"/>
  <c r="BI13" i="13"/>
  <c r="BI14" i="13"/>
  <c r="BI15" i="13"/>
  <c r="BI16" i="13"/>
  <c r="BI17" i="13"/>
  <c r="BI18" i="13"/>
  <c r="BI19" i="13"/>
  <c r="BI20" i="13"/>
  <c r="BI21" i="13"/>
  <c r="BI22" i="13"/>
  <c r="BI23" i="13"/>
  <c r="BI24" i="13"/>
  <c r="BI25" i="13"/>
  <c r="BI26" i="13"/>
  <c r="BI27" i="13"/>
  <c r="BI28" i="13"/>
  <c r="BI29" i="13"/>
  <c r="BI30" i="13"/>
  <c r="BI31" i="13"/>
  <c r="BI32" i="13"/>
  <c r="BI33" i="13"/>
  <c r="BI34" i="13"/>
  <c r="BI35" i="13"/>
  <c r="BI36" i="13"/>
  <c r="BI37" i="13"/>
  <c r="BI38" i="13"/>
  <c r="BI39" i="13"/>
  <c r="BI40" i="13"/>
  <c r="BI41" i="13"/>
  <c r="BI42" i="13"/>
  <c r="BI43" i="13"/>
  <c r="BI44" i="13"/>
  <c r="BI45" i="13"/>
  <c r="BI46" i="13"/>
  <c r="BI47" i="13"/>
  <c r="BI48" i="13"/>
  <c r="BI49" i="13"/>
  <c r="BI50" i="13"/>
  <c r="BI7" i="13"/>
  <c r="U46" i="10"/>
  <c r="U47" i="10"/>
  <c r="U48" i="10"/>
  <c r="U49" i="10"/>
  <c r="U50" i="10"/>
  <c r="U51" i="10"/>
  <c r="U52" i="10"/>
  <c r="U53" i="10"/>
  <c r="U54" i="10"/>
  <c r="U55" i="10"/>
  <c r="U56" i="10"/>
  <c r="U57" i="10"/>
  <c r="U58" i="10"/>
  <c r="U45" i="10"/>
  <c r="U44"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8" i="10"/>
  <c r="U7" i="10"/>
  <c r="AR45" i="10"/>
  <c r="AR46" i="10"/>
  <c r="AR47" i="10"/>
  <c r="AR48" i="10"/>
  <c r="AR49" i="10"/>
  <c r="AR50" i="10"/>
  <c r="AR51" i="10"/>
  <c r="AR52" i="10"/>
  <c r="AR53" i="10"/>
  <c r="AR54" i="10"/>
  <c r="AR55" i="10"/>
  <c r="AR56" i="10"/>
  <c r="AR57" i="10"/>
  <c r="AR58" i="10"/>
  <c r="AR44" i="10"/>
  <c r="AR8" i="10"/>
  <c r="AR9" i="10"/>
  <c r="AR10" i="10"/>
  <c r="AR11" i="10"/>
  <c r="AR12" i="10"/>
  <c r="AR13" i="10"/>
  <c r="AR14" i="10"/>
  <c r="AR15" i="10"/>
  <c r="AR16" i="10"/>
  <c r="AR17" i="10"/>
  <c r="AR18" i="10"/>
  <c r="AR19" i="10"/>
  <c r="AR20" i="10"/>
  <c r="AR21" i="10"/>
  <c r="AR22" i="10"/>
  <c r="AR23" i="10"/>
  <c r="AR24" i="10"/>
  <c r="AR25" i="10"/>
  <c r="AR26" i="10"/>
  <c r="AR27" i="10"/>
  <c r="AR28" i="10"/>
  <c r="AR29" i="10"/>
  <c r="AR30" i="10"/>
  <c r="AR31" i="10"/>
  <c r="AR32" i="10"/>
  <c r="AR33" i="10"/>
  <c r="AR34" i="10"/>
  <c r="AR35" i="10"/>
  <c r="AR36" i="10"/>
  <c r="AR37" i="10"/>
  <c r="AR38" i="10"/>
  <c r="AR39" i="10"/>
  <c r="AR40" i="10"/>
  <c r="AR41" i="10"/>
  <c r="AR42" i="10"/>
  <c r="AR7" i="10"/>
  <c r="G6" i="17" l="1"/>
  <c r="H6" i="17"/>
  <c r="I6" i="17"/>
  <c r="J6" i="17"/>
  <c r="K6" i="17"/>
  <c r="L6" i="17"/>
  <c r="M6" i="17"/>
  <c r="N6" i="17"/>
  <c r="O6" i="17"/>
  <c r="P6" i="17"/>
  <c r="Q6" i="17"/>
  <c r="F6" i="17"/>
  <c r="D6" i="17"/>
  <c r="S320" i="17"/>
  <c r="R320" i="17"/>
  <c r="S319" i="17"/>
  <c r="R319" i="17"/>
  <c r="S318" i="17"/>
  <c r="R318" i="17"/>
  <c r="S317" i="17"/>
  <c r="R317" i="17"/>
  <c r="S316" i="17"/>
  <c r="R316" i="17"/>
  <c r="S315" i="17"/>
  <c r="R315" i="17"/>
  <c r="S314" i="17"/>
  <c r="R314" i="17"/>
  <c r="S313" i="17"/>
  <c r="R313" i="17"/>
  <c r="S312" i="17"/>
  <c r="R312" i="17"/>
  <c r="S311" i="17"/>
  <c r="R311" i="17"/>
  <c r="S310" i="17"/>
  <c r="R310" i="17"/>
  <c r="S309" i="17"/>
  <c r="R309" i="17"/>
  <c r="S308" i="17"/>
  <c r="R308" i="17"/>
  <c r="S307" i="17"/>
  <c r="R307" i="17"/>
  <c r="S306" i="17"/>
  <c r="R306" i="17"/>
  <c r="S305" i="17"/>
  <c r="R305" i="17"/>
  <c r="S304" i="17"/>
  <c r="R304" i="17"/>
  <c r="S303" i="17"/>
  <c r="R303" i="17"/>
  <c r="S302" i="17"/>
  <c r="R302" i="17"/>
  <c r="S301" i="17"/>
  <c r="R301" i="17"/>
  <c r="S300" i="17"/>
  <c r="R300" i="17"/>
  <c r="S299" i="17"/>
  <c r="R299" i="17"/>
  <c r="S298" i="17"/>
  <c r="R298" i="17"/>
  <c r="S297" i="17"/>
  <c r="R297" i="17"/>
  <c r="S296" i="17"/>
  <c r="R296" i="17"/>
  <c r="S295" i="17"/>
  <c r="R295" i="17"/>
  <c r="S294" i="17"/>
  <c r="R294" i="17"/>
  <c r="S293" i="17"/>
  <c r="R293" i="17"/>
  <c r="S292" i="17"/>
  <c r="R292" i="17"/>
  <c r="S291" i="17"/>
  <c r="R291" i="17"/>
  <c r="S290" i="17"/>
  <c r="R290" i="17"/>
  <c r="S289" i="17"/>
  <c r="R289" i="17"/>
  <c r="S288" i="17"/>
  <c r="R288" i="17"/>
  <c r="S287" i="17"/>
  <c r="R287" i="17"/>
  <c r="S286" i="17"/>
  <c r="R286" i="17"/>
  <c r="R282" i="17"/>
  <c r="R281" i="17"/>
  <c r="S280" i="17"/>
  <c r="R280" i="17"/>
  <c r="S279" i="17"/>
  <c r="R279" i="17"/>
  <c r="S278" i="17"/>
  <c r="R278" i="17"/>
  <c r="S277" i="17"/>
  <c r="R277" i="17"/>
  <c r="S276" i="17"/>
  <c r="R276" i="17"/>
  <c r="S275" i="17"/>
  <c r="R275" i="17"/>
  <c r="S274" i="17"/>
  <c r="R274" i="17"/>
  <c r="S273" i="17"/>
  <c r="R273" i="17"/>
  <c r="S272" i="17"/>
  <c r="R272" i="17"/>
  <c r="S271" i="17"/>
  <c r="R271" i="17"/>
  <c r="S270" i="17"/>
  <c r="R270" i="17"/>
  <c r="S269" i="17"/>
  <c r="R269" i="17"/>
  <c r="S268" i="17"/>
  <c r="R268" i="17"/>
  <c r="S267" i="17"/>
  <c r="R267" i="17"/>
  <c r="S266" i="17"/>
  <c r="R266" i="17"/>
  <c r="S265" i="17"/>
  <c r="R265" i="17"/>
  <c r="S264" i="17"/>
  <c r="R264" i="17"/>
  <c r="S263" i="17"/>
  <c r="R263" i="17"/>
  <c r="S262" i="17"/>
  <c r="R262" i="17"/>
  <c r="S261" i="17"/>
  <c r="R261" i="17"/>
  <c r="S260" i="17"/>
  <c r="R260" i="17"/>
  <c r="S259" i="17"/>
  <c r="R259" i="17"/>
  <c r="S258" i="17"/>
  <c r="R258" i="17"/>
  <c r="S257" i="17"/>
  <c r="R257" i="17"/>
  <c r="S256" i="17"/>
  <c r="R256" i="17"/>
  <c r="S255" i="17"/>
  <c r="R255" i="17"/>
  <c r="S254" i="17"/>
  <c r="R254" i="17"/>
  <c r="S253" i="17"/>
  <c r="R253" i="17"/>
  <c r="S252" i="17"/>
  <c r="R252" i="17"/>
  <c r="S251" i="17"/>
  <c r="R251" i="17"/>
  <c r="S250" i="17"/>
  <c r="R250" i="17"/>
  <c r="S249" i="17"/>
  <c r="R249" i="17"/>
  <c r="S248" i="17"/>
  <c r="R248" i="17"/>
  <c r="S247" i="17"/>
  <c r="R247" i="17"/>
  <c r="S246" i="17"/>
  <c r="R246" i="17"/>
  <c r="R242" i="17"/>
  <c r="R241" i="17"/>
  <c r="S240" i="17"/>
  <c r="R240" i="17"/>
  <c r="S239" i="17"/>
  <c r="R239" i="17"/>
  <c r="S238" i="17"/>
  <c r="R238" i="17"/>
  <c r="S237" i="17"/>
  <c r="R237" i="17"/>
  <c r="S236" i="17"/>
  <c r="R236" i="17"/>
  <c r="S235" i="17"/>
  <c r="R235" i="17"/>
  <c r="S234" i="17"/>
  <c r="R234" i="17"/>
  <c r="S233" i="17"/>
  <c r="R233" i="17"/>
  <c r="S232" i="17"/>
  <c r="R232" i="17"/>
  <c r="S231" i="17"/>
  <c r="R231" i="17"/>
  <c r="S230" i="17"/>
  <c r="R230" i="17"/>
  <c r="S229" i="17"/>
  <c r="R229" i="17"/>
  <c r="S228" i="17"/>
  <c r="R228" i="17"/>
  <c r="S227" i="17"/>
  <c r="R227" i="17"/>
  <c r="S226" i="17"/>
  <c r="R226" i="17"/>
  <c r="S225" i="17"/>
  <c r="R225" i="17"/>
  <c r="S224" i="17"/>
  <c r="R224" i="17"/>
  <c r="S223" i="17"/>
  <c r="R223" i="17"/>
  <c r="S222" i="17"/>
  <c r="R222" i="17"/>
  <c r="S221" i="17"/>
  <c r="R221" i="17"/>
  <c r="S220" i="17"/>
  <c r="R220" i="17"/>
  <c r="S219" i="17"/>
  <c r="R219" i="17"/>
  <c r="S218" i="17"/>
  <c r="R218" i="17"/>
  <c r="S217" i="17"/>
  <c r="R217" i="17"/>
  <c r="S216" i="17"/>
  <c r="R216" i="17"/>
  <c r="S215" i="17"/>
  <c r="R215" i="17"/>
  <c r="S214" i="17"/>
  <c r="R214" i="17"/>
  <c r="S213" i="17"/>
  <c r="R213" i="17"/>
  <c r="S212" i="17"/>
  <c r="R212" i="17"/>
  <c r="S211" i="17"/>
  <c r="R211" i="17"/>
  <c r="S210" i="17"/>
  <c r="R210" i="17"/>
  <c r="S209" i="17"/>
  <c r="R209" i="17"/>
  <c r="S208" i="17"/>
  <c r="R208" i="17"/>
  <c r="S207" i="17"/>
  <c r="R207" i="17"/>
  <c r="S206" i="17"/>
  <c r="R206" i="17"/>
  <c r="R202" i="17"/>
  <c r="R201" i="17"/>
  <c r="S200" i="17"/>
  <c r="R200" i="17"/>
  <c r="S199" i="17"/>
  <c r="R199" i="17"/>
  <c r="S198" i="17"/>
  <c r="R198" i="17"/>
  <c r="S197" i="17"/>
  <c r="R197" i="17"/>
  <c r="S196" i="17"/>
  <c r="R196" i="17"/>
  <c r="S195" i="17"/>
  <c r="R195" i="17"/>
  <c r="S194" i="17"/>
  <c r="R194" i="17"/>
  <c r="S193" i="17"/>
  <c r="R193" i="17"/>
  <c r="S192" i="17"/>
  <c r="R192" i="17"/>
  <c r="S191" i="17"/>
  <c r="R191" i="17"/>
  <c r="S190" i="17"/>
  <c r="R190" i="17"/>
  <c r="S189" i="17"/>
  <c r="R189" i="17"/>
  <c r="S188" i="17"/>
  <c r="R188" i="17"/>
  <c r="S187" i="17"/>
  <c r="R187" i="17"/>
  <c r="S186" i="17"/>
  <c r="R186" i="17"/>
  <c r="S185" i="17"/>
  <c r="R185" i="17"/>
  <c r="S184" i="17"/>
  <c r="R184" i="17"/>
  <c r="S183" i="17"/>
  <c r="R183" i="17"/>
  <c r="S182" i="17"/>
  <c r="R182" i="17"/>
  <c r="S181" i="17"/>
  <c r="R181" i="17"/>
  <c r="S180" i="17"/>
  <c r="R180" i="17"/>
  <c r="S179" i="17"/>
  <c r="R179" i="17"/>
  <c r="S178" i="17"/>
  <c r="R178" i="17"/>
  <c r="S177" i="17"/>
  <c r="R177" i="17"/>
  <c r="S176" i="17"/>
  <c r="R176" i="17"/>
  <c r="S175" i="17"/>
  <c r="R175" i="17"/>
  <c r="S174" i="17"/>
  <c r="R174" i="17"/>
  <c r="S173" i="17"/>
  <c r="R173" i="17"/>
  <c r="S172" i="17"/>
  <c r="R172" i="17"/>
  <c r="S171" i="17"/>
  <c r="R171" i="17"/>
  <c r="S170" i="17"/>
  <c r="R170" i="17"/>
  <c r="S169" i="17"/>
  <c r="R169" i="17"/>
  <c r="S168" i="17"/>
  <c r="R168" i="17"/>
  <c r="S167" i="17"/>
  <c r="R167" i="17"/>
  <c r="S166" i="17"/>
  <c r="R166" i="17"/>
  <c r="R162" i="17"/>
  <c r="R161" i="17"/>
  <c r="S160" i="17"/>
  <c r="R160" i="17"/>
  <c r="S159" i="17"/>
  <c r="R159" i="17"/>
  <c r="S158" i="17"/>
  <c r="R158" i="17"/>
  <c r="S157" i="17"/>
  <c r="R157" i="17"/>
  <c r="S156" i="17"/>
  <c r="R156" i="17"/>
  <c r="S155" i="17"/>
  <c r="R155" i="17"/>
  <c r="S154" i="17"/>
  <c r="R154" i="17"/>
  <c r="S153" i="17"/>
  <c r="R153" i="17"/>
  <c r="S152" i="17"/>
  <c r="R152" i="17"/>
  <c r="S151" i="17"/>
  <c r="R151" i="17"/>
  <c r="S150" i="17"/>
  <c r="R150" i="17"/>
  <c r="S149" i="17"/>
  <c r="R149" i="17"/>
  <c r="S148" i="17"/>
  <c r="R148" i="17"/>
  <c r="S147" i="17"/>
  <c r="R147" i="17"/>
  <c r="S146" i="17"/>
  <c r="R146" i="17"/>
  <c r="S145" i="17"/>
  <c r="R145" i="17"/>
  <c r="S144" i="17"/>
  <c r="R144" i="17"/>
  <c r="S143" i="17"/>
  <c r="R143" i="17"/>
  <c r="S142" i="17"/>
  <c r="R142" i="17"/>
  <c r="S141" i="17"/>
  <c r="R141" i="17"/>
  <c r="S140" i="17"/>
  <c r="R140" i="17"/>
  <c r="S139" i="17"/>
  <c r="R139" i="17"/>
  <c r="S138" i="17"/>
  <c r="R138" i="17"/>
  <c r="S137" i="17"/>
  <c r="R137" i="17"/>
  <c r="S136" i="17"/>
  <c r="R136" i="17"/>
  <c r="S135" i="17"/>
  <c r="R135" i="17"/>
  <c r="S134" i="17"/>
  <c r="R134" i="17"/>
  <c r="S133" i="17"/>
  <c r="R133" i="17"/>
  <c r="S132" i="17"/>
  <c r="R132" i="17"/>
  <c r="S131" i="17"/>
  <c r="R131" i="17"/>
  <c r="S130" i="17"/>
  <c r="R130" i="17"/>
  <c r="S129" i="17"/>
  <c r="R129" i="17"/>
  <c r="S128" i="17"/>
  <c r="R128" i="17"/>
  <c r="S127" i="17"/>
  <c r="R127" i="17"/>
  <c r="R122" i="17"/>
  <c r="R121" i="17"/>
  <c r="S120" i="17"/>
  <c r="R120" i="17"/>
  <c r="S119" i="17"/>
  <c r="R119" i="17"/>
  <c r="S118" i="17"/>
  <c r="R118" i="17"/>
  <c r="S117" i="17"/>
  <c r="R117" i="17"/>
  <c r="S116" i="17"/>
  <c r="R116" i="17"/>
  <c r="S115" i="17"/>
  <c r="R115" i="17"/>
  <c r="S114" i="17"/>
  <c r="R114" i="17"/>
  <c r="S113" i="17"/>
  <c r="R113" i="17"/>
  <c r="S112" i="17"/>
  <c r="R112" i="17"/>
  <c r="S111" i="17"/>
  <c r="R111" i="17"/>
  <c r="S110" i="17"/>
  <c r="R110" i="17"/>
  <c r="S109" i="17"/>
  <c r="R109" i="17"/>
  <c r="S108" i="17"/>
  <c r="R108" i="17"/>
  <c r="S107" i="17"/>
  <c r="R107" i="17"/>
  <c r="S106" i="17"/>
  <c r="R106" i="17"/>
  <c r="S105" i="17"/>
  <c r="R105" i="17"/>
  <c r="S104" i="17"/>
  <c r="R104" i="17"/>
  <c r="S103" i="17"/>
  <c r="R103" i="17"/>
  <c r="S102" i="17"/>
  <c r="R102" i="17"/>
  <c r="S101" i="17"/>
  <c r="R101" i="17"/>
  <c r="S100" i="17"/>
  <c r="R100" i="17"/>
  <c r="S99" i="17"/>
  <c r="R99" i="17"/>
  <c r="S98" i="17"/>
  <c r="R98" i="17"/>
  <c r="S97" i="17"/>
  <c r="R97" i="17"/>
  <c r="S96" i="17"/>
  <c r="R96" i="17"/>
  <c r="S95" i="17"/>
  <c r="R95" i="17"/>
  <c r="S94" i="17"/>
  <c r="R94" i="17"/>
  <c r="S93" i="17"/>
  <c r="R93" i="17"/>
  <c r="S92" i="17"/>
  <c r="R92" i="17"/>
  <c r="S91" i="17"/>
  <c r="R91" i="17"/>
  <c r="S90" i="17"/>
  <c r="R90" i="17"/>
  <c r="S89" i="17"/>
  <c r="R89" i="17"/>
  <c r="S88" i="17"/>
  <c r="R88" i="17"/>
  <c r="S87" i="17"/>
  <c r="R87" i="17"/>
  <c r="R82" i="17"/>
  <c r="R81" i="17"/>
  <c r="BF41" i="13" l="1"/>
  <c r="BH41" i="13"/>
  <c r="BF42" i="13"/>
  <c r="BH42" i="13"/>
  <c r="BF43" i="13"/>
  <c r="BH43" i="13"/>
  <c r="BF44" i="13"/>
  <c r="BH44" i="13"/>
  <c r="BF45" i="13"/>
  <c r="BH45" i="13"/>
  <c r="BF46" i="13"/>
  <c r="BH46" i="13"/>
  <c r="AV41" i="13"/>
  <c r="BA41" i="13"/>
  <c r="BK41" i="13" s="1"/>
  <c r="AV42" i="13"/>
  <c r="BA42" i="13"/>
  <c r="BK42" i="13" s="1"/>
  <c r="AV43" i="13"/>
  <c r="BA43" i="13"/>
  <c r="BK43" i="13" s="1"/>
  <c r="AV44" i="13"/>
  <c r="BA44" i="13"/>
  <c r="BK44" i="13" s="1"/>
  <c r="AV45" i="13"/>
  <c r="BA45" i="13"/>
  <c r="BK45" i="13" s="1"/>
  <c r="AV46" i="13"/>
  <c r="BA46" i="13"/>
  <c r="BK46" i="13" s="1"/>
  <c r="AK41" i="13"/>
  <c r="AL41" i="13"/>
  <c r="AK42" i="13"/>
  <c r="AL42" i="13"/>
  <c r="AK43" i="13"/>
  <c r="AL43" i="13"/>
  <c r="AK44" i="13"/>
  <c r="AL44" i="13"/>
  <c r="AK45" i="13"/>
  <c r="AL45" i="13"/>
  <c r="AK46" i="13"/>
  <c r="AL46" i="13"/>
  <c r="AQ46" i="13"/>
  <c r="AG41" i="13"/>
  <c r="AG42" i="13"/>
  <c r="AG43" i="13"/>
  <c r="AG44" i="13"/>
  <c r="AG45" i="13"/>
  <c r="AG46" i="13"/>
  <c r="BF72" i="13"/>
  <c r="BH72" i="13"/>
  <c r="BF73" i="13"/>
  <c r="BH73" i="13"/>
  <c r="BF74" i="13"/>
  <c r="BH74" i="13"/>
  <c r="BF75" i="13"/>
  <c r="BH75" i="13"/>
  <c r="BF76" i="13"/>
  <c r="BH76" i="13"/>
  <c r="AV72" i="13"/>
  <c r="BA72" i="13"/>
  <c r="BK72" i="13" s="1"/>
  <c r="AV73" i="13"/>
  <c r="BA73" i="13"/>
  <c r="BK73" i="13" s="1"/>
  <c r="AV74" i="13"/>
  <c r="BA74" i="13"/>
  <c r="BK74" i="13" s="1"/>
  <c r="AV75" i="13"/>
  <c r="BA75" i="13"/>
  <c r="BK75" i="13" s="1"/>
  <c r="AV76" i="13"/>
  <c r="BA76" i="13"/>
  <c r="BK76" i="13" s="1"/>
  <c r="AK72" i="13"/>
  <c r="AL72" i="13"/>
  <c r="AK73" i="13"/>
  <c r="AL73" i="13"/>
  <c r="AK74" i="13"/>
  <c r="AL74" i="13"/>
  <c r="AQ74" i="13"/>
  <c r="AK75" i="13"/>
  <c r="AL75" i="13"/>
  <c r="AK76" i="13"/>
  <c r="AL76" i="13"/>
  <c r="AG72" i="13"/>
  <c r="AG73" i="13"/>
  <c r="AG74" i="13"/>
  <c r="AG75" i="13"/>
  <c r="AG76" i="13"/>
  <c r="BF37" i="13"/>
  <c r="BH37" i="13"/>
  <c r="BF38" i="13"/>
  <c r="BH38" i="13"/>
  <c r="BF39" i="13"/>
  <c r="BH39" i="13"/>
  <c r="BF40" i="13"/>
  <c r="BH40" i="13"/>
  <c r="AV37" i="13"/>
  <c r="BA37" i="13"/>
  <c r="BK37" i="13" s="1"/>
  <c r="AV38" i="13"/>
  <c r="BA38" i="13"/>
  <c r="BK38" i="13" s="1"/>
  <c r="AV39" i="13"/>
  <c r="BA39" i="13"/>
  <c r="BK39" i="13" s="1"/>
  <c r="AV40" i="13"/>
  <c r="BA40" i="13"/>
  <c r="BK40" i="13" s="1"/>
  <c r="AK37" i="13"/>
  <c r="AL37" i="13"/>
  <c r="AK38" i="13"/>
  <c r="AL38" i="13"/>
  <c r="AK39" i="13"/>
  <c r="AL39" i="13"/>
  <c r="AK40" i="13"/>
  <c r="AL40" i="13"/>
  <c r="AG37" i="13"/>
  <c r="AG38" i="13"/>
  <c r="AG39" i="13"/>
  <c r="AG40" i="13"/>
  <c r="AG47" i="13"/>
  <c r="AK57" i="10"/>
  <c r="AM57" i="10"/>
  <c r="AO57" i="10"/>
  <c r="AQ57" i="10"/>
  <c r="AC57" i="10"/>
  <c r="AD57" i="10"/>
  <c r="AE57" i="10"/>
  <c r="AI57" i="10"/>
  <c r="AJ57" i="10" s="1"/>
  <c r="W57" i="10"/>
  <c r="X57" i="10"/>
  <c r="Z57" i="10"/>
  <c r="AK42" i="10"/>
  <c r="AM42" i="10"/>
  <c r="AO42" i="10"/>
  <c r="AQ42" i="10"/>
  <c r="AC42" i="10"/>
  <c r="AD42" i="10"/>
  <c r="AE42" i="10"/>
  <c r="AI42" i="10"/>
  <c r="AJ42" i="10" s="1"/>
  <c r="W42" i="10"/>
  <c r="X42" i="10"/>
  <c r="Z42" i="10"/>
  <c r="AK41" i="10"/>
  <c r="AM41" i="10"/>
  <c r="AO41" i="10"/>
  <c r="AQ41" i="10"/>
  <c r="AC41" i="10"/>
  <c r="AD41" i="10"/>
  <c r="AE41" i="10"/>
  <c r="AI41" i="10"/>
  <c r="AJ41" i="10" s="1"/>
  <c r="W41" i="10"/>
  <c r="X41" i="10"/>
  <c r="Z41" i="10"/>
  <c r="G50" i="7"/>
  <c r="H50" i="7"/>
  <c r="L50" i="7" s="1"/>
  <c r="J50" i="7"/>
  <c r="K50" i="7"/>
  <c r="M50" i="7"/>
  <c r="N50" i="7"/>
  <c r="G51" i="7"/>
  <c r="H51" i="7"/>
  <c r="I51" i="7" s="1"/>
  <c r="D51" i="7" s="1"/>
  <c r="J51" i="7"/>
  <c r="K51" i="7"/>
  <c r="L51" i="7"/>
  <c r="M51" i="7"/>
  <c r="N51" i="7"/>
  <c r="G52" i="7"/>
  <c r="H52" i="7"/>
  <c r="I52" i="7" s="1"/>
  <c r="D52" i="7" s="1"/>
  <c r="J52" i="7"/>
  <c r="K52" i="7"/>
  <c r="L52" i="7"/>
  <c r="M52" i="7"/>
  <c r="N52" i="7"/>
  <c r="G53" i="7"/>
  <c r="H53" i="7"/>
  <c r="I53" i="7" s="1"/>
  <c r="D53" i="7" s="1"/>
  <c r="J53" i="7"/>
  <c r="K53" i="7"/>
  <c r="M53" i="7"/>
  <c r="N53" i="7"/>
  <c r="AR38" i="13" l="1"/>
  <c r="AP38" i="13"/>
  <c r="AN38" i="13"/>
  <c r="H38" i="13"/>
  <c r="BN38" i="13" s="1"/>
  <c r="I38" i="13"/>
  <c r="BO38" i="13" s="1"/>
  <c r="AR73" i="13"/>
  <c r="AP73" i="13"/>
  <c r="AN73" i="13"/>
  <c r="H73" i="13"/>
  <c r="BN73" i="13" s="1"/>
  <c r="I73" i="13"/>
  <c r="BO73" i="13" s="1"/>
  <c r="AR44" i="13"/>
  <c r="AP44" i="13"/>
  <c r="AN44" i="13"/>
  <c r="H44" i="13"/>
  <c r="BN44" i="13" s="1"/>
  <c r="I44" i="13"/>
  <c r="BO44" i="13" s="1"/>
  <c r="AR76" i="13"/>
  <c r="AP76" i="13"/>
  <c r="AN76" i="13"/>
  <c r="H76" i="13"/>
  <c r="BN76" i="13" s="1"/>
  <c r="I76" i="13"/>
  <c r="BO76" i="13" s="1"/>
  <c r="AM37" i="13"/>
  <c r="AR37" i="13"/>
  <c r="AP37" i="13"/>
  <c r="AN37" i="13"/>
  <c r="H37" i="13"/>
  <c r="BN37" i="13" s="1"/>
  <c r="I37" i="13"/>
  <c r="BO37" i="13" s="1"/>
  <c r="H72" i="13"/>
  <c r="BN72" i="13" s="1"/>
  <c r="AR72" i="13"/>
  <c r="AP72" i="13"/>
  <c r="AN72" i="13"/>
  <c r="I72" i="13"/>
  <c r="BO72" i="13" s="1"/>
  <c r="AT43" i="13"/>
  <c r="M43" i="13" s="1"/>
  <c r="AR43" i="13"/>
  <c r="AP43" i="13"/>
  <c r="AN43" i="13"/>
  <c r="H43" i="13"/>
  <c r="BN43" i="13" s="1"/>
  <c r="I43" i="13"/>
  <c r="BO43" i="13" s="1"/>
  <c r="AR75" i="13"/>
  <c r="AP75" i="13"/>
  <c r="AN75" i="13"/>
  <c r="H75" i="13"/>
  <c r="BN75" i="13" s="1"/>
  <c r="I75" i="13"/>
  <c r="BO75" i="13" s="1"/>
  <c r="L53" i="7"/>
  <c r="AR40" i="13"/>
  <c r="AP40" i="13"/>
  <c r="AN40" i="13"/>
  <c r="H40" i="13"/>
  <c r="BN40" i="13" s="1"/>
  <c r="I40" i="13"/>
  <c r="BO40" i="13" s="1"/>
  <c r="AR46" i="13"/>
  <c r="AP46" i="13"/>
  <c r="AN46" i="13"/>
  <c r="H46" i="13"/>
  <c r="BN46" i="13" s="1"/>
  <c r="I46" i="13"/>
  <c r="BO46" i="13" s="1"/>
  <c r="AO42" i="13"/>
  <c r="AR42" i="13"/>
  <c r="AP42" i="13"/>
  <c r="AN42" i="13"/>
  <c r="H42" i="13"/>
  <c r="BN42" i="13" s="1"/>
  <c r="I42" i="13"/>
  <c r="BO42" i="13" s="1"/>
  <c r="AT39" i="13"/>
  <c r="M39" i="13" s="1"/>
  <c r="H39" i="13"/>
  <c r="BN39" i="13" s="1"/>
  <c r="AR39" i="13"/>
  <c r="AP39" i="13"/>
  <c r="AN39" i="13"/>
  <c r="I39" i="13"/>
  <c r="BO39" i="13" s="1"/>
  <c r="AR74" i="13"/>
  <c r="AP74" i="13"/>
  <c r="AN74" i="13"/>
  <c r="H74" i="13"/>
  <c r="BN74" i="13" s="1"/>
  <c r="I74" i="13"/>
  <c r="BO74" i="13" s="1"/>
  <c r="AR45" i="13"/>
  <c r="AP45" i="13"/>
  <c r="AN45" i="13"/>
  <c r="H45" i="13"/>
  <c r="BN45" i="13" s="1"/>
  <c r="I45" i="13"/>
  <c r="BO45" i="13" s="1"/>
  <c r="AS41" i="13"/>
  <c r="L41" i="13" s="1"/>
  <c r="BQ41" i="13" s="1"/>
  <c r="AR41" i="13"/>
  <c r="AP41" i="13"/>
  <c r="AN41" i="13"/>
  <c r="H41" i="13"/>
  <c r="BN41" i="13" s="1"/>
  <c r="I41" i="13"/>
  <c r="BO41" i="13" s="1"/>
  <c r="E53" i="7"/>
  <c r="P53" i="7"/>
  <c r="E52" i="7"/>
  <c r="P52" i="7"/>
  <c r="E50" i="7"/>
  <c r="P50" i="7"/>
  <c r="E51" i="7"/>
  <c r="P51" i="7"/>
  <c r="AQ44" i="13"/>
  <c r="AO44" i="13"/>
  <c r="AM44" i="13"/>
  <c r="I50" i="7"/>
  <c r="D50" i="7" s="1"/>
  <c r="AM72" i="13"/>
  <c r="AT74" i="13"/>
  <c r="M74" i="13" s="1"/>
  <c r="AO72" i="13"/>
  <c r="AM75" i="13"/>
  <c r="AO46" i="13"/>
  <c r="AM46" i="13"/>
  <c r="AO74" i="13"/>
  <c r="AM45" i="13"/>
  <c r="AM43" i="13"/>
  <c r="AO43" i="13"/>
  <c r="AF42" i="10"/>
  <c r="AH42" i="10" s="1"/>
  <c r="AA42" i="10" s="1"/>
  <c r="BE46" i="13"/>
  <c r="AM42" i="13"/>
  <c r="AW42" i="13"/>
  <c r="AX42" i="13" s="1"/>
  <c r="AF42" i="13" s="1"/>
  <c r="BR42" i="13" s="1"/>
  <c r="AS43" i="13"/>
  <c r="L43" i="13" s="1"/>
  <c r="BQ43" i="13" s="1"/>
  <c r="AM76" i="13"/>
  <c r="AQ43" i="13"/>
  <c r="AW46" i="13"/>
  <c r="AX46" i="13" s="1"/>
  <c r="BD46" i="13" s="1"/>
  <c r="BG46" i="13" s="1"/>
  <c r="AQ72" i="13"/>
  <c r="AT44" i="13"/>
  <c r="M44" i="13" s="1"/>
  <c r="BE43" i="13"/>
  <c r="AT72" i="13"/>
  <c r="M72" i="13" s="1"/>
  <c r="AS72" i="13"/>
  <c r="L72" i="13" s="1"/>
  <c r="BQ72" i="13" s="1"/>
  <c r="AS44" i="13"/>
  <c r="L44" i="13" s="1"/>
  <c r="BQ44" i="13" s="1"/>
  <c r="AW41" i="13"/>
  <c r="AX41" i="13" s="1"/>
  <c r="BE42" i="13"/>
  <c r="BE41" i="13"/>
  <c r="AW45" i="13"/>
  <c r="AX45" i="13" s="1"/>
  <c r="AZ45" i="13" s="1"/>
  <c r="BS45" i="13" s="1"/>
  <c r="BE45" i="13"/>
  <c r="AW44" i="13"/>
  <c r="AX44" i="13" s="1"/>
  <c r="AF44" i="13" s="1"/>
  <c r="BR44" i="13" s="1"/>
  <c r="AT45" i="13"/>
  <c r="M45" i="13" s="1"/>
  <c r="AS45" i="13"/>
  <c r="L45" i="13" s="1"/>
  <c r="BQ45" i="13" s="1"/>
  <c r="AT42" i="13"/>
  <c r="M42" i="13" s="1"/>
  <c r="AS42" i="13"/>
  <c r="L42" i="13" s="1"/>
  <c r="BQ42" i="13" s="1"/>
  <c r="AQ45" i="13"/>
  <c r="BE44" i="13"/>
  <c r="AQ42" i="13"/>
  <c r="AO45" i="13"/>
  <c r="AW43" i="13"/>
  <c r="AX43" i="13" s="1"/>
  <c r="AZ43" i="13" s="1"/>
  <c r="BS43" i="13" s="1"/>
  <c r="AS39" i="13"/>
  <c r="L39" i="13" s="1"/>
  <c r="BQ39" i="13" s="1"/>
  <c r="AF57" i="10"/>
  <c r="AL57" i="10" s="1"/>
  <c r="AN57" i="10" s="1"/>
  <c r="AP57" i="10" s="1"/>
  <c r="AT46" i="13"/>
  <c r="M46" i="13" s="1"/>
  <c r="AQ41" i="13"/>
  <c r="AO41" i="13"/>
  <c r="AS46" i="13"/>
  <c r="L46" i="13" s="1"/>
  <c r="BQ46" i="13" s="1"/>
  <c r="AM41" i="13"/>
  <c r="AT41" i="13"/>
  <c r="M41" i="13" s="1"/>
  <c r="AM74" i="13"/>
  <c r="AQ39" i="13"/>
  <c r="AO39" i="13"/>
  <c r="AM39" i="13"/>
  <c r="AM73" i="13"/>
  <c r="BE76" i="13"/>
  <c r="AW39" i="13"/>
  <c r="AX39" i="13" s="1"/>
  <c r="AZ39" i="13" s="1"/>
  <c r="BS39" i="13" s="1"/>
  <c r="AO76" i="13"/>
  <c r="AQ73" i="13"/>
  <c r="AM40" i="13"/>
  <c r="AO73" i="13"/>
  <c r="AS74" i="13"/>
  <c r="L74" i="13" s="1"/>
  <c r="BQ74" i="13" s="1"/>
  <c r="AW38" i="13"/>
  <c r="AX38" i="13" s="1"/>
  <c r="BD38" i="13" s="1"/>
  <c r="BG38" i="13" s="1"/>
  <c r="AT38" i="13"/>
  <c r="M38" i="13" s="1"/>
  <c r="AS38" i="13"/>
  <c r="L38" i="13" s="1"/>
  <c r="BQ38" i="13" s="1"/>
  <c r="AQ38" i="13"/>
  <c r="AW76" i="13"/>
  <c r="AX76" i="13" s="1"/>
  <c r="AO38" i="13"/>
  <c r="AM38" i="13"/>
  <c r="AW75" i="13"/>
  <c r="AX75" i="13" s="1"/>
  <c r="BE75" i="13"/>
  <c r="AW74" i="13"/>
  <c r="AX74" i="13" s="1"/>
  <c r="BE74" i="13"/>
  <c r="AW73" i="13"/>
  <c r="AX73" i="13" s="1"/>
  <c r="BE38" i="13"/>
  <c r="AT75" i="13"/>
  <c r="M75" i="13" s="1"/>
  <c r="BE73" i="13"/>
  <c r="AS75" i="13"/>
  <c r="L75" i="13" s="1"/>
  <c r="BQ75" i="13" s="1"/>
  <c r="AQ75" i="13"/>
  <c r="AO75" i="13"/>
  <c r="AW72" i="13"/>
  <c r="AX72" i="13" s="1"/>
  <c r="BE72" i="13"/>
  <c r="AO40" i="13"/>
  <c r="AT76" i="13"/>
  <c r="M76" i="13" s="1"/>
  <c r="AS76" i="13"/>
  <c r="L76" i="13" s="1"/>
  <c r="BQ76" i="13" s="1"/>
  <c r="AT73" i="13"/>
  <c r="M73" i="13" s="1"/>
  <c r="AQ76" i="13"/>
  <c r="AS73" i="13"/>
  <c r="L73" i="13" s="1"/>
  <c r="BQ73" i="13" s="1"/>
  <c r="BE40" i="13"/>
  <c r="BE37" i="13"/>
  <c r="AQ40" i="13"/>
  <c r="AW40" i="13"/>
  <c r="AX40" i="13" s="1"/>
  <c r="AF40" i="13" s="1"/>
  <c r="BR40" i="13" s="1"/>
  <c r="BE39" i="13"/>
  <c r="AT40" i="13"/>
  <c r="M40" i="13" s="1"/>
  <c r="AS40" i="13"/>
  <c r="L40" i="13" s="1"/>
  <c r="BQ40" i="13" s="1"/>
  <c r="AW37" i="13"/>
  <c r="AX37" i="13" s="1"/>
  <c r="BD37" i="13" s="1"/>
  <c r="BG37" i="13" s="1"/>
  <c r="AT37" i="13"/>
  <c r="M37" i="13" s="1"/>
  <c r="AS37" i="13"/>
  <c r="L37" i="13" s="1"/>
  <c r="BQ37" i="13" s="1"/>
  <c r="AQ37" i="13"/>
  <c r="AO37" i="13"/>
  <c r="AF41" i="10"/>
  <c r="AL41" i="10" s="1"/>
  <c r="AN41" i="10" s="1"/>
  <c r="AP41" i="10" s="1"/>
  <c r="AF75" i="13" l="1"/>
  <c r="BR75" i="13" s="1"/>
  <c r="AY75" i="13"/>
  <c r="AH75" i="13" s="1"/>
  <c r="AZ75" i="13"/>
  <c r="BS75" i="13" s="1"/>
  <c r="BD75" i="13"/>
  <c r="BG75" i="13" s="1"/>
  <c r="AZ76" i="13"/>
  <c r="BS76" i="13" s="1"/>
  <c r="AF76" i="13"/>
  <c r="BR76" i="13" s="1"/>
  <c r="AY76" i="13"/>
  <c r="AH76" i="13" s="1"/>
  <c r="BD76" i="13"/>
  <c r="BG76" i="13" s="1"/>
  <c r="BD73" i="13"/>
  <c r="BG73" i="13" s="1"/>
  <c r="AZ73" i="13"/>
  <c r="AY73" i="13"/>
  <c r="AH73" i="13" s="1"/>
  <c r="AF73" i="13"/>
  <c r="BR73" i="13" s="1"/>
  <c r="BD72" i="13"/>
  <c r="BG72" i="13" s="1"/>
  <c r="AF72" i="13"/>
  <c r="BR72" i="13" s="1"/>
  <c r="AY72" i="13"/>
  <c r="AH72" i="13" s="1"/>
  <c r="AZ72" i="13"/>
  <c r="BD74" i="13"/>
  <c r="BG74" i="13" s="1"/>
  <c r="AZ74" i="13"/>
  <c r="BS74" i="13" s="1"/>
  <c r="AF74" i="13"/>
  <c r="BR74" i="13" s="1"/>
  <c r="AY74" i="13"/>
  <c r="AH74" i="13" s="1"/>
  <c r="AF41" i="13"/>
  <c r="BR41" i="13" s="1"/>
  <c r="BD41" i="13"/>
  <c r="BG41" i="13" s="1"/>
  <c r="AZ41" i="13"/>
  <c r="BS41" i="13" s="1"/>
  <c r="AY41" i="13"/>
  <c r="AH41" i="13" s="1"/>
  <c r="AI43" i="13"/>
  <c r="AI39" i="13"/>
  <c r="AI45" i="13"/>
  <c r="BD39" i="13"/>
  <c r="BG39" i="13" s="1"/>
  <c r="AF39" i="13"/>
  <c r="BR39" i="13" s="1"/>
  <c r="AY39" i="13"/>
  <c r="AH39" i="13" s="1"/>
  <c r="V42" i="10"/>
  <c r="AL42" i="10"/>
  <c r="AN42" i="10" s="1"/>
  <c r="AP42" i="10" s="1"/>
  <c r="AF46" i="13"/>
  <c r="BR46" i="13" s="1"/>
  <c r="AY45" i="13"/>
  <c r="AH45" i="13" s="1"/>
  <c r="AY42" i="13"/>
  <c r="AH42" i="13" s="1"/>
  <c r="AY43" i="13"/>
  <c r="AH43" i="13" s="1"/>
  <c r="AF45" i="13"/>
  <c r="BR45" i="13" s="1"/>
  <c r="BD42" i="13"/>
  <c r="BG42" i="13" s="1"/>
  <c r="AZ42" i="13"/>
  <c r="BS42" i="13" s="1"/>
  <c r="AZ46" i="13"/>
  <c r="BS46" i="13" s="1"/>
  <c r="AY46" i="13"/>
  <c r="AH46" i="13" s="1"/>
  <c r="BD40" i="13"/>
  <c r="BG40" i="13" s="1"/>
  <c r="AG42" i="10"/>
  <c r="Y42" i="10" s="1"/>
  <c r="AG57" i="10"/>
  <c r="Y57" i="10" s="1"/>
  <c r="V57" i="10"/>
  <c r="BD45" i="13"/>
  <c r="BG45" i="13" s="1"/>
  <c r="AY44" i="13"/>
  <c r="AH44" i="13" s="1"/>
  <c r="BD43" i="13"/>
  <c r="BG43" i="13" s="1"/>
  <c r="AF43" i="13"/>
  <c r="BR43" i="13" s="1"/>
  <c r="AZ44" i="13"/>
  <c r="BS44" i="13" s="1"/>
  <c r="AY40" i="13"/>
  <c r="AH40" i="13" s="1"/>
  <c r="BD44" i="13"/>
  <c r="BG44" i="13" s="1"/>
  <c r="AZ40" i="13"/>
  <c r="BS40" i="13" s="1"/>
  <c r="AH57" i="10"/>
  <c r="AA57" i="10" s="1"/>
  <c r="AZ37" i="13"/>
  <c r="BS37" i="13" s="1"/>
  <c r="AF37" i="13"/>
  <c r="BR37" i="13" s="1"/>
  <c r="AY37" i="13"/>
  <c r="AH37" i="13" s="1"/>
  <c r="AF38" i="13"/>
  <c r="BR38" i="13" s="1"/>
  <c r="AZ38" i="13"/>
  <c r="BS38" i="13" s="1"/>
  <c r="AY38" i="13"/>
  <c r="AH38" i="13" s="1"/>
  <c r="V41" i="10"/>
  <c r="AH41" i="10"/>
  <c r="AA41" i="10" s="1"/>
  <c r="AG41" i="10"/>
  <c r="Y41" i="10" s="1"/>
  <c r="X8" i="10"/>
  <c r="X7" i="10"/>
  <c r="F34" i="23"/>
  <c r="AI75" i="13" l="1"/>
  <c r="AI72" i="13"/>
  <c r="BS72" i="13"/>
  <c r="AI73" i="13"/>
  <c r="BS73" i="13"/>
  <c r="AI74" i="13"/>
  <c r="AI76" i="13"/>
  <c r="AI41" i="13"/>
  <c r="AI38" i="13"/>
  <c r="AI44" i="13"/>
  <c r="AI40" i="13"/>
  <c r="AI46" i="13"/>
  <c r="AI37" i="13"/>
  <c r="AI42" i="13"/>
  <c r="G32" i="24"/>
  <c r="G31" i="24"/>
  <c r="G30" i="24"/>
  <c r="G21" i="24"/>
  <c r="F23" i="8" l="1"/>
  <c r="E23" i="8"/>
  <c r="F22" i="8"/>
  <c r="E22" i="8"/>
  <c r="I23" i="8"/>
  <c r="I22" i="8"/>
  <c r="C23" i="8"/>
  <c r="AL52" i="13" l="1"/>
  <c r="G31" i="29"/>
  <c r="G30" i="29"/>
  <c r="D35" i="19"/>
  <c r="D31" i="29"/>
  <c r="D30" i="29"/>
  <c r="D34" i="19"/>
  <c r="G95" i="8"/>
  <c r="G94" i="8"/>
  <c r="G93" i="8"/>
  <c r="G92" i="8"/>
  <c r="G90" i="8"/>
  <c r="G89" i="8"/>
  <c r="G87" i="8"/>
  <c r="G86" i="8"/>
  <c r="K86" i="8" s="1"/>
  <c r="D97" i="19"/>
  <c r="D96" i="19"/>
  <c r="D92" i="19"/>
  <c r="D93" i="19"/>
  <c r="D84" i="19"/>
  <c r="D83" i="19"/>
  <c r="G34" i="19"/>
  <c r="G35" i="19"/>
  <c r="B78" i="25"/>
  <c r="B74" i="25"/>
  <c r="B65" i="25"/>
  <c r="B79" i="25"/>
  <c r="B75" i="25"/>
  <c r="B66" i="25"/>
  <c r="B34" i="28" l="1"/>
  <c r="F33" i="23"/>
  <c r="B33" i="28" s="1"/>
  <c r="AE7" i="10"/>
  <c r="AM78" i="14"/>
  <c r="AM77" i="14"/>
  <c r="AM76" i="14"/>
  <c r="AM75" i="14"/>
  <c r="AM74" i="14"/>
  <c r="AM73" i="14"/>
  <c r="AM72" i="14"/>
  <c r="AM71" i="14"/>
  <c r="AM70" i="14"/>
  <c r="AM69" i="14"/>
  <c r="AM36" i="14"/>
  <c r="AM35" i="14"/>
  <c r="AM34" i="14"/>
  <c r="AM33" i="14"/>
  <c r="AM32" i="14"/>
  <c r="AM31" i="14"/>
  <c r="AM30" i="14"/>
  <c r="AM29" i="14"/>
  <c r="AM28" i="14"/>
  <c r="AM27" i="14"/>
  <c r="AM26" i="14"/>
  <c r="AM25" i="14"/>
  <c r="AM24" i="14"/>
  <c r="AM23" i="14"/>
  <c r="AM22" i="14"/>
  <c r="AM21" i="14"/>
  <c r="AM20" i="14"/>
  <c r="AM19" i="14"/>
  <c r="AM18" i="14"/>
  <c r="AM17" i="14"/>
  <c r="AM16" i="14"/>
  <c r="AM15" i="14"/>
  <c r="AM14" i="14"/>
  <c r="B34" i="25" l="1"/>
  <c r="B35" i="24"/>
  <c r="B36" i="24"/>
  <c r="B33" i="25"/>
  <c r="N33" i="25"/>
  <c r="N34" i="25"/>
  <c r="R1356" i="31"/>
  <c r="R1355" i="31"/>
  <c r="R1354" i="31"/>
  <c r="R1353" i="31"/>
  <c r="R1352" i="31"/>
  <c r="R1351" i="31"/>
  <c r="R1350" i="31"/>
  <c r="R1349" i="31"/>
  <c r="R1348" i="31"/>
  <c r="R1347" i="31"/>
  <c r="R1346" i="31"/>
  <c r="R1345" i="31"/>
  <c r="R1344" i="31"/>
  <c r="R1343" i="31"/>
  <c r="R1342" i="31"/>
  <c r="R1341" i="31"/>
  <c r="R1340" i="31"/>
  <c r="R1339" i="31"/>
  <c r="R1338" i="31"/>
  <c r="R1337" i="31"/>
  <c r="R1336" i="31"/>
  <c r="R1335" i="31"/>
  <c r="R1334" i="31"/>
  <c r="R1333" i="31"/>
  <c r="R1332" i="31"/>
  <c r="R1331" i="31"/>
  <c r="R1330" i="31"/>
  <c r="R1329" i="31"/>
  <c r="R1328" i="31"/>
  <c r="R1327" i="31"/>
  <c r="R1326" i="31"/>
  <c r="R1325" i="31"/>
  <c r="R1324" i="31"/>
  <c r="R1323" i="31"/>
  <c r="R1322" i="31"/>
  <c r="R1321" i="31"/>
  <c r="R1320" i="31"/>
  <c r="R1319" i="31"/>
  <c r="R1318" i="31"/>
  <c r="R1317" i="31"/>
  <c r="R1316" i="31"/>
  <c r="R1315" i="31"/>
  <c r="R1314" i="31"/>
  <c r="R1313" i="31"/>
  <c r="R1312" i="31"/>
  <c r="R1311" i="31"/>
  <c r="R1310" i="31"/>
  <c r="R1309" i="31"/>
  <c r="R1308" i="31"/>
  <c r="R1307" i="31"/>
  <c r="R1306" i="31"/>
  <c r="R1305" i="31"/>
  <c r="R1304" i="31"/>
  <c r="R1303" i="31"/>
  <c r="R1302" i="31"/>
  <c r="R1301" i="31"/>
  <c r="R1300" i="31"/>
  <c r="R1299" i="31"/>
  <c r="R1298" i="31"/>
  <c r="R1297" i="31"/>
  <c r="R1296" i="31"/>
  <c r="R1295" i="31"/>
  <c r="R1294" i="31"/>
  <c r="R1293" i="31"/>
  <c r="R1292" i="31"/>
  <c r="R1291" i="31"/>
  <c r="R1290" i="31"/>
  <c r="R1289" i="31"/>
  <c r="R1288" i="31"/>
  <c r="R1287" i="31"/>
  <c r="R1286" i="31"/>
  <c r="R1285" i="31"/>
  <c r="R1284" i="31"/>
  <c r="R1283" i="31"/>
  <c r="R1282" i="31"/>
  <c r="R1281" i="31"/>
  <c r="R1280" i="31"/>
  <c r="R1279" i="31"/>
  <c r="R1278" i="31"/>
  <c r="R1277" i="31"/>
  <c r="R1276" i="31"/>
  <c r="R1275" i="31"/>
  <c r="R1274" i="31"/>
  <c r="R1273" i="31"/>
  <c r="R1272" i="31"/>
  <c r="R1271" i="31"/>
  <c r="R1270" i="31"/>
  <c r="R1269" i="31"/>
  <c r="R1268" i="31"/>
  <c r="R1267" i="31"/>
  <c r="R1266" i="31"/>
  <c r="R1265" i="31"/>
  <c r="R1264" i="31"/>
  <c r="R1263" i="31"/>
  <c r="R1262" i="31"/>
  <c r="R1261" i="31"/>
  <c r="R1260" i="31"/>
  <c r="R1259" i="31"/>
  <c r="R1258" i="31"/>
  <c r="R1257" i="31"/>
  <c r="R1256" i="31"/>
  <c r="R1255" i="31"/>
  <c r="R1254" i="31"/>
  <c r="R1253" i="31"/>
  <c r="R1252" i="31"/>
  <c r="R1251" i="31"/>
  <c r="R1250" i="31"/>
  <c r="R1249" i="31"/>
  <c r="R1248" i="31"/>
  <c r="R1247" i="31"/>
  <c r="R1246" i="31"/>
  <c r="R1245" i="31"/>
  <c r="R1244" i="31"/>
  <c r="R1243" i="31"/>
  <c r="R1242" i="31"/>
  <c r="R1241" i="31"/>
  <c r="R1240" i="31"/>
  <c r="R1239" i="31"/>
  <c r="R1238" i="31"/>
  <c r="R1237" i="31"/>
  <c r="R1236" i="31"/>
  <c r="R1235" i="31"/>
  <c r="R1234" i="31"/>
  <c r="R1233" i="31"/>
  <c r="R1232" i="31"/>
  <c r="R1231" i="31"/>
  <c r="R1230" i="31"/>
  <c r="R1229" i="31"/>
  <c r="R1228" i="31"/>
  <c r="R1227" i="31"/>
  <c r="R1226" i="31"/>
  <c r="R1225" i="31"/>
  <c r="R1224" i="31"/>
  <c r="R1223" i="31"/>
  <c r="R1222" i="31"/>
  <c r="R1221" i="31"/>
  <c r="R1220" i="31"/>
  <c r="R1219" i="31"/>
  <c r="R1218" i="31"/>
  <c r="R1217" i="31"/>
  <c r="R1216" i="31"/>
  <c r="R1215" i="31"/>
  <c r="R1214" i="31"/>
  <c r="R1213" i="31"/>
  <c r="R1212" i="31"/>
  <c r="R1211" i="31"/>
  <c r="R1210" i="31"/>
  <c r="R1209" i="31"/>
  <c r="R1208" i="31"/>
  <c r="R1207" i="31"/>
  <c r="R1206" i="31"/>
  <c r="R1205" i="31"/>
  <c r="R1204" i="31"/>
  <c r="R1203" i="31"/>
  <c r="R1202" i="31"/>
  <c r="R1201" i="31"/>
  <c r="R1200" i="31"/>
  <c r="R1199" i="31"/>
  <c r="R1198" i="31"/>
  <c r="R1197" i="31"/>
  <c r="R1196" i="31"/>
  <c r="R1195" i="31"/>
  <c r="R1194" i="31"/>
  <c r="R1193" i="31"/>
  <c r="R1192" i="31"/>
  <c r="R1191" i="31"/>
  <c r="R1190" i="31"/>
  <c r="R1189" i="31"/>
  <c r="R1188" i="31"/>
  <c r="R1187" i="31"/>
  <c r="R1186" i="31"/>
  <c r="R1185" i="31"/>
  <c r="R1184" i="31"/>
  <c r="R1183" i="31"/>
  <c r="R1182" i="31"/>
  <c r="R1181" i="31"/>
  <c r="R1180" i="31"/>
  <c r="R1179" i="31"/>
  <c r="R1178" i="31"/>
  <c r="R1177" i="31"/>
  <c r="R1176" i="31"/>
  <c r="R1175" i="31"/>
  <c r="R1174" i="31"/>
  <c r="R1173" i="31"/>
  <c r="R1172" i="31"/>
  <c r="R1171" i="31"/>
  <c r="R1170" i="31"/>
  <c r="R1169" i="31"/>
  <c r="R1168" i="31"/>
  <c r="R1167" i="31"/>
  <c r="R1166" i="31"/>
  <c r="R1165" i="31"/>
  <c r="R1164" i="31"/>
  <c r="R1163" i="31"/>
  <c r="R1162" i="31"/>
  <c r="R1161" i="31"/>
  <c r="R1160" i="31"/>
  <c r="R1159" i="31"/>
  <c r="R1158" i="31"/>
  <c r="R1157" i="31"/>
  <c r="R1156" i="31"/>
  <c r="R1155" i="31"/>
  <c r="R1154" i="31"/>
  <c r="R1153" i="31"/>
  <c r="R1152" i="31"/>
  <c r="R1151" i="31"/>
  <c r="R1150" i="31"/>
  <c r="R1149" i="31"/>
  <c r="R1148" i="31"/>
  <c r="R1147" i="31"/>
  <c r="R1146" i="31"/>
  <c r="R1145" i="31"/>
  <c r="R1144" i="31"/>
  <c r="R1143" i="31"/>
  <c r="R1142" i="31"/>
  <c r="R1141" i="31"/>
  <c r="R1140" i="31"/>
  <c r="R1139" i="31"/>
  <c r="R1138" i="31"/>
  <c r="R1137" i="31"/>
  <c r="R1136" i="31"/>
  <c r="R1135" i="31"/>
  <c r="R1134" i="31"/>
  <c r="R1133" i="31"/>
  <c r="R1132" i="31"/>
  <c r="R1131" i="31"/>
  <c r="R1130" i="31"/>
  <c r="R1129" i="31"/>
  <c r="R1128" i="31"/>
  <c r="R1127" i="31"/>
  <c r="R1126" i="31"/>
  <c r="R1125" i="31"/>
  <c r="R1124" i="31"/>
  <c r="R1123" i="31"/>
  <c r="R1122" i="31"/>
  <c r="R1121" i="31"/>
  <c r="R1120" i="31"/>
  <c r="R1119" i="31"/>
  <c r="R1118" i="31"/>
  <c r="R1117" i="31"/>
  <c r="R1116" i="31"/>
  <c r="R1115" i="31"/>
  <c r="R1114" i="31"/>
  <c r="R1113" i="31"/>
  <c r="R1112" i="31"/>
  <c r="R1111" i="31"/>
  <c r="R1110" i="31"/>
  <c r="R1109" i="31"/>
  <c r="R1108" i="31"/>
  <c r="R1107" i="31"/>
  <c r="R1106" i="31"/>
  <c r="R1105" i="31"/>
  <c r="R1104" i="31"/>
  <c r="R1103" i="31"/>
  <c r="R1102" i="31"/>
  <c r="R1101" i="31"/>
  <c r="R1100" i="31"/>
  <c r="R1099" i="31"/>
  <c r="R1098" i="31"/>
  <c r="R1097" i="31"/>
  <c r="R1096" i="31"/>
  <c r="R1095" i="31"/>
  <c r="R1094" i="31"/>
  <c r="R1093" i="31"/>
  <c r="O12" i="11" l="1"/>
  <c r="O13" i="11"/>
  <c r="O14" i="11"/>
  <c r="O19" i="11"/>
  <c r="O21" i="11"/>
  <c r="O23" i="11"/>
  <c r="O24" i="11"/>
  <c r="O25" i="11"/>
  <c r="O31" i="11"/>
  <c r="O30" i="11"/>
  <c r="O27" i="11"/>
  <c r="O17" i="11"/>
  <c r="O8" i="11"/>
  <c r="O15" i="11"/>
  <c r="O16" i="11"/>
  <c r="O20" i="11"/>
  <c r="O22" i="11"/>
  <c r="O29" i="11"/>
  <c r="O18" i="11"/>
  <c r="O10" i="11"/>
  <c r="O28" i="11"/>
  <c r="O26" i="11"/>
  <c r="O9" i="11"/>
  <c r="O11" i="11"/>
  <c r="D38" i="27"/>
  <c r="D37" i="27"/>
  <c r="D36" i="27"/>
  <c r="D35" i="27"/>
  <c r="D34" i="27"/>
  <c r="D33" i="27"/>
  <c r="D32" i="27"/>
  <c r="D31" i="27"/>
  <c r="D30" i="27"/>
  <c r="D29" i="27"/>
  <c r="D28" i="27"/>
  <c r="N55" i="7" l="1"/>
  <c r="M55" i="7"/>
  <c r="K55" i="7"/>
  <c r="J55" i="7"/>
  <c r="H55" i="7"/>
  <c r="L55" i="7" s="1"/>
  <c r="G55" i="7"/>
  <c r="N54" i="7"/>
  <c r="M54" i="7"/>
  <c r="K54" i="7"/>
  <c r="J54" i="7"/>
  <c r="H54" i="7"/>
  <c r="L54" i="7" s="1"/>
  <c r="G54" i="7"/>
  <c r="J77" i="14"/>
  <c r="BM77" i="14" s="1"/>
  <c r="J76" i="14"/>
  <c r="BM76" i="14" s="1"/>
  <c r="J75" i="14"/>
  <c r="BM75" i="14" s="1"/>
  <c r="J74" i="14"/>
  <c r="BM74" i="14" s="1"/>
  <c r="J73" i="14"/>
  <c r="BM73" i="14" s="1"/>
  <c r="J72" i="14"/>
  <c r="BM72" i="14" s="1"/>
  <c r="J69" i="14"/>
  <c r="BM69" i="14" s="1"/>
  <c r="J67" i="14"/>
  <c r="BM67" i="14" s="1"/>
  <c r="J66" i="14"/>
  <c r="BM66" i="14" s="1"/>
  <c r="J65" i="14"/>
  <c r="BM65" i="14" s="1"/>
  <c r="J64" i="14"/>
  <c r="BM64" i="14" s="1"/>
  <c r="J63" i="14"/>
  <c r="BM63" i="14" s="1"/>
  <c r="J62" i="14"/>
  <c r="BM62" i="14" s="1"/>
  <c r="J61" i="14"/>
  <c r="BM61" i="14" s="1"/>
  <c r="J60" i="14"/>
  <c r="BM60" i="14" s="1"/>
  <c r="J59" i="14"/>
  <c r="BM59" i="14" s="1"/>
  <c r="J58" i="14"/>
  <c r="BM58" i="14" s="1"/>
  <c r="J57" i="14"/>
  <c r="BM57" i="14" s="1"/>
  <c r="J56" i="14"/>
  <c r="BM56" i="14" s="1"/>
  <c r="J55" i="14"/>
  <c r="BM55" i="14" s="1"/>
  <c r="J54" i="14"/>
  <c r="BM54" i="14" s="1"/>
  <c r="J53" i="14"/>
  <c r="BM53" i="14" s="1"/>
  <c r="J52" i="14"/>
  <c r="BM52" i="14" s="1"/>
  <c r="J51" i="14"/>
  <c r="BM51" i="14" s="1"/>
  <c r="J50" i="14"/>
  <c r="BM50" i="14" s="1"/>
  <c r="J49" i="14"/>
  <c r="BM49" i="14" s="1"/>
  <c r="J48" i="14"/>
  <c r="BM48" i="14" s="1"/>
  <c r="J47" i="14"/>
  <c r="BM47" i="14" s="1"/>
  <c r="J46" i="14"/>
  <c r="BM46" i="14" s="1"/>
  <c r="J45" i="14"/>
  <c r="BM45" i="14" s="1"/>
  <c r="J44" i="14"/>
  <c r="BM44" i="14" s="1"/>
  <c r="BM38" i="14"/>
  <c r="J36" i="14"/>
  <c r="BM36" i="14" s="1"/>
  <c r="J35" i="14"/>
  <c r="BM35" i="14" s="1"/>
  <c r="J34" i="14"/>
  <c r="BM34" i="14" s="1"/>
  <c r="J33" i="14"/>
  <c r="BM33" i="14" s="1"/>
  <c r="J32" i="14"/>
  <c r="BM32" i="14" s="1"/>
  <c r="J31" i="14"/>
  <c r="BM31" i="14" s="1"/>
  <c r="J30" i="14"/>
  <c r="BM30" i="14" s="1"/>
  <c r="J29" i="14"/>
  <c r="BM29" i="14" s="1"/>
  <c r="J28" i="14"/>
  <c r="BM28" i="14" s="1"/>
  <c r="J27" i="14"/>
  <c r="BM27" i="14" s="1"/>
  <c r="J26" i="14"/>
  <c r="BM26" i="14" s="1"/>
  <c r="J25" i="14"/>
  <c r="BM25" i="14" s="1"/>
  <c r="J24" i="14"/>
  <c r="BM24" i="14" s="1"/>
  <c r="J23" i="14"/>
  <c r="BM23" i="14" s="1"/>
  <c r="J22" i="14"/>
  <c r="BM22" i="14" s="1"/>
  <c r="J21" i="14"/>
  <c r="BM21" i="14" s="1"/>
  <c r="J20" i="14"/>
  <c r="BM20" i="14" s="1"/>
  <c r="J19" i="14"/>
  <c r="BM19" i="14" s="1"/>
  <c r="J18" i="14"/>
  <c r="BM18" i="14" s="1"/>
  <c r="J17" i="14"/>
  <c r="BM17" i="14" s="1"/>
  <c r="J16" i="14"/>
  <c r="BM16" i="14" s="1"/>
  <c r="J14" i="14"/>
  <c r="BM14" i="14" s="1"/>
  <c r="BC78" i="14"/>
  <c r="BE78" i="14" s="1"/>
  <c r="BC77" i="14"/>
  <c r="BE77" i="14" s="1"/>
  <c r="BC76" i="14"/>
  <c r="BC75" i="14"/>
  <c r="BC74" i="14"/>
  <c r="BC73" i="14"/>
  <c r="BC72" i="14"/>
  <c r="BC71" i="14"/>
  <c r="BC70" i="14"/>
  <c r="BC69" i="14"/>
  <c r="BC67" i="14"/>
  <c r="BE67" i="14" s="1"/>
  <c r="BC66" i="14"/>
  <c r="BE66" i="14" s="1"/>
  <c r="BC65" i="14"/>
  <c r="BE65" i="14" s="1"/>
  <c r="BC64" i="14"/>
  <c r="BE64" i="14" s="1"/>
  <c r="BC63" i="14"/>
  <c r="BE63" i="14" s="1"/>
  <c r="BC62" i="14"/>
  <c r="BE62" i="14" s="1"/>
  <c r="BC61" i="14"/>
  <c r="BE61" i="14" s="1"/>
  <c r="BC60" i="14"/>
  <c r="BE60" i="14" s="1"/>
  <c r="BC59" i="14"/>
  <c r="BE59" i="14" s="1"/>
  <c r="BC58" i="14"/>
  <c r="BE58" i="14" s="1"/>
  <c r="BC57" i="14"/>
  <c r="BE57" i="14" s="1"/>
  <c r="BC56" i="14"/>
  <c r="BE56" i="14" s="1"/>
  <c r="BC55" i="14"/>
  <c r="BE55" i="14" s="1"/>
  <c r="BC54" i="14"/>
  <c r="BE54" i="14" s="1"/>
  <c r="BC53" i="14"/>
  <c r="BE53" i="14" s="1"/>
  <c r="BC52" i="14"/>
  <c r="BE52" i="14" s="1"/>
  <c r="BC51" i="14"/>
  <c r="BE51" i="14" s="1"/>
  <c r="BC50" i="14"/>
  <c r="BE50" i="14" s="1"/>
  <c r="BC49" i="14"/>
  <c r="BE49" i="14" s="1"/>
  <c r="BC48" i="14"/>
  <c r="BE48" i="14" s="1"/>
  <c r="BC47" i="14"/>
  <c r="BE47" i="14" s="1"/>
  <c r="BC46" i="14"/>
  <c r="BE46" i="14" s="1"/>
  <c r="BC45" i="14"/>
  <c r="BC44" i="14"/>
  <c r="BC43" i="14"/>
  <c r="BC42" i="14"/>
  <c r="BC41" i="14"/>
  <c r="BC40" i="14"/>
  <c r="BC39" i="14"/>
  <c r="BC38" i="14"/>
  <c r="BC36" i="14"/>
  <c r="BD36" i="14" s="1"/>
  <c r="BH36" i="14" s="1"/>
  <c r="BC35" i="14"/>
  <c r="BE35" i="14" s="1"/>
  <c r="BC34" i="14"/>
  <c r="BE34" i="14" s="1"/>
  <c r="BC33" i="14"/>
  <c r="BE33" i="14" s="1"/>
  <c r="BC32" i="14"/>
  <c r="BD32" i="14" s="1"/>
  <c r="BH32" i="14" s="1"/>
  <c r="BC31" i="14"/>
  <c r="BE31" i="14" s="1"/>
  <c r="BC30" i="14"/>
  <c r="BE30" i="14" s="1"/>
  <c r="BC29" i="14"/>
  <c r="BE29" i="14" s="1"/>
  <c r="BC28" i="14"/>
  <c r="BD28" i="14" s="1"/>
  <c r="BH28" i="14" s="1"/>
  <c r="BC27" i="14"/>
  <c r="BE27" i="14" s="1"/>
  <c r="BC26" i="14"/>
  <c r="BE26" i="14" s="1"/>
  <c r="BC25" i="14"/>
  <c r="BE25" i="14" s="1"/>
  <c r="BC24" i="14"/>
  <c r="BE24" i="14" s="1"/>
  <c r="BC23" i="14"/>
  <c r="BE23" i="14" s="1"/>
  <c r="BC22" i="14"/>
  <c r="BE22" i="14" s="1"/>
  <c r="BC21" i="14"/>
  <c r="BE21" i="14" s="1"/>
  <c r="BC20" i="14"/>
  <c r="BE20" i="14" s="1"/>
  <c r="BC19" i="14"/>
  <c r="BE19" i="14" s="1"/>
  <c r="BC18" i="14"/>
  <c r="BE18" i="14" s="1"/>
  <c r="BC17" i="14"/>
  <c r="BE17" i="14" s="1"/>
  <c r="BC16" i="14"/>
  <c r="BE16" i="14" s="1"/>
  <c r="BC15" i="14"/>
  <c r="BC14" i="14"/>
  <c r="BE14" i="14" s="1"/>
  <c r="BC13" i="14"/>
  <c r="BC12" i="14"/>
  <c r="BC11" i="14"/>
  <c r="BC10" i="14"/>
  <c r="BC9" i="14"/>
  <c r="BC8" i="14"/>
  <c r="BC7" i="14"/>
  <c r="AH67" i="14"/>
  <c r="AH66" i="14"/>
  <c r="AH65" i="14"/>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39" i="14"/>
  <c r="AH38" i="14"/>
  <c r="AI38" i="14" s="1"/>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AH10" i="14"/>
  <c r="AH9" i="14"/>
  <c r="AH8" i="14"/>
  <c r="AH7" i="14"/>
  <c r="E55" i="7" l="1"/>
  <c r="P55" i="7"/>
  <c r="E54" i="7"/>
  <c r="P54" i="7"/>
  <c r="BD29" i="14"/>
  <c r="BH29" i="14" s="1"/>
  <c r="BE36" i="14"/>
  <c r="BD46" i="14"/>
  <c r="BH46" i="14" s="1"/>
  <c r="BD30" i="14"/>
  <c r="BH30" i="14" s="1"/>
  <c r="BD31" i="14"/>
  <c r="BH31" i="14" s="1"/>
  <c r="BD58" i="14"/>
  <c r="BH58" i="14" s="1"/>
  <c r="BE28" i="14"/>
  <c r="BD62" i="14"/>
  <c r="BH62" i="14" s="1"/>
  <c r="BD24" i="14"/>
  <c r="BH24" i="14" s="1"/>
  <c r="BE32" i="14"/>
  <c r="BD25" i="14"/>
  <c r="BH25" i="14" s="1"/>
  <c r="BD26" i="14"/>
  <c r="BH26" i="14" s="1"/>
  <c r="BD34" i="14"/>
  <c r="BH34" i="14" s="1"/>
  <c r="BD50" i="14"/>
  <c r="BH50" i="14" s="1"/>
  <c r="BD66" i="14"/>
  <c r="BH66" i="14" s="1"/>
  <c r="BD77" i="14"/>
  <c r="BH77" i="14" s="1"/>
  <c r="BD33" i="14"/>
  <c r="BH33" i="14" s="1"/>
  <c r="BD27" i="14"/>
  <c r="BH27" i="14" s="1"/>
  <c r="BD35" i="14"/>
  <c r="BH35" i="14" s="1"/>
  <c r="BD16" i="14"/>
  <c r="BH16" i="14" s="1"/>
  <c r="BD54" i="14"/>
  <c r="BH54" i="14" s="1"/>
  <c r="BD78" i="14"/>
  <c r="BH78" i="14" s="1"/>
  <c r="BD20" i="14"/>
  <c r="BH20" i="14" s="1"/>
  <c r="BD47" i="14"/>
  <c r="BH47" i="14" s="1"/>
  <c r="BD51" i="14"/>
  <c r="BH51" i="14" s="1"/>
  <c r="BD55" i="14"/>
  <c r="BH55" i="14" s="1"/>
  <c r="BD59" i="14"/>
  <c r="BH59" i="14" s="1"/>
  <c r="BD63" i="14"/>
  <c r="BH63" i="14" s="1"/>
  <c r="BD67" i="14"/>
  <c r="BH67" i="14" s="1"/>
  <c r="BD48" i="14"/>
  <c r="BH48" i="14" s="1"/>
  <c r="BD52" i="14"/>
  <c r="BH52" i="14" s="1"/>
  <c r="BD56" i="14"/>
  <c r="BH56" i="14" s="1"/>
  <c r="BD60" i="14"/>
  <c r="BH60" i="14" s="1"/>
  <c r="BD64" i="14"/>
  <c r="BH64" i="14" s="1"/>
  <c r="BD49" i="14"/>
  <c r="BH49" i="14" s="1"/>
  <c r="BD53" i="14"/>
  <c r="BH53" i="14" s="1"/>
  <c r="BD57" i="14"/>
  <c r="BH57" i="14" s="1"/>
  <c r="BD61" i="14"/>
  <c r="BH61" i="14" s="1"/>
  <c r="BD65" i="14"/>
  <c r="BH65" i="14" s="1"/>
  <c r="BD17" i="14"/>
  <c r="BH17" i="14" s="1"/>
  <c r="BD21" i="14"/>
  <c r="BH21" i="14" s="1"/>
  <c r="BD18" i="14"/>
  <c r="BH18" i="14" s="1"/>
  <c r="BD22" i="14"/>
  <c r="BH22" i="14" s="1"/>
  <c r="BD19" i="14"/>
  <c r="BH19" i="14" s="1"/>
  <c r="BD23" i="14"/>
  <c r="BH23" i="14" s="1"/>
  <c r="I54" i="7"/>
  <c r="D54" i="7" s="1"/>
  <c r="I55" i="7"/>
  <c r="D55" i="7" s="1"/>
  <c r="BD14" i="14"/>
  <c r="BH14" i="14" s="1"/>
  <c r="O28" i="30" l="1"/>
  <c r="F21" i="8" l="1"/>
  <c r="F20" i="8"/>
  <c r="F19" i="8"/>
  <c r="F18" i="8"/>
  <c r="F17" i="8"/>
  <c r="F16" i="8"/>
  <c r="F15" i="8"/>
  <c r="E21" i="8"/>
  <c r="E20" i="8"/>
  <c r="E19" i="8"/>
  <c r="E18" i="8"/>
  <c r="E17" i="8"/>
  <c r="E16" i="8"/>
  <c r="E15" i="8"/>
  <c r="BB53" i="14" l="1"/>
  <c r="AZ53" i="14"/>
  <c r="AV53" i="14"/>
  <c r="AT53" i="14"/>
  <c r="AU53" i="14" s="1"/>
  <c r="AE53" i="14" s="1"/>
  <c r="AS53" i="14"/>
  <c r="AQ53" i="14"/>
  <c r="H53" i="14" s="1"/>
  <c r="BK53" i="14" s="1"/>
  <c r="AN53" i="14"/>
  <c r="AK53" i="14"/>
  <c r="AJ53" i="14"/>
  <c r="AI53" i="14"/>
  <c r="AD53" i="14"/>
  <c r="BB52" i="14"/>
  <c r="AZ52" i="14"/>
  <c r="AV52" i="14"/>
  <c r="AT52" i="14"/>
  <c r="AW52" i="14" s="1"/>
  <c r="AS52" i="14"/>
  <c r="AQ52" i="14"/>
  <c r="H52" i="14" s="1"/>
  <c r="BK52" i="14" s="1"/>
  <c r="AN52" i="14"/>
  <c r="AK52" i="14"/>
  <c r="AJ52" i="14"/>
  <c r="AY52" i="14"/>
  <c r="AD52" i="14"/>
  <c r="BB51" i="14"/>
  <c r="AZ51" i="14"/>
  <c r="AY51" i="14"/>
  <c r="AV51" i="14"/>
  <c r="AT51" i="14"/>
  <c r="AC51" i="14" s="1"/>
  <c r="BN51" i="14" s="1"/>
  <c r="AS51" i="14"/>
  <c r="AQ51" i="14"/>
  <c r="H51" i="14" s="1"/>
  <c r="BK51" i="14" s="1"/>
  <c r="AN51" i="14"/>
  <c r="AK51" i="14"/>
  <c r="AJ51" i="14"/>
  <c r="AI51" i="14"/>
  <c r="AD51" i="14"/>
  <c r="BB50" i="14"/>
  <c r="AZ50" i="14"/>
  <c r="AV50" i="14"/>
  <c r="AT50" i="14"/>
  <c r="AC50" i="14" s="1"/>
  <c r="BN50" i="14" s="1"/>
  <c r="AS50" i="14"/>
  <c r="AQ50" i="14"/>
  <c r="H50" i="14" s="1"/>
  <c r="BK50" i="14" s="1"/>
  <c r="AN50" i="14"/>
  <c r="AK50" i="14"/>
  <c r="AJ50" i="14"/>
  <c r="AI50" i="14"/>
  <c r="AD50" i="14"/>
  <c r="BB49" i="14"/>
  <c r="AZ49" i="14"/>
  <c r="AV49" i="14"/>
  <c r="AT49" i="14"/>
  <c r="AW49" i="14" s="1"/>
  <c r="AS49" i="14"/>
  <c r="AQ49" i="14"/>
  <c r="H49" i="14" s="1"/>
  <c r="BK49" i="14" s="1"/>
  <c r="AN49" i="14"/>
  <c r="AK49" i="14"/>
  <c r="AJ49" i="14"/>
  <c r="AY49" i="14"/>
  <c r="AD49" i="14"/>
  <c r="BB25" i="14"/>
  <c r="AZ25" i="14"/>
  <c r="AT25" i="14"/>
  <c r="AW25" i="14" s="1"/>
  <c r="AS25" i="14"/>
  <c r="AQ25" i="14"/>
  <c r="H25" i="14" s="1"/>
  <c r="BK25" i="14" s="1"/>
  <c r="AN25" i="14"/>
  <c r="AL25" i="14"/>
  <c r="AK25" i="14"/>
  <c r="AJ25" i="14"/>
  <c r="AR25" i="14"/>
  <c r="AD25" i="14"/>
  <c r="BB24" i="14"/>
  <c r="AZ24" i="14"/>
  <c r="AT24" i="14"/>
  <c r="AW24" i="14" s="1"/>
  <c r="AS24" i="14"/>
  <c r="AQ24" i="14"/>
  <c r="H24" i="14" s="1"/>
  <c r="BK24" i="14" s="1"/>
  <c r="AN24" i="14"/>
  <c r="AL24" i="14"/>
  <c r="AK24" i="14"/>
  <c r="AJ24" i="14"/>
  <c r="AR24" i="14"/>
  <c r="AD24" i="14"/>
  <c r="BB23" i="14"/>
  <c r="AZ23" i="14"/>
  <c r="AT23" i="14"/>
  <c r="AW23" i="14" s="1"/>
  <c r="AS23" i="14"/>
  <c r="AQ23" i="14"/>
  <c r="H23" i="14" s="1"/>
  <c r="BK23" i="14" s="1"/>
  <c r="AN23" i="14"/>
  <c r="AL23" i="14"/>
  <c r="AK23" i="14"/>
  <c r="AJ23" i="14"/>
  <c r="AR23" i="14"/>
  <c r="AD23" i="14"/>
  <c r="BB22" i="14"/>
  <c r="AZ22" i="14"/>
  <c r="AY22" i="14"/>
  <c r="AT22" i="14"/>
  <c r="AW22" i="14" s="1"/>
  <c r="AS22" i="14"/>
  <c r="AQ22" i="14"/>
  <c r="H22" i="14" s="1"/>
  <c r="BK22" i="14" s="1"/>
  <c r="AN22" i="14"/>
  <c r="AL22" i="14"/>
  <c r="AK22" i="14"/>
  <c r="AJ22" i="14"/>
  <c r="AR22" i="14"/>
  <c r="AD22" i="14"/>
  <c r="BB21" i="14"/>
  <c r="AZ21" i="14"/>
  <c r="AT21" i="14"/>
  <c r="AW21" i="14" s="1"/>
  <c r="AS21" i="14"/>
  <c r="AQ21" i="14"/>
  <c r="H21" i="14" s="1"/>
  <c r="BK21" i="14" s="1"/>
  <c r="AN21" i="14"/>
  <c r="AL21" i="14"/>
  <c r="AK21" i="14"/>
  <c r="AJ21" i="14"/>
  <c r="AR21" i="14"/>
  <c r="AD21" i="14"/>
  <c r="BB75" i="14"/>
  <c r="AZ75" i="14"/>
  <c r="AT75" i="14"/>
  <c r="AW75" i="14" s="1"/>
  <c r="AS75" i="14"/>
  <c r="AO75" i="14"/>
  <c r="BA75" i="14" s="1"/>
  <c r="AN75" i="14"/>
  <c r="AK75" i="14"/>
  <c r="AJ75" i="14"/>
  <c r="AI75" i="14"/>
  <c r="AH75" i="14"/>
  <c r="AY75" i="14" s="1"/>
  <c r="AD75" i="14"/>
  <c r="BB74" i="14"/>
  <c r="AZ74" i="14"/>
  <c r="AT74" i="14"/>
  <c r="AW74" i="14" s="1"/>
  <c r="AS74" i="14"/>
  <c r="AO74" i="14"/>
  <c r="AN74" i="14"/>
  <c r="AK74" i="14"/>
  <c r="AJ74" i="14"/>
  <c r="AI74" i="14"/>
  <c r="AH74" i="14"/>
  <c r="AY74" i="14" s="1"/>
  <c r="AD74" i="14"/>
  <c r="BB73" i="14"/>
  <c r="AZ73" i="14"/>
  <c r="AT73" i="14"/>
  <c r="AC73" i="14" s="1"/>
  <c r="BN73" i="14" s="1"/>
  <c r="AS73" i="14"/>
  <c r="AO73" i="14"/>
  <c r="BA73" i="14" s="1"/>
  <c r="AN73" i="14"/>
  <c r="AK73" i="14"/>
  <c r="AJ73" i="14"/>
  <c r="AI73" i="14"/>
  <c r="AH73" i="14"/>
  <c r="AD73" i="14"/>
  <c r="BB72" i="14"/>
  <c r="AZ72" i="14"/>
  <c r="AT72" i="14"/>
  <c r="AU72" i="14" s="1"/>
  <c r="AE72" i="14" s="1"/>
  <c r="AS72" i="14"/>
  <c r="AO72" i="14"/>
  <c r="AN72" i="14"/>
  <c r="AK72" i="14"/>
  <c r="AJ72" i="14"/>
  <c r="AI72" i="14"/>
  <c r="AH72" i="14"/>
  <c r="AY72" i="14" s="1"/>
  <c r="AD72" i="14"/>
  <c r="BB60" i="14"/>
  <c r="AZ60" i="14"/>
  <c r="AV60" i="14"/>
  <c r="AT60" i="14"/>
  <c r="AU60" i="14" s="1"/>
  <c r="AE60" i="14" s="1"/>
  <c r="AS60" i="14"/>
  <c r="AQ60" i="14"/>
  <c r="H60" i="14" s="1"/>
  <c r="BK60" i="14" s="1"/>
  <c r="AN60" i="14"/>
  <c r="AK60" i="14"/>
  <c r="AJ60" i="14"/>
  <c r="AR60" i="14"/>
  <c r="AD60" i="14"/>
  <c r="BB59" i="14"/>
  <c r="AZ59" i="14"/>
  <c r="AV59" i="14"/>
  <c r="AT59" i="14"/>
  <c r="AW59" i="14" s="1"/>
  <c r="AS59" i="14"/>
  <c r="AQ59" i="14"/>
  <c r="H59" i="14" s="1"/>
  <c r="BK59" i="14" s="1"/>
  <c r="AN59" i="14"/>
  <c r="AK59" i="14"/>
  <c r="AJ59" i="14"/>
  <c r="AY59" i="14"/>
  <c r="AD59" i="14"/>
  <c r="BB58" i="14"/>
  <c r="AZ58" i="14"/>
  <c r="AV58" i="14"/>
  <c r="AT58" i="14"/>
  <c r="AW58" i="14" s="1"/>
  <c r="AS58" i="14"/>
  <c r="AQ58" i="14"/>
  <c r="H58" i="14" s="1"/>
  <c r="BK58" i="14" s="1"/>
  <c r="AN58" i="14"/>
  <c r="AK58" i="14"/>
  <c r="AJ58" i="14"/>
  <c r="AI58" i="14"/>
  <c r="AD58" i="14"/>
  <c r="BB57" i="14"/>
  <c r="AZ57" i="14"/>
  <c r="AV57" i="14"/>
  <c r="AT57" i="14"/>
  <c r="AC57" i="14" s="1"/>
  <c r="BN57" i="14" s="1"/>
  <c r="AS57" i="14"/>
  <c r="AQ57" i="14"/>
  <c r="H57" i="14" s="1"/>
  <c r="BK57" i="14" s="1"/>
  <c r="AN57" i="14"/>
  <c r="AK57" i="14"/>
  <c r="AJ57" i="14"/>
  <c r="AI57" i="14"/>
  <c r="AD57" i="14"/>
  <c r="BB56" i="14"/>
  <c r="AZ56" i="14"/>
  <c r="AV56" i="14"/>
  <c r="AT56" i="14"/>
  <c r="AC56" i="14" s="1"/>
  <c r="BN56" i="14" s="1"/>
  <c r="AS56" i="14"/>
  <c r="AQ56" i="14"/>
  <c r="H56" i="14" s="1"/>
  <c r="BK56" i="14" s="1"/>
  <c r="AN56" i="14"/>
  <c r="AK56" i="14"/>
  <c r="AJ56" i="14"/>
  <c r="AR56" i="14"/>
  <c r="AD56" i="14"/>
  <c r="BB29" i="14"/>
  <c r="AZ29" i="14"/>
  <c r="AT29" i="14"/>
  <c r="AW29" i="14" s="1"/>
  <c r="AS29" i="14"/>
  <c r="AQ29" i="14"/>
  <c r="H29" i="14" s="1"/>
  <c r="BK29" i="14" s="1"/>
  <c r="AN29" i="14"/>
  <c r="AL29" i="14"/>
  <c r="AK29" i="14"/>
  <c r="AJ29" i="14"/>
  <c r="AR29" i="14"/>
  <c r="AD29" i="14"/>
  <c r="BB28" i="14"/>
  <c r="AZ28" i="14"/>
  <c r="AT28" i="14"/>
  <c r="AW28" i="14" s="1"/>
  <c r="AS28" i="14"/>
  <c r="AQ28" i="14"/>
  <c r="H28" i="14" s="1"/>
  <c r="BK28" i="14" s="1"/>
  <c r="AN28" i="14"/>
  <c r="AL28" i="14"/>
  <c r="AK28" i="14"/>
  <c r="AJ28" i="14"/>
  <c r="AP28" i="14"/>
  <c r="AD28" i="14"/>
  <c r="BB27" i="14"/>
  <c r="AZ27" i="14"/>
  <c r="AT27" i="14"/>
  <c r="AC27" i="14" s="1"/>
  <c r="BN27" i="14" s="1"/>
  <c r="AS27" i="14"/>
  <c r="AQ27" i="14"/>
  <c r="H27" i="14" s="1"/>
  <c r="BK27" i="14" s="1"/>
  <c r="AN27" i="14"/>
  <c r="AL27" i="14"/>
  <c r="AK27" i="14"/>
  <c r="AJ27" i="14"/>
  <c r="AR27" i="14"/>
  <c r="AD27" i="14"/>
  <c r="BB26" i="14"/>
  <c r="AZ26" i="14"/>
  <c r="AT26" i="14"/>
  <c r="AW26" i="14" s="1"/>
  <c r="AS26" i="14"/>
  <c r="AQ26" i="14"/>
  <c r="H26" i="14" s="1"/>
  <c r="BK26" i="14" s="1"/>
  <c r="AN26" i="14"/>
  <c r="AL26" i="14"/>
  <c r="AK26" i="14"/>
  <c r="AJ26" i="14"/>
  <c r="AP26" i="14"/>
  <c r="AD26" i="14"/>
  <c r="BB20" i="14"/>
  <c r="AZ20" i="14"/>
  <c r="AT20" i="14"/>
  <c r="AC20" i="14" s="1"/>
  <c r="BN20" i="14" s="1"/>
  <c r="AS20" i="14"/>
  <c r="AQ20" i="14"/>
  <c r="H20" i="14" s="1"/>
  <c r="BK20" i="14" s="1"/>
  <c r="AN20" i="14"/>
  <c r="AL20" i="14"/>
  <c r="AK20" i="14"/>
  <c r="AJ20" i="14"/>
  <c r="AR20" i="14"/>
  <c r="AD20" i="14"/>
  <c r="BB33" i="14"/>
  <c r="AZ33" i="14"/>
  <c r="AT33" i="14"/>
  <c r="AU33" i="14" s="1"/>
  <c r="AE33" i="14" s="1"/>
  <c r="AS33" i="14"/>
  <c r="AR33" i="14"/>
  <c r="AQ33" i="14"/>
  <c r="H33" i="14" s="1"/>
  <c r="BK33" i="14" s="1"/>
  <c r="AN33" i="14"/>
  <c r="AL33" i="14"/>
  <c r="AK33" i="14"/>
  <c r="AJ33" i="14"/>
  <c r="AI33" i="14"/>
  <c r="AD33" i="14"/>
  <c r="BB32" i="14"/>
  <c r="AZ32" i="14"/>
  <c r="AT32" i="14"/>
  <c r="AU32" i="14" s="1"/>
  <c r="AE32" i="14" s="1"/>
  <c r="AS32" i="14"/>
  <c r="AQ32" i="14"/>
  <c r="H32" i="14" s="1"/>
  <c r="BK32" i="14" s="1"/>
  <c r="AN32" i="14"/>
  <c r="AL32" i="14"/>
  <c r="AK32" i="14"/>
  <c r="AJ32" i="14"/>
  <c r="AI32" i="14"/>
  <c r="AP32" i="14"/>
  <c r="AD32" i="14"/>
  <c r="BB31" i="14"/>
  <c r="AZ31" i="14"/>
  <c r="AT31" i="14"/>
  <c r="AC31" i="14" s="1"/>
  <c r="BN31" i="14" s="1"/>
  <c r="AS31" i="14"/>
  <c r="AQ31" i="14"/>
  <c r="H31" i="14" s="1"/>
  <c r="BK31" i="14" s="1"/>
  <c r="AN31" i="14"/>
  <c r="AL31" i="14"/>
  <c r="AK31" i="14"/>
  <c r="AJ31" i="14"/>
  <c r="AI31" i="14"/>
  <c r="AD31" i="14"/>
  <c r="BB18" i="14"/>
  <c r="AZ18" i="14"/>
  <c r="AT18" i="14"/>
  <c r="AU18" i="14" s="1"/>
  <c r="AE18" i="14" s="1"/>
  <c r="AS18" i="14"/>
  <c r="AQ18" i="14"/>
  <c r="H18" i="14" s="1"/>
  <c r="BK18" i="14" s="1"/>
  <c r="AN18" i="14"/>
  <c r="AL18" i="14"/>
  <c r="AK18" i="14"/>
  <c r="AJ18" i="14"/>
  <c r="AR18" i="14"/>
  <c r="AD18" i="14"/>
  <c r="BB17" i="14"/>
  <c r="AZ17" i="14"/>
  <c r="AT17" i="14"/>
  <c r="AW17" i="14" s="1"/>
  <c r="AS17" i="14"/>
  <c r="AQ17" i="14"/>
  <c r="H17" i="14" s="1"/>
  <c r="BK17" i="14" s="1"/>
  <c r="AN17" i="14"/>
  <c r="AL17" i="14"/>
  <c r="AK17" i="14"/>
  <c r="AJ17" i="14"/>
  <c r="AI17" i="14"/>
  <c r="AD17" i="14"/>
  <c r="BB16" i="14"/>
  <c r="AZ16" i="14"/>
  <c r="AT16" i="14"/>
  <c r="AU16" i="14" s="1"/>
  <c r="AE16" i="14" s="1"/>
  <c r="AS16" i="14"/>
  <c r="AQ16" i="14"/>
  <c r="H16" i="14" s="1"/>
  <c r="BK16" i="14" s="1"/>
  <c r="AN16" i="14"/>
  <c r="AL16" i="14"/>
  <c r="AK16" i="14"/>
  <c r="AJ16" i="14"/>
  <c r="AR16" i="14"/>
  <c r="AD16" i="14"/>
  <c r="BB15" i="14"/>
  <c r="AZ15" i="14"/>
  <c r="AT15" i="14"/>
  <c r="AW15" i="14" s="1"/>
  <c r="AS15" i="14"/>
  <c r="AN15" i="14"/>
  <c r="AL15" i="14"/>
  <c r="AK15" i="14"/>
  <c r="AJ15" i="14"/>
  <c r="AI15" i="14"/>
  <c r="AD15" i="14"/>
  <c r="BB14" i="14"/>
  <c r="AZ14" i="14"/>
  <c r="AS14" i="14"/>
  <c r="AN14" i="14"/>
  <c r="AL14" i="14"/>
  <c r="AK14" i="14"/>
  <c r="AJ14" i="14"/>
  <c r="AD14" i="14"/>
  <c r="AT14" i="14"/>
  <c r="BB19" i="14"/>
  <c r="AZ19" i="14"/>
  <c r="AT19" i="14"/>
  <c r="AC19" i="14" s="1"/>
  <c r="BN19" i="14" s="1"/>
  <c r="AS19" i="14"/>
  <c r="AQ19" i="14"/>
  <c r="H19" i="14" s="1"/>
  <c r="BK19" i="14" s="1"/>
  <c r="AN19" i="14"/>
  <c r="AL19" i="14"/>
  <c r="AK19" i="14"/>
  <c r="AJ19" i="14"/>
  <c r="AR19" i="14"/>
  <c r="AD19" i="14"/>
  <c r="BB30" i="14"/>
  <c r="AZ30" i="14"/>
  <c r="AT30" i="14"/>
  <c r="AC30" i="14" s="1"/>
  <c r="BN30" i="14" s="1"/>
  <c r="AS30" i="14"/>
  <c r="AQ30" i="14"/>
  <c r="H30" i="14" s="1"/>
  <c r="BK30" i="14" s="1"/>
  <c r="AN30" i="14"/>
  <c r="AL30" i="14"/>
  <c r="AK30" i="14"/>
  <c r="AJ30" i="14"/>
  <c r="AR30" i="14"/>
  <c r="AD30" i="14"/>
  <c r="AF21" i="14" l="1"/>
  <c r="BO21" i="14"/>
  <c r="AF26" i="14"/>
  <c r="BO26" i="14"/>
  <c r="AF52" i="14"/>
  <c r="AF29" i="14"/>
  <c r="BO29" i="14"/>
  <c r="AF58" i="14"/>
  <c r="AF74" i="14"/>
  <c r="BO74" i="14"/>
  <c r="AF24" i="14"/>
  <c r="BO24" i="14"/>
  <c r="AF22" i="14"/>
  <c r="BO22" i="14"/>
  <c r="AF59" i="14"/>
  <c r="AF75" i="14"/>
  <c r="BO75" i="14"/>
  <c r="AF25" i="14"/>
  <c r="BO25" i="14"/>
  <c r="AF17" i="14"/>
  <c r="BO17" i="14"/>
  <c r="AF15" i="14"/>
  <c r="BO15" i="14"/>
  <c r="AF28" i="14"/>
  <c r="BO28" i="14"/>
  <c r="AF23" i="14"/>
  <c r="BO23" i="14"/>
  <c r="AF49" i="14"/>
  <c r="BE75" i="14"/>
  <c r="BD75" i="14"/>
  <c r="BH75" i="14" s="1"/>
  <c r="AP74" i="14"/>
  <c r="AQ74" i="14" s="1"/>
  <c r="H74" i="14" s="1"/>
  <c r="AP72" i="14"/>
  <c r="AQ72" i="14" s="1"/>
  <c r="H72" i="14" s="1"/>
  <c r="BD15" i="14"/>
  <c r="BH15" i="14" s="1"/>
  <c r="BE15" i="14"/>
  <c r="AY14" i="14"/>
  <c r="AY15" i="14"/>
  <c r="AY16" i="14"/>
  <c r="AO28" i="14"/>
  <c r="BA28" i="14" s="1"/>
  <c r="AY73" i="14"/>
  <c r="BD73" i="14" s="1"/>
  <c r="BH73" i="14" s="1"/>
  <c r="AO24" i="14"/>
  <c r="BA24" i="14" s="1"/>
  <c r="BA72" i="14"/>
  <c r="BD72" i="14" s="1"/>
  <c r="BH72" i="14" s="1"/>
  <c r="BK72" i="14" s="1"/>
  <c r="BA74" i="14"/>
  <c r="BE74" i="14" s="1"/>
  <c r="AO51" i="14"/>
  <c r="BA51" i="14" s="1"/>
  <c r="AO26" i="14"/>
  <c r="BA26" i="14" s="1"/>
  <c r="AC22" i="14"/>
  <c r="BN22" i="14" s="1"/>
  <c r="AO22" i="14"/>
  <c r="BA22" i="14" s="1"/>
  <c r="AO14" i="14"/>
  <c r="BA14" i="14" s="1"/>
  <c r="AO15" i="14"/>
  <c r="BA15" i="14" s="1"/>
  <c r="AO16" i="14"/>
  <c r="BA16" i="14" s="1"/>
  <c r="AO17" i="14"/>
  <c r="BA17" i="14" s="1"/>
  <c r="AR15" i="14"/>
  <c r="J15" i="14" s="1"/>
  <c r="BM15" i="14" s="1"/>
  <c r="AO18" i="14"/>
  <c r="BA18" i="14" s="1"/>
  <c r="AI26" i="14"/>
  <c r="AR26" i="14"/>
  <c r="AR17" i="14"/>
  <c r="AR31" i="14"/>
  <c r="AR32" i="14"/>
  <c r="AI28" i="14"/>
  <c r="AR28" i="14"/>
  <c r="AY57" i="14"/>
  <c r="AW33" i="14"/>
  <c r="AY26" i="14"/>
  <c r="AC75" i="14"/>
  <c r="BN75" i="14" s="1"/>
  <c r="AY24" i="14"/>
  <c r="AY17" i="14"/>
  <c r="AY18" i="14"/>
  <c r="AY28" i="14"/>
  <c r="AO57" i="14"/>
  <c r="BA57" i="14" s="1"/>
  <c r="AI60" i="14"/>
  <c r="AW73" i="14"/>
  <c r="AC33" i="14"/>
  <c r="BN33" i="14" s="1"/>
  <c r="AC25" i="14"/>
  <c r="BN25" i="14" s="1"/>
  <c r="AC49" i="14"/>
  <c r="BN49" i="14" s="1"/>
  <c r="AC53" i="14"/>
  <c r="BN53" i="14" s="1"/>
  <c r="AP75" i="14"/>
  <c r="AQ75" i="14" s="1"/>
  <c r="H75" i="14" s="1"/>
  <c r="AU49" i="14"/>
  <c r="AE49" i="14" s="1"/>
  <c r="AU75" i="14"/>
  <c r="AE75" i="14" s="1"/>
  <c r="AW50" i="14"/>
  <c r="AW51" i="14"/>
  <c r="AW53" i="14"/>
  <c r="AR49" i="14"/>
  <c r="AI49" i="14"/>
  <c r="AO50" i="14"/>
  <c r="BA50" i="14" s="1"/>
  <c r="AY50" i="14"/>
  <c r="AU51" i="14"/>
  <c r="AE51" i="14" s="1"/>
  <c r="AR52" i="14"/>
  <c r="AU73" i="14"/>
  <c r="AE73" i="14" s="1"/>
  <c r="AC23" i="14"/>
  <c r="BN23" i="14" s="1"/>
  <c r="AC24" i="14"/>
  <c r="BN24" i="14" s="1"/>
  <c r="AI52" i="14"/>
  <c r="AO53" i="14"/>
  <c r="BA53" i="14" s="1"/>
  <c r="AY53" i="14"/>
  <c r="AR50" i="14"/>
  <c r="AU52" i="14"/>
  <c r="AE52" i="14" s="1"/>
  <c r="AR53" i="14"/>
  <c r="AC52" i="14"/>
  <c r="BN52" i="14" s="1"/>
  <c r="AU31" i="14"/>
  <c r="AE31" i="14" s="1"/>
  <c r="AW56" i="14"/>
  <c r="AO49" i="14"/>
  <c r="BA49" i="14" s="1"/>
  <c r="AU50" i="14"/>
  <c r="AE50" i="14" s="1"/>
  <c r="AR51" i="14"/>
  <c r="AO52" i="14"/>
  <c r="BA52" i="14" s="1"/>
  <c r="AC21" i="14"/>
  <c r="BN21" i="14" s="1"/>
  <c r="AP24" i="14"/>
  <c r="AU21" i="14"/>
  <c r="AE21" i="14" s="1"/>
  <c r="AI22" i="14"/>
  <c r="AU23" i="14"/>
  <c r="AE23" i="14" s="1"/>
  <c r="AI24" i="14"/>
  <c r="AU25" i="14"/>
  <c r="AE25" i="14" s="1"/>
  <c r="AC26" i="14"/>
  <c r="BN26" i="14" s="1"/>
  <c r="AW72" i="14"/>
  <c r="AP22" i="14"/>
  <c r="AC28" i="14"/>
  <c r="BN28" i="14" s="1"/>
  <c r="AC60" i="14"/>
  <c r="BN60" i="14" s="1"/>
  <c r="AC59" i="14"/>
  <c r="BN59" i="14" s="1"/>
  <c r="AO21" i="14"/>
  <c r="BA21" i="14" s="1"/>
  <c r="AY21" i="14"/>
  <c r="AO23" i="14"/>
  <c r="BA23" i="14" s="1"/>
  <c r="AY23" i="14"/>
  <c r="AO25" i="14"/>
  <c r="BA25" i="14" s="1"/>
  <c r="AY25" i="14"/>
  <c r="AP21" i="14"/>
  <c r="AP23" i="14"/>
  <c r="AP25" i="14"/>
  <c r="AI21" i="14"/>
  <c r="AU22" i="14"/>
  <c r="AE22" i="14" s="1"/>
  <c r="AI23" i="14"/>
  <c r="AU24" i="14"/>
  <c r="AE24" i="14" s="1"/>
  <c r="AI25" i="14"/>
  <c r="AU56" i="14"/>
  <c r="AE56" i="14" s="1"/>
  <c r="AW60" i="14"/>
  <c r="AW32" i="14"/>
  <c r="AW27" i="14"/>
  <c r="AP73" i="14"/>
  <c r="AQ73" i="14" s="1"/>
  <c r="H73" i="14" s="1"/>
  <c r="AC74" i="14"/>
  <c r="BN74" i="14" s="1"/>
  <c r="AU74" i="14"/>
  <c r="AE74" i="14" s="1"/>
  <c r="AU27" i="14"/>
  <c r="AE27" i="14" s="1"/>
  <c r="AC29" i="14"/>
  <c r="BN29" i="14" s="1"/>
  <c r="AC72" i="14"/>
  <c r="BN72" i="14" s="1"/>
  <c r="AC32" i="14"/>
  <c r="BN32" i="14" s="1"/>
  <c r="AU29" i="14"/>
  <c r="AE29" i="14" s="1"/>
  <c r="AW57" i="14"/>
  <c r="AI56" i="14"/>
  <c r="AU58" i="14"/>
  <c r="AE58" i="14" s="1"/>
  <c r="AR59" i="14"/>
  <c r="AW20" i="14"/>
  <c r="AC58" i="14"/>
  <c r="BN58" i="14" s="1"/>
  <c r="AI59" i="14"/>
  <c r="AO60" i="14"/>
  <c r="BA60" i="14" s="1"/>
  <c r="AY60" i="14"/>
  <c r="AR57" i="14"/>
  <c r="AC17" i="14"/>
  <c r="BN17" i="14" s="1"/>
  <c r="AO58" i="14"/>
  <c r="BA58" i="14" s="1"/>
  <c r="AY58" i="14"/>
  <c r="AU59" i="14"/>
  <c r="AE59" i="14" s="1"/>
  <c r="AU20" i="14"/>
  <c r="AE20" i="14" s="1"/>
  <c r="AO56" i="14"/>
  <c r="BA56" i="14" s="1"/>
  <c r="AY56" i="14"/>
  <c r="AU57" i="14"/>
  <c r="AE57" i="14" s="1"/>
  <c r="AR58" i="14"/>
  <c r="AW18" i="14"/>
  <c r="AO59" i="14"/>
  <c r="BA59" i="14" s="1"/>
  <c r="AO20" i="14"/>
  <c r="BA20" i="14" s="1"/>
  <c r="AY20" i="14"/>
  <c r="AO27" i="14"/>
  <c r="BA27" i="14" s="1"/>
  <c r="AY27" i="14"/>
  <c r="AO29" i="14"/>
  <c r="BA29" i="14" s="1"/>
  <c r="AY29" i="14"/>
  <c r="AP20" i="14"/>
  <c r="AP27" i="14"/>
  <c r="AP29" i="14"/>
  <c r="AW31" i="14"/>
  <c r="AI20" i="14"/>
  <c r="AU26" i="14"/>
  <c r="AE26" i="14" s="1"/>
  <c r="AI27" i="14"/>
  <c r="AU28" i="14"/>
  <c r="AE28" i="14" s="1"/>
  <c r="AI29" i="14"/>
  <c r="AC14" i="14"/>
  <c r="BN14" i="14" s="1"/>
  <c r="AW16" i="14"/>
  <c r="AO31" i="14"/>
  <c r="BA31" i="14" s="1"/>
  <c r="AY31" i="14"/>
  <c r="AO33" i="14"/>
  <c r="BA33" i="14" s="1"/>
  <c r="AY33" i="14"/>
  <c r="AP31" i="14"/>
  <c r="AP33" i="14"/>
  <c r="AC15" i="14"/>
  <c r="BN15" i="14" s="1"/>
  <c r="AW14" i="14"/>
  <c r="AC18" i="14"/>
  <c r="BN18" i="14" s="1"/>
  <c r="AC16" i="14"/>
  <c r="BN16" i="14" s="1"/>
  <c r="AO32" i="14"/>
  <c r="BA32" i="14" s="1"/>
  <c r="AY32" i="14"/>
  <c r="AP15" i="14"/>
  <c r="AQ15" i="14" s="1"/>
  <c r="H15" i="14" s="1"/>
  <c r="AP17" i="14"/>
  <c r="AP14" i="14"/>
  <c r="AQ14" i="14" s="1"/>
  <c r="H14" i="14" s="1"/>
  <c r="AP16" i="14"/>
  <c r="AP18" i="14"/>
  <c r="AI14" i="14"/>
  <c r="AU15" i="14"/>
  <c r="AE15" i="14" s="1"/>
  <c r="AI16" i="14"/>
  <c r="AU17" i="14"/>
  <c r="AE17" i="14" s="1"/>
  <c r="AI18" i="14"/>
  <c r="AW19" i="14"/>
  <c r="AO19" i="14"/>
  <c r="BA19" i="14" s="1"/>
  <c r="AY19" i="14"/>
  <c r="AU19" i="14"/>
  <c r="AE19" i="14" s="1"/>
  <c r="AP19" i="14"/>
  <c r="AW30" i="14"/>
  <c r="AI19" i="14"/>
  <c r="AU30" i="14"/>
  <c r="AE30" i="14" s="1"/>
  <c r="AO30" i="14"/>
  <c r="BA30" i="14" s="1"/>
  <c r="AY30" i="14"/>
  <c r="AP30" i="14"/>
  <c r="AI30" i="14"/>
  <c r="BK15" i="14" l="1"/>
  <c r="BK73" i="14"/>
  <c r="AU14" i="14"/>
  <c r="AE14" i="14" s="1"/>
  <c r="BK14" i="14"/>
  <c r="BK75" i="14"/>
  <c r="AF31" i="14"/>
  <c r="BO31" i="14"/>
  <c r="AF16" i="14"/>
  <c r="BO16" i="14"/>
  <c r="AF32" i="14"/>
  <c r="BO32" i="14"/>
  <c r="AF18" i="14"/>
  <c r="BO18" i="14"/>
  <c r="AF53" i="14"/>
  <c r="AF30" i="14"/>
  <c r="BO30" i="14"/>
  <c r="AF72" i="14"/>
  <c r="BO72" i="14"/>
  <c r="AF51" i="14"/>
  <c r="AF14" i="14"/>
  <c r="BO14" i="14"/>
  <c r="AF20" i="14"/>
  <c r="BO20" i="14"/>
  <c r="AF50" i="14"/>
  <c r="AF60" i="14"/>
  <c r="AF19" i="14"/>
  <c r="BO19" i="14"/>
  <c r="AF56" i="14"/>
  <c r="AF57" i="14"/>
  <c r="AF73" i="14"/>
  <c r="BO73" i="14"/>
  <c r="AF27" i="14"/>
  <c r="BO27" i="14"/>
  <c r="AF33" i="14"/>
  <c r="BO33" i="14"/>
  <c r="BE72" i="14"/>
  <c r="BE73" i="14"/>
  <c r="BD74" i="14"/>
  <c r="BH74" i="14" s="1"/>
  <c r="BK74" i="14" s="1"/>
  <c r="N58" i="7"/>
  <c r="M58" i="7"/>
  <c r="N57" i="7"/>
  <c r="M57" i="7"/>
  <c r="N56" i="7"/>
  <c r="M56" i="7"/>
  <c r="N49" i="7"/>
  <c r="M49" i="7"/>
  <c r="N48" i="7"/>
  <c r="M48" i="7"/>
  <c r="N47" i="7"/>
  <c r="M47" i="7"/>
  <c r="N46" i="7"/>
  <c r="M46" i="7"/>
  <c r="N45" i="7"/>
  <c r="M45" i="7"/>
  <c r="N44" i="7"/>
  <c r="M44" i="7"/>
  <c r="N43" i="7"/>
  <c r="M43" i="7"/>
  <c r="N42" i="7"/>
  <c r="M42" i="7"/>
  <c r="N41" i="7"/>
  <c r="M41" i="7"/>
  <c r="N40" i="7"/>
  <c r="M40" i="7"/>
  <c r="N39" i="7"/>
  <c r="M39" i="7"/>
  <c r="N38" i="7"/>
  <c r="M38" i="7"/>
  <c r="N37" i="7"/>
  <c r="M37" i="7"/>
  <c r="N36" i="7"/>
  <c r="M36" i="7"/>
  <c r="N35" i="7"/>
  <c r="M35" i="7"/>
  <c r="N34" i="7"/>
  <c r="M34" i="7"/>
  <c r="N33" i="7"/>
  <c r="M33" i="7"/>
  <c r="N32" i="7"/>
  <c r="M32" i="7"/>
  <c r="N31" i="7"/>
  <c r="M31" i="7"/>
  <c r="N30" i="7"/>
  <c r="M30" i="7"/>
  <c r="N29" i="7"/>
  <c r="M29" i="7"/>
  <c r="N28" i="7"/>
  <c r="M28" i="7"/>
  <c r="N27" i="7"/>
  <c r="M27" i="7"/>
  <c r="N26" i="7"/>
  <c r="M26" i="7"/>
  <c r="N25" i="7"/>
  <c r="M25" i="7"/>
  <c r="N24" i="7"/>
  <c r="M24" i="7"/>
  <c r="N23" i="7"/>
  <c r="M23" i="7"/>
  <c r="N22" i="7"/>
  <c r="M22" i="7"/>
  <c r="N21" i="7"/>
  <c r="M21" i="7"/>
  <c r="N20" i="7"/>
  <c r="M20" i="7"/>
  <c r="N19" i="7"/>
  <c r="M19" i="7"/>
  <c r="N18" i="7"/>
  <c r="M18" i="7"/>
  <c r="N17" i="7"/>
  <c r="M17" i="7"/>
  <c r="N16" i="7"/>
  <c r="M16" i="7"/>
  <c r="N15" i="7"/>
  <c r="M15" i="7"/>
  <c r="N14" i="7"/>
  <c r="M14" i="7"/>
  <c r="N13" i="7"/>
  <c r="M13" i="7"/>
  <c r="N12" i="7"/>
  <c r="M12" i="7"/>
  <c r="N11" i="7"/>
  <c r="M11" i="7"/>
  <c r="N10" i="7"/>
  <c r="M10" i="7"/>
  <c r="N9" i="7"/>
  <c r="M9" i="7"/>
  <c r="N8" i="7"/>
  <c r="M8" i="7"/>
  <c r="N7" i="7"/>
  <c r="M7" i="7"/>
  <c r="N6" i="7"/>
  <c r="M6" i="7"/>
  <c r="K58" i="7"/>
  <c r="J58" i="7"/>
  <c r="H58" i="7"/>
  <c r="L58" i="7" s="1"/>
  <c r="G58" i="7"/>
  <c r="K57" i="7"/>
  <c r="J57" i="7"/>
  <c r="H57" i="7"/>
  <c r="I57" i="7" s="1"/>
  <c r="D57" i="7" s="1"/>
  <c r="G57" i="7"/>
  <c r="K56" i="7"/>
  <c r="J56" i="7"/>
  <c r="H56" i="7"/>
  <c r="I56" i="7" s="1"/>
  <c r="D56" i="7" s="1"/>
  <c r="G56" i="7"/>
  <c r="K49" i="7"/>
  <c r="J49" i="7"/>
  <c r="H49" i="7"/>
  <c r="L49" i="7" s="1"/>
  <c r="G49" i="7"/>
  <c r="K48" i="7"/>
  <c r="J48" i="7"/>
  <c r="H48" i="7"/>
  <c r="I48" i="7" s="1"/>
  <c r="D48" i="7" s="1"/>
  <c r="G48" i="7"/>
  <c r="K47" i="7"/>
  <c r="J47" i="7"/>
  <c r="H47" i="7"/>
  <c r="I47" i="7" s="1"/>
  <c r="D47" i="7" s="1"/>
  <c r="G47" i="7"/>
  <c r="K46" i="7"/>
  <c r="J46" i="7"/>
  <c r="H46" i="7"/>
  <c r="I46" i="7" s="1"/>
  <c r="D46" i="7" s="1"/>
  <c r="G46" i="7"/>
  <c r="K45" i="7"/>
  <c r="J45" i="7"/>
  <c r="H45" i="7"/>
  <c r="L45" i="7" s="1"/>
  <c r="G45" i="7"/>
  <c r="K44" i="7"/>
  <c r="J44" i="7"/>
  <c r="H44" i="7"/>
  <c r="I44" i="7" s="1"/>
  <c r="D44" i="7" s="1"/>
  <c r="G44" i="7"/>
  <c r="K43" i="7"/>
  <c r="J43" i="7"/>
  <c r="H43" i="7"/>
  <c r="L43" i="7" s="1"/>
  <c r="G43" i="7"/>
  <c r="K42" i="7"/>
  <c r="J42" i="7"/>
  <c r="H42" i="7"/>
  <c r="I42" i="7" s="1"/>
  <c r="D42" i="7" s="1"/>
  <c r="G42" i="7"/>
  <c r="K41" i="7"/>
  <c r="J41" i="7"/>
  <c r="H41" i="7"/>
  <c r="L41" i="7" s="1"/>
  <c r="G41" i="7"/>
  <c r="K40" i="7"/>
  <c r="J40" i="7"/>
  <c r="H40" i="7"/>
  <c r="I40" i="7" s="1"/>
  <c r="D40" i="7" s="1"/>
  <c r="G40" i="7"/>
  <c r="K39" i="7"/>
  <c r="J39" i="7"/>
  <c r="H39" i="7"/>
  <c r="I39" i="7" s="1"/>
  <c r="D39" i="7" s="1"/>
  <c r="G39" i="7"/>
  <c r="K38" i="7"/>
  <c r="J38" i="7"/>
  <c r="H38" i="7"/>
  <c r="I38" i="7" s="1"/>
  <c r="D38" i="7" s="1"/>
  <c r="G38" i="7"/>
  <c r="K37" i="7"/>
  <c r="J37" i="7"/>
  <c r="H37" i="7"/>
  <c r="L37" i="7" s="1"/>
  <c r="G37" i="7"/>
  <c r="K36" i="7"/>
  <c r="J36" i="7"/>
  <c r="H36" i="7"/>
  <c r="I36" i="7" s="1"/>
  <c r="D36" i="7" s="1"/>
  <c r="G36" i="7"/>
  <c r="K35" i="7"/>
  <c r="J35" i="7"/>
  <c r="H35" i="7"/>
  <c r="I35" i="7" s="1"/>
  <c r="D35" i="7" s="1"/>
  <c r="G35" i="7"/>
  <c r="K34" i="7"/>
  <c r="J34" i="7"/>
  <c r="H34" i="7"/>
  <c r="L34" i="7" s="1"/>
  <c r="G34" i="7"/>
  <c r="K33" i="7"/>
  <c r="J33" i="7"/>
  <c r="H33" i="7"/>
  <c r="L33" i="7" s="1"/>
  <c r="G33" i="7"/>
  <c r="K32" i="7"/>
  <c r="J32" i="7"/>
  <c r="H32" i="7"/>
  <c r="L32" i="7" s="1"/>
  <c r="G32" i="7"/>
  <c r="K31" i="7"/>
  <c r="J31" i="7"/>
  <c r="H31" i="7"/>
  <c r="L31" i="7" s="1"/>
  <c r="G31" i="7"/>
  <c r="K30" i="7"/>
  <c r="J30" i="7"/>
  <c r="H30" i="7"/>
  <c r="L30" i="7" s="1"/>
  <c r="G30" i="7"/>
  <c r="K29" i="7"/>
  <c r="J29" i="7"/>
  <c r="H29" i="7"/>
  <c r="L29" i="7" s="1"/>
  <c r="G29" i="7"/>
  <c r="K28" i="7"/>
  <c r="J28" i="7"/>
  <c r="H28" i="7"/>
  <c r="I28" i="7" s="1"/>
  <c r="D28" i="7" s="1"/>
  <c r="G28" i="7"/>
  <c r="K27" i="7"/>
  <c r="J27" i="7"/>
  <c r="H27" i="7"/>
  <c r="I27" i="7" s="1"/>
  <c r="D27" i="7" s="1"/>
  <c r="G27" i="7"/>
  <c r="K26" i="7"/>
  <c r="J26" i="7"/>
  <c r="H26" i="7"/>
  <c r="I26" i="7" s="1"/>
  <c r="D26" i="7" s="1"/>
  <c r="G26" i="7"/>
  <c r="K25" i="7"/>
  <c r="J25" i="7"/>
  <c r="H25" i="7"/>
  <c r="L25" i="7" s="1"/>
  <c r="G25" i="7"/>
  <c r="K24" i="7"/>
  <c r="J24" i="7"/>
  <c r="H24" i="7"/>
  <c r="I24" i="7" s="1"/>
  <c r="D24" i="7" s="1"/>
  <c r="G24" i="7"/>
  <c r="K23" i="7"/>
  <c r="J23" i="7"/>
  <c r="H23" i="7"/>
  <c r="L23" i="7" s="1"/>
  <c r="G23" i="7"/>
  <c r="K22" i="7"/>
  <c r="J22" i="7"/>
  <c r="H22" i="7"/>
  <c r="L22" i="7" s="1"/>
  <c r="G22" i="7"/>
  <c r="K21" i="7"/>
  <c r="J21" i="7"/>
  <c r="H21" i="7"/>
  <c r="L21" i="7" s="1"/>
  <c r="G21" i="7"/>
  <c r="K20" i="7"/>
  <c r="J20" i="7"/>
  <c r="H20" i="7"/>
  <c r="L20" i="7" s="1"/>
  <c r="G20" i="7"/>
  <c r="K19" i="7"/>
  <c r="J19" i="7"/>
  <c r="H19" i="7"/>
  <c r="L19" i="7" s="1"/>
  <c r="G19" i="7"/>
  <c r="K18" i="7"/>
  <c r="J18" i="7"/>
  <c r="H18" i="7"/>
  <c r="L18" i="7" s="1"/>
  <c r="G18" i="7"/>
  <c r="K17" i="7"/>
  <c r="J17" i="7"/>
  <c r="H17" i="7"/>
  <c r="L17" i="7" s="1"/>
  <c r="G17" i="7"/>
  <c r="K16" i="7"/>
  <c r="J16" i="7"/>
  <c r="H16" i="7"/>
  <c r="L16" i="7" s="1"/>
  <c r="G16" i="7"/>
  <c r="K15" i="7"/>
  <c r="J15" i="7"/>
  <c r="H15" i="7"/>
  <c r="L15" i="7" s="1"/>
  <c r="G15" i="7"/>
  <c r="K14" i="7"/>
  <c r="J14" i="7"/>
  <c r="H14" i="7"/>
  <c r="I14" i="7" s="1"/>
  <c r="D14" i="7" s="1"/>
  <c r="G14" i="7"/>
  <c r="K13" i="7"/>
  <c r="J13" i="7"/>
  <c r="H13" i="7"/>
  <c r="L13" i="7" s="1"/>
  <c r="G13" i="7"/>
  <c r="K12" i="7"/>
  <c r="J12" i="7"/>
  <c r="H12" i="7"/>
  <c r="L12" i="7" s="1"/>
  <c r="G12" i="7"/>
  <c r="K11" i="7"/>
  <c r="J11" i="7"/>
  <c r="H11" i="7"/>
  <c r="I11" i="7" s="1"/>
  <c r="D11" i="7" s="1"/>
  <c r="G11" i="7"/>
  <c r="H6" i="7"/>
  <c r="L6" i="7" s="1"/>
  <c r="P6" i="7" s="1"/>
  <c r="H7" i="7"/>
  <c r="H8" i="7"/>
  <c r="H9" i="7"/>
  <c r="H10" i="7"/>
  <c r="L10" i="7" s="1"/>
  <c r="K10" i="7"/>
  <c r="J10" i="7"/>
  <c r="J9" i="7"/>
  <c r="K9" i="7" s="1"/>
  <c r="J8" i="7"/>
  <c r="K8" i="7" s="1"/>
  <c r="J7" i="7"/>
  <c r="K7" i="7" s="1"/>
  <c r="J6" i="7"/>
  <c r="K6" i="7" s="1"/>
  <c r="G10" i="7"/>
  <c r="G9" i="7"/>
  <c r="G8" i="7"/>
  <c r="G7" i="7"/>
  <c r="G6" i="7"/>
  <c r="AD36" i="14"/>
  <c r="AD35" i="14"/>
  <c r="AD34" i="14"/>
  <c r="AD13" i="14"/>
  <c r="AD12" i="14"/>
  <c r="AO78" i="14"/>
  <c r="BA78" i="14" s="1"/>
  <c r="AO77" i="14"/>
  <c r="BA77" i="14" s="1"/>
  <c r="AO76" i="14"/>
  <c r="AP76" i="14" s="1"/>
  <c r="AO71" i="14"/>
  <c r="AP71" i="14" s="1"/>
  <c r="AQ71" i="14" s="1"/>
  <c r="H71" i="14" s="1"/>
  <c r="AO70" i="14"/>
  <c r="AT78" i="14"/>
  <c r="AU78" i="14" s="1"/>
  <c r="AE78" i="14" s="1"/>
  <c r="AT77" i="14"/>
  <c r="AW77" i="14" s="1"/>
  <c r="AT76" i="14"/>
  <c r="AC76" i="14" s="1"/>
  <c r="BN76" i="14" s="1"/>
  <c r="BB78" i="14"/>
  <c r="BB77" i="14"/>
  <c r="BB76" i="14"/>
  <c r="BB71" i="14"/>
  <c r="BB70" i="14"/>
  <c r="BB69" i="14"/>
  <c r="BB67" i="14"/>
  <c r="BB66" i="14"/>
  <c r="BB65" i="14"/>
  <c r="BB64" i="14"/>
  <c r="BB63" i="14"/>
  <c r="BB62" i="14"/>
  <c r="BB61" i="14"/>
  <c r="BB55" i="14"/>
  <c r="BB54" i="14"/>
  <c r="BB48" i="14"/>
  <c r="BB47" i="14"/>
  <c r="BB46" i="14"/>
  <c r="BB45" i="14"/>
  <c r="BB44" i="14"/>
  <c r="BB43" i="14"/>
  <c r="BB42" i="14"/>
  <c r="BB41" i="14"/>
  <c r="BB40" i="14"/>
  <c r="BB39" i="14"/>
  <c r="BB38" i="14"/>
  <c r="BB36" i="14"/>
  <c r="BB35" i="14"/>
  <c r="BB34" i="14"/>
  <c r="BB13" i="14"/>
  <c r="BB12" i="14"/>
  <c r="BB11" i="14"/>
  <c r="BB10" i="14"/>
  <c r="BB9" i="14"/>
  <c r="BB8" i="14"/>
  <c r="BB7" i="14"/>
  <c r="AZ78" i="14"/>
  <c r="AZ77" i="14"/>
  <c r="AZ76" i="14"/>
  <c r="AZ71" i="14"/>
  <c r="AZ70" i="14"/>
  <c r="AZ69" i="14"/>
  <c r="AZ67" i="14"/>
  <c r="AZ66" i="14"/>
  <c r="AZ65" i="14"/>
  <c r="AZ64" i="14"/>
  <c r="AZ63" i="14"/>
  <c r="AZ62" i="14"/>
  <c r="AZ61" i="14"/>
  <c r="AZ55" i="14"/>
  <c r="AZ54" i="14"/>
  <c r="AZ48" i="14"/>
  <c r="AZ47" i="14"/>
  <c r="AZ46" i="14"/>
  <c r="AZ45" i="14"/>
  <c r="AZ44" i="14"/>
  <c r="AZ43" i="14"/>
  <c r="AZ42" i="14"/>
  <c r="AZ41" i="14"/>
  <c r="AZ40" i="14"/>
  <c r="AZ39" i="14"/>
  <c r="AZ38" i="14"/>
  <c r="AZ36" i="14"/>
  <c r="AZ35" i="14"/>
  <c r="AZ34" i="14"/>
  <c r="AZ13" i="14"/>
  <c r="AZ12" i="14"/>
  <c r="AZ11" i="14"/>
  <c r="AZ10" i="14"/>
  <c r="AZ9" i="14"/>
  <c r="AZ8" i="14"/>
  <c r="AZ7" i="14"/>
  <c r="BQ7" i="14" s="1"/>
  <c r="AD78" i="14"/>
  <c r="AD77" i="14"/>
  <c r="AD76" i="14"/>
  <c r="AD71" i="14"/>
  <c r="AD70" i="14"/>
  <c r="AD69" i="14"/>
  <c r="AS78" i="14"/>
  <c r="AS77" i="14"/>
  <c r="AS76" i="14"/>
  <c r="AQ76" i="14"/>
  <c r="H76" i="14" s="1"/>
  <c r="AS71" i="14"/>
  <c r="AS70" i="14"/>
  <c r="AS69" i="14"/>
  <c r="AN69" i="14"/>
  <c r="AO69" i="14"/>
  <c r="AI78" i="14"/>
  <c r="AI77" i="14"/>
  <c r="AI76" i="14"/>
  <c r="AI71" i="14"/>
  <c r="AI70" i="14"/>
  <c r="AH78" i="14"/>
  <c r="AY78" i="14" s="1"/>
  <c r="AH77" i="14"/>
  <c r="AR77" i="14" s="1"/>
  <c r="AH76" i="14"/>
  <c r="AY76" i="14" s="1"/>
  <c r="AH71" i="14"/>
  <c r="AH70" i="14"/>
  <c r="AY70" i="14" s="1"/>
  <c r="AH69" i="14"/>
  <c r="BF56" i="13"/>
  <c r="BF52" i="13"/>
  <c r="BH80" i="13"/>
  <c r="BF80" i="13"/>
  <c r="BH79" i="13"/>
  <c r="BF79" i="13"/>
  <c r="BH78" i="13"/>
  <c r="BF78" i="13"/>
  <c r="BH77" i="13"/>
  <c r="BF77" i="13"/>
  <c r="BH71" i="13"/>
  <c r="BF71" i="13"/>
  <c r="BH70" i="13"/>
  <c r="BF70" i="13"/>
  <c r="BH69" i="13"/>
  <c r="BF69" i="13"/>
  <c r="BH68" i="13"/>
  <c r="BF68" i="13"/>
  <c r="BH67" i="13"/>
  <c r="BF67" i="13"/>
  <c r="BH66" i="13"/>
  <c r="BF66" i="13"/>
  <c r="BH65" i="13"/>
  <c r="BF65" i="13"/>
  <c r="BH64" i="13"/>
  <c r="BF64" i="13"/>
  <c r="BH63" i="13"/>
  <c r="BF63" i="13"/>
  <c r="BH62" i="13"/>
  <c r="BF62" i="13"/>
  <c r="BH61" i="13"/>
  <c r="BF61" i="13"/>
  <c r="BH60" i="13"/>
  <c r="BF60" i="13"/>
  <c r="BH59" i="13"/>
  <c r="BF59" i="13"/>
  <c r="BH58" i="13"/>
  <c r="BF58" i="13"/>
  <c r="BH57" i="13"/>
  <c r="BH56" i="13"/>
  <c r="BH55" i="13"/>
  <c r="BH54" i="13"/>
  <c r="BH53" i="13"/>
  <c r="BH52" i="13"/>
  <c r="AN78" i="14"/>
  <c r="AK78" i="14"/>
  <c r="AJ78" i="14"/>
  <c r="AN77" i="14"/>
  <c r="AK77" i="14"/>
  <c r="AJ77" i="14"/>
  <c r="AN76" i="14"/>
  <c r="AK76" i="14"/>
  <c r="AJ76" i="14"/>
  <c r="AN71" i="14"/>
  <c r="AK71" i="14"/>
  <c r="AJ71" i="14"/>
  <c r="AN70" i="14"/>
  <c r="AK70" i="14"/>
  <c r="AJ70" i="14"/>
  <c r="AK69" i="14"/>
  <c r="AJ69" i="14"/>
  <c r="AD11" i="14"/>
  <c r="AD10" i="14"/>
  <c r="AD9" i="14"/>
  <c r="AD8" i="14"/>
  <c r="AD7" i="14"/>
  <c r="AQ67" i="14"/>
  <c r="H67" i="14" s="1"/>
  <c r="BK67" i="14" s="1"/>
  <c r="AQ66" i="14"/>
  <c r="H66" i="14" s="1"/>
  <c r="BK66" i="14" s="1"/>
  <c r="AQ65" i="14"/>
  <c r="H65" i="14" s="1"/>
  <c r="BK65" i="14" s="1"/>
  <c r="AQ64" i="14"/>
  <c r="H64" i="14" s="1"/>
  <c r="BK64" i="14" s="1"/>
  <c r="AQ63" i="14"/>
  <c r="H63" i="14" s="1"/>
  <c r="BK63" i="14" s="1"/>
  <c r="AQ62" i="14"/>
  <c r="H62" i="14" s="1"/>
  <c r="BK62" i="14" s="1"/>
  <c r="AQ61" i="14"/>
  <c r="H61" i="14" s="1"/>
  <c r="BK61" i="14" s="1"/>
  <c r="AQ55" i="14"/>
  <c r="H55" i="14" s="1"/>
  <c r="BK55" i="14" s="1"/>
  <c r="AQ54" i="14"/>
  <c r="H54" i="14" s="1"/>
  <c r="BK54" i="14" s="1"/>
  <c r="AQ48" i="14"/>
  <c r="H48" i="14" s="1"/>
  <c r="BK48" i="14" s="1"/>
  <c r="AQ47" i="14"/>
  <c r="H47" i="14" s="1"/>
  <c r="BK47" i="14" s="1"/>
  <c r="AQ46" i="14"/>
  <c r="H46" i="14" s="1"/>
  <c r="BK46" i="14" s="1"/>
  <c r="AQ45" i="14"/>
  <c r="H45" i="14" s="1"/>
  <c r="AQ44" i="14"/>
  <c r="H44" i="14" s="1"/>
  <c r="AQ43" i="14"/>
  <c r="H43" i="14" s="1"/>
  <c r="AQ42" i="14"/>
  <c r="H42" i="14" s="1"/>
  <c r="AQ41" i="14"/>
  <c r="H41" i="14" s="1"/>
  <c r="AQ40" i="14"/>
  <c r="H40" i="14" s="1"/>
  <c r="AQ39" i="14"/>
  <c r="H39" i="14" s="1"/>
  <c r="AQ38" i="14"/>
  <c r="H38" i="14" s="1"/>
  <c r="AL8" i="14"/>
  <c r="AL9" i="14"/>
  <c r="AL10" i="14"/>
  <c r="AL11" i="14"/>
  <c r="AL12" i="14"/>
  <c r="AL13" i="14"/>
  <c r="AL34" i="14"/>
  <c r="AL35" i="14"/>
  <c r="AL36" i="14"/>
  <c r="AN36" i="14"/>
  <c r="AN35" i="14"/>
  <c r="AN34" i="14"/>
  <c r="AN13" i="14"/>
  <c r="AN12" i="14"/>
  <c r="AN11" i="14"/>
  <c r="AN10" i="14"/>
  <c r="AN9" i="14"/>
  <c r="AN8" i="14"/>
  <c r="AN7" i="14"/>
  <c r="AS36" i="14"/>
  <c r="AT36" i="14" s="1"/>
  <c r="AC36" i="14" s="1"/>
  <c r="BN36" i="14" s="1"/>
  <c r="AS35" i="14"/>
  <c r="AT35" i="14" s="1"/>
  <c r="AC35" i="14" s="1"/>
  <c r="BN35" i="14" s="1"/>
  <c r="AS34" i="14"/>
  <c r="AT34" i="14" s="1"/>
  <c r="AC34" i="14" s="1"/>
  <c r="BN34" i="14" s="1"/>
  <c r="AS13" i="14"/>
  <c r="AS12" i="14"/>
  <c r="AT12" i="14" s="1"/>
  <c r="AS11" i="14"/>
  <c r="AS10" i="14"/>
  <c r="AS9" i="14"/>
  <c r="AS8" i="14"/>
  <c r="AS7" i="14"/>
  <c r="AL7" i="14"/>
  <c r="AK36" i="14"/>
  <c r="AK35" i="14"/>
  <c r="AK34" i="14"/>
  <c r="AK13" i="14"/>
  <c r="AK12" i="14"/>
  <c r="AK11" i="14"/>
  <c r="AK10" i="14"/>
  <c r="AK9" i="14"/>
  <c r="AK8" i="14"/>
  <c r="AK7" i="14"/>
  <c r="AJ36" i="14"/>
  <c r="AJ35" i="14"/>
  <c r="AJ34" i="14"/>
  <c r="AJ13" i="14"/>
  <c r="AJ12" i="14"/>
  <c r="AJ11" i="14"/>
  <c r="AJ10" i="14"/>
  <c r="AJ9" i="14"/>
  <c r="AJ8" i="14"/>
  <c r="AJ7" i="14"/>
  <c r="AR36" i="14"/>
  <c r="AI35" i="14"/>
  <c r="AI34" i="14"/>
  <c r="AI13" i="14"/>
  <c r="AP12" i="14"/>
  <c r="AQ12" i="14" s="1"/>
  <c r="H12" i="14" s="1"/>
  <c r="AI11" i="14"/>
  <c r="AI9" i="14"/>
  <c r="AI8" i="14"/>
  <c r="AI7" i="14"/>
  <c r="AV67" i="14"/>
  <c r="AV66" i="14"/>
  <c r="AV65" i="14"/>
  <c r="AV64" i="14"/>
  <c r="AV63" i="14"/>
  <c r="AV62" i="14"/>
  <c r="AV61" i="14"/>
  <c r="AV55" i="14"/>
  <c r="AV54" i="14"/>
  <c r="AV48" i="14"/>
  <c r="AV47" i="14"/>
  <c r="AV46" i="14"/>
  <c r="AV45" i="14"/>
  <c r="AV44" i="14"/>
  <c r="AV43" i="14"/>
  <c r="AV42" i="14"/>
  <c r="AV41" i="14"/>
  <c r="AV40" i="14"/>
  <c r="AV39" i="14"/>
  <c r="AV38" i="14"/>
  <c r="AD67" i="14"/>
  <c r="AD66" i="14"/>
  <c r="AD65" i="14"/>
  <c r="AD64" i="14"/>
  <c r="AD63" i="14"/>
  <c r="AD62" i="14"/>
  <c r="AD61" i="14"/>
  <c r="AD55" i="14"/>
  <c r="AD54" i="14"/>
  <c r="AD48" i="14"/>
  <c r="AD47" i="14"/>
  <c r="AD46" i="14"/>
  <c r="AD45" i="14"/>
  <c r="AD44" i="14"/>
  <c r="AD43" i="14"/>
  <c r="AD42" i="14"/>
  <c r="AD41" i="14"/>
  <c r="AD40" i="14"/>
  <c r="AD39" i="14"/>
  <c r="AD38" i="14"/>
  <c r="AG7" i="13"/>
  <c r="AT67" i="14"/>
  <c r="AT66" i="14"/>
  <c r="AU66" i="14" s="1"/>
  <c r="AE66" i="14" s="1"/>
  <c r="AT65" i="14"/>
  <c r="AU65" i="14" s="1"/>
  <c r="AE65" i="14" s="1"/>
  <c r="AT64" i="14"/>
  <c r="AU64" i="14" s="1"/>
  <c r="AE64" i="14" s="1"/>
  <c r="AT63" i="14"/>
  <c r="AU63" i="14" s="1"/>
  <c r="AE63" i="14" s="1"/>
  <c r="AT62" i="14"/>
  <c r="AU62" i="14" s="1"/>
  <c r="AE62" i="14" s="1"/>
  <c r="AT61" i="14"/>
  <c r="AU61" i="14" s="1"/>
  <c r="AE61" i="14" s="1"/>
  <c r="AT55" i="14"/>
  <c r="AC55" i="14" s="1"/>
  <c r="BN55" i="14" s="1"/>
  <c r="AT54" i="14"/>
  <c r="AT48" i="14"/>
  <c r="AT47" i="14"/>
  <c r="AT46" i="14"/>
  <c r="AU46" i="14" s="1"/>
  <c r="AE46" i="14" s="1"/>
  <c r="AT45" i="14"/>
  <c r="AU45" i="14" s="1"/>
  <c r="AE45" i="14" s="1"/>
  <c r="AT44" i="14"/>
  <c r="AU44" i="14" s="1"/>
  <c r="AE44" i="14" s="1"/>
  <c r="AS67" i="14"/>
  <c r="AS66" i="14"/>
  <c r="AS65" i="14"/>
  <c r="AS64" i="14"/>
  <c r="AS63" i="14"/>
  <c r="AS62" i="14"/>
  <c r="AS61" i="14"/>
  <c r="AS55" i="14"/>
  <c r="AS54" i="14"/>
  <c r="AS48" i="14"/>
  <c r="AS47" i="14"/>
  <c r="AS46" i="14"/>
  <c r="AS45" i="14"/>
  <c r="AS44" i="14"/>
  <c r="AS43" i="14"/>
  <c r="AS42" i="14"/>
  <c r="AS41" i="14"/>
  <c r="AS40" i="14"/>
  <c r="AS39" i="14"/>
  <c r="AS38" i="14"/>
  <c r="AN67" i="14"/>
  <c r="AN66" i="14"/>
  <c r="AN65" i="14"/>
  <c r="AN64" i="14"/>
  <c r="AN63" i="14"/>
  <c r="AN62" i="14"/>
  <c r="AN61" i="14"/>
  <c r="AN55" i="14"/>
  <c r="AN54" i="14"/>
  <c r="AN48" i="14"/>
  <c r="AN47" i="14"/>
  <c r="AN46" i="14"/>
  <c r="AN45" i="14"/>
  <c r="AN44" i="14"/>
  <c r="AN43" i="14"/>
  <c r="AN42" i="14"/>
  <c r="AN41" i="14"/>
  <c r="AN40" i="14"/>
  <c r="AN39" i="14"/>
  <c r="AN38" i="14"/>
  <c r="AK67" i="14"/>
  <c r="AK66" i="14"/>
  <c r="AK65" i="14"/>
  <c r="AK64" i="14"/>
  <c r="AK63" i="14"/>
  <c r="AK62" i="14"/>
  <c r="AK61" i="14"/>
  <c r="AK55" i="14"/>
  <c r="AK54" i="14"/>
  <c r="AK48" i="14"/>
  <c r="AK47" i="14"/>
  <c r="AK46" i="14"/>
  <c r="AK45" i="14"/>
  <c r="AK44" i="14"/>
  <c r="AK43" i="14"/>
  <c r="AK42" i="14"/>
  <c r="AK41" i="14"/>
  <c r="AK40" i="14"/>
  <c r="AK39" i="14"/>
  <c r="AK38" i="14"/>
  <c r="AJ67" i="14"/>
  <c r="AJ66" i="14"/>
  <c r="AJ65" i="14"/>
  <c r="AJ64" i="14"/>
  <c r="AJ63" i="14"/>
  <c r="AJ62" i="14"/>
  <c r="AJ61" i="14"/>
  <c r="AJ55" i="14"/>
  <c r="AJ54" i="14"/>
  <c r="AJ48" i="14"/>
  <c r="AJ47" i="14"/>
  <c r="AJ46" i="14"/>
  <c r="AJ45" i="14"/>
  <c r="AJ44" i="14"/>
  <c r="AJ43" i="14"/>
  <c r="AJ42" i="14"/>
  <c r="AJ41" i="14"/>
  <c r="AJ40" i="14"/>
  <c r="AJ39" i="14"/>
  <c r="AJ38" i="14"/>
  <c r="AI67" i="14"/>
  <c r="AI66" i="14"/>
  <c r="AI65" i="14"/>
  <c r="AI64" i="14"/>
  <c r="AI63" i="14"/>
  <c r="AR62" i="14"/>
  <c r="AR61" i="14"/>
  <c r="AI55" i="14"/>
  <c r="AI54" i="14"/>
  <c r="AI48" i="14"/>
  <c r="AI47" i="14"/>
  <c r="AI46" i="14"/>
  <c r="AI45" i="14"/>
  <c r="AI42" i="14"/>
  <c r="AI41" i="14"/>
  <c r="AI40" i="14"/>
  <c r="AI39" i="14"/>
  <c r="M63" i="19" l="1"/>
  <c r="M62" i="19"/>
  <c r="K62" i="19"/>
  <c r="M67" i="19"/>
  <c r="M66" i="19"/>
  <c r="M65" i="19"/>
  <c r="M64" i="19"/>
  <c r="E18" i="7"/>
  <c r="P18" i="7"/>
  <c r="E12" i="7"/>
  <c r="P12" i="7"/>
  <c r="E22" i="7"/>
  <c r="P22" i="7"/>
  <c r="E32" i="7"/>
  <c r="P32" i="7"/>
  <c r="E58" i="7"/>
  <c r="P58" i="7"/>
  <c r="E16" i="7"/>
  <c r="P16" i="7"/>
  <c r="E15" i="7"/>
  <c r="P15" i="7"/>
  <c r="E21" i="7"/>
  <c r="P21" i="7"/>
  <c r="E31" i="7"/>
  <c r="P31" i="7"/>
  <c r="E49" i="7"/>
  <c r="P49" i="7"/>
  <c r="E20" i="7"/>
  <c r="P20" i="7"/>
  <c r="E13" i="7"/>
  <c r="P13" i="7"/>
  <c r="E19" i="7"/>
  <c r="P19" i="7"/>
  <c r="E41" i="7"/>
  <c r="P41" i="7"/>
  <c r="E43" i="7"/>
  <c r="P43" i="7"/>
  <c r="E45" i="7"/>
  <c r="P45" i="7"/>
  <c r="E34" i="7"/>
  <c r="P34" i="7"/>
  <c r="E23" i="7"/>
  <c r="P23" i="7"/>
  <c r="E37" i="7"/>
  <c r="P37" i="7"/>
  <c r="E10" i="7"/>
  <c r="P10" i="7"/>
  <c r="E30" i="7"/>
  <c r="P30" i="7"/>
  <c r="E17" i="7"/>
  <c r="P17" i="7"/>
  <c r="E25" i="7"/>
  <c r="P25" i="7"/>
  <c r="E29" i="7"/>
  <c r="P29" i="7"/>
  <c r="E33" i="7"/>
  <c r="P33" i="7"/>
  <c r="AF77" i="14"/>
  <c r="BO77" i="14"/>
  <c r="AM13" i="14"/>
  <c r="AM12" i="14"/>
  <c r="BE76" i="14"/>
  <c r="BE70" i="14"/>
  <c r="L36" i="7"/>
  <c r="L44" i="7"/>
  <c r="L35" i="7"/>
  <c r="L27" i="7"/>
  <c r="I10" i="7"/>
  <c r="D10" i="7" s="1"/>
  <c r="AM11" i="14"/>
  <c r="AM10" i="14"/>
  <c r="AM9" i="14"/>
  <c r="AP69" i="14"/>
  <c r="AQ69" i="14" s="1"/>
  <c r="H69" i="14" s="1"/>
  <c r="AM8" i="14"/>
  <c r="AM7" i="14"/>
  <c r="I23" i="7"/>
  <c r="D23" i="7" s="1"/>
  <c r="L28" i="7"/>
  <c r="L11" i="7"/>
  <c r="L40" i="7"/>
  <c r="I16" i="7"/>
  <c r="D16" i="7" s="1"/>
  <c r="I19" i="7"/>
  <c r="D19" i="7" s="1"/>
  <c r="L24" i="7"/>
  <c r="L47" i="7"/>
  <c r="L39" i="7"/>
  <c r="I31" i="7"/>
  <c r="D31" i="7" s="1"/>
  <c r="I20" i="7"/>
  <c r="D20" i="7" s="1"/>
  <c r="L48" i="7"/>
  <c r="I12" i="7"/>
  <c r="D12" i="7" s="1"/>
  <c r="I43" i="7"/>
  <c r="D43" i="7" s="1"/>
  <c r="L57" i="7"/>
  <c r="I32" i="7"/>
  <c r="D32" i="7" s="1"/>
  <c r="I15" i="7"/>
  <c r="D15" i="7" s="1"/>
  <c r="AY35" i="14"/>
  <c r="AY69" i="14"/>
  <c r="AT42" i="14"/>
  <c r="AU42" i="14" s="1"/>
  <c r="AE42" i="14" s="1"/>
  <c r="AY46" i="14"/>
  <c r="AO34" i="14"/>
  <c r="BA34" i="14" s="1"/>
  <c r="AT69" i="14"/>
  <c r="AC69" i="14" s="1"/>
  <c r="BN69" i="14" s="1"/>
  <c r="AO48" i="14"/>
  <c r="BA48" i="14" s="1"/>
  <c r="AY64" i="14"/>
  <c r="AO61" i="14"/>
  <c r="BA61" i="14" s="1"/>
  <c r="AY41" i="14"/>
  <c r="AO66" i="14"/>
  <c r="BA66" i="14" s="1"/>
  <c r="AT43" i="14"/>
  <c r="AU43" i="14" s="1"/>
  <c r="AE43" i="14" s="1"/>
  <c r="AW61" i="14"/>
  <c r="AT41" i="14"/>
  <c r="AC41" i="14" s="1"/>
  <c r="BN41" i="14" s="1"/>
  <c r="AW35" i="14"/>
  <c r="AI69" i="14"/>
  <c r="AW36" i="14"/>
  <c r="AO35" i="14"/>
  <c r="BA35" i="14" s="1"/>
  <c r="AO54" i="14"/>
  <c r="BA54" i="14" s="1"/>
  <c r="AO67" i="14"/>
  <c r="BA67" i="14" s="1"/>
  <c r="AY45" i="14"/>
  <c r="BE45" i="14" s="1"/>
  <c r="AY54" i="14"/>
  <c r="AY63" i="14"/>
  <c r="AY67" i="14"/>
  <c r="AY39" i="14"/>
  <c r="BD39" i="14" s="1"/>
  <c r="BH39" i="14" s="1"/>
  <c r="BK39" i="14" s="1"/>
  <c r="AW55" i="14"/>
  <c r="AO36" i="14"/>
  <c r="BA36" i="14" s="1"/>
  <c r="AO55" i="14"/>
  <c r="BA55" i="14" s="1"/>
  <c r="AY34" i="14"/>
  <c r="BA69" i="14"/>
  <c r="AO39" i="14"/>
  <c r="BA39" i="14" s="1"/>
  <c r="AY55" i="14"/>
  <c r="AT8" i="14"/>
  <c r="AC8" i="14" s="1"/>
  <c r="BN8" i="14" s="1"/>
  <c r="AO44" i="14"/>
  <c r="BA44" i="14" s="1"/>
  <c r="AO62" i="14"/>
  <c r="BA62" i="14" s="1"/>
  <c r="AY36" i="14"/>
  <c r="AU76" i="14"/>
  <c r="AE76" i="14" s="1"/>
  <c r="AO45" i="14"/>
  <c r="BA45" i="14" s="1"/>
  <c r="AO63" i="14"/>
  <c r="BA63" i="14" s="1"/>
  <c r="AY47" i="14"/>
  <c r="AY61" i="14"/>
  <c r="AY65" i="14"/>
  <c r="AO46" i="14"/>
  <c r="BA46" i="14" s="1"/>
  <c r="AO64" i="14"/>
  <c r="BA64" i="14" s="1"/>
  <c r="AO47" i="14"/>
  <c r="BA47" i="14" s="1"/>
  <c r="AO65" i="14"/>
  <c r="BA65" i="14" s="1"/>
  <c r="AY44" i="14"/>
  <c r="BE44" i="14" s="1"/>
  <c r="AY48" i="14"/>
  <c r="AY62" i="14"/>
  <c r="AY66" i="14"/>
  <c r="AC78" i="14"/>
  <c r="BN78" i="14" s="1"/>
  <c r="AW44" i="14"/>
  <c r="AW62" i="14"/>
  <c r="AC77" i="14"/>
  <c r="BN77" i="14" s="1"/>
  <c r="AW46" i="14"/>
  <c r="AW64" i="14"/>
  <c r="AT13" i="14"/>
  <c r="AC13" i="14" s="1"/>
  <c r="BN13" i="14" s="1"/>
  <c r="AW45" i="14"/>
  <c r="AW47" i="14"/>
  <c r="AW65" i="14"/>
  <c r="AW48" i="14"/>
  <c r="AW66" i="14"/>
  <c r="AW63" i="14"/>
  <c r="AW54" i="14"/>
  <c r="AW67" i="14"/>
  <c r="I18" i="7"/>
  <c r="D18" i="7" s="1"/>
  <c r="I22" i="7"/>
  <c r="D22" i="7" s="1"/>
  <c r="I30" i="7"/>
  <c r="D30" i="7" s="1"/>
  <c r="I13" i="7"/>
  <c r="D13" i="7" s="1"/>
  <c r="I17" i="7"/>
  <c r="D17" i="7" s="1"/>
  <c r="I21" i="7"/>
  <c r="D21" i="7" s="1"/>
  <c r="I25" i="7"/>
  <c r="D25" i="7" s="1"/>
  <c r="I29" i="7"/>
  <c r="D29" i="7" s="1"/>
  <c r="I33" i="7"/>
  <c r="D33" i="7" s="1"/>
  <c r="I37" i="7"/>
  <c r="D37" i="7" s="1"/>
  <c r="I41" i="7"/>
  <c r="D41" i="7" s="1"/>
  <c r="I45" i="7"/>
  <c r="D45" i="7" s="1"/>
  <c r="I49" i="7"/>
  <c r="D49" i="7" s="1"/>
  <c r="I58" i="7"/>
  <c r="D58" i="7" s="1"/>
  <c r="I34" i="7"/>
  <c r="D34" i="7" s="1"/>
  <c r="L14" i="7"/>
  <c r="L26" i="7"/>
  <c r="L38" i="7"/>
  <c r="L42" i="7"/>
  <c r="L46" i="7"/>
  <c r="L56" i="7"/>
  <c r="AT71" i="14"/>
  <c r="AC71" i="14" s="1"/>
  <c r="BN71" i="14" s="1"/>
  <c r="AT70" i="14"/>
  <c r="AC70" i="14" s="1"/>
  <c r="BN70" i="14" s="1"/>
  <c r="AP70" i="14"/>
  <c r="AQ70" i="14" s="1"/>
  <c r="H70" i="14" s="1"/>
  <c r="AY77" i="14"/>
  <c r="BA70" i="14"/>
  <c r="BD70" i="14" s="1"/>
  <c r="BH70" i="14" s="1"/>
  <c r="AP78" i="14"/>
  <c r="AQ78" i="14" s="1"/>
  <c r="H78" i="14" s="1"/>
  <c r="BK78" i="14" s="1"/>
  <c r="BA76" i="14"/>
  <c r="BD76" i="14" s="1"/>
  <c r="BH76" i="14" s="1"/>
  <c r="BK76" i="14" s="1"/>
  <c r="AP77" i="14"/>
  <c r="AQ77" i="14" s="1"/>
  <c r="H77" i="14" s="1"/>
  <c r="BK77" i="14" s="1"/>
  <c r="AO43" i="14"/>
  <c r="BA43" i="14" s="1"/>
  <c r="AY43" i="14"/>
  <c r="AO42" i="14"/>
  <c r="BA42" i="14" s="1"/>
  <c r="AY42" i="14"/>
  <c r="AO41" i="14"/>
  <c r="BA41" i="14" s="1"/>
  <c r="AO40" i="14"/>
  <c r="BA40" i="14" s="1"/>
  <c r="AY40" i="14"/>
  <c r="AO38" i="14"/>
  <c r="BA38" i="14" s="1"/>
  <c r="AY38" i="14"/>
  <c r="BE38" i="14" s="1"/>
  <c r="AT10" i="14"/>
  <c r="AO13" i="14"/>
  <c r="BA13" i="14" s="1"/>
  <c r="AY13" i="14"/>
  <c r="BE13" i="14" s="1"/>
  <c r="AP8" i="14"/>
  <c r="AQ8" i="14" s="1"/>
  <c r="H8" i="14" s="1"/>
  <c r="AY7" i="14"/>
  <c r="BD7" i="14" s="1"/>
  <c r="AP7" i="14"/>
  <c r="AY8" i="14"/>
  <c r="AY11" i="14"/>
  <c r="AO7" i="14"/>
  <c r="BA7" i="14" s="1"/>
  <c r="AY9" i="14"/>
  <c r="AO8" i="14"/>
  <c r="BA8" i="14" s="1"/>
  <c r="BE8" i="14" s="1"/>
  <c r="AY10" i="14"/>
  <c r="AO12" i="14"/>
  <c r="BA12" i="14" s="1"/>
  <c r="AO10" i="14"/>
  <c r="BA10" i="14" s="1"/>
  <c r="AO9" i="14"/>
  <c r="BA9" i="14" s="1"/>
  <c r="AO11" i="14"/>
  <c r="BA11" i="14" s="1"/>
  <c r="AW34" i="14"/>
  <c r="AC12" i="14"/>
  <c r="BN12" i="14" s="1"/>
  <c r="AY12" i="14"/>
  <c r="BA71" i="14"/>
  <c r="AR78" i="14"/>
  <c r="AY71" i="14"/>
  <c r="BD71" i="14" s="1"/>
  <c r="BH71" i="14" s="1"/>
  <c r="BK71" i="14" s="1"/>
  <c r="AW76" i="14"/>
  <c r="AW78" i="14"/>
  <c r="BO78" i="14" s="1"/>
  <c r="AU77" i="14"/>
  <c r="AE77" i="14" s="1"/>
  <c r="AI10" i="14"/>
  <c r="AP9" i="14"/>
  <c r="AQ9" i="14" s="1"/>
  <c r="H9" i="14" s="1"/>
  <c r="AP10" i="14"/>
  <c r="AQ10" i="14" s="1"/>
  <c r="H10" i="14" s="1"/>
  <c r="AT11" i="14"/>
  <c r="AT9" i="14"/>
  <c r="AT7" i="14"/>
  <c r="BR7" i="14" s="1"/>
  <c r="AR35" i="14"/>
  <c r="AU12" i="14"/>
  <c r="AE12" i="14" s="1"/>
  <c r="AI36" i="14"/>
  <c r="AP36" i="14"/>
  <c r="AQ36" i="14" s="1"/>
  <c r="H36" i="14" s="1"/>
  <c r="BK36" i="14" s="1"/>
  <c r="AI12" i="14"/>
  <c r="AP13" i="14"/>
  <c r="AQ13" i="14" s="1"/>
  <c r="H13" i="14" s="1"/>
  <c r="AR34" i="14"/>
  <c r="AP34" i="14"/>
  <c r="AQ34" i="14" s="1"/>
  <c r="H34" i="14" s="1"/>
  <c r="BK34" i="14" s="1"/>
  <c r="AP35" i="14"/>
  <c r="AQ35" i="14" s="1"/>
  <c r="H35" i="14" s="1"/>
  <c r="BK35" i="14" s="1"/>
  <c r="AP11" i="14"/>
  <c r="AQ11" i="14" s="1"/>
  <c r="H11" i="14" s="1"/>
  <c r="AI62" i="14"/>
  <c r="AU47" i="14"/>
  <c r="AE47" i="14" s="1"/>
  <c r="AU54" i="14"/>
  <c r="AE54" i="14" s="1"/>
  <c r="AU48" i="14"/>
  <c r="AE48" i="14" s="1"/>
  <c r="AR46" i="14"/>
  <c r="AR64" i="14"/>
  <c r="AU67" i="14"/>
  <c r="AE67" i="14" s="1"/>
  <c r="AU55" i="14"/>
  <c r="AE55" i="14" s="1"/>
  <c r="AC44" i="14"/>
  <c r="BN44" i="14" s="1"/>
  <c r="AC62" i="14"/>
  <c r="BN62" i="14" s="1"/>
  <c r="AC61" i="14"/>
  <c r="BN61" i="14" s="1"/>
  <c r="AC45" i="14"/>
  <c r="BN45" i="14" s="1"/>
  <c r="AC63" i="14"/>
  <c r="BN63" i="14" s="1"/>
  <c r="AT38" i="14"/>
  <c r="AC46" i="14"/>
  <c r="BN46" i="14" s="1"/>
  <c r="AC64" i="14"/>
  <c r="BN64" i="14" s="1"/>
  <c r="AT40" i="14"/>
  <c r="AC47" i="14"/>
  <c r="BN47" i="14" s="1"/>
  <c r="AC65" i="14"/>
  <c r="BN65" i="14" s="1"/>
  <c r="AT39" i="14"/>
  <c r="AC48" i="14"/>
  <c r="BN48" i="14" s="1"/>
  <c r="AC66" i="14"/>
  <c r="BN66" i="14" s="1"/>
  <c r="AC54" i="14"/>
  <c r="BN54" i="14" s="1"/>
  <c r="AC67" i="14"/>
  <c r="BN67" i="14" s="1"/>
  <c r="AR65" i="14"/>
  <c r="AI61" i="14"/>
  <c r="AR63" i="14"/>
  <c r="AR48" i="14"/>
  <c r="AR66" i="14"/>
  <c r="AR47" i="14"/>
  <c r="AR54" i="14"/>
  <c r="AR67" i="14"/>
  <c r="AI43" i="14"/>
  <c r="AR55" i="14"/>
  <c r="AI44" i="14"/>
  <c r="K92" i="8"/>
  <c r="K95" i="8"/>
  <c r="K94" i="8"/>
  <c r="K93" i="8"/>
  <c r="K90" i="8"/>
  <c r="K89" i="8"/>
  <c r="K88" i="8" s="1"/>
  <c r="K87" i="8"/>
  <c r="G84" i="8"/>
  <c r="K84" i="8" s="1"/>
  <c r="G83" i="8"/>
  <c r="K83" i="8" s="1"/>
  <c r="G82" i="8"/>
  <c r="K82" i="8" s="1"/>
  <c r="G81" i="8"/>
  <c r="K81" i="8" s="1"/>
  <c r="G80" i="8"/>
  <c r="K80" i="8" s="1"/>
  <c r="G79" i="8"/>
  <c r="K79" i="8" s="1"/>
  <c r="G78" i="8"/>
  <c r="K78" i="8" s="1"/>
  <c r="G77" i="8"/>
  <c r="K77" i="8" s="1"/>
  <c r="G76" i="8"/>
  <c r="K76" i="8" s="1"/>
  <c r="G75" i="8"/>
  <c r="K75" i="8" s="1"/>
  <c r="G74" i="8"/>
  <c r="K74" i="8" s="1"/>
  <c r="G73" i="8"/>
  <c r="K73" i="8" s="1"/>
  <c r="G72" i="8"/>
  <c r="K72" i="8" s="1"/>
  <c r="G71" i="8"/>
  <c r="K71" i="8" s="1"/>
  <c r="G70" i="8"/>
  <c r="K70" i="8" s="1"/>
  <c r="G69" i="8"/>
  <c r="K69" i="8" s="1"/>
  <c r="G68" i="8"/>
  <c r="K68" i="8" s="1"/>
  <c r="G66" i="8"/>
  <c r="K66" i="8" s="1"/>
  <c r="G65" i="8"/>
  <c r="K65" i="8" s="1"/>
  <c r="G64" i="8"/>
  <c r="K64" i="8" s="1"/>
  <c r="G63" i="8"/>
  <c r="K63" i="8" s="1"/>
  <c r="G62" i="8"/>
  <c r="K62" i="8" s="1"/>
  <c r="G61" i="8"/>
  <c r="K61" i="8" s="1"/>
  <c r="G60" i="8"/>
  <c r="K60" i="8" s="1"/>
  <c r="G59" i="8"/>
  <c r="K59" i="8" s="1"/>
  <c r="G58" i="8"/>
  <c r="K58" i="8" s="1"/>
  <c r="G57" i="8"/>
  <c r="K57" i="8" s="1"/>
  <c r="G56" i="8"/>
  <c r="K56" i="8" s="1"/>
  <c r="G55" i="8"/>
  <c r="K55" i="8" s="1"/>
  <c r="H84" i="8"/>
  <c r="H83" i="8"/>
  <c r="H82" i="8"/>
  <c r="I69" i="8"/>
  <c r="G24" i="8"/>
  <c r="K24" i="8" s="1"/>
  <c r="G49" i="8"/>
  <c r="K49" i="8" s="1"/>
  <c r="G48" i="8"/>
  <c r="K48" i="8" s="1"/>
  <c r="G47" i="8"/>
  <c r="K47" i="8" s="1"/>
  <c r="G46" i="8"/>
  <c r="K46" i="8" s="1"/>
  <c r="G45" i="8"/>
  <c r="K45" i="8" s="1"/>
  <c r="G44" i="8"/>
  <c r="K44" i="8" s="1"/>
  <c r="G43" i="8"/>
  <c r="K43" i="8" s="1"/>
  <c r="G42" i="8"/>
  <c r="K42" i="8" s="1"/>
  <c r="G41" i="8"/>
  <c r="K41" i="8" s="1"/>
  <c r="G40" i="8"/>
  <c r="K40" i="8" s="1"/>
  <c r="G39" i="8"/>
  <c r="K39" i="8" s="1"/>
  <c r="G38" i="8"/>
  <c r="K38" i="8" s="1"/>
  <c r="G37" i="8"/>
  <c r="K37" i="8" s="1"/>
  <c r="G36" i="8"/>
  <c r="K36" i="8" s="1"/>
  <c r="G35" i="8"/>
  <c r="K35" i="8" s="1"/>
  <c r="G34" i="8"/>
  <c r="K34" i="8" s="1"/>
  <c r="G33" i="8"/>
  <c r="K33" i="8" s="1"/>
  <c r="G32" i="8"/>
  <c r="K32" i="8" s="1"/>
  <c r="G31" i="8"/>
  <c r="K31" i="8" s="1"/>
  <c r="G29" i="8"/>
  <c r="K29" i="8" s="1"/>
  <c r="G28" i="8"/>
  <c r="K28" i="8" s="1"/>
  <c r="G27" i="8"/>
  <c r="K27" i="8" s="1"/>
  <c r="G26" i="8"/>
  <c r="K26" i="8" s="1"/>
  <c r="G25" i="8"/>
  <c r="K25" i="8" s="1"/>
  <c r="G18" i="8"/>
  <c r="K18" i="8" s="1"/>
  <c r="G17" i="8"/>
  <c r="K17" i="8" s="1"/>
  <c r="G14" i="8"/>
  <c r="K14" i="8" s="1"/>
  <c r="G13" i="8"/>
  <c r="K13" i="8" s="1"/>
  <c r="G12" i="8"/>
  <c r="K12" i="8" s="1"/>
  <c r="G11" i="8"/>
  <c r="K11" i="8" s="1"/>
  <c r="G10" i="8"/>
  <c r="K10" i="8" s="1"/>
  <c r="G9" i="8"/>
  <c r="K9" i="8" s="1"/>
  <c r="G7" i="8"/>
  <c r="K7" i="8" s="1"/>
  <c r="G6" i="8"/>
  <c r="K6" i="8" s="1"/>
  <c r="G8" i="11"/>
  <c r="O23" i="8"/>
  <c r="G23" i="8" s="1"/>
  <c r="K23" i="8" s="1"/>
  <c r="O22" i="8"/>
  <c r="G22" i="8" s="1"/>
  <c r="K22" i="8" s="1"/>
  <c r="O21" i="8"/>
  <c r="G21" i="8" s="1"/>
  <c r="K21" i="8" s="1"/>
  <c r="O20" i="8"/>
  <c r="G20" i="8" s="1"/>
  <c r="K20" i="8" s="1"/>
  <c r="O19" i="8"/>
  <c r="G19" i="8" s="1"/>
  <c r="K19" i="8" s="1"/>
  <c r="O18" i="8"/>
  <c r="O17" i="8"/>
  <c r="O16" i="8"/>
  <c r="G16" i="8" s="1"/>
  <c r="K16" i="8" s="1"/>
  <c r="O15" i="8"/>
  <c r="G15" i="8" s="1"/>
  <c r="K15" i="8" s="1"/>
  <c r="H23" i="8"/>
  <c r="H22" i="8"/>
  <c r="J89" i="8"/>
  <c r="J93" i="8"/>
  <c r="J92" i="8"/>
  <c r="J90" i="8"/>
  <c r="E93" i="8"/>
  <c r="H93" i="8" s="1"/>
  <c r="E92" i="8"/>
  <c r="H92" i="8" s="1"/>
  <c r="E90" i="8"/>
  <c r="H90" i="8" s="1"/>
  <c r="E89" i="8"/>
  <c r="H89" i="8" s="1"/>
  <c r="J84" i="8"/>
  <c r="J83" i="8"/>
  <c r="J82" i="8"/>
  <c r="J31" i="11"/>
  <c r="J30" i="11"/>
  <c r="J27" i="11"/>
  <c r="J26" i="11"/>
  <c r="J18" i="11"/>
  <c r="J17" i="11"/>
  <c r="O84" i="8"/>
  <c r="O83" i="8"/>
  <c r="O82" i="8"/>
  <c r="O81" i="8"/>
  <c r="O80" i="8"/>
  <c r="O79" i="8"/>
  <c r="O78" i="8"/>
  <c r="O77" i="8"/>
  <c r="O76" i="8"/>
  <c r="O75" i="8"/>
  <c r="O74" i="8"/>
  <c r="O73" i="8"/>
  <c r="O72" i="8"/>
  <c r="O71" i="8"/>
  <c r="O70" i="8"/>
  <c r="O69" i="8"/>
  <c r="O68" i="8"/>
  <c r="O67" i="8"/>
  <c r="G67" i="8" s="1"/>
  <c r="K67" i="8" s="1"/>
  <c r="O66" i="8"/>
  <c r="O65" i="8"/>
  <c r="O64" i="8"/>
  <c r="O63" i="8"/>
  <c r="O62" i="8"/>
  <c r="O61" i="8"/>
  <c r="O60" i="8"/>
  <c r="O59" i="8"/>
  <c r="O58" i="8"/>
  <c r="O57" i="8"/>
  <c r="O56" i="8"/>
  <c r="O55" i="8"/>
  <c r="O49" i="8"/>
  <c r="O48" i="8"/>
  <c r="O47" i="8"/>
  <c r="O46" i="8"/>
  <c r="O45" i="8"/>
  <c r="O44" i="8"/>
  <c r="O43" i="8"/>
  <c r="O42" i="8"/>
  <c r="O41" i="8"/>
  <c r="O40" i="8"/>
  <c r="O39" i="8"/>
  <c r="O38" i="8"/>
  <c r="O37" i="8"/>
  <c r="O36" i="8"/>
  <c r="O35" i="8"/>
  <c r="O34" i="8"/>
  <c r="O33" i="8"/>
  <c r="O32" i="8"/>
  <c r="O31" i="8"/>
  <c r="O30" i="8"/>
  <c r="G30" i="8" s="1"/>
  <c r="K30" i="8" s="1"/>
  <c r="O29" i="8"/>
  <c r="O28" i="8"/>
  <c r="O27" i="8"/>
  <c r="O26" i="8"/>
  <c r="O25" i="8"/>
  <c r="O24" i="8"/>
  <c r="O14" i="8"/>
  <c r="O13" i="8"/>
  <c r="O12" i="8"/>
  <c r="O11" i="8"/>
  <c r="O10" i="8"/>
  <c r="O9" i="8"/>
  <c r="O8" i="8"/>
  <c r="G8" i="8" s="1"/>
  <c r="K8" i="8" s="1"/>
  <c r="O7" i="8"/>
  <c r="O6" i="8"/>
  <c r="N8" i="11"/>
  <c r="L18" i="11"/>
  <c r="L17" i="11"/>
  <c r="J22" i="8" s="1"/>
  <c r="M84" i="8"/>
  <c r="N84" i="8" s="1"/>
  <c r="M83" i="8"/>
  <c r="N83" i="8" s="1"/>
  <c r="M82" i="8"/>
  <c r="N82" i="8" s="1"/>
  <c r="M81" i="8"/>
  <c r="N81" i="8" s="1"/>
  <c r="M80" i="8"/>
  <c r="N80" i="8" s="1"/>
  <c r="M79" i="8"/>
  <c r="N79" i="8" s="1"/>
  <c r="M78" i="8"/>
  <c r="N78" i="8" s="1"/>
  <c r="M77" i="8"/>
  <c r="N77" i="8" s="1"/>
  <c r="M76" i="8"/>
  <c r="N76" i="8" s="1"/>
  <c r="M75" i="8"/>
  <c r="N75" i="8" s="1"/>
  <c r="M74" i="8"/>
  <c r="N74" i="8" s="1"/>
  <c r="M73" i="8"/>
  <c r="N73" i="8" s="1"/>
  <c r="M72" i="8"/>
  <c r="N72" i="8" s="1"/>
  <c r="M71" i="8"/>
  <c r="N71" i="8" s="1"/>
  <c r="M70" i="8"/>
  <c r="N70" i="8" s="1"/>
  <c r="M69" i="8"/>
  <c r="N69" i="8" s="1"/>
  <c r="M68" i="8"/>
  <c r="N68" i="8" s="1"/>
  <c r="M67" i="8"/>
  <c r="N67" i="8" s="1"/>
  <c r="M66" i="8"/>
  <c r="N66" i="8" s="1"/>
  <c r="M65" i="8"/>
  <c r="N65" i="8" s="1"/>
  <c r="M64" i="8"/>
  <c r="N64" i="8" s="1"/>
  <c r="M63" i="8"/>
  <c r="N63" i="8" s="1"/>
  <c r="M62" i="8"/>
  <c r="N62" i="8" s="1"/>
  <c r="M61" i="8"/>
  <c r="N61" i="8" s="1"/>
  <c r="M60" i="8"/>
  <c r="N60" i="8" s="1"/>
  <c r="M59" i="8"/>
  <c r="N59" i="8" s="1"/>
  <c r="M58" i="8"/>
  <c r="N58" i="8" s="1"/>
  <c r="M57" i="8"/>
  <c r="N57" i="8" s="1"/>
  <c r="M56" i="8"/>
  <c r="N56" i="8" s="1"/>
  <c r="M55" i="8"/>
  <c r="N55" i="8" s="1"/>
  <c r="M49" i="8"/>
  <c r="N49" i="8" s="1"/>
  <c r="M48" i="8"/>
  <c r="N48" i="8" s="1"/>
  <c r="M47" i="8"/>
  <c r="N47" i="8" s="1"/>
  <c r="M46" i="8"/>
  <c r="N46" i="8" s="1"/>
  <c r="M45" i="8"/>
  <c r="N45" i="8" s="1"/>
  <c r="M44" i="8"/>
  <c r="N44" i="8" s="1"/>
  <c r="M43" i="8"/>
  <c r="N43" i="8" s="1"/>
  <c r="M42" i="8"/>
  <c r="N42" i="8" s="1"/>
  <c r="M41" i="8"/>
  <c r="N41" i="8" s="1"/>
  <c r="M40" i="8"/>
  <c r="N40" i="8" s="1"/>
  <c r="M39" i="8"/>
  <c r="N39" i="8" s="1"/>
  <c r="M38" i="8"/>
  <c r="N38" i="8" s="1"/>
  <c r="M37" i="8"/>
  <c r="N37" i="8" s="1"/>
  <c r="M36" i="8"/>
  <c r="N36" i="8" s="1"/>
  <c r="M35" i="8"/>
  <c r="N35" i="8" s="1"/>
  <c r="M34" i="8"/>
  <c r="N34" i="8" s="1"/>
  <c r="M33" i="8"/>
  <c r="N33" i="8" s="1"/>
  <c r="M32" i="8"/>
  <c r="N32" i="8" s="1"/>
  <c r="M31" i="8"/>
  <c r="N31" i="8" s="1"/>
  <c r="M30" i="8"/>
  <c r="N30" i="8" s="1"/>
  <c r="M29" i="8"/>
  <c r="N29" i="8" s="1"/>
  <c r="M28" i="8"/>
  <c r="N28" i="8" s="1"/>
  <c r="M27" i="8"/>
  <c r="N27" i="8" s="1"/>
  <c r="M26" i="8"/>
  <c r="N26" i="8" s="1"/>
  <c r="M25" i="8"/>
  <c r="N25" i="8" s="1"/>
  <c r="M24" i="8"/>
  <c r="N24" i="8" s="1"/>
  <c r="M14" i="8"/>
  <c r="N14" i="8" s="1"/>
  <c r="M13" i="8"/>
  <c r="N13" i="8" s="1"/>
  <c r="M12" i="8"/>
  <c r="N12" i="8" s="1"/>
  <c r="M11" i="8"/>
  <c r="N11" i="8" s="1"/>
  <c r="M10" i="8"/>
  <c r="N10" i="8" s="1"/>
  <c r="M9" i="8"/>
  <c r="N9" i="8" s="1"/>
  <c r="M8" i="8"/>
  <c r="N8" i="8" s="1"/>
  <c r="M7" i="8"/>
  <c r="N7" i="8" s="1"/>
  <c r="M6" i="8"/>
  <c r="N6" i="8" s="1"/>
  <c r="G95" i="19"/>
  <c r="G94" i="19"/>
  <c r="G91" i="19"/>
  <c r="G90" i="19"/>
  <c r="G89" i="19"/>
  <c r="G88" i="19"/>
  <c r="G87" i="19"/>
  <c r="G86" i="19"/>
  <c r="G85" i="19"/>
  <c r="G82" i="19"/>
  <c r="G81" i="19"/>
  <c r="G80" i="19"/>
  <c r="G79" i="19"/>
  <c r="G78" i="19"/>
  <c r="G77" i="19"/>
  <c r="G76" i="19"/>
  <c r="G75" i="19"/>
  <c r="G74" i="19"/>
  <c r="G31" i="11"/>
  <c r="F97" i="19" s="1"/>
  <c r="G30" i="11"/>
  <c r="F96" i="19" s="1"/>
  <c r="G29" i="11"/>
  <c r="F95" i="19" s="1"/>
  <c r="G28" i="11"/>
  <c r="F94" i="19" s="1"/>
  <c r="G27" i="11"/>
  <c r="F93" i="19" s="1"/>
  <c r="G26" i="11"/>
  <c r="P26" i="11" s="1"/>
  <c r="G25" i="11"/>
  <c r="P25" i="11" s="1"/>
  <c r="G24" i="11"/>
  <c r="P24" i="11" s="1"/>
  <c r="G23" i="11"/>
  <c r="F89" i="19" s="1"/>
  <c r="G22" i="11"/>
  <c r="P22" i="11" s="1"/>
  <c r="G21" i="11"/>
  <c r="P21" i="11" s="1"/>
  <c r="G20" i="11"/>
  <c r="F86" i="19" s="1"/>
  <c r="G19" i="11"/>
  <c r="F85" i="19" s="1"/>
  <c r="G18" i="11"/>
  <c r="P18" i="11" s="1"/>
  <c r="G17" i="11"/>
  <c r="F83" i="19" s="1"/>
  <c r="G16" i="11"/>
  <c r="Q16" i="11" s="1"/>
  <c r="G15" i="11"/>
  <c r="F81" i="19" s="1"/>
  <c r="G14" i="11"/>
  <c r="Q14" i="11" s="1"/>
  <c r="G13" i="11"/>
  <c r="P13" i="11" s="1"/>
  <c r="G12" i="11"/>
  <c r="P12" i="11" s="1"/>
  <c r="G11" i="11"/>
  <c r="Q11" i="11" s="1"/>
  <c r="G10" i="11"/>
  <c r="F76" i="19" s="1"/>
  <c r="G9" i="11"/>
  <c r="P9" i="11" s="1"/>
  <c r="BK70" i="14" l="1"/>
  <c r="K85" i="8"/>
  <c r="K91" i="8"/>
  <c r="K96" i="8" s="1"/>
  <c r="E26" i="7"/>
  <c r="P26" i="7"/>
  <c r="AF45" i="14"/>
  <c r="AF55" i="14"/>
  <c r="E11" i="7"/>
  <c r="P11" i="7"/>
  <c r="E14" i="7"/>
  <c r="P14" i="7"/>
  <c r="AF67" i="14"/>
  <c r="AF36" i="14"/>
  <c r="BO36" i="14"/>
  <c r="E28" i="7"/>
  <c r="P28" i="7"/>
  <c r="AF34" i="14"/>
  <c r="BO34" i="14"/>
  <c r="AF64" i="14"/>
  <c r="E39" i="7"/>
  <c r="P39" i="7"/>
  <c r="E27" i="7"/>
  <c r="P27" i="7"/>
  <c r="AF63" i="14"/>
  <c r="AF46" i="14"/>
  <c r="AF35" i="14"/>
  <c r="BO35" i="14"/>
  <c r="E47" i="7"/>
  <c r="P47" i="7"/>
  <c r="E35" i="7"/>
  <c r="P35" i="7"/>
  <c r="AF76" i="14"/>
  <c r="BO76" i="14"/>
  <c r="E56" i="7"/>
  <c r="P56" i="7"/>
  <c r="AF66" i="14"/>
  <c r="E57" i="7"/>
  <c r="P57" i="7"/>
  <c r="E24" i="7"/>
  <c r="P24" i="7"/>
  <c r="E44" i="7"/>
  <c r="P44" i="7"/>
  <c r="E46" i="7"/>
  <c r="P46" i="7"/>
  <c r="AF48" i="14"/>
  <c r="AF62" i="14"/>
  <c r="AF61" i="14"/>
  <c r="E36" i="7"/>
  <c r="P36" i="7"/>
  <c r="E42" i="7"/>
  <c r="P42" i="7"/>
  <c r="AF65" i="14"/>
  <c r="AF44" i="14"/>
  <c r="AF54" i="14"/>
  <c r="E38" i="7"/>
  <c r="P38" i="7"/>
  <c r="AF47" i="14"/>
  <c r="E48" i="7"/>
  <c r="P48" i="7"/>
  <c r="E40" i="7"/>
  <c r="P40" i="7"/>
  <c r="BH7" i="14"/>
  <c r="AF78" i="14"/>
  <c r="BE40" i="14"/>
  <c r="BD44" i="14"/>
  <c r="BH44" i="14" s="1"/>
  <c r="BK44" i="14" s="1"/>
  <c r="BE71" i="14"/>
  <c r="BD45" i="14"/>
  <c r="BH45" i="14" s="1"/>
  <c r="BK45" i="14" s="1"/>
  <c r="BE10" i="14"/>
  <c r="BD69" i="14"/>
  <c r="BH69" i="14" s="1"/>
  <c r="BK69" i="14" s="1"/>
  <c r="BD9" i="14"/>
  <c r="BH9" i="14" s="1"/>
  <c r="BK9" i="14" s="1"/>
  <c r="BE7" i="14"/>
  <c r="BD13" i="14"/>
  <c r="BH13" i="14" s="1"/>
  <c r="BK13" i="14" s="1"/>
  <c r="BE11" i="14"/>
  <c r="AC42" i="14"/>
  <c r="BN42" i="14" s="1"/>
  <c r="BD10" i="14"/>
  <c r="BH10" i="14" s="1"/>
  <c r="BK10" i="14" s="1"/>
  <c r="BE69" i="14"/>
  <c r="BD11" i="14"/>
  <c r="BH11" i="14" s="1"/>
  <c r="BK11" i="14" s="1"/>
  <c r="BE9" i="14"/>
  <c r="BE39" i="14"/>
  <c r="BE12" i="14"/>
  <c r="BD41" i="14"/>
  <c r="BH41" i="14" s="1"/>
  <c r="BK41" i="14" s="1"/>
  <c r="BE42" i="14"/>
  <c r="BD42" i="14"/>
  <c r="BH42" i="14" s="1"/>
  <c r="BK42" i="14" s="1"/>
  <c r="BD40" i="14"/>
  <c r="BH40" i="14" s="1"/>
  <c r="BK40" i="14" s="1"/>
  <c r="BE41" i="14"/>
  <c r="BD8" i="14"/>
  <c r="BH8" i="14" s="1"/>
  <c r="BK8" i="14" s="1"/>
  <c r="BD12" i="14"/>
  <c r="BH12" i="14" s="1"/>
  <c r="BK12" i="14" s="1"/>
  <c r="BD38" i="14"/>
  <c r="BH38" i="14" s="1"/>
  <c r="BK38" i="14" s="1"/>
  <c r="H92" i="19"/>
  <c r="I92" i="19" s="1"/>
  <c r="H84" i="19"/>
  <c r="I84" i="19" s="1"/>
  <c r="H91" i="19"/>
  <c r="I91" i="19" s="1"/>
  <c r="H90" i="19"/>
  <c r="I90" i="19" s="1"/>
  <c r="H88" i="19"/>
  <c r="I88" i="19" s="1"/>
  <c r="H87" i="19"/>
  <c r="I87" i="19" s="1"/>
  <c r="H79" i="19"/>
  <c r="I79" i="19" s="1"/>
  <c r="H78" i="19"/>
  <c r="I78" i="19" s="1"/>
  <c r="H75" i="19"/>
  <c r="I75" i="19" s="1"/>
  <c r="AQ7" i="14"/>
  <c r="H7" i="14" s="1"/>
  <c r="AW69" i="14"/>
  <c r="BD43" i="14"/>
  <c r="BH43" i="14" s="1"/>
  <c r="BK43" i="14" s="1"/>
  <c r="BE43" i="14"/>
  <c r="AC43" i="14"/>
  <c r="BN43" i="14" s="1"/>
  <c r="AU69" i="14"/>
  <c r="AE69" i="14" s="1"/>
  <c r="AU41" i="14"/>
  <c r="AE41" i="14" s="1"/>
  <c r="AU71" i="14"/>
  <c r="AE71" i="14" s="1"/>
  <c r="AC10" i="14"/>
  <c r="BN10" i="14" s="1"/>
  <c r="AU13" i="14"/>
  <c r="AE13" i="14" s="1"/>
  <c r="AW38" i="14"/>
  <c r="BO38" i="14" s="1"/>
  <c r="AC7" i="14"/>
  <c r="BN7" i="14" s="1"/>
  <c r="AC9" i="14"/>
  <c r="BN9" i="14" s="1"/>
  <c r="AU70" i="14"/>
  <c r="AE70" i="14" s="1"/>
  <c r="AU11" i="14"/>
  <c r="AE11" i="14" s="1"/>
  <c r="AU8" i="14"/>
  <c r="AE8" i="14" s="1"/>
  <c r="AC11" i="14"/>
  <c r="BN11" i="14" s="1"/>
  <c r="AU10" i="14"/>
  <c r="AE10" i="14" s="1"/>
  <c r="AU9" i="14"/>
  <c r="AE9" i="14" s="1"/>
  <c r="AU34" i="14"/>
  <c r="AE34" i="14" s="1"/>
  <c r="AU36" i="14"/>
  <c r="AE36" i="14" s="1"/>
  <c r="AU35" i="14"/>
  <c r="AE35" i="14" s="1"/>
  <c r="AC38" i="14"/>
  <c r="BN38" i="14" s="1"/>
  <c r="AU38" i="14"/>
  <c r="AE38" i="14" s="1"/>
  <c r="AC40" i="14"/>
  <c r="BN40" i="14" s="1"/>
  <c r="AU40" i="14"/>
  <c r="AE40" i="14" s="1"/>
  <c r="AC39" i="14"/>
  <c r="BN39" i="14" s="1"/>
  <c r="AU39" i="14"/>
  <c r="AE39" i="14" s="1"/>
  <c r="P8" i="11"/>
  <c r="H74" i="19" s="1"/>
  <c r="F88" i="19"/>
  <c r="P28" i="11"/>
  <c r="P20" i="11"/>
  <c r="F78" i="19"/>
  <c r="Q12" i="11"/>
  <c r="F84" i="19"/>
  <c r="Q18" i="11"/>
  <c r="F87" i="19"/>
  <c r="P31" i="11"/>
  <c r="P30" i="11"/>
  <c r="P29" i="11"/>
  <c r="P27" i="11"/>
  <c r="F92" i="19"/>
  <c r="F91" i="19"/>
  <c r="F90" i="19"/>
  <c r="P23" i="11"/>
  <c r="P19" i="11"/>
  <c r="P17" i="11"/>
  <c r="Q17" i="11"/>
  <c r="F82" i="19"/>
  <c r="P16" i="11"/>
  <c r="Q15" i="11"/>
  <c r="P15" i="11"/>
  <c r="F80" i="19"/>
  <c r="P14" i="11"/>
  <c r="Q13" i="11"/>
  <c r="F79" i="19"/>
  <c r="F77" i="19"/>
  <c r="P11" i="11"/>
  <c r="P10" i="11"/>
  <c r="Q10" i="11"/>
  <c r="F75" i="19"/>
  <c r="Q9" i="11"/>
  <c r="Q8" i="11"/>
  <c r="F74" i="19"/>
  <c r="M49" i="19" l="1"/>
  <c r="M53" i="19"/>
  <c r="M50" i="19"/>
  <c r="F48" i="19"/>
  <c r="M45" i="19"/>
  <c r="M42" i="19"/>
  <c r="M48" i="19"/>
  <c r="M51" i="19"/>
  <c r="M41" i="19"/>
  <c r="BK7" i="14"/>
  <c r="M43" i="19"/>
  <c r="K97" i="8"/>
  <c r="H45" i="19"/>
  <c r="I45" i="19" s="1"/>
  <c r="M52" i="19"/>
  <c r="F41" i="19"/>
  <c r="M44" i="19"/>
  <c r="AF69" i="14"/>
  <c r="BO69" i="14"/>
  <c r="AF38" i="14"/>
  <c r="AU7" i="14"/>
  <c r="H50" i="19"/>
  <c r="I50" i="19" s="1"/>
  <c r="H43" i="19"/>
  <c r="I43" i="19" s="1"/>
  <c r="H42" i="19"/>
  <c r="H44" i="19"/>
  <c r="H51" i="19"/>
  <c r="H97" i="19"/>
  <c r="I97" i="19" s="1"/>
  <c r="H96" i="19"/>
  <c r="I96" i="19" s="1"/>
  <c r="H93" i="19"/>
  <c r="I93" i="19" s="1"/>
  <c r="H83" i="19"/>
  <c r="I83" i="19" s="1"/>
  <c r="H95" i="19"/>
  <c r="I95" i="19" s="1"/>
  <c r="H94" i="19"/>
  <c r="I94" i="19" s="1"/>
  <c r="H89" i="19"/>
  <c r="I89" i="19" s="1"/>
  <c r="H86" i="19"/>
  <c r="I86" i="19" s="1"/>
  <c r="H85" i="19"/>
  <c r="I85" i="19" s="1"/>
  <c r="H82" i="19"/>
  <c r="I82" i="19" s="1"/>
  <c r="H81" i="19"/>
  <c r="I81" i="19" s="1"/>
  <c r="H80" i="19"/>
  <c r="I80" i="19" s="1"/>
  <c r="H77" i="19"/>
  <c r="I77" i="19" s="1"/>
  <c r="H76" i="19"/>
  <c r="I76" i="19" s="1"/>
  <c r="H49" i="19"/>
  <c r="H41" i="19"/>
  <c r="I41" i="19" s="1"/>
  <c r="H48" i="19"/>
  <c r="I48" i="19" s="1"/>
  <c r="I74" i="19"/>
  <c r="G19" i="15"/>
  <c r="G20" i="15"/>
  <c r="G18" i="15"/>
  <c r="F49" i="29"/>
  <c r="F47" i="29"/>
  <c r="F46" i="29"/>
  <c r="F45" i="29"/>
  <c r="F39" i="29"/>
  <c r="F48" i="29"/>
  <c r="F44" i="29"/>
  <c r="F40" i="29"/>
  <c r="F37" i="29"/>
  <c r="F41" i="29"/>
  <c r="F38" i="29"/>
  <c r="F53" i="19"/>
  <c r="F52" i="19"/>
  <c r="F51" i="19"/>
  <c r="F50" i="19"/>
  <c r="F49" i="19"/>
  <c r="F42" i="19"/>
  <c r="F45" i="19"/>
  <c r="F44" i="19"/>
  <c r="F43" i="19"/>
  <c r="J45" i="19" l="1"/>
  <c r="AE7" i="14"/>
  <c r="H52" i="19"/>
  <c r="H98" i="19"/>
  <c r="I98" i="19"/>
  <c r="I42" i="19"/>
  <c r="J42" i="19"/>
  <c r="J49" i="19"/>
  <c r="I49" i="19"/>
  <c r="J44" i="19"/>
  <c r="I44" i="19"/>
  <c r="J51" i="19"/>
  <c r="I51" i="19"/>
  <c r="H31" i="11"/>
  <c r="G97" i="19" s="1"/>
  <c r="H30" i="11"/>
  <c r="G96" i="19" s="1"/>
  <c r="H27" i="11"/>
  <c r="G93" i="19" s="1"/>
  <c r="H26" i="11"/>
  <c r="G92" i="19" s="1"/>
  <c r="H18" i="11"/>
  <c r="G84" i="19" s="1"/>
  <c r="H17" i="11"/>
  <c r="G83" i="19" s="1"/>
  <c r="N31" i="11"/>
  <c r="N30" i="11"/>
  <c r="N29" i="11"/>
  <c r="N28" i="11"/>
  <c r="N27" i="11"/>
  <c r="N26" i="11"/>
  <c r="N25" i="11"/>
  <c r="N24" i="11"/>
  <c r="N23" i="11"/>
  <c r="N22" i="11"/>
  <c r="N21" i="11"/>
  <c r="N20" i="11"/>
  <c r="N19" i="11"/>
  <c r="N18" i="11"/>
  <c r="N17" i="11"/>
  <c r="N16" i="11"/>
  <c r="N15" i="11"/>
  <c r="N14" i="11"/>
  <c r="N13" i="11"/>
  <c r="N12" i="11"/>
  <c r="N11" i="11"/>
  <c r="N10" i="11"/>
  <c r="N9" i="11"/>
  <c r="BA63" i="13"/>
  <c r="BK63" i="13" s="1"/>
  <c r="AV63" i="13"/>
  <c r="AL63" i="13"/>
  <c r="AK63" i="13"/>
  <c r="AG63" i="13"/>
  <c r="BA62" i="13"/>
  <c r="BK62" i="13" s="1"/>
  <c r="AV62" i="13"/>
  <c r="AL62" i="13"/>
  <c r="AK62" i="13"/>
  <c r="AG62" i="13"/>
  <c r="BA61" i="13"/>
  <c r="BK61" i="13" s="1"/>
  <c r="AV61" i="13"/>
  <c r="AL61" i="13"/>
  <c r="AK61" i="13"/>
  <c r="AG61" i="13"/>
  <c r="BA60" i="13"/>
  <c r="BK60" i="13" s="1"/>
  <c r="AV60" i="13"/>
  <c r="AL60" i="13"/>
  <c r="AK60" i="13"/>
  <c r="AG60" i="13"/>
  <c r="BA59" i="13"/>
  <c r="BK59" i="13" s="1"/>
  <c r="AV59" i="13"/>
  <c r="AL59" i="13"/>
  <c r="AK59" i="13"/>
  <c r="AG59" i="13"/>
  <c r="BH24" i="13"/>
  <c r="BF24" i="13"/>
  <c r="BA24" i="13"/>
  <c r="BK24" i="13" s="1"/>
  <c r="AV24" i="13"/>
  <c r="AL24" i="13"/>
  <c r="AK24" i="13"/>
  <c r="AG24" i="13"/>
  <c r="J24" i="13"/>
  <c r="BH23" i="13"/>
  <c r="BF23" i="13"/>
  <c r="BA23" i="13"/>
  <c r="BK23" i="13" s="1"/>
  <c r="AV23" i="13"/>
  <c r="AL23" i="13"/>
  <c r="AK23" i="13"/>
  <c r="AG23" i="13"/>
  <c r="J23" i="13"/>
  <c r="BH22" i="13"/>
  <c r="BF22" i="13"/>
  <c r="BA22" i="13"/>
  <c r="BK22" i="13" s="1"/>
  <c r="AV22" i="13"/>
  <c r="AL22" i="13"/>
  <c r="AK22" i="13"/>
  <c r="AG22" i="13"/>
  <c r="J22" i="13"/>
  <c r="BH21" i="13"/>
  <c r="BF21" i="13"/>
  <c r="BA21" i="13"/>
  <c r="BK21" i="13" s="1"/>
  <c r="AV21" i="13"/>
  <c r="AL21" i="13"/>
  <c r="AK21" i="13"/>
  <c r="AG21" i="13"/>
  <c r="J21" i="13"/>
  <c r="BH20" i="13"/>
  <c r="BF20" i="13"/>
  <c r="BA20" i="13"/>
  <c r="BK20" i="13" s="1"/>
  <c r="AV20" i="13"/>
  <c r="AL20" i="13"/>
  <c r="AK20" i="13"/>
  <c r="AG20" i="13"/>
  <c r="J20" i="13"/>
  <c r="BA68" i="13"/>
  <c r="BK68" i="13" s="1"/>
  <c r="AV68" i="13"/>
  <c r="AL68" i="13"/>
  <c r="AK68" i="13"/>
  <c r="AG68" i="13"/>
  <c r="BA67" i="13"/>
  <c r="BK67" i="13" s="1"/>
  <c r="AV67" i="13"/>
  <c r="AL67" i="13"/>
  <c r="AK67" i="13"/>
  <c r="AG67" i="13"/>
  <c r="BA66" i="13"/>
  <c r="BK66" i="13" s="1"/>
  <c r="AV66" i="13"/>
  <c r="AL66" i="13"/>
  <c r="AK66" i="13"/>
  <c r="AG66" i="13"/>
  <c r="BA65" i="13"/>
  <c r="BK65" i="13" s="1"/>
  <c r="AV65" i="13"/>
  <c r="AL65" i="13"/>
  <c r="AK65" i="13"/>
  <c r="AG65" i="13"/>
  <c r="BA64" i="13"/>
  <c r="BK64" i="13" s="1"/>
  <c r="AV64" i="13"/>
  <c r="AL64" i="13"/>
  <c r="AK64" i="13"/>
  <c r="AG64" i="13"/>
  <c r="BH26" i="13"/>
  <c r="BF26" i="13"/>
  <c r="BA26" i="13"/>
  <c r="BK26" i="13" s="1"/>
  <c r="AV26" i="13"/>
  <c r="AL26" i="13"/>
  <c r="AK26" i="13"/>
  <c r="AG26" i="13"/>
  <c r="J26" i="13"/>
  <c r="BH25" i="13"/>
  <c r="BF25" i="13"/>
  <c r="BA25" i="13"/>
  <c r="BK25" i="13" s="1"/>
  <c r="AV25" i="13"/>
  <c r="AL25" i="13"/>
  <c r="AK25" i="13"/>
  <c r="AG25" i="13"/>
  <c r="J25" i="13"/>
  <c r="BH19" i="13"/>
  <c r="BF19" i="13"/>
  <c r="BA19" i="13"/>
  <c r="BK19" i="13" s="1"/>
  <c r="AV19" i="13"/>
  <c r="AL19" i="13"/>
  <c r="AK19" i="13"/>
  <c r="AG19" i="13"/>
  <c r="J19" i="13"/>
  <c r="BH18" i="13"/>
  <c r="BF18" i="13"/>
  <c r="BA18" i="13"/>
  <c r="BK18" i="13" s="1"/>
  <c r="AV18" i="13"/>
  <c r="AL18" i="13"/>
  <c r="AK18" i="13"/>
  <c r="AG18" i="13"/>
  <c r="J18" i="13"/>
  <c r="BH27" i="13"/>
  <c r="BF27" i="13"/>
  <c r="BA27" i="13"/>
  <c r="BK27" i="13" s="1"/>
  <c r="AV27" i="13"/>
  <c r="AL27" i="13"/>
  <c r="AK27" i="13"/>
  <c r="AG27" i="13"/>
  <c r="J27" i="13"/>
  <c r="AQ26" i="13" l="1"/>
  <c r="AR26" i="13"/>
  <c r="AP26" i="13"/>
  <c r="AN26" i="13"/>
  <c r="H26" i="13"/>
  <c r="BN60" i="13"/>
  <c r="AR60" i="13"/>
  <c r="AP60" i="13"/>
  <c r="AN60" i="13"/>
  <c r="H60" i="13"/>
  <c r="AR19" i="13"/>
  <c r="AP19" i="13"/>
  <c r="AN19" i="13"/>
  <c r="H19" i="13"/>
  <c r="AR66" i="13"/>
  <c r="AP66" i="13"/>
  <c r="AN66" i="13"/>
  <c r="H66" i="13"/>
  <c r="AR59" i="13"/>
  <c r="AP59" i="13"/>
  <c r="AN59" i="13"/>
  <c r="H59" i="13"/>
  <c r="AR63" i="13"/>
  <c r="AP63" i="13"/>
  <c r="AN63" i="13"/>
  <c r="H63" i="13"/>
  <c r="AR20" i="13"/>
  <c r="AP20" i="13"/>
  <c r="AN20" i="13"/>
  <c r="H20" i="13"/>
  <c r="I20" i="13"/>
  <c r="BO20" i="13" s="1"/>
  <c r="AR21" i="13"/>
  <c r="AP21" i="13"/>
  <c r="AN21" i="13"/>
  <c r="H21" i="13"/>
  <c r="AR22" i="13"/>
  <c r="AP22" i="13"/>
  <c r="AN22" i="13"/>
  <c r="H22" i="13"/>
  <c r="BN22" i="13" s="1"/>
  <c r="AQ23" i="13"/>
  <c r="H23" i="13"/>
  <c r="AR23" i="13"/>
  <c r="AP23" i="13"/>
  <c r="AN23" i="13"/>
  <c r="AR24" i="13"/>
  <c r="AP24" i="13"/>
  <c r="AN24" i="13"/>
  <c r="H24" i="13"/>
  <c r="BN24" i="13" s="1"/>
  <c r="AR25" i="13"/>
  <c r="AP25" i="13"/>
  <c r="AN25" i="13"/>
  <c r="H25" i="13"/>
  <c r="AR62" i="13"/>
  <c r="AP62" i="13"/>
  <c r="AN62" i="13"/>
  <c r="H62" i="13"/>
  <c r="AQ27" i="13"/>
  <c r="AR27" i="13"/>
  <c r="AP27" i="13"/>
  <c r="AN27" i="13"/>
  <c r="H27" i="13"/>
  <c r="BN27" i="13" s="1"/>
  <c r="AR65" i="13"/>
  <c r="AP65" i="13"/>
  <c r="AN65" i="13"/>
  <c r="H65" i="13"/>
  <c r="BN65" i="13" s="1"/>
  <c r="AR68" i="13"/>
  <c r="AP68" i="13"/>
  <c r="AN68" i="13"/>
  <c r="H68" i="13"/>
  <c r="I60" i="13"/>
  <c r="BO60" i="13" s="1"/>
  <c r="AR61" i="13"/>
  <c r="AP61" i="13"/>
  <c r="AN61" i="13"/>
  <c r="H61" i="13"/>
  <c r="AR18" i="13"/>
  <c r="AP18" i="13"/>
  <c r="AN18" i="13"/>
  <c r="H18" i="13"/>
  <c r="H64" i="13"/>
  <c r="AR64" i="13"/>
  <c r="AP64" i="13"/>
  <c r="AN64" i="13"/>
  <c r="AR67" i="13"/>
  <c r="AP67" i="13"/>
  <c r="AN67" i="13"/>
  <c r="H67" i="13"/>
  <c r="J52" i="19"/>
  <c r="I52" i="19"/>
  <c r="AM67" i="13"/>
  <c r="AQ65" i="13"/>
  <c r="AO61" i="13"/>
  <c r="I61" i="13"/>
  <c r="BO61" i="13" s="1"/>
  <c r="BN67" i="13"/>
  <c r="AQ60" i="13"/>
  <c r="AQ22" i="13"/>
  <c r="AM60" i="13"/>
  <c r="AO67" i="13"/>
  <c r="AO66" i="13"/>
  <c r="I22" i="13"/>
  <c r="BO22" i="13" s="1"/>
  <c r="BN20" i="13"/>
  <c r="AQ20" i="13"/>
  <c r="I67" i="13"/>
  <c r="BO67" i="13" s="1"/>
  <c r="AQ67" i="13"/>
  <c r="I66" i="13"/>
  <c r="BO66" i="13" s="1"/>
  <c r="AO62" i="13"/>
  <c r="I62" i="13"/>
  <c r="BO62" i="13" s="1"/>
  <c r="AQ62" i="13"/>
  <c r="AO18" i="13"/>
  <c r="BN18" i="13"/>
  <c r="I18" i="13"/>
  <c r="BO18" i="13" s="1"/>
  <c r="AQ18" i="13"/>
  <c r="AM65" i="13"/>
  <c r="I65" i="13"/>
  <c r="BO65" i="13" s="1"/>
  <c r="AT59" i="13"/>
  <c r="M59" i="13" s="1"/>
  <c r="BE59" i="13"/>
  <c r="AT64" i="13"/>
  <c r="M64" i="13" s="1"/>
  <c r="BE64" i="13"/>
  <c r="AS67" i="13"/>
  <c r="L67" i="13" s="1"/>
  <c r="BQ67" i="13" s="1"/>
  <c r="AT67" i="13"/>
  <c r="M67" i="13" s="1"/>
  <c r="BE67" i="13"/>
  <c r="AT68" i="13"/>
  <c r="M68" i="13" s="1"/>
  <c r="BE68" i="13"/>
  <c r="AS62" i="13"/>
  <c r="L62" i="13" s="1"/>
  <c r="BQ62" i="13" s="1"/>
  <c r="AT62" i="13"/>
  <c r="M62" i="13" s="1"/>
  <c r="BE62" i="13"/>
  <c r="AW66" i="13"/>
  <c r="AX66" i="13" s="1"/>
  <c r="AT66" i="13"/>
  <c r="M66" i="13" s="1"/>
  <c r="BE66" i="13"/>
  <c r="AW67" i="13"/>
  <c r="AX67" i="13" s="1"/>
  <c r="AO60" i="13"/>
  <c r="AT60" i="13"/>
  <c r="M60" i="13" s="1"/>
  <c r="BE60" i="13"/>
  <c r="AW61" i="13"/>
  <c r="AX61" i="13" s="1"/>
  <c r="AT61" i="13"/>
  <c r="M61" i="13" s="1"/>
  <c r="BE61" i="13"/>
  <c r="AW62" i="13"/>
  <c r="AX62" i="13" s="1"/>
  <c r="AT63" i="13"/>
  <c r="M63" i="13" s="1"/>
  <c r="BE63" i="13"/>
  <c r="AO65" i="13"/>
  <c r="AT65" i="13"/>
  <c r="M65" i="13" s="1"/>
  <c r="BE65" i="13"/>
  <c r="BN62" i="13"/>
  <c r="AM62" i="13"/>
  <c r="AW19" i="13"/>
  <c r="AX19" i="13" s="1"/>
  <c r="BD19" i="13" s="1"/>
  <c r="BG19" i="13" s="1"/>
  <c r="AT19" i="13"/>
  <c r="M19" i="13" s="1"/>
  <c r="AO19" i="13"/>
  <c r="AO21" i="13"/>
  <c r="AT21" i="13"/>
  <c r="M21" i="13" s="1"/>
  <c r="AW21" i="13"/>
  <c r="AX21" i="13" s="1"/>
  <c r="BD21" i="13" s="1"/>
  <c r="BG21" i="13" s="1"/>
  <c r="AW23" i="13"/>
  <c r="AX23" i="13" s="1"/>
  <c r="BD23" i="13" s="1"/>
  <c r="BG23" i="13" s="1"/>
  <c r="BE27" i="13"/>
  <c r="AT27" i="13"/>
  <c r="M27" i="13" s="1"/>
  <c r="BN23" i="13"/>
  <c r="AO24" i="13"/>
  <c r="AT24" i="13"/>
  <c r="M24" i="13" s="1"/>
  <c r="AW24" i="13"/>
  <c r="AX24" i="13" s="1"/>
  <c r="AW27" i="13"/>
  <c r="AX27" i="13" s="1"/>
  <c r="BD27" i="13" s="1"/>
  <c r="BG27" i="13" s="1"/>
  <c r="BN19" i="13"/>
  <c r="I23" i="13"/>
  <c r="BO23" i="13" s="1"/>
  <c r="AO23" i="13"/>
  <c r="AT23" i="13"/>
  <c r="M23" i="13" s="1"/>
  <c r="AW25" i="13"/>
  <c r="AX25" i="13" s="1"/>
  <c r="BD25" i="13" s="1"/>
  <c r="BG25" i="13" s="1"/>
  <c r="AT25" i="13"/>
  <c r="M25" i="13" s="1"/>
  <c r="BN21" i="13"/>
  <c r="AW26" i="13"/>
  <c r="AX26" i="13" s="1"/>
  <c r="AZ26" i="13" s="1"/>
  <c r="BS26" i="13" s="1"/>
  <c r="AT26" i="13"/>
  <c r="M26" i="13" s="1"/>
  <c r="AM27" i="13"/>
  <c r="I27" i="13"/>
  <c r="BO27" i="13" s="1"/>
  <c r="AO27" i="13"/>
  <c r="I21" i="13"/>
  <c r="BO21" i="13" s="1"/>
  <c r="AQ21" i="13"/>
  <c r="AO22" i="13"/>
  <c r="AT22" i="13"/>
  <c r="M22" i="13" s="1"/>
  <c r="AW22" i="13"/>
  <c r="AX22" i="13" s="1"/>
  <c r="BD22" i="13" s="1"/>
  <c r="BG22" i="13" s="1"/>
  <c r="I26" i="13"/>
  <c r="BO26" i="13" s="1"/>
  <c r="AW18" i="13"/>
  <c r="AX18" i="13" s="1"/>
  <c r="BD18" i="13" s="1"/>
  <c r="BG18" i="13" s="1"/>
  <c r="AT18" i="13"/>
  <c r="M18" i="13" s="1"/>
  <c r="AO20" i="13"/>
  <c r="AT20" i="13"/>
  <c r="M20" i="13" s="1"/>
  <c r="AW20" i="13"/>
  <c r="AX20" i="13" s="1"/>
  <c r="I24" i="13"/>
  <c r="BO24" i="13" s="1"/>
  <c r="AQ24" i="13"/>
  <c r="AS59" i="13"/>
  <c r="L59" i="13" s="1"/>
  <c r="BQ59" i="13" s="1"/>
  <c r="AS63" i="13"/>
  <c r="L63" i="13" s="1"/>
  <c r="BQ63" i="13" s="1"/>
  <c r="AM59" i="13"/>
  <c r="AS60" i="13"/>
  <c r="L60" i="13" s="1"/>
  <c r="BQ60" i="13" s="1"/>
  <c r="BN61" i="13"/>
  <c r="AQ61" i="13"/>
  <c r="AM63" i="13"/>
  <c r="AW59" i="13"/>
  <c r="AX59" i="13" s="1"/>
  <c r="AO59" i="13"/>
  <c r="AS61" i="13"/>
  <c r="L61" i="13" s="1"/>
  <c r="BQ61" i="13" s="1"/>
  <c r="AO63" i="13"/>
  <c r="AW63" i="13"/>
  <c r="AX63" i="13" s="1"/>
  <c r="AW60" i="13"/>
  <c r="AX60" i="13" s="1"/>
  <c r="BN59" i="13"/>
  <c r="AQ59" i="13"/>
  <c r="AM61" i="13"/>
  <c r="BN63" i="13"/>
  <c r="AQ63" i="13"/>
  <c r="I59" i="13"/>
  <c r="BO59" i="13" s="1"/>
  <c r="I63" i="13"/>
  <c r="BO63" i="13" s="1"/>
  <c r="I19" i="13"/>
  <c r="BO19" i="13" s="1"/>
  <c r="BN25" i="13"/>
  <c r="AS20" i="13"/>
  <c r="L20" i="13" s="1"/>
  <c r="BQ20" i="13" s="1"/>
  <c r="AS21" i="13"/>
  <c r="L21" i="13" s="1"/>
  <c r="BQ21" i="13" s="1"/>
  <c r="AS22" i="13"/>
  <c r="L22" i="13" s="1"/>
  <c r="BQ22" i="13" s="1"/>
  <c r="AS23" i="13"/>
  <c r="L23" i="13" s="1"/>
  <c r="BQ23" i="13" s="1"/>
  <c r="AS24" i="13"/>
  <c r="L24" i="13" s="1"/>
  <c r="BQ24" i="13" s="1"/>
  <c r="AQ19" i="13"/>
  <c r="AO25" i="13"/>
  <c r="I25" i="13"/>
  <c r="BO25" i="13" s="1"/>
  <c r="AQ25" i="13"/>
  <c r="BN26" i="13"/>
  <c r="AO26" i="13"/>
  <c r="AM20" i="13"/>
  <c r="BE20" i="13"/>
  <c r="AM21" i="13"/>
  <c r="BE21" i="13"/>
  <c r="AM22" i="13"/>
  <c r="BE22" i="13"/>
  <c r="AM23" i="13"/>
  <c r="BE23" i="13"/>
  <c r="AM24" i="13"/>
  <c r="BE24" i="13"/>
  <c r="AM64" i="13"/>
  <c r="AS65" i="13"/>
  <c r="L65" i="13" s="1"/>
  <c r="BQ65" i="13" s="1"/>
  <c r="BN66" i="13"/>
  <c r="AQ66" i="13"/>
  <c r="AM68" i="13"/>
  <c r="AW64" i="13"/>
  <c r="AX64" i="13" s="1"/>
  <c r="AW68" i="13"/>
  <c r="AX68" i="13" s="1"/>
  <c r="AO64" i="13"/>
  <c r="AS66" i="13"/>
  <c r="L66" i="13" s="1"/>
  <c r="BQ66" i="13" s="1"/>
  <c r="AO68" i="13"/>
  <c r="AS64" i="13"/>
  <c r="L64" i="13" s="1"/>
  <c r="BQ64" i="13" s="1"/>
  <c r="AW65" i="13"/>
  <c r="AX65" i="13" s="1"/>
  <c r="BN64" i="13"/>
  <c r="AQ64" i="13"/>
  <c r="AM66" i="13"/>
  <c r="BN68" i="13"/>
  <c r="AQ68" i="13"/>
  <c r="AS68" i="13"/>
  <c r="L68" i="13" s="1"/>
  <c r="BQ68" i="13" s="1"/>
  <c r="I64" i="13"/>
  <c r="BO64" i="13" s="1"/>
  <c r="I68" i="13"/>
  <c r="BO68" i="13" s="1"/>
  <c r="AS18" i="13"/>
  <c r="L18" i="13" s="1"/>
  <c r="BQ18" i="13" s="1"/>
  <c r="AS19" i="13"/>
  <c r="L19" i="13" s="1"/>
  <c r="BQ19" i="13" s="1"/>
  <c r="AS25" i="13"/>
  <c r="L25" i="13" s="1"/>
  <c r="BQ25" i="13" s="1"/>
  <c r="AS26" i="13"/>
  <c r="L26" i="13" s="1"/>
  <c r="BQ26" i="13" s="1"/>
  <c r="AM18" i="13"/>
  <c r="BE18" i="13"/>
  <c r="AM19" i="13"/>
  <c r="BE19" i="13"/>
  <c r="AM25" i="13"/>
  <c r="BE25" i="13"/>
  <c r="AM26" i="13"/>
  <c r="BE26" i="13"/>
  <c r="AS27" i="13"/>
  <c r="L27" i="13" s="1"/>
  <c r="BQ27" i="13" s="1"/>
  <c r="AZ24" i="13" l="1"/>
  <c r="BS24" i="13" s="1"/>
  <c r="AF24" i="13"/>
  <c r="BR24" i="13" s="1"/>
  <c r="BD60" i="13"/>
  <c r="BG60" i="13" s="1"/>
  <c r="AY60" i="13"/>
  <c r="AH60" i="13" s="1"/>
  <c r="AF60" i="13"/>
  <c r="BR60" i="13" s="1"/>
  <c r="AZ60" i="13"/>
  <c r="BD67" i="13"/>
  <c r="BG67" i="13" s="1"/>
  <c r="AY67" i="13"/>
  <c r="AH67" i="13" s="1"/>
  <c r="AZ67" i="13"/>
  <c r="BS67" i="13" s="1"/>
  <c r="AF67" i="13"/>
  <c r="BR67" i="13" s="1"/>
  <c r="AY66" i="13"/>
  <c r="AH66" i="13" s="1"/>
  <c r="AF66" i="13"/>
  <c r="BR66" i="13" s="1"/>
  <c r="AZ66" i="13"/>
  <c r="BD66" i="13"/>
  <c r="BG66" i="13" s="1"/>
  <c r="AY64" i="13"/>
  <c r="AH64" i="13" s="1"/>
  <c r="AZ64" i="13"/>
  <c r="BS64" i="13" s="1"/>
  <c r="BD64" i="13"/>
  <c r="BG64" i="13" s="1"/>
  <c r="AF64" i="13"/>
  <c r="BR64" i="13" s="1"/>
  <c r="AF65" i="13"/>
  <c r="BR65" i="13" s="1"/>
  <c r="AZ65" i="13"/>
  <c r="AY65" i="13"/>
  <c r="AH65" i="13" s="1"/>
  <c r="BD65" i="13"/>
  <c r="BG65" i="13" s="1"/>
  <c r="AZ20" i="13"/>
  <c r="BD20" i="13"/>
  <c r="BG20" i="13" s="1"/>
  <c r="AY20" i="13"/>
  <c r="AH20" i="13" s="1"/>
  <c r="AF20" i="13"/>
  <c r="BR20" i="13" s="1"/>
  <c r="AF63" i="13"/>
  <c r="BR63" i="13" s="1"/>
  <c r="BD63" i="13"/>
  <c r="BG63" i="13" s="1"/>
  <c r="AZ63" i="13"/>
  <c r="BS63" i="13" s="1"/>
  <c r="AY63" i="13"/>
  <c r="AH63" i="13" s="1"/>
  <c r="BD68" i="13"/>
  <c r="BG68" i="13" s="1"/>
  <c r="AF68" i="13"/>
  <c r="BR68" i="13" s="1"/>
  <c r="AY68" i="13"/>
  <c r="AH68" i="13" s="1"/>
  <c r="AZ68" i="13"/>
  <c r="AF61" i="13"/>
  <c r="BR61" i="13" s="1"/>
  <c r="AZ61" i="13"/>
  <c r="BD61" i="13"/>
  <c r="BG61" i="13" s="1"/>
  <c r="AY61" i="13"/>
  <c r="AH61" i="13" s="1"/>
  <c r="BD59" i="13"/>
  <c r="BG59" i="13" s="1"/>
  <c r="AF59" i="13"/>
  <c r="BR59" i="13" s="1"/>
  <c r="AY59" i="13"/>
  <c r="AH59" i="13" s="1"/>
  <c r="AZ59" i="13"/>
  <c r="BD62" i="13"/>
  <c r="BG62" i="13" s="1"/>
  <c r="AY62" i="13"/>
  <c r="AH62" i="13" s="1"/>
  <c r="AF62" i="13"/>
  <c r="BR62" i="13" s="1"/>
  <c r="AZ62" i="13"/>
  <c r="AI24" i="13"/>
  <c r="AI26" i="13"/>
  <c r="AI67" i="13"/>
  <c r="BD24" i="13"/>
  <c r="BG24" i="13" s="1"/>
  <c r="AY19" i="13"/>
  <c r="AH19" i="13" s="1"/>
  <c r="AZ23" i="13"/>
  <c r="BS23" i="13" s="1"/>
  <c r="AZ22" i="13"/>
  <c r="BS22" i="13" s="1"/>
  <c r="AY23" i="13"/>
  <c r="AH23" i="13" s="1"/>
  <c r="AY18" i="13"/>
  <c r="AH18" i="13" s="1"/>
  <c r="AF22" i="13"/>
  <c r="BR22" i="13" s="1"/>
  <c r="AF18" i="13"/>
  <c r="BR18" i="13" s="1"/>
  <c r="AF23" i="13"/>
  <c r="BR23" i="13" s="1"/>
  <c r="AZ19" i="13"/>
  <c r="BS19" i="13" s="1"/>
  <c r="AZ18" i="13"/>
  <c r="BS18" i="13" s="1"/>
  <c r="AF19" i="13"/>
  <c r="BR19" i="13" s="1"/>
  <c r="AY22" i="13"/>
  <c r="AH22" i="13" s="1"/>
  <c r="AY24" i="13"/>
  <c r="AH24" i="13" s="1"/>
  <c r="AY26" i="13"/>
  <c r="AH26" i="13" s="1"/>
  <c r="AF25" i="13"/>
  <c r="BR25" i="13" s="1"/>
  <c r="AZ25" i="13"/>
  <c r="BS25" i="13" s="1"/>
  <c r="AZ21" i="13"/>
  <c r="BS21" i="13" s="1"/>
  <c r="AZ27" i="13"/>
  <c r="BS27" i="13" s="1"/>
  <c r="AF21" i="13"/>
  <c r="BR21" i="13" s="1"/>
  <c r="AY21" i="13"/>
  <c r="AH21" i="13" s="1"/>
  <c r="AF27" i="13"/>
  <c r="BR27" i="13" s="1"/>
  <c r="AY27" i="13"/>
  <c r="AH27" i="13" s="1"/>
  <c r="AY25" i="13"/>
  <c r="AH25" i="13" s="1"/>
  <c r="BD26" i="13"/>
  <c r="BG26" i="13" s="1"/>
  <c r="AF26" i="13"/>
  <c r="BR26" i="13" s="1"/>
  <c r="BA80" i="13"/>
  <c r="BK80" i="13" s="1"/>
  <c r="AV80" i="13"/>
  <c r="BA79" i="13"/>
  <c r="BK79" i="13" s="1"/>
  <c r="AV79" i="13"/>
  <c r="BA78" i="13"/>
  <c r="BK78" i="13" s="1"/>
  <c r="AV78" i="13"/>
  <c r="BA77" i="13"/>
  <c r="BK77" i="13" s="1"/>
  <c r="AV77" i="13"/>
  <c r="BA71" i="13"/>
  <c r="BK71" i="13" s="1"/>
  <c r="AV71" i="13"/>
  <c r="BA70" i="13"/>
  <c r="BK70" i="13" s="1"/>
  <c r="AV70" i="13"/>
  <c r="BA69" i="13"/>
  <c r="BK69" i="13" s="1"/>
  <c r="AV69" i="13"/>
  <c r="BA58" i="13"/>
  <c r="BK58" i="13" s="1"/>
  <c r="AV58" i="13"/>
  <c r="AG80" i="13"/>
  <c r="AG79" i="13"/>
  <c r="AG78" i="13"/>
  <c r="AG77" i="13"/>
  <c r="AG71" i="13"/>
  <c r="AG70" i="13"/>
  <c r="AG69" i="13"/>
  <c r="AG58" i="13"/>
  <c r="AG57" i="13"/>
  <c r="AG56" i="13"/>
  <c r="AG55" i="13"/>
  <c r="AG54" i="13"/>
  <c r="AG53" i="13"/>
  <c r="AG52" i="13"/>
  <c r="BA57" i="13"/>
  <c r="BK57" i="13" s="1"/>
  <c r="AV57" i="13"/>
  <c r="BA56" i="13"/>
  <c r="BK56" i="13" s="1"/>
  <c r="AV56" i="13"/>
  <c r="BA55" i="13"/>
  <c r="BK55" i="13" s="1"/>
  <c r="AV55" i="13"/>
  <c r="BA54" i="13"/>
  <c r="BK54" i="13" s="1"/>
  <c r="AV54" i="13"/>
  <c r="BA53" i="13"/>
  <c r="BK53" i="13" s="1"/>
  <c r="AV53" i="13"/>
  <c r="BA52" i="13"/>
  <c r="BK52" i="13" s="1"/>
  <c r="AV52" i="13"/>
  <c r="AL80" i="13"/>
  <c r="AK80" i="13"/>
  <c r="AL79" i="13"/>
  <c r="AK79" i="13"/>
  <c r="AL78" i="13"/>
  <c r="AK78" i="13"/>
  <c r="AL77" i="13"/>
  <c r="AK77" i="13"/>
  <c r="AL71" i="13"/>
  <c r="AK71" i="13"/>
  <c r="AL70" i="13"/>
  <c r="AK70" i="13"/>
  <c r="AL69" i="13"/>
  <c r="AK69" i="13"/>
  <c r="AL58" i="13"/>
  <c r="AK58" i="13"/>
  <c r="BH50" i="13"/>
  <c r="BH49" i="13"/>
  <c r="BH48" i="13"/>
  <c r="BH47" i="13"/>
  <c r="BH36" i="13"/>
  <c r="BH35" i="13"/>
  <c r="BH34" i="13"/>
  <c r="BH33" i="13"/>
  <c r="BH32" i="13"/>
  <c r="BH31" i="13"/>
  <c r="BH30" i="13"/>
  <c r="BH29" i="13"/>
  <c r="BH28" i="13"/>
  <c r="BH17" i="13"/>
  <c r="BH16" i="13"/>
  <c r="BH15" i="13"/>
  <c r="BH14" i="13"/>
  <c r="BH13" i="13"/>
  <c r="BH12" i="13"/>
  <c r="BH11" i="13"/>
  <c r="BH10" i="13"/>
  <c r="BH9" i="13"/>
  <c r="BH8" i="13"/>
  <c r="BH7" i="13"/>
  <c r="BA7" i="13"/>
  <c r="BA50" i="13"/>
  <c r="BK50" i="13" s="1"/>
  <c r="BA49" i="13"/>
  <c r="BK49" i="13" s="1"/>
  <c r="BA48" i="13"/>
  <c r="BK48" i="13" s="1"/>
  <c r="BA47" i="13"/>
  <c r="BK47" i="13" s="1"/>
  <c r="BA36" i="13"/>
  <c r="BK36" i="13" s="1"/>
  <c r="BA35" i="13"/>
  <c r="BK35" i="13" s="1"/>
  <c r="BA34" i="13"/>
  <c r="BK34" i="13" s="1"/>
  <c r="BA33" i="13"/>
  <c r="BK33" i="13" s="1"/>
  <c r="BA32" i="13"/>
  <c r="BK32" i="13" s="1"/>
  <c r="BA31" i="13"/>
  <c r="BK31" i="13" s="1"/>
  <c r="BA30" i="13"/>
  <c r="BK30" i="13" s="1"/>
  <c r="BA29" i="13"/>
  <c r="BK29" i="13" s="1"/>
  <c r="BA28" i="13"/>
  <c r="BK28" i="13" s="1"/>
  <c r="BA17" i="13"/>
  <c r="BK17" i="13" s="1"/>
  <c r="BA16" i="13"/>
  <c r="BK16" i="13" s="1"/>
  <c r="BA15" i="13"/>
  <c r="BK15" i="13" s="1"/>
  <c r="BA14" i="13"/>
  <c r="BK14" i="13" s="1"/>
  <c r="BA13" i="13"/>
  <c r="BK13" i="13" s="1"/>
  <c r="BA12" i="13"/>
  <c r="BK12" i="13" s="1"/>
  <c r="BA11" i="13"/>
  <c r="BK11" i="13" s="1"/>
  <c r="BA10" i="13"/>
  <c r="BK10" i="13" s="1"/>
  <c r="BA9" i="13"/>
  <c r="BK9" i="13" s="1"/>
  <c r="BA8" i="13"/>
  <c r="BK8" i="13" s="1"/>
  <c r="BF50" i="13"/>
  <c r="BF49" i="13"/>
  <c r="BF48" i="13"/>
  <c r="BF47" i="13"/>
  <c r="BF36" i="13"/>
  <c r="BF35" i="13"/>
  <c r="BF34" i="13"/>
  <c r="BF33" i="13"/>
  <c r="BF32" i="13"/>
  <c r="BF31" i="13"/>
  <c r="BF30" i="13"/>
  <c r="BF29" i="13"/>
  <c r="BF28" i="13"/>
  <c r="BF17" i="13"/>
  <c r="BF16" i="13"/>
  <c r="BF15" i="13"/>
  <c r="BF14" i="13"/>
  <c r="BF13" i="13"/>
  <c r="BF12" i="13"/>
  <c r="BF11" i="13"/>
  <c r="BF10" i="13"/>
  <c r="BF9" i="13"/>
  <c r="BF8" i="13"/>
  <c r="BF7" i="13"/>
  <c r="AI20" i="13" l="1"/>
  <c r="BS20" i="13"/>
  <c r="AI62" i="13"/>
  <c r="BS62" i="13"/>
  <c r="AI60" i="13"/>
  <c r="BS60" i="13"/>
  <c r="AI66" i="13"/>
  <c r="BS66" i="13"/>
  <c r="AI61" i="13"/>
  <c r="BS61" i="13"/>
  <c r="AI65" i="13"/>
  <c r="BS65" i="13"/>
  <c r="AI59" i="13"/>
  <c r="BS59" i="13"/>
  <c r="AI68" i="13"/>
  <c r="BS68" i="13"/>
  <c r="AI63" i="13"/>
  <c r="AI64" i="13"/>
  <c r="AR70" i="13"/>
  <c r="AP70" i="13"/>
  <c r="AN70" i="13"/>
  <c r="H70" i="13"/>
  <c r="AR71" i="13"/>
  <c r="AP71" i="13"/>
  <c r="AN71" i="13"/>
  <c r="H71" i="13"/>
  <c r="H80" i="13"/>
  <c r="AR80" i="13"/>
  <c r="AP80" i="13"/>
  <c r="AN80" i="13"/>
  <c r="I80" i="13"/>
  <c r="BO80" i="13" s="1"/>
  <c r="AR79" i="13"/>
  <c r="AP79" i="13"/>
  <c r="AN79" i="13"/>
  <c r="H79" i="13"/>
  <c r="AR58" i="13"/>
  <c r="AP58" i="13"/>
  <c r="AN58" i="13"/>
  <c r="H58" i="13"/>
  <c r="AR77" i="13"/>
  <c r="AP77" i="13"/>
  <c r="AN77" i="13"/>
  <c r="H77" i="13"/>
  <c r="AR69" i="13"/>
  <c r="AP69" i="13"/>
  <c r="AN69" i="13"/>
  <c r="H69" i="13"/>
  <c r="AR78" i="13"/>
  <c r="AP78" i="13"/>
  <c r="AN78" i="13"/>
  <c r="H78" i="13"/>
  <c r="F59" i="19"/>
  <c r="M40" i="19"/>
  <c r="M37" i="19"/>
  <c r="F37" i="19"/>
  <c r="M60" i="19"/>
  <c r="M59" i="19"/>
  <c r="BK7" i="13"/>
  <c r="AI27" i="13"/>
  <c r="AI18" i="13"/>
  <c r="AI23" i="13"/>
  <c r="AI22" i="13"/>
  <c r="AI21" i="13"/>
  <c r="AI19" i="13"/>
  <c r="AI25" i="13"/>
  <c r="AW79" i="13"/>
  <c r="AX79" i="13" s="1"/>
  <c r="AW78" i="13"/>
  <c r="AX78" i="13" s="1"/>
  <c r="AW70" i="13"/>
  <c r="AX70" i="13" s="1"/>
  <c r="AM58" i="13"/>
  <c r="I69" i="13"/>
  <c r="BO69" i="13" s="1"/>
  <c r="I36" i="29"/>
  <c r="I33" i="29"/>
  <c r="AW69" i="13"/>
  <c r="AX69" i="13" s="1"/>
  <c r="BN78" i="13"/>
  <c r="I70" i="13"/>
  <c r="BO70" i="13" s="1"/>
  <c r="AO77" i="13"/>
  <c r="AW77" i="13"/>
  <c r="AX77" i="13" s="1"/>
  <c r="AQ77" i="13"/>
  <c r="BN77" i="13"/>
  <c r="AM77" i="13"/>
  <c r="AM78" i="13"/>
  <c r="I77" i="13"/>
  <c r="BO77" i="13" s="1"/>
  <c r="I78" i="13"/>
  <c r="BO78" i="13" s="1"/>
  <c r="AT79" i="13"/>
  <c r="M79" i="13" s="1"/>
  <c r="BE79" i="13"/>
  <c r="BN79" i="13"/>
  <c r="AT71" i="13"/>
  <c r="M71" i="13" s="1"/>
  <c r="BE71" i="13"/>
  <c r="AT80" i="13"/>
  <c r="M80" i="13" s="1"/>
  <c r="BE80" i="13"/>
  <c r="I71" i="13"/>
  <c r="BO71" i="13" s="1"/>
  <c r="BN58" i="13"/>
  <c r="AT58" i="13"/>
  <c r="M58" i="13" s="1"/>
  <c r="AT69" i="13"/>
  <c r="M69" i="13" s="1"/>
  <c r="BE69" i="13"/>
  <c r="AM69" i="13"/>
  <c r="AM80" i="13"/>
  <c r="BN69" i="13"/>
  <c r="AO71" i="13"/>
  <c r="AT70" i="13"/>
  <c r="M70" i="13" s="1"/>
  <c r="BE70" i="13"/>
  <c r="BN70" i="13"/>
  <c r="I79" i="13"/>
  <c r="BO79" i="13" s="1"/>
  <c r="AW80" i="13"/>
  <c r="AX80" i="13" s="1"/>
  <c r="BN80" i="13"/>
  <c r="AQ71" i="13"/>
  <c r="AT77" i="13"/>
  <c r="M77" i="13" s="1"/>
  <c r="BE77" i="13"/>
  <c r="AT78" i="13"/>
  <c r="M78" i="13" s="1"/>
  <c r="BE78" i="13"/>
  <c r="AO80" i="13"/>
  <c r="BN71" i="13"/>
  <c r="AW71" i="13"/>
  <c r="AX71" i="13" s="1"/>
  <c r="I58" i="13"/>
  <c r="BO58" i="13" s="1"/>
  <c r="AW58" i="13"/>
  <c r="AX58" i="13" s="1"/>
  <c r="AQ58" i="13"/>
  <c r="BE58" i="13"/>
  <c r="AS69" i="13"/>
  <c r="L69" i="13" s="1"/>
  <c r="BQ69" i="13" s="1"/>
  <c r="AQ70" i="13"/>
  <c r="AS78" i="13"/>
  <c r="L78" i="13" s="1"/>
  <c r="BQ78" i="13" s="1"/>
  <c r="AQ79" i="13"/>
  <c r="AS70" i="13"/>
  <c r="L70" i="13" s="1"/>
  <c r="BQ70" i="13" s="1"/>
  <c r="AS79" i="13"/>
  <c r="L79" i="13" s="1"/>
  <c r="BQ79" i="13" s="1"/>
  <c r="AO69" i="13"/>
  <c r="AM70" i="13"/>
  <c r="AS71" i="13"/>
  <c r="L71" i="13" s="1"/>
  <c r="BQ71" i="13" s="1"/>
  <c r="AO78" i="13"/>
  <c r="AM79" i="13"/>
  <c r="AQ80" i="13"/>
  <c r="AQ69" i="13"/>
  <c r="AO70" i="13"/>
  <c r="AM71" i="13"/>
  <c r="AS77" i="13"/>
  <c r="L77" i="13" s="1"/>
  <c r="BQ77" i="13" s="1"/>
  <c r="AQ78" i="13"/>
  <c r="AO79" i="13"/>
  <c r="AS80" i="13"/>
  <c r="L80" i="13" s="1"/>
  <c r="BQ80" i="13" s="1"/>
  <c r="AZ77" i="13" l="1"/>
  <c r="BS77" i="13" s="1"/>
  <c r="BD77" i="13"/>
  <c r="BG77" i="13" s="1"/>
  <c r="AF77" i="13"/>
  <c r="BR77" i="13" s="1"/>
  <c r="AY77" i="13"/>
  <c r="AH77" i="13" s="1"/>
  <c r="AZ78" i="13"/>
  <c r="AY78" i="13"/>
  <c r="AH78" i="13" s="1"/>
  <c r="BD78" i="13"/>
  <c r="BG78" i="13" s="1"/>
  <c r="AF78" i="13"/>
  <c r="BR78" i="13" s="1"/>
  <c r="AY71" i="13"/>
  <c r="AH71" i="13" s="1"/>
  <c r="AF71" i="13"/>
  <c r="BR71" i="13" s="1"/>
  <c r="AZ71" i="13"/>
  <c r="BS71" i="13" s="1"/>
  <c r="BD71" i="13"/>
  <c r="BG71" i="13" s="1"/>
  <c r="AF80" i="13"/>
  <c r="BR80" i="13" s="1"/>
  <c r="AZ80" i="13"/>
  <c r="BS80" i="13" s="1"/>
  <c r="BD80" i="13"/>
  <c r="BG80" i="13" s="1"/>
  <c r="AY80" i="13"/>
  <c r="AH80" i="13" s="1"/>
  <c r="AF70" i="13"/>
  <c r="BR70" i="13" s="1"/>
  <c r="AY70" i="13"/>
  <c r="AH70" i="13" s="1"/>
  <c r="AZ70" i="13"/>
  <c r="BD70" i="13"/>
  <c r="BG70" i="13" s="1"/>
  <c r="AY69" i="13"/>
  <c r="AH69" i="13" s="1"/>
  <c r="BD69" i="13"/>
  <c r="BG69" i="13" s="1"/>
  <c r="AZ69" i="13"/>
  <c r="AF69" i="13"/>
  <c r="BR69" i="13" s="1"/>
  <c r="AY79" i="13"/>
  <c r="AH79" i="13" s="1"/>
  <c r="AZ79" i="13"/>
  <c r="AF79" i="13"/>
  <c r="BR79" i="13" s="1"/>
  <c r="BD79" i="13"/>
  <c r="BG79" i="13" s="1"/>
  <c r="AY58" i="13"/>
  <c r="AH58" i="13" s="1"/>
  <c r="AF58" i="13"/>
  <c r="BR58" i="13" s="1"/>
  <c r="BD58" i="13"/>
  <c r="BG58" i="13" s="1"/>
  <c r="AI80" i="13" l="1"/>
  <c r="AI77" i="13"/>
  <c r="AI78" i="13"/>
  <c r="BS78" i="13"/>
  <c r="AI70" i="13"/>
  <c r="BS70" i="13"/>
  <c r="AI69" i="13"/>
  <c r="BS69" i="13"/>
  <c r="AI79" i="13"/>
  <c r="BS79" i="13"/>
  <c r="AI71" i="13"/>
  <c r="AG50" i="13"/>
  <c r="AG49" i="13"/>
  <c r="AG48" i="13"/>
  <c r="AG36" i="13"/>
  <c r="AG35" i="13"/>
  <c r="AG34" i="13"/>
  <c r="AG33" i="13"/>
  <c r="AG32" i="13"/>
  <c r="AG31" i="13"/>
  <c r="AG30" i="13"/>
  <c r="AG29" i="13"/>
  <c r="AG28" i="13"/>
  <c r="AG17" i="13"/>
  <c r="AG16" i="13"/>
  <c r="AG15" i="13"/>
  <c r="AG14" i="13"/>
  <c r="AG13" i="13"/>
  <c r="AG12" i="13"/>
  <c r="AG11" i="13"/>
  <c r="AG10" i="13"/>
  <c r="AG9" i="13"/>
  <c r="AG8" i="13"/>
  <c r="AV50" i="13"/>
  <c r="AV49" i="13"/>
  <c r="AV48" i="13"/>
  <c r="AV47" i="13"/>
  <c r="AV36" i="13"/>
  <c r="AV35" i="13"/>
  <c r="AV34" i="13"/>
  <c r="AV33" i="13"/>
  <c r="AV32" i="13"/>
  <c r="AV31" i="13"/>
  <c r="AV30" i="13"/>
  <c r="AV29" i="13"/>
  <c r="AV28" i="13"/>
  <c r="AV17" i="13"/>
  <c r="AV16" i="13"/>
  <c r="AV15" i="13"/>
  <c r="AV14" i="13"/>
  <c r="AV13" i="13"/>
  <c r="AV12" i="13"/>
  <c r="AV11" i="13"/>
  <c r="AV10" i="13"/>
  <c r="AV9" i="13"/>
  <c r="AV8" i="13"/>
  <c r="AV7" i="13"/>
  <c r="AD7" i="10"/>
  <c r="AL50" i="13"/>
  <c r="AK50" i="13"/>
  <c r="AL49" i="13"/>
  <c r="AK49" i="13"/>
  <c r="AL48" i="13"/>
  <c r="AK48" i="13"/>
  <c r="AL47" i="13"/>
  <c r="AK47" i="13"/>
  <c r="AL36" i="13"/>
  <c r="AK36" i="13"/>
  <c r="AL35" i="13"/>
  <c r="AK35" i="13"/>
  <c r="AL34" i="13"/>
  <c r="AK34" i="13"/>
  <c r="AL33" i="13"/>
  <c r="AK33" i="13"/>
  <c r="AL32" i="13"/>
  <c r="AK32" i="13"/>
  <c r="AL31" i="13"/>
  <c r="AK31" i="13"/>
  <c r="AL30" i="13"/>
  <c r="AK30" i="13"/>
  <c r="AL29" i="13"/>
  <c r="AK29" i="13"/>
  <c r="AL28" i="13"/>
  <c r="AK28" i="13"/>
  <c r="AL17" i="13"/>
  <c r="AK17" i="13"/>
  <c r="AL16" i="13"/>
  <c r="AK16" i="13"/>
  <c r="AL15" i="13"/>
  <c r="AK15" i="13"/>
  <c r="AL14" i="13"/>
  <c r="AK14" i="13"/>
  <c r="AL13" i="13"/>
  <c r="AK13" i="13"/>
  <c r="AL12" i="13"/>
  <c r="AK12" i="13"/>
  <c r="AL11" i="13"/>
  <c r="AK11" i="13"/>
  <c r="AL10" i="13"/>
  <c r="AK10" i="13"/>
  <c r="AL9" i="13"/>
  <c r="AK9" i="13"/>
  <c r="AL8" i="13"/>
  <c r="AK8" i="13"/>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2" i="32"/>
  <c r="S11" i="32"/>
  <c r="S10" i="32"/>
  <c r="S9" i="32"/>
  <c r="S8" i="32"/>
  <c r="T7" i="32"/>
  <c r="T3" i="32"/>
  <c r="T4" i="32" s="1"/>
  <c r="AA29" i="30"/>
  <c r="AA28" i="30"/>
  <c r="AA27" i="30"/>
  <c r="AA26" i="30"/>
  <c r="AA25" i="30"/>
  <c r="AA24" i="30"/>
  <c r="AA23" i="30"/>
  <c r="AA22" i="30"/>
  <c r="AA21" i="30"/>
  <c r="AA20" i="30"/>
  <c r="AA19" i="30"/>
  <c r="AA18" i="30"/>
  <c r="AA17" i="30"/>
  <c r="AA16" i="30"/>
  <c r="AA15" i="30"/>
  <c r="AA14" i="30"/>
  <c r="AA13" i="30"/>
  <c r="AA12" i="30"/>
  <c r="AA11" i="30"/>
  <c r="AA10" i="30"/>
  <c r="AA9" i="30"/>
  <c r="AA8" i="30"/>
  <c r="O8" i="30"/>
  <c r="O27" i="30"/>
  <c r="O26" i="30"/>
  <c r="O25" i="30"/>
  <c r="O24" i="30"/>
  <c r="O23" i="30"/>
  <c r="O22" i="30"/>
  <c r="O21" i="30"/>
  <c r="O20" i="30"/>
  <c r="O19" i="30"/>
  <c r="O18" i="30"/>
  <c r="O17" i="30"/>
  <c r="O16" i="30"/>
  <c r="O15" i="30"/>
  <c r="O14" i="30"/>
  <c r="O13" i="30"/>
  <c r="O12" i="30"/>
  <c r="O11" i="30"/>
  <c r="O10" i="30"/>
  <c r="O9" i="30"/>
  <c r="AB7" i="30"/>
  <c r="AB3" i="30"/>
  <c r="AB4" i="30" s="1"/>
  <c r="P7" i="30"/>
  <c r="P3" i="30"/>
  <c r="P4" i="30" s="1"/>
  <c r="S3" i="31"/>
  <c r="S5" i="31" s="1"/>
  <c r="R1092" i="31"/>
  <c r="R1091" i="31"/>
  <c r="R1090" i="31"/>
  <c r="R1089" i="31"/>
  <c r="R1088" i="31"/>
  <c r="R1087" i="31"/>
  <c r="R1086" i="31"/>
  <c r="R1085" i="31"/>
  <c r="R1084" i="31"/>
  <c r="R1083" i="31"/>
  <c r="R1082" i="31"/>
  <c r="R1081" i="31"/>
  <c r="R1080" i="31"/>
  <c r="R1079" i="31"/>
  <c r="R1078" i="31"/>
  <c r="R1077" i="31"/>
  <c r="R1076" i="31"/>
  <c r="R1075" i="31"/>
  <c r="R1074" i="31"/>
  <c r="R1073" i="31"/>
  <c r="R1072" i="31"/>
  <c r="R1071" i="31"/>
  <c r="R1070" i="31"/>
  <c r="R1069" i="31"/>
  <c r="R1068" i="31"/>
  <c r="R1067" i="31"/>
  <c r="R1066" i="31"/>
  <c r="R1065" i="31"/>
  <c r="R1064" i="31"/>
  <c r="R1063" i="31"/>
  <c r="R1062" i="31"/>
  <c r="R1061" i="31"/>
  <c r="R1060" i="31"/>
  <c r="R1059" i="31"/>
  <c r="R1058" i="31"/>
  <c r="R1057" i="31"/>
  <c r="R1056" i="31"/>
  <c r="R1055" i="31"/>
  <c r="R1054" i="31"/>
  <c r="R1053" i="31"/>
  <c r="R1052" i="31"/>
  <c r="R1051" i="31"/>
  <c r="R1050" i="31"/>
  <c r="R1049" i="31"/>
  <c r="R1048" i="31"/>
  <c r="R1047" i="31"/>
  <c r="R1046" i="31"/>
  <c r="R1045" i="31"/>
  <c r="R1044" i="31"/>
  <c r="R1043" i="31"/>
  <c r="R1042" i="31"/>
  <c r="R1041" i="31"/>
  <c r="R1040" i="31"/>
  <c r="R1039" i="31"/>
  <c r="R1038" i="31"/>
  <c r="R1037" i="31"/>
  <c r="R1036" i="31"/>
  <c r="R1035" i="31"/>
  <c r="R1034" i="31"/>
  <c r="R1033" i="31"/>
  <c r="R1032" i="31"/>
  <c r="R1031" i="31"/>
  <c r="R1030" i="31"/>
  <c r="R1029" i="31"/>
  <c r="R1028" i="31"/>
  <c r="R1027" i="31"/>
  <c r="R1026" i="31"/>
  <c r="R1025" i="31"/>
  <c r="R1024" i="31"/>
  <c r="R1023" i="31"/>
  <c r="R1022" i="31"/>
  <c r="R1021" i="31"/>
  <c r="R1020" i="31"/>
  <c r="R1019" i="31"/>
  <c r="R1018" i="31"/>
  <c r="R1017" i="31"/>
  <c r="R1016" i="31"/>
  <c r="R1015" i="31"/>
  <c r="R1014" i="31"/>
  <c r="R1013" i="31"/>
  <c r="R1012" i="31"/>
  <c r="R1011" i="31"/>
  <c r="R1010" i="31"/>
  <c r="R1009" i="31"/>
  <c r="R1008" i="31"/>
  <c r="R1007" i="31"/>
  <c r="R1006" i="31"/>
  <c r="R1005" i="31"/>
  <c r="R1004" i="31"/>
  <c r="R1003" i="31"/>
  <c r="R1002" i="31"/>
  <c r="R1001" i="31"/>
  <c r="R1000" i="31"/>
  <c r="R999" i="31"/>
  <c r="R998" i="31"/>
  <c r="R997" i="31"/>
  <c r="R996" i="31"/>
  <c r="R995" i="31"/>
  <c r="R994" i="31"/>
  <c r="R993" i="31"/>
  <c r="R992" i="31"/>
  <c r="R991" i="31"/>
  <c r="R990" i="31"/>
  <c r="R989" i="31"/>
  <c r="R988" i="31"/>
  <c r="R987" i="31"/>
  <c r="R986" i="31"/>
  <c r="R985" i="31"/>
  <c r="R984" i="31"/>
  <c r="R983" i="31"/>
  <c r="R982" i="31"/>
  <c r="R981" i="31"/>
  <c r="R980" i="31"/>
  <c r="R979" i="31"/>
  <c r="R978" i="31"/>
  <c r="R977" i="31"/>
  <c r="R976" i="31"/>
  <c r="R975" i="31"/>
  <c r="R974" i="31"/>
  <c r="R973" i="31"/>
  <c r="R972" i="31"/>
  <c r="R971" i="31"/>
  <c r="R970" i="31"/>
  <c r="R969" i="31"/>
  <c r="R968" i="31"/>
  <c r="R967" i="31"/>
  <c r="R966" i="31"/>
  <c r="R965" i="31"/>
  <c r="R964" i="31"/>
  <c r="R963" i="31"/>
  <c r="R962" i="31"/>
  <c r="R961" i="31"/>
  <c r="R960" i="31"/>
  <c r="R959" i="31"/>
  <c r="R958" i="31"/>
  <c r="R957" i="31"/>
  <c r="R956" i="31"/>
  <c r="R955" i="31"/>
  <c r="R954" i="31"/>
  <c r="R953" i="31"/>
  <c r="R952" i="31"/>
  <c r="R951" i="31"/>
  <c r="R950" i="31"/>
  <c r="R949" i="31"/>
  <c r="R948" i="31"/>
  <c r="R947" i="31"/>
  <c r="R946" i="31"/>
  <c r="R945" i="31"/>
  <c r="R944" i="31"/>
  <c r="R943" i="31"/>
  <c r="R942" i="31"/>
  <c r="R941" i="31"/>
  <c r="R940" i="31"/>
  <c r="R939" i="31"/>
  <c r="R938" i="31"/>
  <c r="R937" i="31"/>
  <c r="R936" i="31"/>
  <c r="R935" i="31"/>
  <c r="R934" i="31"/>
  <c r="R933" i="31"/>
  <c r="R932" i="31"/>
  <c r="R931" i="31"/>
  <c r="R930" i="31"/>
  <c r="R929" i="31"/>
  <c r="R928" i="31"/>
  <c r="R927" i="31"/>
  <c r="R926" i="31"/>
  <c r="R925" i="31"/>
  <c r="R924" i="31"/>
  <c r="R923" i="31"/>
  <c r="R922" i="31"/>
  <c r="R921" i="31"/>
  <c r="R920" i="31"/>
  <c r="R919" i="31"/>
  <c r="R918" i="31"/>
  <c r="R917" i="31"/>
  <c r="R916" i="31"/>
  <c r="R915" i="31"/>
  <c r="R914" i="31"/>
  <c r="R913" i="31"/>
  <c r="R912" i="31"/>
  <c r="R911" i="31"/>
  <c r="R910" i="31"/>
  <c r="R909" i="31"/>
  <c r="R908" i="31"/>
  <c r="R907" i="31"/>
  <c r="R906" i="31"/>
  <c r="R905" i="31"/>
  <c r="R904" i="31"/>
  <c r="R903" i="31"/>
  <c r="R902" i="31"/>
  <c r="R901" i="31"/>
  <c r="R900" i="31"/>
  <c r="R899" i="31"/>
  <c r="R898" i="31"/>
  <c r="R897" i="31"/>
  <c r="R896" i="31"/>
  <c r="R895" i="31"/>
  <c r="R894" i="31"/>
  <c r="R893" i="31"/>
  <c r="R892" i="31"/>
  <c r="R891" i="31"/>
  <c r="R890" i="31"/>
  <c r="R889" i="31"/>
  <c r="R888" i="31"/>
  <c r="R887" i="31"/>
  <c r="R886" i="31"/>
  <c r="R885" i="31"/>
  <c r="R884" i="31"/>
  <c r="R883" i="31"/>
  <c r="R882" i="31"/>
  <c r="R881" i="31"/>
  <c r="R880" i="31"/>
  <c r="R879" i="31"/>
  <c r="R878" i="31"/>
  <c r="R877" i="31"/>
  <c r="R876" i="31"/>
  <c r="R875" i="31"/>
  <c r="R874" i="31"/>
  <c r="R873" i="31"/>
  <c r="R872" i="31"/>
  <c r="R871" i="31"/>
  <c r="R870" i="31"/>
  <c r="R869" i="31"/>
  <c r="R868" i="31"/>
  <c r="R867" i="31"/>
  <c r="R866" i="31"/>
  <c r="R865" i="31"/>
  <c r="R864" i="31"/>
  <c r="R863" i="31"/>
  <c r="R862" i="31"/>
  <c r="R861" i="31"/>
  <c r="R860" i="31"/>
  <c r="R859" i="31"/>
  <c r="R858" i="31"/>
  <c r="R857" i="31"/>
  <c r="R856" i="31"/>
  <c r="R855" i="31"/>
  <c r="R854" i="31"/>
  <c r="R853" i="31"/>
  <c r="R852" i="31"/>
  <c r="R851" i="31"/>
  <c r="R850" i="31"/>
  <c r="R849" i="31"/>
  <c r="R848" i="31"/>
  <c r="R847" i="31"/>
  <c r="R846" i="31"/>
  <c r="R845" i="31"/>
  <c r="R844" i="31"/>
  <c r="R843" i="31"/>
  <c r="R842" i="31"/>
  <c r="R841" i="31"/>
  <c r="R840" i="31"/>
  <c r="R839" i="31"/>
  <c r="R838" i="31"/>
  <c r="R837" i="31"/>
  <c r="R836" i="31"/>
  <c r="R835" i="31"/>
  <c r="R834" i="31"/>
  <c r="R833" i="31"/>
  <c r="R832" i="31"/>
  <c r="R831" i="31"/>
  <c r="R830" i="31"/>
  <c r="R829" i="31"/>
  <c r="R828" i="31"/>
  <c r="R827" i="31"/>
  <c r="R826" i="31"/>
  <c r="R825" i="31"/>
  <c r="R824" i="31"/>
  <c r="R823" i="31"/>
  <c r="R822" i="31"/>
  <c r="R821" i="31"/>
  <c r="R820" i="31"/>
  <c r="R819" i="31"/>
  <c r="R818" i="31"/>
  <c r="R817" i="31"/>
  <c r="R816" i="31"/>
  <c r="R815" i="31"/>
  <c r="R814" i="31"/>
  <c r="R813" i="31"/>
  <c r="R812" i="31"/>
  <c r="R811" i="31"/>
  <c r="R810" i="31"/>
  <c r="R809" i="31"/>
  <c r="R808" i="31"/>
  <c r="R807" i="31"/>
  <c r="R806" i="31"/>
  <c r="R805" i="31"/>
  <c r="R804" i="31"/>
  <c r="R803" i="31"/>
  <c r="R802" i="31"/>
  <c r="R801" i="31"/>
  <c r="R800" i="31"/>
  <c r="R799" i="31"/>
  <c r="R798" i="31"/>
  <c r="R797" i="31"/>
  <c r="R796" i="31"/>
  <c r="R795" i="31"/>
  <c r="R794" i="31"/>
  <c r="R793" i="31"/>
  <c r="R792" i="31"/>
  <c r="R791" i="31"/>
  <c r="R790" i="31"/>
  <c r="R789" i="31"/>
  <c r="R788" i="31"/>
  <c r="R787" i="31"/>
  <c r="R786" i="31"/>
  <c r="R785" i="31"/>
  <c r="R784" i="31"/>
  <c r="R783" i="31"/>
  <c r="R782" i="31"/>
  <c r="R781" i="31"/>
  <c r="R780" i="31"/>
  <c r="R779" i="31"/>
  <c r="R778" i="31"/>
  <c r="R777" i="31"/>
  <c r="R776" i="31"/>
  <c r="R775" i="31"/>
  <c r="R774" i="31"/>
  <c r="R773" i="31"/>
  <c r="R772" i="31"/>
  <c r="R771" i="31"/>
  <c r="R770" i="31"/>
  <c r="R769" i="31"/>
  <c r="R768" i="31"/>
  <c r="R767" i="31"/>
  <c r="R766" i="31"/>
  <c r="R765" i="31"/>
  <c r="R764" i="31"/>
  <c r="R763" i="31"/>
  <c r="R762" i="31"/>
  <c r="R761" i="31"/>
  <c r="R760" i="31"/>
  <c r="R759" i="31"/>
  <c r="R758" i="31"/>
  <c r="R757" i="31"/>
  <c r="R756" i="31"/>
  <c r="R755" i="31"/>
  <c r="R754" i="31"/>
  <c r="R753" i="31"/>
  <c r="R752" i="31"/>
  <c r="R751" i="31"/>
  <c r="R750" i="31"/>
  <c r="R749" i="31"/>
  <c r="R748" i="31"/>
  <c r="R747" i="31"/>
  <c r="R746" i="31"/>
  <c r="R745" i="31"/>
  <c r="R744" i="31"/>
  <c r="R743" i="31"/>
  <c r="R742" i="31"/>
  <c r="R741" i="31"/>
  <c r="R740" i="31"/>
  <c r="R739" i="31"/>
  <c r="R738" i="31"/>
  <c r="R737" i="31"/>
  <c r="R736" i="31"/>
  <c r="R735" i="31"/>
  <c r="R734" i="31"/>
  <c r="R733" i="31"/>
  <c r="R732" i="31"/>
  <c r="R731" i="31"/>
  <c r="R730" i="31"/>
  <c r="R729" i="31"/>
  <c r="R728" i="31"/>
  <c r="R727" i="31"/>
  <c r="R726" i="31"/>
  <c r="R725" i="31"/>
  <c r="R724" i="31"/>
  <c r="R723" i="31"/>
  <c r="R722" i="31"/>
  <c r="R721" i="31"/>
  <c r="R720" i="31"/>
  <c r="R719" i="31"/>
  <c r="R718" i="31"/>
  <c r="R717" i="31"/>
  <c r="R716" i="31"/>
  <c r="R715" i="31"/>
  <c r="R714" i="31"/>
  <c r="R713" i="31"/>
  <c r="R712" i="31"/>
  <c r="R711" i="31"/>
  <c r="R710" i="31"/>
  <c r="R709" i="31"/>
  <c r="R708" i="31"/>
  <c r="R707" i="31"/>
  <c r="R706" i="31"/>
  <c r="R705" i="31"/>
  <c r="R704" i="31"/>
  <c r="R703" i="31"/>
  <c r="R702" i="31"/>
  <c r="R701" i="31"/>
  <c r="R700" i="31"/>
  <c r="R699" i="31"/>
  <c r="R698" i="31"/>
  <c r="R697" i="31"/>
  <c r="R696" i="31"/>
  <c r="R695" i="31"/>
  <c r="R694" i="31"/>
  <c r="R693" i="31"/>
  <c r="R692" i="31"/>
  <c r="R691" i="31"/>
  <c r="R690" i="31"/>
  <c r="R689" i="31"/>
  <c r="R688" i="31"/>
  <c r="R687" i="31"/>
  <c r="R686" i="31"/>
  <c r="R685" i="31"/>
  <c r="R684" i="31"/>
  <c r="R683" i="31"/>
  <c r="R682" i="31"/>
  <c r="R681" i="31"/>
  <c r="R680" i="31"/>
  <c r="R679" i="31"/>
  <c r="R678" i="31"/>
  <c r="R677" i="31"/>
  <c r="R676" i="31"/>
  <c r="R675" i="31"/>
  <c r="R674" i="31"/>
  <c r="R673" i="31"/>
  <c r="R672" i="31"/>
  <c r="R671" i="31"/>
  <c r="R670" i="31"/>
  <c r="R669" i="31"/>
  <c r="R668" i="31"/>
  <c r="R667" i="31"/>
  <c r="R666" i="31"/>
  <c r="R665" i="31"/>
  <c r="R664" i="31"/>
  <c r="R663" i="31"/>
  <c r="R662" i="31"/>
  <c r="R661" i="31"/>
  <c r="R660" i="31"/>
  <c r="R659" i="31"/>
  <c r="R658" i="31"/>
  <c r="R657" i="31"/>
  <c r="R656" i="31"/>
  <c r="R655" i="31"/>
  <c r="R654" i="31"/>
  <c r="R653" i="31"/>
  <c r="R652" i="31"/>
  <c r="R651" i="31"/>
  <c r="R650" i="31"/>
  <c r="R649" i="31"/>
  <c r="R648" i="31"/>
  <c r="R647" i="31"/>
  <c r="R646" i="31"/>
  <c r="R645" i="31"/>
  <c r="R644" i="31"/>
  <c r="R643" i="31"/>
  <c r="R642" i="31"/>
  <c r="R641" i="31"/>
  <c r="R640" i="31"/>
  <c r="R639" i="31"/>
  <c r="R638" i="31"/>
  <c r="R637" i="31"/>
  <c r="R636" i="31"/>
  <c r="R635" i="31"/>
  <c r="R634" i="31"/>
  <c r="R633" i="31"/>
  <c r="R632" i="31"/>
  <c r="R631" i="31"/>
  <c r="R630" i="31"/>
  <c r="R629" i="31"/>
  <c r="R628" i="31"/>
  <c r="R627" i="31"/>
  <c r="R626" i="31"/>
  <c r="R625" i="31"/>
  <c r="R624" i="31"/>
  <c r="R623" i="31"/>
  <c r="R622" i="31"/>
  <c r="R621" i="31"/>
  <c r="R620" i="31"/>
  <c r="R619" i="31"/>
  <c r="R618" i="31"/>
  <c r="R617" i="31"/>
  <c r="R616" i="31"/>
  <c r="R615" i="31"/>
  <c r="R614" i="31"/>
  <c r="R613" i="31"/>
  <c r="R612" i="31"/>
  <c r="R611" i="31"/>
  <c r="R610" i="31"/>
  <c r="R609" i="31"/>
  <c r="R608" i="31"/>
  <c r="R607" i="31"/>
  <c r="R606" i="31"/>
  <c r="R605" i="31"/>
  <c r="R604" i="31"/>
  <c r="R603" i="31"/>
  <c r="R602" i="31"/>
  <c r="R601" i="31"/>
  <c r="R600" i="31"/>
  <c r="R599" i="31"/>
  <c r="R598" i="31"/>
  <c r="R597" i="31"/>
  <c r="R596" i="31"/>
  <c r="R595" i="31"/>
  <c r="R594" i="31"/>
  <c r="R593" i="31"/>
  <c r="R592" i="31"/>
  <c r="R591" i="31"/>
  <c r="R590" i="31"/>
  <c r="R589" i="31"/>
  <c r="R588" i="31"/>
  <c r="R587" i="31"/>
  <c r="R586" i="31"/>
  <c r="R585" i="31"/>
  <c r="R584" i="31"/>
  <c r="R583" i="31"/>
  <c r="R582" i="31"/>
  <c r="R581" i="31"/>
  <c r="R580" i="31"/>
  <c r="R579" i="31"/>
  <c r="R578" i="31"/>
  <c r="R577" i="31"/>
  <c r="R576" i="31"/>
  <c r="R575" i="31"/>
  <c r="R574" i="31"/>
  <c r="R573" i="31"/>
  <c r="R572" i="31"/>
  <c r="R571" i="31"/>
  <c r="R570" i="31"/>
  <c r="R569" i="31"/>
  <c r="R568" i="31"/>
  <c r="R567" i="31"/>
  <c r="R566" i="31"/>
  <c r="R565" i="31"/>
  <c r="R564" i="31"/>
  <c r="R563" i="31"/>
  <c r="R562" i="31"/>
  <c r="R561" i="31"/>
  <c r="R560" i="31"/>
  <c r="R559" i="31"/>
  <c r="R558" i="31"/>
  <c r="R557" i="31"/>
  <c r="R556" i="31"/>
  <c r="R555" i="31"/>
  <c r="R554" i="31"/>
  <c r="R553" i="31"/>
  <c r="R552" i="31"/>
  <c r="R551" i="31"/>
  <c r="R550" i="31"/>
  <c r="R549" i="31"/>
  <c r="R548" i="31"/>
  <c r="R547" i="31"/>
  <c r="R546" i="31"/>
  <c r="R545" i="31"/>
  <c r="R544" i="31"/>
  <c r="R543" i="31"/>
  <c r="R542" i="31"/>
  <c r="R541" i="31"/>
  <c r="R540" i="31"/>
  <c r="R539" i="31"/>
  <c r="R538" i="31"/>
  <c r="R537" i="31"/>
  <c r="R536" i="31"/>
  <c r="R535" i="31"/>
  <c r="R534" i="31"/>
  <c r="R533" i="31"/>
  <c r="R532" i="31"/>
  <c r="R531" i="31"/>
  <c r="R530" i="31"/>
  <c r="R529" i="31"/>
  <c r="R528" i="31"/>
  <c r="R527" i="31"/>
  <c r="R526" i="31"/>
  <c r="R525" i="31"/>
  <c r="R524" i="31"/>
  <c r="R523" i="31"/>
  <c r="R522" i="31"/>
  <c r="R521" i="31"/>
  <c r="R520" i="31"/>
  <c r="R519" i="31"/>
  <c r="R518" i="31"/>
  <c r="R517" i="31"/>
  <c r="R516" i="31"/>
  <c r="R515" i="31"/>
  <c r="R514" i="31"/>
  <c r="R513" i="31"/>
  <c r="R512" i="31"/>
  <c r="R511" i="31"/>
  <c r="R510" i="31"/>
  <c r="R509" i="31"/>
  <c r="R508" i="31"/>
  <c r="R507" i="31"/>
  <c r="R506" i="31"/>
  <c r="R505" i="31"/>
  <c r="R504" i="31"/>
  <c r="R503" i="31"/>
  <c r="R502" i="31"/>
  <c r="R501" i="31"/>
  <c r="R500" i="31"/>
  <c r="R499" i="31"/>
  <c r="R498" i="31"/>
  <c r="R497" i="31"/>
  <c r="R496" i="31"/>
  <c r="R495" i="31"/>
  <c r="R494" i="31"/>
  <c r="R493" i="31"/>
  <c r="R492" i="31"/>
  <c r="R491" i="31"/>
  <c r="R490" i="31"/>
  <c r="R489" i="31"/>
  <c r="R488" i="31"/>
  <c r="R487" i="31"/>
  <c r="R486" i="31"/>
  <c r="R485" i="31"/>
  <c r="R484" i="31"/>
  <c r="R483" i="31"/>
  <c r="R482" i="31"/>
  <c r="R481" i="31"/>
  <c r="R480" i="31"/>
  <c r="R479" i="31"/>
  <c r="R478" i="31"/>
  <c r="R477" i="31"/>
  <c r="R476" i="31"/>
  <c r="R475" i="31"/>
  <c r="R474" i="31"/>
  <c r="R473" i="31"/>
  <c r="R472" i="31"/>
  <c r="R471" i="31"/>
  <c r="R470" i="31"/>
  <c r="R469" i="31"/>
  <c r="R468" i="31"/>
  <c r="R467" i="31"/>
  <c r="R466" i="31"/>
  <c r="R465" i="31"/>
  <c r="R464" i="31"/>
  <c r="R463" i="31"/>
  <c r="R462" i="31"/>
  <c r="R461" i="31"/>
  <c r="R460" i="31"/>
  <c r="R459" i="31"/>
  <c r="R458" i="31"/>
  <c r="R457" i="31"/>
  <c r="R456" i="31"/>
  <c r="R455" i="31"/>
  <c r="R454" i="31"/>
  <c r="R453" i="31"/>
  <c r="R452" i="31"/>
  <c r="R451" i="31"/>
  <c r="R450" i="31"/>
  <c r="R449" i="31"/>
  <c r="R448" i="31"/>
  <c r="R447" i="31"/>
  <c r="R446" i="31"/>
  <c r="R445" i="31"/>
  <c r="R444" i="31"/>
  <c r="R443" i="31"/>
  <c r="R442" i="31"/>
  <c r="R441" i="31"/>
  <c r="R440" i="31"/>
  <c r="R439" i="31"/>
  <c r="R438" i="31"/>
  <c r="R437" i="31"/>
  <c r="R436" i="31"/>
  <c r="R435" i="31"/>
  <c r="R434" i="31"/>
  <c r="R433" i="31"/>
  <c r="R432" i="31"/>
  <c r="R431" i="31"/>
  <c r="R430" i="31"/>
  <c r="R429" i="31"/>
  <c r="R428" i="31"/>
  <c r="R427" i="31"/>
  <c r="R426" i="31"/>
  <c r="R425" i="31"/>
  <c r="R424" i="31"/>
  <c r="R423" i="31"/>
  <c r="R422" i="31"/>
  <c r="R421" i="31"/>
  <c r="R420" i="31"/>
  <c r="R419" i="31"/>
  <c r="R418" i="31"/>
  <c r="R417" i="31"/>
  <c r="R416" i="31"/>
  <c r="R415" i="31"/>
  <c r="R414" i="31"/>
  <c r="R413" i="31"/>
  <c r="R412" i="31"/>
  <c r="R411" i="31"/>
  <c r="R410" i="31"/>
  <c r="R409" i="31"/>
  <c r="R408" i="31"/>
  <c r="R407" i="31"/>
  <c r="R406" i="31"/>
  <c r="R405" i="31"/>
  <c r="R404" i="31"/>
  <c r="R403" i="31"/>
  <c r="R402" i="31"/>
  <c r="R401" i="31"/>
  <c r="R400" i="31"/>
  <c r="R399" i="31"/>
  <c r="R398" i="31"/>
  <c r="R397" i="31"/>
  <c r="R396" i="31"/>
  <c r="R395" i="31"/>
  <c r="R394" i="31"/>
  <c r="R393" i="31"/>
  <c r="R392" i="31"/>
  <c r="R391" i="31"/>
  <c r="R390" i="31"/>
  <c r="R389" i="31"/>
  <c r="R388" i="31"/>
  <c r="R387" i="31"/>
  <c r="R386" i="31"/>
  <c r="R385" i="31"/>
  <c r="R384" i="31"/>
  <c r="R383" i="31"/>
  <c r="R382" i="31"/>
  <c r="R381" i="31"/>
  <c r="R380" i="31"/>
  <c r="R379" i="31"/>
  <c r="R378" i="31"/>
  <c r="R377" i="31"/>
  <c r="R376" i="31"/>
  <c r="R375" i="31"/>
  <c r="R374" i="31"/>
  <c r="R373" i="31"/>
  <c r="R372" i="31"/>
  <c r="R371" i="31"/>
  <c r="R370" i="31"/>
  <c r="R369" i="31"/>
  <c r="R368" i="31"/>
  <c r="R367" i="31"/>
  <c r="R366" i="31"/>
  <c r="R365" i="31"/>
  <c r="R364" i="31"/>
  <c r="R363" i="31"/>
  <c r="R362" i="31"/>
  <c r="R361" i="31"/>
  <c r="R360" i="31"/>
  <c r="R359" i="31"/>
  <c r="R358" i="31"/>
  <c r="R357" i="31"/>
  <c r="R356" i="31"/>
  <c r="R355" i="31"/>
  <c r="R354" i="31"/>
  <c r="R353" i="31"/>
  <c r="R352" i="31"/>
  <c r="R351" i="31"/>
  <c r="R350" i="31"/>
  <c r="R349" i="31"/>
  <c r="R348" i="31"/>
  <c r="R347" i="31"/>
  <c r="R346" i="31"/>
  <c r="R345" i="31"/>
  <c r="R344" i="31"/>
  <c r="R343" i="31"/>
  <c r="R342" i="31"/>
  <c r="R341" i="31"/>
  <c r="R340" i="31"/>
  <c r="R339" i="31"/>
  <c r="R338" i="31"/>
  <c r="R337" i="31"/>
  <c r="R336" i="31"/>
  <c r="R335" i="31"/>
  <c r="R334" i="31"/>
  <c r="R333" i="31"/>
  <c r="R332" i="31"/>
  <c r="R331" i="31"/>
  <c r="R330" i="31"/>
  <c r="R329" i="31"/>
  <c r="R328" i="31"/>
  <c r="R327" i="31"/>
  <c r="R326" i="31"/>
  <c r="R325" i="31"/>
  <c r="R324" i="31"/>
  <c r="R323" i="31"/>
  <c r="R322" i="31"/>
  <c r="R321" i="31"/>
  <c r="R320" i="31"/>
  <c r="R319" i="31"/>
  <c r="R318" i="31"/>
  <c r="R317" i="31"/>
  <c r="R316" i="31"/>
  <c r="R315" i="31"/>
  <c r="R314" i="31"/>
  <c r="R313" i="31"/>
  <c r="R312" i="31"/>
  <c r="R311" i="31"/>
  <c r="R310" i="31"/>
  <c r="R309" i="31"/>
  <c r="R308" i="31"/>
  <c r="R307" i="31"/>
  <c r="R306" i="31"/>
  <c r="R305" i="31"/>
  <c r="R304" i="31"/>
  <c r="R303" i="31"/>
  <c r="R302" i="31"/>
  <c r="R301" i="31"/>
  <c r="R300" i="31"/>
  <c r="R299" i="31"/>
  <c r="R298" i="31"/>
  <c r="R297" i="31"/>
  <c r="R296" i="31"/>
  <c r="R295" i="31"/>
  <c r="R294" i="31"/>
  <c r="R293" i="31"/>
  <c r="R292" i="31"/>
  <c r="R291" i="31"/>
  <c r="R290" i="31"/>
  <c r="R289" i="31"/>
  <c r="R288" i="31"/>
  <c r="R287" i="31"/>
  <c r="R286" i="31"/>
  <c r="R285" i="31"/>
  <c r="R284" i="31"/>
  <c r="R283" i="31"/>
  <c r="R282" i="31"/>
  <c r="R281" i="31"/>
  <c r="R280" i="31"/>
  <c r="R279" i="31"/>
  <c r="R278" i="31"/>
  <c r="R277" i="31"/>
  <c r="R276" i="31"/>
  <c r="R275" i="31"/>
  <c r="R274" i="31"/>
  <c r="R273" i="31"/>
  <c r="R272" i="31"/>
  <c r="R271" i="31"/>
  <c r="R270" i="31"/>
  <c r="R269" i="31"/>
  <c r="R268" i="31"/>
  <c r="R267" i="31"/>
  <c r="R266" i="31"/>
  <c r="R265" i="31"/>
  <c r="R264" i="31"/>
  <c r="R263" i="31"/>
  <c r="R262" i="31"/>
  <c r="R261" i="31"/>
  <c r="R260" i="31"/>
  <c r="R259" i="31"/>
  <c r="R258" i="31"/>
  <c r="R257" i="31"/>
  <c r="R256" i="31"/>
  <c r="R255" i="31"/>
  <c r="R254" i="31"/>
  <c r="R253" i="31"/>
  <c r="R252" i="31"/>
  <c r="R251" i="31"/>
  <c r="R250" i="31"/>
  <c r="R249" i="31"/>
  <c r="R248" i="31"/>
  <c r="R247" i="31"/>
  <c r="R246" i="31"/>
  <c r="R245" i="31"/>
  <c r="R244" i="31"/>
  <c r="R243" i="31"/>
  <c r="R242" i="31"/>
  <c r="R241" i="31"/>
  <c r="R240" i="31"/>
  <c r="R239" i="31"/>
  <c r="R238" i="31"/>
  <c r="R237" i="31"/>
  <c r="R236" i="31"/>
  <c r="R235" i="31"/>
  <c r="R234" i="31"/>
  <c r="R233" i="31"/>
  <c r="R232" i="31"/>
  <c r="R231" i="31"/>
  <c r="R230" i="31"/>
  <c r="R229" i="31"/>
  <c r="R228" i="31"/>
  <c r="R227" i="31"/>
  <c r="R226" i="31"/>
  <c r="R225" i="31"/>
  <c r="R224" i="31"/>
  <c r="R223" i="31"/>
  <c r="R222" i="31"/>
  <c r="R221" i="31"/>
  <c r="R220" i="31"/>
  <c r="R219" i="31"/>
  <c r="R218" i="31"/>
  <c r="R217" i="31"/>
  <c r="R216" i="31"/>
  <c r="R215" i="31"/>
  <c r="R214" i="31"/>
  <c r="R213" i="31"/>
  <c r="R212" i="31"/>
  <c r="R211" i="31"/>
  <c r="R210" i="31"/>
  <c r="R209" i="31"/>
  <c r="R208" i="31"/>
  <c r="R207" i="31"/>
  <c r="R206" i="31"/>
  <c r="R205" i="31"/>
  <c r="R204" i="31"/>
  <c r="R203" i="31"/>
  <c r="R202" i="31"/>
  <c r="R201" i="31"/>
  <c r="R200" i="31"/>
  <c r="R199" i="31"/>
  <c r="R198" i="31"/>
  <c r="R197" i="31"/>
  <c r="R196" i="31"/>
  <c r="R195" i="31"/>
  <c r="R194" i="31"/>
  <c r="R193" i="31"/>
  <c r="R192" i="31"/>
  <c r="R191" i="31"/>
  <c r="R190" i="31"/>
  <c r="R189" i="31"/>
  <c r="R188" i="31"/>
  <c r="R187" i="31"/>
  <c r="R186" i="31"/>
  <c r="R185" i="31"/>
  <c r="R184" i="31"/>
  <c r="R183" i="31"/>
  <c r="R182" i="31"/>
  <c r="R181" i="31"/>
  <c r="R180" i="31"/>
  <c r="R179" i="31"/>
  <c r="R178" i="31"/>
  <c r="R177" i="31"/>
  <c r="R176" i="31"/>
  <c r="R175" i="31"/>
  <c r="R174" i="31"/>
  <c r="R173" i="31"/>
  <c r="R172" i="31"/>
  <c r="R171" i="31"/>
  <c r="R170" i="31"/>
  <c r="R169" i="31"/>
  <c r="R168" i="31"/>
  <c r="R167" i="31"/>
  <c r="R166" i="31"/>
  <c r="R165" i="31"/>
  <c r="R164" i="31"/>
  <c r="R163" i="31"/>
  <c r="R162" i="31"/>
  <c r="R161" i="31"/>
  <c r="R160" i="31"/>
  <c r="R159" i="31"/>
  <c r="R158" i="31"/>
  <c r="R157" i="31"/>
  <c r="R156" i="31"/>
  <c r="R155" i="31"/>
  <c r="R154" i="31"/>
  <c r="R153" i="31"/>
  <c r="R152" i="31"/>
  <c r="R151" i="31"/>
  <c r="R150" i="31"/>
  <c r="R149" i="31"/>
  <c r="R148" i="31"/>
  <c r="R147" i="31"/>
  <c r="R146" i="31"/>
  <c r="R145" i="31"/>
  <c r="R144" i="31"/>
  <c r="R143" i="31"/>
  <c r="R142" i="31"/>
  <c r="R141" i="31"/>
  <c r="R140" i="31"/>
  <c r="R139" i="31"/>
  <c r="R138" i="31"/>
  <c r="R137" i="31"/>
  <c r="R136" i="31"/>
  <c r="R135" i="31"/>
  <c r="R134" i="31"/>
  <c r="R133" i="31"/>
  <c r="R132" i="31"/>
  <c r="R131" i="31"/>
  <c r="R130" i="31"/>
  <c r="R129" i="31"/>
  <c r="R128" i="31"/>
  <c r="R127" i="31"/>
  <c r="R126" i="31"/>
  <c r="R125" i="31"/>
  <c r="R124" i="31"/>
  <c r="R123" i="31"/>
  <c r="R122" i="31"/>
  <c r="R121" i="31"/>
  <c r="R120" i="31"/>
  <c r="R119" i="31"/>
  <c r="R118" i="31"/>
  <c r="R117" i="31"/>
  <c r="R116" i="31"/>
  <c r="R115" i="31"/>
  <c r="R114" i="31"/>
  <c r="R113" i="31"/>
  <c r="R112" i="31"/>
  <c r="R111" i="31"/>
  <c r="R110" i="31"/>
  <c r="R109" i="31"/>
  <c r="R108" i="31"/>
  <c r="R107" i="31"/>
  <c r="R106" i="31"/>
  <c r="R105" i="31"/>
  <c r="R104" i="31"/>
  <c r="R103" i="31"/>
  <c r="R102" i="31"/>
  <c r="R101" i="31"/>
  <c r="R100" i="31"/>
  <c r="R99" i="31"/>
  <c r="R98" i="31"/>
  <c r="R97" i="31"/>
  <c r="R96" i="31"/>
  <c r="R95" i="31"/>
  <c r="R94" i="31"/>
  <c r="R93" i="31"/>
  <c r="R92" i="31"/>
  <c r="R91" i="31"/>
  <c r="R90" i="31"/>
  <c r="R89" i="31"/>
  <c r="R88" i="31"/>
  <c r="R87" i="31"/>
  <c r="R86" i="31"/>
  <c r="R85" i="31"/>
  <c r="R84" i="31"/>
  <c r="R83" i="31"/>
  <c r="R82" i="31"/>
  <c r="R81" i="31"/>
  <c r="R80" i="31"/>
  <c r="R79" i="31"/>
  <c r="R78" i="31"/>
  <c r="R77" i="31"/>
  <c r="R76" i="31"/>
  <c r="R75" i="31"/>
  <c r="R74" i="31"/>
  <c r="R73" i="31"/>
  <c r="R72" i="31"/>
  <c r="R71" i="31"/>
  <c r="R70" i="31"/>
  <c r="R69" i="31"/>
  <c r="R68" i="31"/>
  <c r="R67" i="31"/>
  <c r="R66" i="31"/>
  <c r="R65" i="31"/>
  <c r="R64" i="31"/>
  <c r="R63" i="31"/>
  <c r="R62" i="31"/>
  <c r="R61" i="31"/>
  <c r="R60" i="31"/>
  <c r="R59" i="31"/>
  <c r="R58" i="31"/>
  <c r="R57" i="31"/>
  <c r="R56" i="31"/>
  <c r="R55" i="31"/>
  <c r="R54" i="31"/>
  <c r="R53" i="31"/>
  <c r="R52" i="31"/>
  <c r="R51" i="31"/>
  <c r="R50" i="31"/>
  <c r="R49" i="31"/>
  <c r="R48" i="31"/>
  <c r="R47" i="31"/>
  <c r="R46" i="31"/>
  <c r="R45" i="31"/>
  <c r="R44" i="31"/>
  <c r="R43" i="31"/>
  <c r="R42" i="31"/>
  <c r="R41" i="31"/>
  <c r="R40" i="31"/>
  <c r="R39" i="31"/>
  <c r="R38" i="31"/>
  <c r="R37" i="31"/>
  <c r="R36" i="31"/>
  <c r="R35" i="31"/>
  <c r="R34" i="31"/>
  <c r="R33" i="31"/>
  <c r="R32" i="31"/>
  <c r="R31" i="31"/>
  <c r="R30" i="31"/>
  <c r="R29" i="31"/>
  <c r="R28" i="31"/>
  <c r="R27" i="31"/>
  <c r="R26" i="31"/>
  <c r="R25" i="31"/>
  <c r="R24" i="31"/>
  <c r="R23" i="31"/>
  <c r="R22" i="31"/>
  <c r="R21" i="31"/>
  <c r="R20" i="31"/>
  <c r="R19" i="31"/>
  <c r="R18" i="31"/>
  <c r="R17" i="31"/>
  <c r="R16" i="31"/>
  <c r="R15" i="31"/>
  <c r="R14" i="31"/>
  <c r="R13" i="31"/>
  <c r="R12" i="31"/>
  <c r="R11" i="31"/>
  <c r="R10" i="31"/>
  <c r="R9" i="31"/>
  <c r="S8" i="31"/>
  <c r="AA2" i="10"/>
  <c r="T8" i="32" l="1"/>
  <c r="T194" i="32"/>
  <c r="T186" i="32"/>
  <c r="T178" i="32"/>
  <c r="T170" i="32"/>
  <c r="T162" i="32"/>
  <c r="T154" i="32"/>
  <c r="T146" i="32"/>
  <c r="T138" i="32"/>
  <c r="T130" i="32"/>
  <c r="T122" i="32"/>
  <c r="T114" i="32"/>
  <c r="T106" i="32"/>
  <c r="T98" i="32"/>
  <c r="T90" i="32"/>
  <c r="T82" i="32"/>
  <c r="T74" i="32"/>
  <c r="T66" i="32"/>
  <c r="T58" i="32"/>
  <c r="T50" i="32"/>
  <c r="T42" i="32"/>
  <c r="T34" i="32"/>
  <c r="T26" i="32"/>
  <c r="T18" i="32"/>
  <c r="T10" i="32"/>
  <c r="T193" i="32"/>
  <c r="T185" i="32"/>
  <c r="T177" i="32"/>
  <c r="T169" i="32"/>
  <c r="T161" i="32"/>
  <c r="T153" i="32"/>
  <c r="T145" i="32"/>
  <c r="T137" i="32"/>
  <c r="T129" i="32"/>
  <c r="T121" i="32"/>
  <c r="T113" i="32"/>
  <c r="T105" i="32"/>
  <c r="T97" i="32"/>
  <c r="T89" i="32"/>
  <c r="T81" i="32"/>
  <c r="T73" i="32"/>
  <c r="T65" i="32"/>
  <c r="T57" i="32"/>
  <c r="T49" i="32"/>
  <c r="T41" i="32"/>
  <c r="T33" i="32"/>
  <c r="T25" i="32"/>
  <c r="T17" i="32"/>
  <c r="T9" i="32"/>
  <c r="T200" i="32"/>
  <c r="T192" i="32"/>
  <c r="T184" i="32"/>
  <c r="T176" i="32"/>
  <c r="T168" i="32"/>
  <c r="T160" i="32"/>
  <c r="T152" i="32"/>
  <c r="T144" i="32"/>
  <c r="T136" i="32"/>
  <c r="T128" i="32"/>
  <c r="T120" i="32"/>
  <c r="T112" i="32"/>
  <c r="T104" i="32"/>
  <c r="T96" i="32"/>
  <c r="T88" i="32"/>
  <c r="T80" i="32"/>
  <c r="T72" i="32"/>
  <c r="T64" i="32"/>
  <c r="T56" i="32"/>
  <c r="T48" i="32"/>
  <c r="T40" i="32"/>
  <c r="T32" i="32"/>
  <c r="T24" i="32"/>
  <c r="T16" i="32"/>
  <c r="T199" i="32"/>
  <c r="T191" i="32"/>
  <c r="T183" i="32"/>
  <c r="T175" i="32"/>
  <c r="T167" i="32"/>
  <c r="T159" i="32"/>
  <c r="T151" i="32"/>
  <c r="T143" i="32"/>
  <c r="T135" i="32"/>
  <c r="T127" i="32"/>
  <c r="T119" i="32"/>
  <c r="T111" i="32"/>
  <c r="T103" i="32"/>
  <c r="T95" i="32"/>
  <c r="T87" i="32"/>
  <c r="T79" i="32"/>
  <c r="T71" i="32"/>
  <c r="T63" i="32"/>
  <c r="T55" i="32"/>
  <c r="T47" i="32"/>
  <c r="T39" i="32"/>
  <c r="T31" i="32"/>
  <c r="T23" i="32"/>
  <c r="T15" i="32"/>
  <c r="T198" i="32"/>
  <c r="T190" i="32"/>
  <c r="T182" i="32"/>
  <c r="T174" i="32"/>
  <c r="T166" i="32"/>
  <c r="T158" i="32"/>
  <c r="T150" i="32"/>
  <c r="T142" i="32"/>
  <c r="T134" i="32"/>
  <c r="T126" i="32"/>
  <c r="T118" i="32"/>
  <c r="T110" i="32"/>
  <c r="T102" i="32"/>
  <c r="T94" i="32"/>
  <c r="T86" i="32"/>
  <c r="T78" i="32"/>
  <c r="T70" i="32"/>
  <c r="T62" i="32"/>
  <c r="T54" i="32"/>
  <c r="T46" i="32"/>
  <c r="T38" i="32"/>
  <c r="T30" i="32"/>
  <c r="T22" i="32"/>
  <c r="T14" i="32"/>
  <c r="T197" i="32"/>
  <c r="T189" i="32"/>
  <c r="T181" i="32"/>
  <c r="T173" i="32"/>
  <c r="T165" i="32"/>
  <c r="T157" i="32"/>
  <c r="T149" i="32"/>
  <c r="T141" i="32"/>
  <c r="T133" i="32"/>
  <c r="T125" i="32"/>
  <c r="T117" i="32"/>
  <c r="T109" i="32"/>
  <c r="T101" i="32"/>
  <c r="T93" i="32"/>
  <c r="T85" i="32"/>
  <c r="T77" i="32"/>
  <c r="T69" i="32"/>
  <c r="T61" i="32"/>
  <c r="T53" i="32"/>
  <c r="T45" i="32"/>
  <c r="T37" i="32"/>
  <c r="T29" i="32"/>
  <c r="T21" i="32"/>
  <c r="T13" i="32"/>
  <c r="T196" i="32"/>
  <c r="T188" i="32"/>
  <c r="T180" i="32"/>
  <c r="T172" i="32"/>
  <c r="T164" i="32"/>
  <c r="T156" i="32"/>
  <c r="T148" i="32"/>
  <c r="T140" i="32"/>
  <c r="T132" i="32"/>
  <c r="T124" i="32"/>
  <c r="T116" i="32"/>
  <c r="T108" i="32"/>
  <c r="T100" i="32"/>
  <c r="T92" i="32"/>
  <c r="T84" i="32"/>
  <c r="T76" i="32"/>
  <c r="T68" i="32"/>
  <c r="T60" i="32"/>
  <c r="T52" i="32"/>
  <c r="T44" i="32"/>
  <c r="T36" i="32"/>
  <c r="T28" i="32"/>
  <c r="T20" i="32"/>
  <c r="T12" i="32"/>
  <c r="T195" i="32"/>
  <c r="T187" i="32"/>
  <c r="T179" i="32"/>
  <c r="T171" i="32"/>
  <c r="T163" i="32"/>
  <c r="T155" i="32"/>
  <c r="T147" i="32"/>
  <c r="T139" i="32"/>
  <c r="T131" i="32"/>
  <c r="T123" i="32"/>
  <c r="T115" i="32"/>
  <c r="T107" i="32"/>
  <c r="T99" i="32"/>
  <c r="T91" i="32"/>
  <c r="T83" i="32"/>
  <c r="T75" i="32"/>
  <c r="T67" i="32"/>
  <c r="T59" i="32"/>
  <c r="T51" i="32"/>
  <c r="T43" i="32"/>
  <c r="T35" i="32"/>
  <c r="T27" i="32"/>
  <c r="T19" i="32"/>
  <c r="T11" i="32"/>
  <c r="AR9" i="13"/>
  <c r="AP9" i="13"/>
  <c r="AN9" i="13"/>
  <c r="H9" i="13"/>
  <c r="AR13" i="13"/>
  <c r="AP13" i="13"/>
  <c r="AN13" i="13"/>
  <c r="H13" i="13"/>
  <c r="AR17" i="13"/>
  <c r="AP17" i="13"/>
  <c r="AN17" i="13"/>
  <c r="H17" i="13"/>
  <c r="AW31" i="13"/>
  <c r="AX31" i="13" s="1"/>
  <c r="AY31" i="13" s="1"/>
  <c r="AH31" i="13" s="1"/>
  <c r="H31" i="13"/>
  <c r="AR31" i="13"/>
  <c r="AP31" i="13"/>
  <c r="AN31" i="13"/>
  <c r="AR35" i="13"/>
  <c r="AP35" i="13"/>
  <c r="AN35" i="13"/>
  <c r="H35" i="13"/>
  <c r="I49" i="13"/>
  <c r="BO49" i="13" s="1"/>
  <c r="AR49" i="13"/>
  <c r="AP49" i="13"/>
  <c r="AN49" i="13"/>
  <c r="H49" i="13"/>
  <c r="P195" i="30"/>
  <c r="P187" i="30"/>
  <c r="P179" i="30"/>
  <c r="P171" i="30"/>
  <c r="P163" i="30"/>
  <c r="P155" i="30"/>
  <c r="P147" i="30"/>
  <c r="P139" i="30"/>
  <c r="P131" i="30"/>
  <c r="P123" i="30"/>
  <c r="P115" i="30"/>
  <c r="P107" i="30"/>
  <c r="P99" i="30"/>
  <c r="P91" i="30"/>
  <c r="P83" i="30"/>
  <c r="P75" i="30"/>
  <c r="P67" i="30"/>
  <c r="P59" i="30"/>
  <c r="P51" i="30"/>
  <c r="P43" i="30"/>
  <c r="P35" i="30"/>
  <c r="P27" i="30"/>
  <c r="P19" i="30"/>
  <c r="P11" i="30"/>
  <c r="P194" i="30"/>
  <c r="P186" i="30"/>
  <c r="P178" i="30"/>
  <c r="P170" i="30"/>
  <c r="P162" i="30"/>
  <c r="P154" i="30"/>
  <c r="P146" i="30"/>
  <c r="P138" i="30"/>
  <c r="P130" i="30"/>
  <c r="P122" i="30"/>
  <c r="P114" i="30"/>
  <c r="P106" i="30"/>
  <c r="P98" i="30"/>
  <c r="P90" i="30"/>
  <c r="P82" i="30"/>
  <c r="P74" i="30"/>
  <c r="P66" i="30"/>
  <c r="P58" i="30"/>
  <c r="P50" i="30"/>
  <c r="P42" i="30"/>
  <c r="P34" i="30"/>
  <c r="P26" i="30"/>
  <c r="P18" i="30"/>
  <c r="P10" i="30"/>
  <c r="P193" i="30"/>
  <c r="P185" i="30"/>
  <c r="P177" i="30"/>
  <c r="P169" i="30"/>
  <c r="P161" i="30"/>
  <c r="P153" i="30"/>
  <c r="P145" i="30"/>
  <c r="P137" i="30"/>
  <c r="P129" i="30"/>
  <c r="P121" i="30"/>
  <c r="P113" i="30"/>
  <c r="P105" i="30"/>
  <c r="P97" i="30"/>
  <c r="P89" i="30"/>
  <c r="P81" i="30"/>
  <c r="P73" i="30"/>
  <c r="P65" i="30"/>
  <c r="P57" i="30"/>
  <c r="P49" i="30"/>
  <c r="P41" i="30"/>
  <c r="P33" i="30"/>
  <c r="P25" i="30"/>
  <c r="P17" i="30"/>
  <c r="P9" i="30"/>
  <c r="P200" i="30"/>
  <c r="P192" i="30"/>
  <c r="P184" i="30"/>
  <c r="P176" i="30"/>
  <c r="P168" i="30"/>
  <c r="P160" i="30"/>
  <c r="P152" i="30"/>
  <c r="P144" i="30"/>
  <c r="P136" i="30"/>
  <c r="P128" i="30"/>
  <c r="P120" i="30"/>
  <c r="P112" i="30"/>
  <c r="P104" i="30"/>
  <c r="P96" i="30"/>
  <c r="P88" i="30"/>
  <c r="P80" i="30"/>
  <c r="P72" i="30"/>
  <c r="P64" i="30"/>
  <c r="P56" i="30"/>
  <c r="P48" i="30"/>
  <c r="P40" i="30"/>
  <c r="P32" i="30"/>
  <c r="P24" i="30"/>
  <c r="P16" i="30"/>
  <c r="P8" i="30"/>
  <c r="P199" i="30"/>
  <c r="P191" i="30"/>
  <c r="P183" i="30"/>
  <c r="P175" i="30"/>
  <c r="P167" i="30"/>
  <c r="P159" i="30"/>
  <c r="P151" i="30"/>
  <c r="P143" i="30"/>
  <c r="P135" i="30"/>
  <c r="P127" i="30"/>
  <c r="P119" i="30"/>
  <c r="P111" i="30"/>
  <c r="P103" i="30"/>
  <c r="P95" i="30"/>
  <c r="P87" i="30"/>
  <c r="P79" i="30"/>
  <c r="P71" i="30"/>
  <c r="P63" i="30"/>
  <c r="P55" i="30"/>
  <c r="P47" i="30"/>
  <c r="P39" i="30"/>
  <c r="P31" i="30"/>
  <c r="P23" i="30"/>
  <c r="P15" i="30"/>
  <c r="P198" i="30"/>
  <c r="P190" i="30"/>
  <c r="P182" i="30"/>
  <c r="P174" i="30"/>
  <c r="P166" i="30"/>
  <c r="P158" i="30"/>
  <c r="P150" i="30"/>
  <c r="P142" i="30"/>
  <c r="P134" i="30"/>
  <c r="P126" i="30"/>
  <c r="P118" i="30"/>
  <c r="P110" i="30"/>
  <c r="P102" i="30"/>
  <c r="P94" i="30"/>
  <c r="P86" i="30"/>
  <c r="P78" i="30"/>
  <c r="P70" i="30"/>
  <c r="P62" i="30"/>
  <c r="P54" i="30"/>
  <c r="P46" i="30"/>
  <c r="P38" i="30"/>
  <c r="P30" i="30"/>
  <c r="P22" i="30"/>
  <c r="P14" i="30"/>
  <c r="P197" i="30"/>
  <c r="P189" i="30"/>
  <c r="P181" i="30"/>
  <c r="P173" i="30"/>
  <c r="P165" i="30"/>
  <c r="P157" i="30"/>
  <c r="P149" i="30"/>
  <c r="P141" i="30"/>
  <c r="P133" i="30"/>
  <c r="P125" i="30"/>
  <c r="P117" i="30"/>
  <c r="P109" i="30"/>
  <c r="P101" i="30"/>
  <c r="P93" i="30"/>
  <c r="P85" i="30"/>
  <c r="P77" i="30"/>
  <c r="P69" i="30"/>
  <c r="P61" i="30"/>
  <c r="P53" i="30"/>
  <c r="P45" i="30"/>
  <c r="P37" i="30"/>
  <c r="P29" i="30"/>
  <c r="P21" i="30"/>
  <c r="P13" i="30"/>
  <c r="P196" i="30"/>
  <c r="P188" i="30"/>
  <c r="P180" i="30"/>
  <c r="P172" i="30"/>
  <c r="P164" i="30"/>
  <c r="P156" i="30"/>
  <c r="P148" i="30"/>
  <c r="P140" i="30"/>
  <c r="P132" i="30"/>
  <c r="P124" i="30"/>
  <c r="P116" i="30"/>
  <c r="P108" i="30"/>
  <c r="P100" i="30"/>
  <c r="P92" i="30"/>
  <c r="P84" i="30"/>
  <c r="P76" i="30"/>
  <c r="P68" i="30"/>
  <c r="P60" i="30"/>
  <c r="P52" i="30"/>
  <c r="P44" i="30"/>
  <c r="P36" i="30"/>
  <c r="P28" i="30"/>
  <c r="P20" i="30"/>
  <c r="P12" i="30"/>
  <c r="S1997" i="31"/>
  <c r="S1989" i="31"/>
  <c r="S1981" i="31"/>
  <c r="S1973" i="31"/>
  <c r="S1965" i="31"/>
  <c r="S1957" i="31"/>
  <c r="S1949" i="31"/>
  <c r="S1941" i="31"/>
  <c r="S1995" i="31"/>
  <c r="S1987" i="31"/>
  <c r="S1979" i="31"/>
  <c r="S1971" i="31"/>
  <c r="S1963" i="31"/>
  <c r="S1955" i="31"/>
  <c r="S1947" i="31"/>
  <c r="S1939" i="31"/>
  <c r="S1931" i="31"/>
  <c r="S1923" i="31"/>
  <c r="S1915" i="31"/>
  <c r="S1907" i="31"/>
  <c r="S1994" i="31"/>
  <c r="S1986" i="31"/>
  <c r="S1978" i="31"/>
  <c r="S1970" i="31"/>
  <c r="S1962" i="31"/>
  <c r="S1954" i="31"/>
  <c r="S1946" i="31"/>
  <c r="S1938" i="31"/>
  <c r="S2000" i="31"/>
  <c r="S1992" i="31"/>
  <c r="S1984" i="31"/>
  <c r="S1976" i="31"/>
  <c r="S1968" i="31"/>
  <c r="S1960" i="31"/>
  <c r="S1952" i="31"/>
  <c r="S1944" i="31"/>
  <c r="S1936" i="31"/>
  <c r="S1928" i="31"/>
  <c r="S1920" i="31"/>
  <c r="S1999" i="31"/>
  <c r="S1991" i="31"/>
  <c r="S1983" i="31"/>
  <c r="S1975" i="31"/>
  <c r="S1967" i="31"/>
  <c r="S1959" i="31"/>
  <c r="S1951" i="31"/>
  <c r="S1943" i="31"/>
  <c r="S1935" i="31"/>
  <c r="S1927" i="31"/>
  <c r="S1919" i="31"/>
  <c r="S1998" i="31"/>
  <c r="S1990" i="31"/>
  <c r="S1982" i="31"/>
  <c r="S1974" i="31"/>
  <c r="S1966" i="31"/>
  <c r="S1958" i="31"/>
  <c r="S1950" i="31"/>
  <c r="S1942" i="31"/>
  <c r="S1934" i="31"/>
  <c r="S1926" i="31"/>
  <c r="S1918" i="31"/>
  <c r="S1910" i="31"/>
  <c r="S1902" i="31"/>
  <c r="S1972" i="31"/>
  <c r="S1940" i="31"/>
  <c r="S1922" i="31"/>
  <c r="S1909" i="31"/>
  <c r="S1899" i="31"/>
  <c r="S1891" i="31"/>
  <c r="S1883" i="31"/>
  <c r="S1875" i="31"/>
  <c r="S1867" i="31"/>
  <c r="S1859" i="31"/>
  <c r="S1851" i="31"/>
  <c r="S1843" i="31"/>
  <c r="S1835" i="31"/>
  <c r="S1827" i="31"/>
  <c r="S1819" i="31"/>
  <c r="S1811" i="31"/>
  <c r="S1803" i="31"/>
  <c r="S1795" i="31"/>
  <c r="S1787" i="31"/>
  <c r="S1779" i="31"/>
  <c r="S1771" i="31"/>
  <c r="S1763" i="31"/>
  <c r="S1755" i="31"/>
  <c r="S1747" i="31"/>
  <c r="S1739" i="31"/>
  <c r="S1731" i="31"/>
  <c r="S1723" i="31"/>
  <c r="S1715" i="31"/>
  <c r="S1707" i="31"/>
  <c r="S1699" i="31"/>
  <c r="S1691" i="31"/>
  <c r="S1683" i="31"/>
  <c r="S1675" i="31"/>
  <c r="S1667" i="31"/>
  <c r="S1659" i="31"/>
  <c r="S1651" i="31"/>
  <c r="S1643" i="31"/>
  <c r="S1635" i="31"/>
  <c r="S1627" i="31"/>
  <c r="S1619" i="31"/>
  <c r="S1611" i="31"/>
  <c r="S1603" i="31"/>
  <c r="S1595" i="31"/>
  <c r="S1587" i="31"/>
  <c r="S1579" i="31"/>
  <c r="S1571" i="31"/>
  <c r="S1563" i="31"/>
  <c r="S1555" i="31"/>
  <c r="S1547" i="31"/>
  <c r="S1539" i="31"/>
  <c r="S1531" i="31"/>
  <c r="S1523" i="31"/>
  <c r="S1515" i="31"/>
  <c r="S1507" i="31"/>
  <c r="S1499" i="31"/>
  <c r="S1491" i="31"/>
  <c r="S1483" i="31"/>
  <c r="S1475" i="31"/>
  <c r="S1467" i="31"/>
  <c r="S1459" i="31"/>
  <c r="S1451" i="31"/>
  <c r="S1443" i="31"/>
  <c r="S1435" i="31"/>
  <c r="S1427" i="31"/>
  <c r="S1419" i="31"/>
  <c r="S1411" i="31"/>
  <c r="S1403" i="31"/>
  <c r="S1395" i="31"/>
  <c r="S1387" i="31"/>
  <c r="S1379" i="31"/>
  <c r="S1371" i="31"/>
  <c r="S1363" i="31"/>
  <c r="S1355" i="31"/>
  <c r="S1347" i="31"/>
  <c r="S1339" i="31"/>
  <c r="S1331" i="31"/>
  <c r="S1323" i="31"/>
  <c r="S1315" i="31"/>
  <c r="S1307" i="31"/>
  <c r="S1299" i="31"/>
  <c r="S1291" i="31"/>
  <c r="S1283" i="31"/>
  <c r="S1275" i="31"/>
  <c r="S1267" i="31"/>
  <c r="S1259" i="31"/>
  <c r="S1969" i="31"/>
  <c r="S1937" i="31"/>
  <c r="S1921" i="31"/>
  <c r="S1908" i="31"/>
  <c r="S1898" i="31"/>
  <c r="S1890" i="31"/>
  <c r="S1882" i="31"/>
  <c r="S1874" i="31"/>
  <c r="S1866" i="31"/>
  <c r="S1858" i="31"/>
  <c r="S1850" i="31"/>
  <c r="S1842" i="31"/>
  <c r="S1834" i="31"/>
  <c r="S1826" i="31"/>
  <c r="S1818" i="31"/>
  <c r="S1810" i="31"/>
  <c r="S1802" i="31"/>
  <c r="S1794" i="31"/>
  <c r="S1786" i="31"/>
  <c r="S1778" i="31"/>
  <c r="S1770" i="31"/>
  <c r="S1762" i="31"/>
  <c r="S1754" i="31"/>
  <c r="S1746" i="31"/>
  <c r="S1738" i="31"/>
  <c r="S1730" i="31"/>
  <c r="S1722" i="31"/>
  <c r="S1714" i="31"/>
  <c r="S1706" i="31"/>
  <c r="S1698" i="31"/>
  <c r="S1690" i="31"/>
  <c r="S1682" i="31"/>
  <c r="S1674" i="31"/>
  <c r="S1666" i="31"/>
  <c r="S1658" i="31"/>
  <c r="S1650" i="31"/>
  <c r="S1642" i="31"/>
  <c r="S1634" i="31"/>
  <c r="S1626" i="31"/>
  <c r="S1618" i="31"/>
  <c r="S1610" i="31"/>
  <c r="S1602" i="31"/>
  <c r="S1594" i="31"/>
  <c r="S1586" i="31"/>
  <c r="S1578" i="31"/>
  <c r="S1570" i="31"/>
  <c r="S1562" i="31"/>
  <c r="S1554" i="31"/>
  <c r="S1546" i="31"/>
  <c r="S1538" i="31"/>
  <c r="S1530" i="31"/>
  <c r="S1522" i="31"/>
  <c r="S1514" i="31"/>
  <c r="S1506" i="31"/>
  <c r="S1498" i="31"/>
  <c r="S1490" i="31"/>
  <c r="S1482" i="31"/>
  <c r="S1474" i="31"/>
  <c r="S1466" i="31"/>
  <c r="S1458" i="31"/>
  <c r="S1450" i="31"/>
  <c r="S1442" i="31"/>
  <c r="S1434" i="31"/>
  <c r="S1426" i="31"/>
  <c r="S1418" i="31"/>
  <c r="S1410" i="31"/>
  <c r="S1402" i="31"/>
  <c r="S1394" i="31"/>
  <c r="S1386" i="31"/>
  <c r="S1378" i="31"/>
  <c r="S1370" i="31"/>
  <c r="S1362" i="31"/>
  <c r="S1354" i="31"/>
  <c r="S1346" i="31"/>
  <c r="S1338" i="31"/>
  <c r="S1330" i="31"/>
  <c r="S1322" i="31"/>
  <c r="S1314" i="31"/>
  <c r="S1306" i="31"/>
  <c r="S1298" i="31"/>
  <c r="S1290" i="31"/>
  <c r="S1282" i="31"/>
  <c r="S1274" i="31"/>
  <c r="S1266" i="31"/>
  <c r="S1258" i="31"/>
  <c r="S1996" i="31"/>
  <c r="S1964" i="31"/>
  <c r="S1933" i="31"/>
  <c r="S1917" i="31"/>
  <c r="S1906" i="31"/>
  <c r="S1897" i="31"/>
  <c r="S1889" i="31"/>
  <c r="S1881" i="31"/>
  <c r="S1873" i="31"/>
  <c r="S1865" i="31"/>
  <c r="S1857" i="31"/>
  <c r="S1849" i="31"/>
  <c r="S1841" i="31"/>
  <c r="S1833" i="31"/>
  <c r="S1825" i="31"/>
  <c r="S1817" i="31"/>
  <c r="S1809" i="31"/>
  <c r="S1801" i="31"/>
  <c r="S1793" i="31"/>
  <c r="S1785" i="31"/>
  <c r="S1777" i="31"/>
  <c r="S1769" i="31"/>
  <c r="S1761" i="31"/>
  <c r="S1753" i="31"/>
  <c r="S1745" i="31"/>
  <c r="S1737" i="31"/>
  <c r="S1729" i="31"/>
  <c r="S1721" i="31"/>
  <c r="S1713" i="31"/>
  <c r="S1705" i="31"/>
  <c r="S1697" i="31"/>
  <c r="S1689" i="31"/>
  <c r="S1681" i="31"/>
  <c r="S1673" i="31"/>
  <c r="S1665" i="31"/>
  <c r="S1657" i="31"/>
  <c r="S1649" i="31"/>
  <c r="S1641" i="31"/>
  <c r="S1633" i="31"/>
  <c r="S1625" i="31"/>
  <c r="S1617" i="31"/>
  <c r="S1609" i="31"/>
  <c r="S1601" i="31"/>
  <c r="S1593" i="31"/>
  <c r="S1585" i="31"/>
  <c r="S1577" i="31"/>
  <c r="S1569" i="31"/>
  <c r="S1561" i="31"/>
  <c r="S1553" i="31"/>
  <c r="S1545" i="31"/>
  <c r="S1537" i="31"/>
  <c r="S1529" i="31"/>
  <c r="S1521" i="31"/>
  <c r="S1513" i="31"/>
  <c r="S1505" i="31"/>
  <c r="S1497" i="31"/>
  <c r="S1489" i="31"/>
  <c r="S1481" i="31"/>
  <c r="S1473" i="31"/>
  <c r="S1465" i="31"/>
  <c r="S1457" i="31"/>
  <c r="S1449" i="31"/>
  <c r="S1441" i="31"/>
  <c r="S1433" i="31"/>
  <c r="S1425" i="31"/>
  <c r="S1417" i="31"/>
  <c r="S1409" i="31"/>
  <c r="S1401" i="31"/>
  <c r="S1393" i="31"/>
  <c r="S1385" i="31"/>
  <c r="S1377" i="31"/>
  <c r="S1369" i="31"/>
  <c r="S1361" i="31"/>
  <c r="S1353" i="31"/>
  <c r="S1345" i="31"/>
  <c r="S1337" i="31"/>
  <c r="S1329" i="31"/>
  <c r="S1321" i="31"/>
  <c r="S1313" i="31"/>
  <c r="S1305" i="31"/>
  <c r="S1297" i="31"/>
  <c r="S1289" i="31"/>
  <c r="S1281" i="31"/>
  <c r="S1273" i="31"/>
  <c r="S1265" i="31"/>
  <c r="S1993" i="31"/>
  <c r="S1961" i="31"/>
  <c r="S1932" i="31"/>
  <c r="S1916" i="31"/>
  <c r="S1905" i="31"/>
  <c r="S1896" i="31"/>
  <c r="S1888" i="31"/>
  <c r="S1880" i="31"/>
  <c r="S1872" i="31"/>
  <c r="S1864" i="31"/>
  <c r="S1856" i="31"/>
  <c r="S1848" i="31"/>
  <c r="S1840" i="31"/>
  <c r="S1832" i="31"/>
  <c r="S1824" i="31"/>
  <c r="S1816" i="31"/>
  <c r="S1808" i="31"/>
  <c r="S1800" i="31"/>
  <c r="S1792" i="31"/>
  <c r="S1784" i="31"/>
  <c r="S1776" i="31"/>
  <c r="S1768" i="31"/>
  <c r="S1760" i="31"/>
  <c r="S1752" i="31"/>
  <c r="S1744" i="31"/>
  <c r="S1736" i="31"/>
  <c r="S1728" i="31"/>
  <c r="S1720" i="31"/>
  <c r="S1712" i="31"/>
  <c r="S1704" i="31"/>
  <c r="S1696" i="31"/>
  <c r="S1688" i="31"/>
  <c r="S1680" i="31"/>
  <c r="S1672" i="31"/>
  <c r="S1664" i="31"/>
  <c r="S1656" i="31"/>
  <c r="S1648" i="31"/>
  <c r="S1640" i="31"/>
  <c r="S1632" i="31"/>
  <c r="S1624" i="31"/>
  <c r="S1616" i="31"/>
  <c r="S1608" i="31"/>
  <c r="S1600" i="31"/>
  <c r="S1592" i="31"/>
  <c r="S1584" i="31"/>
  <c r="S1576" i="31"/>
  <c r="S1568" i="31"/>
  <c r="S1560" i="31"/>
  <c r="S1552" i="31"/>
  <c r="S1544" i="31"/>
  <c r="S1536" i="31"/>
  <c r="S1528" i="31"/>
  <c r="S1520" i="31"/>
  <c r="S1512" i="31"/>
  <c r="S1504" i="31"/>
  <c r="S1496" i="31"/>
  <c r="S1488" i="31"/>
  <c r="S1480" i="31"/>
  <c r="S1472" i="31"/>
  <c r="S1464" i="31"/>
  <c r="S1456" i="31"/>
  <c r="S1448" i="31"/>
  <c r="S1440" i="31"/>
  <c r="S1432" i="31"/>
  <c r="S1424" i="31"/>
  <c r="S1416" i="31"/>
  <c r="S1408" i="31"/>
  <c r="S1400" i="31"/>
  <c r="S1392" i="31"/>
  <c r="S1384" i="31"/>
  <c r="S1376" i="31"/>
  <c r="S1368" i="31"/>
  <c r="S1360" i="31"/>
  <c r="S1352" i="31"/>
  <c r="S1344" i="31"/>
  <c r="S1336" i="31"/>
  <c r="S1328" i="31"/>
  <c r="S1320" i="31"/>
  <c r="S1312" i="31"/>
  <c r="S1304" i="31"/>
  <c r="S1296" i="31"/>
  <c r="S1288" i="31"/>
  <c r="S1280" i="31"/>
  <c r="S1272" i="31"/>
  <c r="S1264" i="31"/>
  <c r="S1988" i="31"/>
  <c r="S1956" i="31"/>
  <c r="S1930" i="31"/>
  <c r="S1914" i="31"/>
  <c r="S1904" i="31"/>
  <c r="S1895" i="31"/>
  <c r="S1887" i="31"/>
  <c r="S1879" i="31"/>
  <c r="S1871" i="31"/>
  <c r="S1863" i="31"/>
  <c r="S1855" i="31"/>
  <c r="S1847" i="31"/>
  <c r="S1839" i="31"/>
  <c r="S1831" i="31"/>
  <c r="S1823" i="31"/>
  <c r="S1815" i="31"/>
  <c r="S1807" i="31"/>
  <c r="S1799" i="31"/>
  <c r="S1791" i="31"/>
  <c r="S1783" i="31"/>
  <c r="S1775" i="31"/>
  <c r="S1767" i="31"/>
  <c r="S1759" i="31"/>
  <c r="S1751" i="31"/>
  <c r="S1743" i="31"/>
  <c r="S1735" i="31"/>
  <c r="S1727" i="31"/>
  <c r="S1719" i="31"/>
  <c r="S1711" i="31"/>
  <c r="S1703" i="31"/>
  <c r="S1695" i="31"/>
  <c r="S1687" i="31"/>
  <c r="S1679" i="31"/>
  <c r="S1671" i="31"/>
  <c r="S1663" i="31"/>
  <c r="S1655" i="31"/>
  <c r="S1647" i="31"/>
  <c r="S1639" i="31"/>
  <c r="S1631" i="31"/>
  <c r="S1623" i="31"/>
  <c r="S1615" i="31"/>
  <c r="S1607" i="31"/>
  <c r="S1599" i="31"/>
  <c r="S1591" i="31"/>
  <c r="S1583" i="31"/>
  <c r="S1575" i="31"/>
  <c r="S1567" i="31"/>
  <c r="S1559" i="31"/>
  <c r="S1551" i="31"/>
  <c r="S1543" i="31"/>
  <c r="S1535" i="31"/>
  <c r="S1527" i="31"/>
  <c r="S1519" i="31"/>
  <c r="S1511" i="31"/>
  <c r="S1503" i="31"/>
  <c r="S1495" i="31"/>
  <c r="S1487" i="31"/>
  <c r="S1479" i="31"/>
  <c r="S1471" i="31"/>
  <c r="S1463" i="31"/>
  <c r="S1455" i="31"/>
  <c r="S1447" i="31"/>
  <c r="S1439" i="31"/>
  <c r="S1431" i="31"/>
  <c r="S1423" i="31"/>
  <c r="S1415" i="31"/>
  <c r="S1407" i="31"/>
  <c r="S1399" i="31"/>
  <c r="S1391" i="31"/>
  <c r="S1383" i="31"/>
  <c r="S1375" i="31"/>
  <c r="S1367" i="31"/>
  <c r="S1359" i="31"/>
  <c r="S1351" i="31"/>
  <c r="S1343" i="31"/>
  <c r="S1335" i="31"/>
  <c r="S1327" i="31"/>
  <c r="S1319" i="31"/>
  <c r="S1311" i="31"/>
  <c r="S1303" i="31"/>
  <c r="S1295" i="31"/>
  <c r="S1287" i="31"/>
  <c r="S1279" i="31"/>
  <c r="S1271" i="31"/>
  <c r="S1263" i="31"/>
  <c r="S1985" i="31"/>
  <c r="S1953" i="31"/>
  <c r="S1929" i="31"/>
  <c r="S1913" i="31"/>
  <c r="S1903" i="31"/>
  <c r="S1894" i="31"/>
  <c r="S1886" i="31"/>
  <c r="S1878" i="31"/>
  <c r="S1870" i="31"/>
  <c r="S1862" i="31"/>
  <c r="S1854" i="31"/>
  <c r="S1846" i="31"/>
  <c r="S1838" i="31"/>
  <c r="S1830" i="31"/>
  <c r="S1822" i="31"/>
  <c r="S1814" i="31"/>
  <c r="S1806" i="31"/>
  <c r="S1798" i="31"/>
  <c r="S1790" i="31"/>
  <c r="S1782" i="31"/>
  <c r="S1774" i="31"/>
  <c r="S1766" i="31"/>
  <c r="S1758" i="31"/>
  <c r="S1750" i="31"/>
  <c r="S1742" i="31"/>
  <c r="S1734" i="31"/>
  <c r="S1726" i="31"/>
  <c r="S1718" i="31"/>
  <c r="S1710" i="31"/>
  <c r="S1702" i="31"/>
  <c r="S1694" i="31"/>
  <c r="S1686" i="31"/>
  <c r="S1678" i="31"/>
  <c r="S1670" i="31"/>
  <c r="S1662" i="31"/>
  <c r="S1654" i="31"/>
  <c r="S1646" i="31"/>
  <c r="S1638" i="31"/>
  <c r="S1630" i="31"/>
  <c r="S1622" i="31"/>
  <c r="S1614" i="31"/>
  <c r="S1606" i="31"/>
  <c r="S1598" i="31"/>
  <c r="S1590" i="31"/>
  <c r="S1582" i="31"/>
  <c r="S1574" i="31"/>
  <c r="S1566" i="31"/>
  <c r="S1558" i="31"/>
  <c r="S1550" i="31"/>
  <c r="S1542" i="31"/>
  <c r="S1534" i="31"/>
  <c r="S1526" i="31"/>
  <c r="S1518" i="31"/>
  <c r="S1510" i="31"/>
  <c r="S1502" i="31"/>
  <c r="S1494" i="31"/>
  <c r="S1486" i="31"/>
  <c r="S1478" i="31"/>
  <c r="S1470" i="31"/>
  <c r="S1462" i="31"/>
  <c r="S1454" i="31"/>
  <c r="S1446" i="31"/>
  <c r="S1438" i="31"/>
  <c r="S1430" i="31"/>
  <c r="S1422" i="31"/>
  <c r="S1414" i="31"/>
  <c r="S1406" i="31"/>
  <c r="S1398" i="31"/>
  <c r="S1390" i="31"/>
  <c r="S1382" i="31"/>
  <c r="S1374" i="31"/>
  <c r="S1366" i="31"/>
  <c r="S1358" i="31"/>
  <c r="S1350" i="31"/>
  <c r="S1342" i="31"/>
  <c r="S1334" i="31"/>
  <c r="S1326" i="31"/>
  <c r="S1318" i="31"/>
  <c r="S1310" i="31"/>
  <c r="S1302" i="31"/>
  <c r="S1294" i="31"/>
  <c r="S1286" i="31"/>
  <c r="S1278" i="31"/>
  <c r="S1270" i="31"/>
  <c r="S1262" i="31"/>
  <c r="S1980" i="31"/>
  <c r="S1948" i="31"/>
  <c r="S1925" i="31"/>
  <c r="S1912" i="31"/>
  <c r="S1901" i="31"/>
  <c r="S1893" i="31"/>
  <c r="S1885" i="31"/>
  <c r="S1877" i="31"/>
  <c r="S1869" i="31"/>
  <c r="S1861" i="31"/>
  <c r="S1853" i="31"/>
  <c r="S1845" i="31"/>
  <c r="S1837" i="31"/>
  <c r="S1829" i="31"/>
  <c r="S1821" i="31"/>
  <c r="S1813" i="31"/>
  <c r="S1805" i="31"/>
  <c r="S1797" i="31"/>
  <c r="S1789" i="31"/>
  <c r="S1781" i="31"/>
  <c r="S1773" i="31"/>
  <c r="S1765" i="31"/>
  <c r="S1757" i="31"/>
  <c r="S1749" i="31"/>
  <c r="S1741" i="31"/>
  <c r="S1733" i="31"/>
  <c r="S1725" i="31"/>
  <c r="S1717" i="31"/>
  <c r="S1709" i="31"/>
  <c r="S1701" i="31"/>
  <c r="S1693" i="31"/>
  <c r="S1685" i="31"/>
  <c r="S1677" i="31"/>
  <c r="S1669" i="31"/>
  <c r="S1661" i="31"/>
  <c r="S1653" i="31"/>
  <c r="S1645" i="31"/>
  <c r="S1637" i="31"/>
  <c r="S1629" i="31"/>
  <c r="S1621" i="31"/>
  <c r="S1613" i="31"/>
  <c r="S1605" i="31"/>
  <c r="S1597" i="31"/>
  <c r="S1589" i="31"/>
  <c r="S1581" i="31"/>
  <c r="S1573" i="31"/>
  <c r="S1565" i="31"/>
  <c r="S1557" i="31"/>
  <c r="S1549" i="31"/>
  <c r="S1541" i="31"/>
  <c r="S1533" i="31"/>
  <c r="S1525" i="31"/>
  <c r="S1517" i="31"/>
  <c r="S1509" i="31"/>
  <c r="S1501" i="31"/>
  <c r="S1493" i="31"/>
  <c r="S1485" i="31"/>
  <c r="S1477" i="31"/>
  <c r="S1469" i="31"/>
  <c r="S1461" i="31"/>
  <c r="S1453" i="31"/>
  <c r="S1445" i="31"/>
  <c r="S1437" i="31"/>
  <c r="S1429" i="31"/>
  <c r="S1421" i="31"/>
  <c r="S1413" i="31"/>
  <c r="S1405" i="31"/>
  <c r="S1397" i="31"/>
  <c r="S1389" i="31"/>
  <c r="S1381" i="31"/>
  <c r="S1373" i="31"/>
  <c r="S1365" i="31"/>
  <c r="S1357" i="31"/>
  <c r="S1349" i="31"/>
  <c r="S1341" i="31"/>
  <c r="S1333" i="31"/>
  <c r="S1325" i="31"/>
  <c r="S1317" i="31"/>
  <c r="S1309" i="31"/>
  <c r="S1301" i="31"/>
  <c r="S1293" i="31"/>
  <c r="S1285" i="31"/>
  <c r="S1277" i="31"/>
  <c r="S1269" i="31"/>
  <c r="S1261" i="31"/>
  <c r="S1884" i="31"/>
  <c r="S1820" i="31"/>
  <c r="S1756" i="31"/>
  <c r="S1692" i="31"/>
  <c r="S1628" i="31"/>
  <c r="S1564" i="31"/>
  <c r="S1500" i="31"/>
  <c r="S1436" i="31"/>
  <c r="S1372" i="31"/>
  <c r="S1308" i="31"/>
  <c r="S1256" i="31"/>
  <c r="S1248" i="31"/>
  <c r="S1240" i="31"/>
  <c r="S1232" i="31"/>
  <c r="S1224" i="31"/>
  <c r="S1216" i="31"/>
  <c r="S1208" i="31"/>
  <c r="S1200" i="31"/>
  <c r="S1192" i="31"/>
  <c r="S1184" i="31"/>
  <c r="S1176" i="31"/>
  <c r="S1168" i="31"/>
  <c r="S1160" i="31"/>
  <c r="S1152" i="31"/>
  <c r="S1144" i="31"/>
  <c r="S1136" i="31"/>
  <c r="S1128" i="31"/>
  <c r="S1120" i="31"/>
  <c r="S1112" i="31"/>
  <c r="S1104" i="31"/>
  <c r="S1096" i="31"/>
  <c r="S1088" i="31"/>
  <c r="S1080" i="31"/>
  <c r="S1072" i="31"/>
  <c r="S1064" i="31"/>
  <c r="S1056" i="31"/>
  <c r="S1048" i="31"/>
  <c r="S1040" i="31"/>
  <c r="S1032" i="31"/>
  <c r="S1024" i="31"/>
  <c r="S1016" i="31"/>
  <c r="S1008" i="31"/>
  <c r="S1000" i="31"/>
  <c r="S992" i="31"/>
  <c r="S984" i="31"/>
  <c r="S976" i="31"/>
  <c r="S968" i="31"/>
  <c r="S960" i="31"/>
  <c r="S952" i="31"/>
  <c r="S944" i="31"/>
  <c r="S936" i="31"/>
  <c r="S928" i="31"/>
  <c r="S920" i="31"/>
  <c r="S912" i="31"/>
  <c r="S904" i="31"/>
  <c r="S896" i="31"/>
  <c r="S888" i="31"/>
  <c r="S880" i="31"/>
  <c r="S872" i="31"/>
  <c r="S864" i="31"/>
  <c r="S856" i="31"/>
  <c r="S848" i="31"/>
  <c r="S840" i="31"/>
  <c r="S832" i="31"/>
  <c r="S824" i="31"/>
  <c r="S816" i="31"/>
  <c r="S808" i="31"/>
  <c r="S800" i="31"/>
  <c r="S792" i="31"/>
  <c r="S784" i="31"/>
  <c r="S776" i="31"/>
  <c r="S768" i="31"/>
  <c r="S760" i="31"/>
  <c r="S752" i="31"/>
  <c r="S744" i="31"/>
  <c r="S736" i="31"/>
  <c r="S728" i="31"/>
  <c r="S720" i="31"/>
  <c r="S712" i="31"/>
  <c r="S704" i="31"/>
  <c r="S696" i="31"/>
  <c r="S688" i="31"/>
  <c r="S680" i="31"/>
  <c r="S672" i="31"/>
  <c r="S664" i="31"/>
  <c r="S1876" i="31"/>
  <c r="S1812" i="31"/>
  <c r="S1748" i="31"/>
  <c r="S1684" i="31"/>
  <c r="S1620" i="31"/>
  <c r="S1556" i="31"/>
  <c r="S1492" i="31"/>
  <c r="S1428" i="31"/>
  <c r="S1364" i="31"/>
  <c r="S1300" i="31"/>
  <c r="S1255" i="31"/>
  <c r="S1247" i="31"/>
  <c r="S1239" i="31"/>
  <c r="S1231" i="31"/>
  <c r="S1223" i="31"/>
  <c r="S1215" i="31"/>
  <c r="S1207" i="31"/>
  <c r="S1199" i="31"/>
  <c r="S1191" i="31"/>
  <c r="S1183" i="31"/>
  <c r="S1175" i="31"/>
  <c r="S1167" i="31"/>
  <c r="S1159" i="31"/>
  <c r="S1151" i="31"/>
  <c r="S1143" i="31"/>
  <c r="S1135" i="31"/>
  <c r="S1127" i="31"/>
  <c r="S1119" i="31"/>
  <c r="S1111" i="31"/>
  <c r="S1103" i="31"/>
  <c r="S1095" i="31"/>
  <c r="S1087" i="31"/>
  <c r="S1079" i="31"/>
  <c r="S1071" i="31"/>
  <c r="S1063" i="31"/>
  <c r="S1055" i="31"/>
  <c r="S1047" i="31"/>
  <c r="S1039" i="31"/>
  <c r="S1031" i="31"/>
  <c r="S1023" i="31"/>
  <c r="S1015" i="31"/>
  <c r="S1007" i="31"/>
  <c r="S999" i="31"/>
  <c r="S991" i="31"/>
  <c r="S983" i="31"/>
  <c r="S975" i="31"/>
  <c r="S967" i="31"/>
  <c r="S959" i="31"/>
  <c r="S951" i="31"/>
  <c r="S943" i="31"/>
  <c r="S935" i="31"/>
  <c r="S927" i="31"/>
  <c r="S919" i="31"/>
  <c r="S911" i="31"/>
  <c r="S903" i="31"/>
  <c r="S895" i="31"/>
  <c r="S887" i="31"/>
  <c r="S879" i="31"/>
  <c r="S871" i="31"/>
  <c r="S863" i="31"/>
  <c r="S855" i="31"/>
  <c r="S847" i="31"/>
  <c r="S839" i="31"/>
  <c r="S831" i="31"/>
  <c r="S823" i="31"/>
  <c r="S815" i="31"/>
  <c r="S807" i="31"/>
  <c r="S799" i="31"/>
  <c r="S791" i="31"/>
  <c r="S783" i="31"/>
  <c r="S775" i="31"/>
  <c r="S767" i="31"/>
  <c r="S759" i="31"/>
  <c r="S751" i="31"/>
  <c r="S743" i="31"/>
  <c r="S735" i="31"/>
  <c r="S727" i="31"/>
  <c r="S719" i="31"/>
  <c r="S711" i="31"/>
  <c r="S703" i="31"/>
  <c r="S695" i="31"/>
  <c r="S687" i="31"/>
  <c r="S679" i="31"/>
  <c r="S671" i="31"/>
  <c r="S663" i="31"/>
  <c r="S1977" i="31"/>
  <c r="S1868" i="31"/>
  <c r="S1804" i="31"/>
  <c r="S1740" i="31"/>
  <c r="S1676" i="31"/>
  <c r="S1612" i="31"/>
  <c r="S1548" i="31"/>
  <c r="S1484" i="31"/>
  <c r="S1420" i="31"/>
  <c r="S1356" i="31"/>
  <c r="S1292" i="31"/>
  <c r="S1254" i="31"/>
  <c r="S1246" i="31"/>
  <c r="S1238" i="31"/>
  <c r="S1230" i="31"/>
  <c r="S1222" i="31"/>
  <c r="S1214" i="31"/>
  <c r="S1206" i="31"/>
  <c r="S1198" i="31"/>
  <c r="S1190" i="31"/>
  <c r="S1182" i="31"/>
  <c r="S1174" i="31"/>
  <c r="S1166" i="31"/>
  <c r="S1158" i="31"/>
  <c r="S1150" i="31"/>
  <c r="S1142" i="31"/>
  <c r="S1134" i="31"/>
  <c r="S1126" i="31"/>
  <c r="S1118" i="31"/>
  <c r="S1110" i="31"/>
  <c r="S1102" i="31"/>
  <c r="S1094" i="31"/>
  <c r="S1086" i="31"/>
  <c r="S1078" i="31"/>
  <c r="S1070" i="31"/>
  <c r="S1062" i="31"/>
  <c r="S1054" i="31"/>
  <c r="S1046" i="31"/>
  <c r="S1038" i="31"/>
  <c r="S1030" i="31"/>
  <c r="S1022" i="31"/>
  <c r="S1014" i="31"/>
  <c r="S1006" i="31"/>
  <c r="S998" i="31"/>
  <c r="S990" i="31"/>
  <c r="S982" i="31"/>
  <c r="S974" i="31"/>
  <c r="S966" i="31"/>
  <c r="S958" i="31"/>
  <c r="S950" i="31"/>
  <c r="S942" i="31"/>
  <c r="S934" i="31"/>
  <c r="S926" i="31"/>
  <c r="S918" i="31"/>
  <c r="S910" i="31"/>
  <c r="S902" i="31"/>
  <c r="S894" i="31"/>
  <c r="S886" i="31"/>
  <c r="S878" i="31"/>
  <c r="S870" i="31"/>
  <c r="S862" i="31"/>
  <c r="S854" i="31"/>
  <c r="S846" i="31"/>
  <c r="S838" i="31"/>
  <c r="S830" i="31"/>
  <c r="S822" i="31"/>
  <c r="S814" i="31"/>
  <c r="S806" i="31"/>
  <c r="S798" i="31"/>
  <c r="S790" i="31"/>
  <c r="S782" i="31"/>
  <c r="S774" i="31"/>
  <c r="S766" i="31"/>
  <c r="S758" i="31"/>
  <c r="S750" i="31"/>
  <c r="S742" i="31"/>
  <c r="S734" i="31"/>
  <c r="S726" i="31"/>
  <c r="S718" i="31"/>
  <c r="S710" i="31"/>
  <c r="S702" i="31"/>
  <c r="S694" i="31"/>
  <c r="S686" i="31"/>
  <c r="S678" i="31"/>
  <c r="S670" i="31"/>
  <c r="S662" i="31"/>
  <c r="S1945" i="31"/>
  <c r="S1860" i="31"/>
  <c r="S1796" i="31"/>
  <c r="S1732" i="31"/>
  <c r="S1668" i="31"/>
  <c r="S1604" i="31"/>
  <c r="S1540" i="31"/>
  <c r="S1476" i="31"/>
  <c r="S1412" i="31"/>
  <c r="S1348" i="31"/>
  <c r="S1284" i="31"/>
  <c r="S1253" i="31"/>
  <c r="S1245" i="31"/>
  <c r="S1237" i="31"/>
  <c r="S1229" i="31"/>
  <c r="S1221" i="31"/>
  <c r="S1213" i="31"/>
  <c r="S1205" i="31"/>
  <c r="S1197" i="31"/>
  <c r="S1189" i="31"/>
  <c r="S1181" i="31"/>
  <c r="S1173" i="31"/>
  <c r="S1165" i="31"/>
  <c r="S1157" i="31"/>
  <c r="S1149" i="31"/>
  <c r="S1141" i="31"/>
  <c r="S1133" i="31"/>
  <c r="S1125" i="31"/>
  <c r="S1117" i="31"/>
  <c r="S1109" i="31"/>
  <c r="S1101" i="31"/>
  <c r="S1093" i="31"/>
  <c r="S1085" i="31"/>
  <c r="S1077" i="31"/>
  <c r="S1069" i="31"/>
  <c r="S1061" i="31"/>
  <c r="S1053" i="31"/>
  <c r="S1045" i="31"/>
  <c r="S1037" i="31"/>
  <c r="S1029" i="31"/>
  <c r="S1021" i="31"/>
  <c r="S1013" i="31"/>
  <c r="S1005" i="31"/>
  <c r="S997" i="31"/>
  <c r="S989" i="31"/>
  <c r="S981" i="31"/>
  <c r="S973" i="31"/>
  <c r="S965" i="31"/>
  <c r="S957" i="31"/>
  <c r="S949" i="31"/>
  <c r="S941" i="31"/>
  <c r="S933" i="31"/>
  <c r="S925" i="31"/>
  <c r="S917" i="31"/>
  <c r="S909" i="31"/>
  <c r="S901" i="31"/>
  <c r="S893" i="31"/>
  <c r="S885" i="31"/>
  <c r="S877" i="31"/>
  <c r="S869" i="31"/>
  <c r="S861" i="31"/>
  <c r="S853" i="31"/>
  <c r="S845" i="31"/>
  <c r="S837" i="31"/>
  <c r="S829" i="31"/>
  <c r="S821" i="31"/>
  <c r="S813" i="31"/>
  <c r="S805" i="31"/>
  <c r="S797" i="31"/>
  <c r="S789" i="31"/>
  <c r="S781" i="31"/>
  <c r="S773" i="31"/>
  <c r="S765" i="31"/>
  <c r="S757" i="31"/>
  <c r="S749" i="31"/>
  <c r="S741" i="31"/>
  <c r="S733" i="31"/>
  <c r="S725" i="31"/>
  <c r="S717" i="31"/>
  <c r="S709" i="31"/>
  <c r="S701" i="31"/>
  <c r="S693" i="31"/>
  <c r="S685" i="31"/>
  <c r="S677" i="31"/>
  <c r="S669" i="31"/>
  <c r="S661" i="31"/>
  <c r="S1924" i="31"/>
  <c r="S1852" i="31"/>
  <c r="S1788" i="31"/>
  <c r="S1724" i="31"/>
  <c r="S1660" i="31"/>
  <c r="S1596" i="31"/>
  <c r="S1532" i="31"/>
  <c r="S1468" i="31"/>
  <c r="S1404" i="31"/>
  <c r="S1340" i="31"/>
  <c r="S1276" i="31"/>
  <c r="S1252" i="31"/>
  <c r="S1244" i="31"/>
  <c r="S1236" i="31"/>
  <c r="S1228" i="31"/>
  <c r="S1220" i="31"/>
  <c r="S1212" i="31"/>
  <c r="S1204" i="31"/>
  <c r="S1196" i="31"/>
  <c r="S1188" i="31"/>
  <c r="S1180" i="31"/>
  <c r="S1172" i="31"/>
  <c r="S1164" i="31"/>
  <c r="S1156" i="31"/>
  <c r="S1148" i="31"/>
  <c r="S1140" i="31"/>
  <c r="S1132" i="31"/>
  <c r="S1124" i="31"/>
  <c r="S1116" i="31"/>
  <c r="S1108" i="31"/>
  <c r="S1100" i="31"/>
  <c r="S1092" i="31"/>
  <c r="S1084" i="31"/>
  <c r="S1076" i="31"/>
  <c r="S1068" i="31"/>
  <c r="S1060" i="31"/>
  <c r="S1052" i="31"/>
  <c r="S1044" i="31"/>
  <c r="S1036" i="31"/>
  <c r="S1028" i="31"/>
  <c r="S1020" i="31"/>
  <c r="S1012" i="31"/>
  <c r="S1004" i="31"/>
  <c r="S996" i="31"/>
  <c r="S988" i="31"/>
  <c r="S980" i="31"/>
  <c r="S972" i="31"/>
  <c r="S964" i="31"/>
  <c r="S956" i="31"/>
  <c r="S948" i="31"/>
  <c r="S940" i="31"/>
  <c r="S932" i="31"/>
  <c r="S924" i="31"/>
  <c r="S916" i="31"/>
  <c r="S908" i="31"/>
  <c r="S900" i="31"/>
  <c r="S892" i="31"/>
  <c r="S884" i="31"/>
  <c r="S876" i="31"/>
  <c r="S868" i="31"/>
  <c r="S860" i="31"/>
  <c r="S852" i="31"/>
  <c r="S844" i="31"/>
  <c r="S836" i="31"/>
  <c r="S828" i="31"/>
  <c r="S820" i="31"/>
  <c r="S812" i="31"/>
  <c r="S804" i="31"/>
  <c r="S796" i="31"/>
  <c r="S788" i="31"/>
  <c r="S780" i="31"/>
  <c r="S772" i="31"/>
  <c r="S764" i="31"/>
  <c r="S756" i="31"/>
  <c r="S748" i="31"/>
  <c r="S740" i="31"/>
  <c r="S732" i="31"/>
  <c r="S724" i="31"/>
  <c r="S716" i="31"/>
  <c r="S708" i="31"/>
  <c r="S1911" i="31"/>
  <c r="S1844" i="31"/>
  <c r="S1780" i="31"/>
  <c r="S1716" i="31"/>
  <c r="S1652" i="31"/>
  <c r="S1588" i="31"/>
  <c r="S1524" i="31"/>
  <c r="S1460" i="31"/>
  <c r="S1396" i="31"/>
  <c r="S1332" i="31"/>
  <c r="S1268" i="31"/>
  <c r="S1251" i="31"/>
  <c r="S1243" i="31"/>
  <c r="S1235" i="31"/>
  <c r="S1227" i="31"/>
  <c r="S1219" i="31"/>
  <c r="S1211" i="31"/>
  <c r="S1203" i="31"/>
  <c r="S1195" i="31"/>
  <c r="S1187" i="31"/>
  <c r="S1179" i="31"/>
  <c r="S1171" i="31"/>
  <c r="S1163" i="31"/>
  <c r="S1155" i="31"/>
  <c r="S1147" i="31"/>
  <c r="S1139" i="31"/>
  <c r="S1131" i="31"/>
  <c r="S1123" i="31"/>
  <c r="S1115" i="31"/>
  <c r="S1107" i="31"/>
  <c r="S1099" i="31"/>
  <c r="S1091" i="31"/>
  <c r="S1083" i="31"/>
  <c r="S1075" i="31"/>
  <c r="S1067" i="31"/>
  <c r="S1059" i="31"/>
  <c r="S1051" i="31"/>
  <c r="S1043" i="31"/>
  <c r="S1035" i="31"/>
  <c r="S1027" i="31"/>
  <c r="S1019" i="31"/>
  <c r="S1011" i="31"/>
  <c r="S1003" i="31"/>
  <c r="S995" i="31"/>
  <c r="S987" i="31"/>
  <c r="S979" i="31"/>
  <c r="S971" i="31"/>
  <c r="S963" i="31"/>
  <c r="S955" i="31"/>
  <c r="S947" i="31"/>
  <c r="S939" i="31"/>
  <c r="S931" i="31"/>
  <c r="S923" i="31"/>
  <c r="S915" i="31"/>
  <c r="S907" i="31"/>
  <c r="S899" i="31"/>
  <c r="S891" i="31"/>
  <c r="S883" i="31"/>
  <c r="S875" i="31"/>
  <c r="S867" i="31"/>
  <c r="S859" i="31"/>
  <c r="S851" i="31"/>
  <c r="S843" i="31"/>
  <c r="S835" i="31"/>
  <c r="S827" i="31"/>
  <c r="S819" i="31"/>
  <c r="S811" i="31"/>
  <c r="S803" i="31"/>
  <c r="S795" i="31"/>
  <c r="S787" i="31"/>
  <c r="S779" i="31"/>
  <c r="S771" i="31"/>
  <c r="S763" i="31"/>
  <c r="S755" i="31"/>
  <c r="S747" i="31"/>
  <c r="S739" i="31"/>
  <c r="S731" i="31"/>
  <c r="S1900" i="31"/>
  <c r="S1836" i="31"/>
  <c r="S1772" i="31"/>
  <c r="S1708" i="31"/>
  <c r="S1644" i="31"/>
  <c r="S1580" i="31"/>
  <c r="S1516" i="31"/>
  <c r="S1452" i="31"/>
  <c r="S1388" i="31"/>
  <c r="S1324" i="31"/>
  <c r="S1260" i="31"/>
  <c r="S1250" i="31"/>
  <c r="S1242" i="31"/>
  <c r="S1234" i="31"/>
  <c r="S1226" i="31"/>
  <c r="S1218" i="31"/>
  <c r="S1210" i="31"/>
  <c r="S1202" i="31"/>
  <c r="S1194" i="31"/>
  <c r="S1186" i="31"/>
  <c r="S1178" i="31"/>
  <c r="S1170" i="31"/>
  <c r="S1162" i="31"/>
  <c r="S1154" i="31"/>
  <c r="S1146" i="31"/>
  <c r="S1138" i="31"/>
  <c r="S1130" i="31"/>
  <c r="S1122" i="31"/>
  <c r="S1114" i="31"/>
  <c r="S1106" i="31"/>
  <c r="S1098" i="31"/>
  <c r="S1090" i="31"/>
  <c r="S1082" i="31"/>
  <c r="S1074" i="31"/>
  <c r="S1066" i="31"/>
  <c r="S1058" i="31"/>
  <c r="S1050" i="31"/>
  <c r="S1042" i="31"/>
  <c r="S1034" i="31"/>
  <c r="S1026" i="31"/>
  <c r="S1018" i="31"/>
  <c r="S1010" i="31"/>
  <c r="S1002" i="31"/>
  <c r="S994" i="31"/>
  <c r="S986" i="31"/>
  <c r="S978" i="31"/>
  <c r="S970" i="31"/>
  <c r="S962" i="31"/>
  <c r="S954" i="31"/>
  <c r="S946" i="31"/>
  <c r="S938" i="31"/>
  <c r="S930" i="31"/>
  <c r="S922" i="31"/>
  <c r="S914" i="31"/>
  <c r="S906" i="31"/>
  <c r="S898" i="31"/>
  <c r="S890" i="31"/>
  <c r="S882" i="31"/>
  <c r="S874" i="31"/>
  <c r="S866" i="31"/>
  <c r="S858" i="31"/>
  <c r="S850" i="31"/>
  <c r="S842" i="31"/>
  <c r="S834" i="31"/>
  <c r="S826" i="31"/>
  <c r="S818" i="31"/>
  <c r="S810" i="31"/>
  <c r="S802" i="31"/>
  <c r="S794" i="31"/>
  <c r="S786" i="31"/>
  <c r="S778" i="31"/>
  <c r="S770" i="31"/>
  <c r="S762" i="31"/>
  <c r="S1508" i="31"/>
  <c r="S1225" i="31"/>
  <c r="S1161" i="31"/>
  <c r="S1097" i="31"/>
  <c r="S1033" i="31"/>
  <c r="S969" i="31"/>
  <c r="S905" i="31"/>
  <c r="S841" i="31"/>
  <c r="S777" i="31"/>
  <c r="S737" i="31"/>
  <c r="S713" i="31"/>
  <c r="S692" i="31"/>
  <c r="S676" i="31"/>
  <c r="S660" i="31"/>
  <c r="S652" i="31"/>
  <c r="S644" i="31"/>
  <c r="S636" i="31"/>
  <c r="S628" i="31"/>
  <c r="S620" i="31"/>
  <c r="S612" i="31"/>
  <c r="S604" i="31"/>
  <c r="S596" i="31"/>
  <c r="S588" i="31"/>
  <c r="S580" i="31"/>
  <c r="S572" i="31"/>
  <c r="S564" i="31"/>
  <c r="S556" i="31"/>
  <c r="S548" i="31"/>
  <c r="S540" i="31"/>
  <c r="S532" i="31"/>
  <c r="S524" i="31"/>
  <c r="S516" i="31"/>
  <c r="S508" i="31"/>
  <c r="S500" i="31"/>
  <c r="S492" i="31"/>
  <c r="S484" i="31"/>
  <c r="S476" i="31"/>
  <c r="S468" i="31"/>
  <c r="S460" i="31"/>
  <c r="S452" i="31"/>
  <c r="S444" i="31"/>
  <c r="S436" i="31"/>
  <c r="S428" i="31"/>
  <c r="S420" i="31"/>
  <c r="S412" i="31"/>
  <c r="S404" i="31"/>
  <c r="S396" i="31"/>
  <c r="S388" i="31"/>
  <c r="S380" i="31"/>
  <c r="S372" i="31"/>
  <c r="S364" i="31"/>
  <c r="S356" i="31"/>
  <c r="S348" i="31"/>
  <c r="S340" i="31"/>
  <c r="S332" i="31"/>
  <c r="S324" i="31"/>
  <c r="S316" i="31"/>
  <c r="S308" i="31"/>
  <c r="S300" i="31"/>
  <c r="S292" i="31"/>
  <c r="S284" i="31"/>
  <c r="S276" i="31"/>
  <c r="S268" i="31"/>
  <c r="S260" i="31"/>
  <c r="S252" i="31"/>
  <c r="S244" i="31"/>
  <c r="S236" i="31"/>
  <c r="S228" i="31"/>
  <c r="S220" i="31"/>
  <c r="S212" i="31"/>
  <c r="S204" i="31"/>
  <c r="S196" i="31"/>
  <c r="S188" i="31"/>
  <c r="S180" i="31"/>
  <c r="S172" i="31"/>
  <c r="S164" i="31"/>
  <c r="S156" i="31"/>
  <c r="S148" i="31"/>
  <c r="S140" i="31"/>
  <c r="S132" i="31"/>
  <c r="S124" i="31"/>
  <c r="S116" i="31"/>
  <c r="S108" i="31"/>
  <c r="S100" i="31"/>
  <c r="S92" i="31"/>
  <c r="S1444" i="31"/>
  <c r="S1217" i="31"/>
  <c r="S1153" i="31"/>
  <c r="S1089" i="31"/>
  <c r="S1025" i="31"/>
  <c r="S961" i="31"/>
  <c r="S897" i="31"/>
  <c r="S833" i="31"/>
  <c r="S769" i="31"/>
  <c r="S730" i="31"/>
  <c r="S707" i="31"/>
  <c r="S691" i="31"/>
  <c r="S675" i="31"/>
  <c r="S659" i="31"/>
  <c r="S651" i="31"/>
  <c r="S643" i="31"/>
  <c r="S635" i="31"/>
  <c r="S627" i="31"/>
  <c r="S619" i="31"/>
  <c r="S611" i="31"/>
  <c r="S603" i="31"/>
  <c r="S595" i="31"/>
  <c r="S587" i="31"/>
  <c r="S579" i="31"/>
  <c r="S571" i="31"/>
  <c r="S563" i="31"/>
  <c r="S555" i="31"/>
  <c r="S547" i="31"/>
  <c r="S539" i="31"/>
  <c r="S531" i="31"/>
  <c r="S523" i="31"/>
  <c r="S515" i="31"/>
  <c r="S507" i="31"/>
  <c r="S499" i="31"/>
  <c r="S491" i="31"/>
  <c r="S483" i="31"/>
  <c r="S475" i="31"/>
  <c r="S467" i="31"/>
  <c r="S459" i="31"/>
  <c r="S451" i="31"/>
  <c r="S443" i="31"/>
  <c r="S435" i="31"/>
  <c r="S427" i="31"/>
  <c r="S419" i="31"/>
  <c r="S411" i="31"/>
  <c r="S403" i="31"/>
  <c r="S395" i="31"/>
  <c r="S387" i="31"/>
  <c r="S379" i="31"/>
  <c r="S371" i="31"/>
  <c r="S363" i="31"/>
  <c r="S355" i="31"/>
  <c r="S347" i="31"/>
  <c r="S339" i="31"/>
  <c r="S331" i="31"/>
  <c r="S323" i="31"/>
  <c r="S315" i="31"/>
  <c r="S307" i="31"/>
  <c r="S299" i="31"/>
  <c r="S291" i="31"/>
  <c r="S283" i="31"/>
  <c r="S275" i="31"/>
  <c r="S267" i="31"/>
  <c r="S259" i="31"/>
  <c r="S251" i="31"/>
  <c r="S243" i="31"/>
  <c r="S235" i="31"/>
  <c r="S227" i="31"/>
  <c r="S219" i="31"/>
  <c r="S211" i="31"/>
  <c r="S203" i="31"/>
  <c r="S195" i="31"/>
  <c r="S187" i="31"/>
  <c r="S179" i="31"/>
  <c r="S171" i="31"/>
  <c r="S163" i="31"/>
  <c r="S155" i="31"/>
  <c r="S147" i="31"/>
  <c r="S139" i="31"/>
  <c r="S131" i="31"/>
  <c r="S123" i="31"/>
  <c r="S115" i="31"/>
  <c r="S107" i="31"/>
  <c r="S99" i="31"/>
  <c r="S91" i="31"/>
  <c r="S1892" i="31"/>
  <c r="S1380" i="31"/>
  <c r="S1209" i="31"/>
  <c r="S1145" i="31"/>
  <c r="S1081" i="31"/>
  <c r="S1017" i="31"/>
  <c r="S953" i="31"/>
  <c r="S889" i="31"/>
  <c r="S825" i="31"/>
  <c r="S761" i="31"/>
  <c r="S729" i="31"/>
  <c r="S706" i="31"/>
  <c r="S690" i="31"/>
  <c r="S674" i="31"/>
  <c r="S658" i="31"/>
  <c r="S650" i="31"/>
  <c r="S642" i="31"/>
  <c r="S634" i="31"/>
  <c r="S626" i="31"/>
  <c r="S618" i="31"/>
  <c r="S610" i="31"/>
  <c r="S602" i="31"/>
  <c r="S594" i="31"/>
  <c r="S586" i="31"/>
  <c r="S578" i="31"/>
  <c r="S570" i="31"/>
  <c r="S562" i="31"/>
  <c r="S554" i="31"/>
  <c r="S546" i="31"/>
  <c r="S538" i="31"/>
  <c r="S530" i="31"/>
  <c r="S522" i="31"/>
  <c r="S514" i="31"/>
  <c r="S506" i="31"/>
  <c r="S498" i="31"/>
  <c r="S490" i="31"/>
  <c r="S482" i="31"/>
  <c r="S474" i="31"/>
  <c r="S466" i="31"/>
  <c r="S458" i="31"/>
  <c r="S450" i="31"/>
  <c r="S442" i="31"/>
  <c r="S434" i="31"/>
  <c r="S426" i="31"/>
  <c r="S418" i="31"/>
  <c r="S410" i="31"/>
  <c r="S402" i="31"/>
  <c r="S394" i="31"/>
  <c r="S386" i="31"/>
  <c r="S378" i="31"/>
  <c r="S370" i="31"/>
  <c r="S362" i="31"/>
  <c r="S354" i="31"/>
  <c r="S346" i="31"/>
  <c r="S338" i="31"/>
  <c r="S330" i="31"/>
  <c r="S322" i="31"/>
  <c r="S314" i="31"/>
  <c r="S306" i="31"/>
  <c r="S298" i="31"/>
  <c r="S290" i="31"/>
  <c r="S282" i="31"/>
  <c r="S274" i="31"/>
  <c r="S266" i="31"/>
  <c r="S258" i="31"/>
  <c r="S250" i="31"/>
  <c r="S242" i="31"/>
  <c r="S234" i="31"/>
  <c r="S226" i="31"/>
  <c r="S218" i="31"/>
  <c r="S210" i="31"/>
  <c r="S202" i="31"/>
  <c r="S194" i="31"/>
  <c r="S186" i="31"/>
  <c r="S178" i="31"/>
  <c r="S170" i="31"/>
  <c r="S162" i="31"/>
  <c r="S154" i="31"/>
  <c r="S146" i="31"/>
  <c r="S138" i="31"/>
  <c r="S130" i="31"/>
  <c r="S122" i="31"/>
  <c r="S114" i="31"/>
  <c r="S106" i="31"/>
  <c r="S98" i="31"/>
  <c r="S90" i="31"/>
  <c r="S1828" i="31"/>
  <c r="S1316" i="31"/>
  <c r="S1201" i="31"/>
  <c r="S1137" i="31"/>
  <c r="S1073" i="31"/>
  <c r="S1009" i="31"/>
  <c r="S945" i="31"/>
  <c r="S881" i="31"/>
  <c r="S817" i="31"/>
  <c r="S754" i="31"/>
  <c r="S723" i="31"/>
  <c r="S705" i="31"/>
  <c r="S689" i="31"/>
  <c r="S673" i="31"/>
  <c r="S657" i="31"/>
  <c r="S649" i="31"/>
  <c r="S641" i="31"/>
  <c r="S633" i="31"/>
  <c r="S625" i="31"/>
  <c r="S617" i="31"/>
  <c r="S609" i="31"/>
  <c r="S601" i="31"/>
  <c r="S593" i="31"/>
  <c r="S585" i="31"/>
  <c r="S577" i="31"/>
  <c r="S569" i="31"/>
  <c r="S561" i="31"/>
  <c r="S553" i="31"/>
  <c r="S545" i="31"/>
  <c r="S537" i="31"/>
  <c r="S529" i="31"/>
  <c r="S521" i="31"/>
  <c r="S513" i="31"/>
  <c r="S505" i="31"/>
  <c r="S497" i="31"/>
  <c r="S489" i="31"/>
  <c r="S481" i="31"/>
  <c r="S473" i="31"/>
  <c r="S465" i="31"/>
  <c r="S457" i="31"/>
  <c r="S449" i="31"/>
  <c r="S441" i="31"/>
  <c r="S433" i="31"/>
  <c r="S425" i="31"/>
  <c r="S417" i="31"/>
  <c r="S409" i="31"/>
  <c r="S401" i="31"/>
  <c r="S393" i="31"/>
  <c r="S385" i="31"/>
  <c r="S377" i="31"/>
  <c r="S369" i="31"/>
  <c r="S361" i="31"/>
  <c r="S353" i="31"/>
  <c r="S345" i="31"/>
  <c r="S337" i="31"/>
  <c r="S329" i="31"/>
  <c r="S321" i="31"/>
  <c r="S313" i="31"/>
  <c r="S305" i="31"/>
  <c r="S297" i="31"/>
  <c r="S289" i="31"/>
  <c r="S281" i="31"/>
  <c r="S273" i="31"/>
  <c r="S265" i="31"/>
  <c r="S257" i="31"/>
  <c r="S249" i="31"/>
  <c r="S241" i="31"/>
  <c r="S233" i="31"/>
  <c r="S225" i="31"/>
  <c r="S217" i="31"/>
  <c r="S209" i="31"/>
  <c r="S201" i="31"/>
  <c r="S193" i="31"/>
  <c r="S185" i="31"/>
  <c r="S177" i="31"/>
  <c r="S169" i="31"/>
  <c r="S161" i="31"/>
  <c r="S153" i="31"/>
  <c r="S145" i="31"/>
  <c r="S137" i="31"/>
  <c r="S129" i="31"/>
  <c r="S121" i="31"/>
  <c r="S113" i="31"/>
  <c r="S105" i="31"/>
  <c r="S97" i="31"/>
  <c r="S89" i="31"/>
  <c r="S1764" i="31"/>
  <c r="S1257" i="31"/>
  <c r="S1193" i="31"/>
  <c r="S1129" i="31"/>
  <c r="S1065" i="31"/>
  <c r="S1001" i="31"/>
  <c r="S937" i="31"/>
  <c r="S873" i="31"/>
  <c r="S809" i="31"/>
  <c r="S753" i="31"/>
  <c r="S722" i="31"/>
  <c r="S700" i="31"/>
  <c r="S684" i="31"/>
  <c r="S668" i="31"/>
  <c r="S656" i="31"/>
  <c r="S648" i="31"/>
  <c r="S640" i="31"/>
  <c r="S632" i="31"/>
  <c r="S624" i="31"/>
  <c r="S616" i="31"/>
  <c r="S608" i="31"/>
  <c r="S600" i="31"/>
  <c r="S592" i="31"/>
  <c r="S584" i="31"/>
  <c r="S576" i="31"/>
  <c r="S568" i="31"/>
  <c r="S560" i="31"/>
  <c r="S552" i="31"/>
  <c r="S544" i="31"/>
  <c r="S536" i="31"/>
  <c r="S528" i="31"/>
  <c r="S520" i="31"/>
  <c r="S512" i="31"/>
  <c r="S504" i="31"/>
  <c r="S496" i="31"/>
  <c r="S488" i="31"/>
  <c r="S480" i="31"/>
  <c r="S472" i="31"/>
  <c r="S464" i="31"/>
  <c r="S456" i="31"/>
  <c r="S448" i="31"/>
  <c r="S440" i="31"/>
  <c r="S432" i="31"/>
  <c r="S424" i="31"/>
  <c r="S416" i="31"/>
  <c r="S408" i="31"/>
  <c r="S400" i="31"/>
  <c r="S392" i="31"/>
  <c r="S384" i="31"/>
  <c r="S376" i="31"/>
  <c r="S368" i="31"/>
  <c r="S360" i="31"/>
  <c r="S352" i="31"/>
  <c r="S344" i="31"/>
  <c r="S336" i="31"/>
  <c r="S328" i="31"/>
  <c r="S320" i="31"/>
  <c r="S312" i="31"/>
  <c r="S304" i="31"/>
  <c r="S296" i="31"/>
  <c r="S288" i="31"/>
  <c r="S280" i="31"/>
  <c r="S272" i="31"/>
  <c r="S264" i="31"/>
  <c r="S256" i="31"/>
  <c r="S248" i="31"/>
  <c r="S240" i="31"/>
  <c r="S232" i="31"/>
  <c r="S224" i="31"/>
  <c r="S216" i="31"/>
  <c r="S208" i="31"/>
  <c r="S200" i="31"/>
  <c r="S192" i="31"/>
  <c r="S184" i="31"/>
  <c r="S176" i="31"/>
  <c r="S1700" i="31"/>
  <c r="S1249" i="31"/>
  <c r="S1185" i="31"/>
  <c r="S1121" i="31"/>
  <c r="S1057" i="31"/>
  <c r="S993" i="31"/>
  <c r="S929" i="31"/>
  <c r="S865" i="31"/>
  <c r="S801" i="31"/>
  <c r="S746" i="31"/>
  <c r="S721" i="31"/>
  <c r="S699" i="31"/>
  <c r="S683" i="31"/>
  <c r="S667" i="31"/>
  <c r="S655" i="31"/>
  <c r="S647" i="31"/>
  <c r="S639" i="31"/>
  <c r="S631" i="31"/>
  <c r="S623" i="31"/>
  <c r="S615" i="31"/>
  <c r="S607" i="31"/>
  <c r="S599" i="31"/>
  <c r="S591" i="31"/>
  <c r="S583" i="31"/>
  <c r="S575" i="31"/>
  <c r="S567" i="31"/>
  <c r="S559" i="31"/>
  <c r="S551" i="31"/>
  <c r="S543" i="31"/>
  <c r="S535" i="31"/>
  <c r="S527" i="31"/>
  <c r="S519" i="31"/>
  <c r="S511" i="31"/>
  <c r="S503" i="31"/>
  <c r="S495" i="31"/>
  <c r="S487" i="31"/>
  <c r="S479" i="31"/>
  <c r="S471" i="31"/>
  <c r="S463" i="31"/>
  <c r="S455" i="31"/>
  <c r="S447" i="31"/>
  <c r="S439" i="31"/>
  <c r="S431" i="31"/>
  <c r="S423" i="31"/>
  <c r="S415" i="31"/>
  <c r="S407" i="31"/>
  <c r="S399" i="31"/>
  <c r="S391" i="31"/>
  <c r="S383" i="31"/>
  <c r="S375" i="31"/>
  <c r="S367" i="31"/>
  <c r="S359" i="31"/>
  <c r="S351" i="31"/>
  <c r="S343" i="31"/>
  <c r="S335" i="31"/>
  <c r="S327" i="31"/>
  <c r="S319" i="31"/>
  <c r="S311" i="31"/>
  <c r="S303" i="31"/>
  <c r="S295" i="31"/>
  <c r="S287" i="31"/>
  <c r="S279" i="31"/>
  <c r="S271" i="31"/>
  <c r="S263" i="31"/>
  <c r="S255" i="31"/>
  <c r="S247" i="31"/>
  <c r="S239" i="31"/>
  <c r="S231" i="31"/>
  <c r="S223" i="31"/>
  <c r="S215" i="31"/>
  <c r="S207" i="31"/>
  <c r="S199" i="31"/>
  <c r="S191" i="31"/>
  <c r="S183" i="31"/>
  <c r="S175" i="31"/>
  <c r="S167" i="31"/>
  <c r="S1636" i="31"/>
  <c r="S1241" i="31"/>
  <c r="S1177" i="31"/>
  <c r="S1113" i="31"/>
  <c r="S1049" i="31"/>
  <c r="S985" i="31"/>
  <c r="S921" i="31"/>
  <c r="S857" i="31"/>
  <c r="S793" i="31"/>
  <c r="S745" i="31"/>
  <c r="S715" i="31"/>
  <c r="S698" i="31"/>
  <c r="S682" i="31"/>
  <c r="S666" i="31"/>
  <c r="S654" i="31"/>
  <c r="S646" i="31"/>
  <c r="S638" i="31"/>
  <c r="S630" i="31"/>
  <c r="S622" i="31"/>
  <c r="S614" i="31"/>
  <c r="S606" i="31"/>
  <c r="S598" i="31"/>
  <c r="S590" i="31"/>
  <c r="S582" i="31"/>
  <c r="S574" i="31"/>
  <c r="S566" i="31"/>
  <c r="S558" i="31"/>
  <c r="S550" i="31"/>
  <c r="S542" i="31"/>
  <c r="S534" i="31"/>
  <c r="S526" i="31"/>
  <c r="S518" i="31"/>
  <c r="S510" i="31"/>
  <c r="S502" i="31"/>
  <c r="S494" i="31"/>
  <c r="S486" i="31"/>
  <c r="S478" i="31"/>
  <c r="S470" i="31"/>
  <c r="S462" i="31"/>
  <c r="S454" i="31"/>
  <c r="S446" i="31"/>
  <c r="S438" i="31"/>
  <c r="S430" i="31"/>
  <c r="S422" i="31"/>
  <c r="S414" i="31"/>
  <c r="S406" i="31"/>
  <c r="S398" i="31"/>
  <c r="S390" i="31"/>
  <c r="S382" i="31"/>
  <c r="S374" i="31"/>
  <c r="S366" i="31"/>
  <c r="S358" i="31"/>
  <c r="S350" i="31"/>
  <c r="S342" i="31"/>
  <c r="S334" i="31"/>
  <c r="S326" i="31"/>
  <c r="S318" i="31"/>
  <c r="S310" i="31"/>
  <c r="S302" i="31"/>
  <c r="S294" i="31"/>
  <c r="S286" i="31"/>
  <c r="S278" i="31"/>
  <c r="S270" i="31"/>
  <c r="S262" i="31"/>
  <c r="S254" i="31"/>
  <c r="S246" i="31"/>
  <c r="S238" i="31"/>
  <c r="S230" i="31"/>
  <c r="S222" i="31"/>
  <c r="S214" i="31"/>
  <c r="S206" i="31"/>
  <c r="S198" i="31"/>
  <c r="S190" i="31"/>
  <c r="S182" i="31"/>
  <c r="S174" i="31"/>
  <c r="S166" i="31"/>
  <c r="S158" i="31"/>
  <c r="S150" i="31"/>
  <c r="S142" i="31"/>
  <c r="S134" i="31"/>
  <c r="S126" i="31"/>
  <c r="S118" i="31"/>
  <c r="S110" i="31"/>
  <c r="S102" i="31"/>
  <c r="S94" i="31"/>
  <c r="S1572" i="31"/>
  <c r="S1233" i="31"/>
  <c r="S1169" i="31"/>
  <c r="S1105" i="31"/>
  <c r="S1041" i="31"/>
  <c r="S977" i="31"/>
  <c r="S913" i="31"/>
  <c r="S849" i="31"/>
  <c r="S785" i="31"/>
  <c r="S738" i="31"/>
  <c r="S714" i="31"/>
  <c r="S697" i="31"/>
  <c r="S681" i="31"/>
  <c r="S665" i="31"/>
  <c r="S653" i="31"/>
  <c r="S645" i="31"/>
  <c r="S637" i="31"/>
  <c r="S629" i="31"/>
  <c r="S621" i="31"/>
  <c r="S613" i="31"/>
  <c r="S605" i="31"/>
  <c r="S597" i="31"/>
  <c r="S589" i="31"/>
  <c r="S581" i="31"/>
  <c r="S573" i="31"/>
  <c r="S565" i="31"/>
  <c r="S557" i="31"/>
  <c r="S549" i="31"/>
  <c r="S541" i="31"/>
  <c r="S533" i="31"/>
  <c r="S525" i="31"/>
  <c r="S517" i="31"/>
  <c r="S509" i="31"/>
  <c r="S501" i="31"/>
  <c r="S493" i="31"/>
  <c r="S485" i="31"/>
  <c r="S477" i="31"/>
  <c r="S469" i="31"/>
  <c r="S461" i="31"/>
  <c r="S453" i="31"/>
  <c r="S445" i="31"/>
  <c r="S437" i="31"/>
  <c r="S429" i="31"/>
  <c r="S421" i="31"/>
  <c r="S413" i="31"/>
  <c r="S405" i="31"/>
  <c r="S397" i="31"/>
  <c r="S389" i="31"/>
  <c r="S381" i="31"/>
  <c r="S373" i="31"/>
  <c r="S365" i="31"/>
  <c r="S357" i="31"/>
  <c r="S349" i="31"/>
  <c r="S341" i="31"/>
  <c r="S333" i="31"/>
  <c r="S325" i="31"/>
  <c r="S317" i="31"/>
  <c r="S309" i="31"/>
  <c r="S301" i="31"/>
  <c r="S293" i="31"/>
  <c r="S285" i="31"/>
  <c r="S277" i="31"/>
  <c r="S269" i="31"/>
  <c r="S261" i="31"/>
  <c r="S253" i="31"/>
  <c r="S245" i="31"/>
  <c r="S237" i="31"/>
  <c r="S229" i="31"/>
  <c r="S221" i="31"/>
  <c r="S213" i="31"/>
  <c r="S205" i="31"/>
  <c r="S197" i="31"/>
  <c r="S189" i="31"/>
  <c r="S181" i="31"/>
  <c r="S173" i="31"/>
  <c r="S165" i="31"/>
  <c r="S157" i="31"/>
  <c r="S144" i="31"/>
  <c r="S125" i="31"/>
  <c r="S103" i="31"/>
  <c r="S85" i="31"/>
  <c r="S77" i="31"/>
  <c r="S69" i="31"/>
  <c r="S61" i="31"/>
  <c r="S53" i="31"/>
  <c r="S45" i="31"/>
  <c r="S37" i="31"/>
  <c r="S29" i="31"/>
  <c r="S21" i="31"/>
  <c r="S13" i="31"/>
  <c r="S143" i="31"/>
  <c r="S120" i="31"/>
  <c r="S101" i="31"/>
  <c r="S84" i="31"/>
  <c r="S76" i="31"/>
  <c r="S68" i="31"/>
  <c r="S60" i="31"/>
  <c r="S52" i="31"/>
  <c r="S44" i="31"/>
  <c r="S36" i="31"/>
  <c r="S28" i="31"/>
  <c r="S20" i="31"/>
  <c r="S12" i="31"/>
  <c r="S168" i="31"/>
  <c r="S141" i="31"/>
  <c r="S119" i="31"/>
  <c r="S96" i="31"/>
  <c r="S83" i="31"/>
  <c r="S75" i="31"/>
  <c r="S67" i="31"/>
  <c r="S59" i="31"/>
  <c r="S51" i="31"/>
  <c r="S43" i="31"/>
  <c r="S35" i="31"/>
  <c r="S27" i="31"/>
  <c r="S19" i="31"/>
  <c r="S11" i="31"/>
  <c r="S160" i="31"/>
  <c r="S136" i="31"/>
  <c r="S117" i="31"/>
  <c r="S95" i="31"/>
  <c r="S82" i="31"/>
  <c r="S74" i="31"/>
  <c r="S66" i="31"/>
  <c r="S58" i="31"/>
  <c r="S50" i="31"/>
  <c r="S42" i="31"/>
  <c r="S34" i="31"/>
  <c r="S26" i="31"/>
  <c r="S18" i="31"/>
  <c r="S10" i="31"/>
  <c r="S159" i="31"/>
  <c r="S135" i="31"/>
  <c r="S112" i="31"/>
  <c r="S93" i="31"/>
  <c r="S81" i="31"/>
  <c r="S73" i="31"/>
  <c r="S65" i="31"/>
  <c r="S57" i="31"/>
  <c r="S49" i="31"/>
  <c r="S41" i="31"/>
  <c r="S33" i="31"/>
  <c r="S25" i="31"/>
  <c r="S17" i="31"/>
  <c r="S9" i="31"/>
  <c r="S152" i="31"/>
  <c r="S133" i="31"/>
  <c r="S111" i="31"/>
  <c r="S88" i="31"/>
  <c r="S80" i="31"/>
  <c r="S72" i="31"/>
  <c r="S64" i="31"/>
  <c r="S56" i="31"/>
  <c r="S48" i="31"/>
  <c r="S40" i="31"/>
  <c r="S32" i="31"/>
  <c r="S24" i="31"/>
  <c r="S16" i="31"/>
  <c r="S151" i="31"/>
  <c r="S128" i="31"/>
  <c r="S109" i="31"/>
  <c r="S87" i="31"/>
  <c r="S79" i="31"/>
  <c r="S71" i="31"/>
  <c r="S63" i="31"/>
  <c r="S55" i="31"/>
  <c r="S47" i="31"/>
  <c r="S39" i="31"/>
  <c r="S31" i="31"/>
  <c r="S23" i="31"/>
  <c r="S15" i="31"/>
  <c r="S149" i="31"/>
  <c r="S127" i="31"/>
  <c r="S104" i="31"/>
  <c r="S86" i="31"/>
  <c r="S78" i="31"/>
  <c r="S70" i="31"/>
  <c r="S62" i="31"/>
  <c r="S54" i="31"/>
  <c r="S46" i="31"/>
  <c r="S38" i="31"/>
  <c r="S30" i="31"/>
  <c r="S22" i="31"/>
  <c r="S14" i="31"/>
  <c r="AR10" i="13"/>
  <c r="AP10" i="13"/>
  <c r="AN10" i="13"/>
  <c r="H10" i="13"/>
  <c r="AO14" i="13"/>
  <c r="AR14" i="13"/>
  <c r="AP14" i="13"/>
  <c r="AN14" i="13"/>
  <c r="H14" i="13"/>
  <c r="AR28" i="13"/>
  <c r="AP28" i="13"/>
  <c r="AN28" i="13"/>
  <c r="H28" i="13"/>
  <c r="AR32" i="13"/>
  <c r="AP32" i="13"/>
  <c r="AN32" i="13"/>
  <c r="H32" i="13"/>
  <c r="AQ36" i="13"/>
  <c r="AR36" i="13"/>
  <c r="AP36" i="13"/>
  <c r="AN36" i="13"/>
  <c r="H36" i="13"/>
  <c r="AM50" i="13"/>
  <c r="AR50" i="13"/>
  <c r="AP50" i="13"/>
  <c r="AN50" i="13"/>
  <c r="H50" i="13"/>
  <c r="AB194" i="30"/>
  <c r="AB186" i="30"/>
  <c r="AB178" i="30"/>
  <c r="AB170" i="30"/>
  <c r="AB162" i="30"/>
  <c r="AB154" i="30"/>
  <c r="AB146" i="30"/>
  <c r="AB138" i="30"/>
  <c r="AB130" i="30"/>
  <c r="AB122" i="30"/>
  <c r="AB114" i="30"/>
  <c r="AB106" i="30"/>
  <c r="AB98" i="30"/>
  <c r="AB90" i="30"/>
  <c r="AB82" i="30"/>
  <c r="AB74" i="30"/>
  <c r="AB66" i="30"/>
  <c r="AB58" i="30"/>
  <c r="AB50" i="30"/>
  <c r="AB42" i="30"/>
  <c r="AB34" i="30"/>
  <c r="AB26" i="30"/>
  <c r="AB18" i="30"/>
  <c r="AB10" i="30"/>
  <c r="AB193" i="30"/>
  <c r="AB185" i="30"/>
  <c r="AB177" i="30"/>
  <c r="AB169" i="30"/>
  <c r="AB161" i="30"/>
  <c r="AB153" i="30"/>
  <c r="AB145" i="30"/>
  <c r="AB137" i="30"/>
  <c r="AB129" i="30"/>
  <c r="AB121" i="30"/>
  <c r="AB113" i="30"/>
  <c r="AB105" i="30"/>
  <c r="AB97" i="30"/>
  <c r="AB89" i="30"/>
  <c r="AB81" i="30"/>
  <c r="AB73" i="30"/>
  <c r="AB65" i="30"/>
  <c r="AB57" i="30"/>
  <c r="AB49" i="30"/>
  <c r="AB41" i="30"/>
  <c r="AB33" i="30"/>
  <c r="AB25" i="30"/>
  <c r="AB17" i="30"/>
  <c r="AB9" i="30"/>
  <c r="AB200" i="30"/>
  <c r="AB192" i="30"/>
  <c r="AB184" i="30"/>
  <c r="AB176" i="30"/>
  <c r="AB168" i="30"/>
  <c r="AB160" i="30"/>
  <c r="AB152" i="30"/>
  <c r="AB144" i="30"/>
  <c r="AB136" i="30"/>
  <c r="AB128" i="30"/>
  <c r="AB120" i="30"/>
  <c r="AB112" i="30"/>
  <c r="AB104" i="30"/>
  <c r="AB96" i="30"/>
  <c r="AB88" i="30"/>
  <c r="AB80" i="30"/>
  <c r="AB72" i="30"/>
  <c r="AB64" i="30"/>
  <c r="AB56" i="30"/>
  <c r="AB48" i="30"/>
  <c r="AB40" i="30"/>
  <c r="AB32" i="30"/>
  <c r="AB24" i="30"/>
  <c r="AB16" i="30"/>
  <c r="AB8" i="30"/>
  <c r="AB199" i="30"/>
  <c r="AB191" i="30"/>
  <c r="AB183" i="30"/>
  <c r="AB175" i="30"/>
  <c r="AB167" i="30"/>
  <c r="AB159" i="30"/>
  <c r="AB151" i="30"/>
  <c r="AB143" i="30"/>
  <c r="AB135" i="30"/>
  <c r="AB127" i="30"/>
  <c r="AB119" i="30"/>
  <c r="AB111" i="30"/>
  <c r="AB103" i="30"/>
  <c r="AB95" i="30"/>
  <c r="AB87" i="30"/>
  <c r="AB79" i="30"/>
  <c r="AB71" i="30"/>
  <c r="AB63" i="30"/>
  <c r="AB55" i="30"/>
  <c r="AB47" i="30"/>
  <c r="AB39" i="30"/>
  <c r="AB31" i="30"/>
  <c r="AB23" i="30"/>
  <c r="AB15" i="30"/>
  <c r="AB198" i="30"/>
  <c r="AB190" i="30"/>
  <c r="AB182" i="30"/>
  <c r="AB174" i="30"/>
  <c r="AB166" i="30"/>
  <c r="AB158" i="30"/>
  <c r="AB150" i="30"/>
  <c r="AB142" i="30"/>
  <c r="AB134" i="30"/>
  <c r="AB126" i="30"/>
  <c r="AB118" i="30"/>
  <c r="AB110" i="30"/>
  <c r="AB102" i="30"/>
  <c r="AB94" i="30"/>
  <c r="AB86" i="30"/>
  <c r="AB78" i="30"/>
  <c r="AB70" i="30"/>
  <c r="AB62" i="30"/>
  <c r="AB54" i="30"/>
  <c r="AB46" i="30"/>
  <c r="AB38" i="30"/>
  <c r="AB30" i="30"/>
  <c r="AB22" i="30"/>
  <c r="AB14" i="30"/>
  <c r="AB197" i="30"/>
  <c r="AB189" i="30"/>
  <c r="AB181" i="30"/>
  <c r="AB173" i="30"/>
  <c r="AB165" i="30"/>
  <c r="AB157" i="30"/>
  <c r="AB149" i="30"/>
  <c r="AB141" i="30"/>
  <c r="AB133" i="30"/>
  <c r="AB125" i="30"/>
  <c r="AB117" i="30"/>
  <c r="AB109" i="30"/>
  <c r="AB101" i="30"/>
  <c r="AB93" i="30"/>
  <c r="AB85" i="30"/>
  <c r="AB77" i="30"/>
  <c r="AB69" i="30"/>
  <c r="AB61" i="30"/>
  <c r="AB53" i="30"/>
  <c r="AB45" i="30"/>
  <c r="AB37" i="30"/>
  <c r="AB29" i="30"/>
  <c r="AB21" i="30"/>
  <c r="AB13" i="30"/>
  <c r="AB196" i="30"/>
  <c r="AB188" i="30"/>
  <c r="AB180" i="30"/>
  <c r="AB172" i="30"/>
  <c r="AB164" i="30"/>
  <c r="AB156" i="30"/>
  <c r="AB148" i="30"/>
  <c r="AB140" i="30"/>
  <c r="AB132" i="30"/>
  <c r="AB124" i="30"/>
  <c r="AB116" i="30"/>
  <c r="AB108" i="30"/>
  <c r="AB100" i="30"/>
  <c r="AB92" i="30"/>
  <c r="AB84" i="30"/>
  <c r="AB76" i="30"/>
  <c r="AB68" i="30"/>
  <c r="AB60" i="30"/>
  <c r="AB52" i="30"/>
  <c r="AB44" i="30"/>
  <c r="AB36" i="30"/>
  <c r="AB28" i="30"/>
  <c r="AB20" i="30"/>
  <c r="AB12" i="30"/>
  <c r="AB195" i="30"/>
  <c r="AB187" i="30"/>
  <c r="AB179" i="30"/>
  <c r="AB171" i="30"/>
  <c r="AB163" i="30"/>
  <c r="AB155" i="30"/>
  <c r="AB147" i="30"/>
  <c r="AB139" i="30"/>
  <c r="AB131" i="30"/>
  <c r="AB123" i="30"/>
  <c r="AB115" i="30"/>
  <c r="AB107" i="30"/>
  <c r="AB99" i="30"/>
  <c r="AB91" i="30"/>
  <c r="AB83" i="30"/>
  <c r="AB75" i="30"/>
  <c r="AB67" i="30"/>
  <c r="AB59" i="30"/>
  <c r="AB51" i="30"/>
  <c r="AB43" i="30"/>
  <c r="AB35" i="30"/>
  <c r="AB27" i="30"/>
  <c r="AB19" i="30"/>
  <c r="AB11" i="30"/>
  <c r="AR11" i="13"/>
  <c r="AP11" i="13"/>
  <c r="AN11" i="13"/>
  <c r="H11" i="13"/>
  <c r="AW15" i="13"/>
  <c r="AX15" i="13" s="1"/>
  <c r="BD15" i="13" s="1"/>
  <c r="H15" i="13"/>
  <c r="AR15" i="13"/>
  <c r="AP15" i="13"/>
  <c r="AN15" i="13"/>
  <c r="AR29" i="13"/>
  <c r="AP29" i="13"/>
  <c r="AN29" i="13"/>
  <c r="H29" i="13"/>
  <c r="I33" i="13"/>
  <c r="BO33" i="13" s="1"/>
  <c r="AR33" i="13"/>
  <c r="AP33" i="13"/>
  <c r="AN33" i="13"/>
  <c r="H33" i="13"/>
  <c r="AW47" i="13"/>
  <c r="AX47" i="13" s="1"/>
  <c r="AF47" i="13" s="1"/>
  <c r="BR47" i="13" s="1"/>
  <c r="H47" i="13"/>
  <c r="AR47" i="13"/>
  <c r="AP47" i="13"/>
  <c r="AN47" i="13"/>
  <c r="AR8" i="13"/>
  <c r="AP8" i="13"/>
  <c r="AN8" i="13"/>
  <c r="H8" i="13"/>
  <c r="AR12" i="13"/>
  <c r="AP12" i="13"/>
  <c r="AN12" i="13"/>
  <c r="H12" i="13"/>
  <c r="AW16" i="13"/>
  <c r="AX16" i="13" s="1"/>
  <c r="BD16" i="13" s="1"/>
  <c r="AR16" i="13"/>
  <c r="AP16" i="13"/>
  <c r="AN16" i="13"/>
  <c r="H16" i="13"/>
  <c r="AR30" i="13"/>
  <c r="AP30" i="13"/>
  <c r="AN30" i="13"/>
  <c r="H30" i="13"/>
  <c r="AW34" i="13"/>
  <c r="AX34" i="13" s="1"/>
  <c r="AR34" i="13"/>
  <c r="AP34" i="13"/>
  <c r="AN34" i="13"/>
  <c r="H34" i="13"/>
  <c r="AR48" i="13"/>
  <c r="AP48" i="13"/>
  <c r="AN48" i="13"/>
  <c r="H48" i="13"/>
  <c r="AR72" i="14"/>
  <c r="AR44" i="14"/>
  <c r="AR45" i="14"/>
  <c r="AR76" i="14"/>
  <c r="I32" i="13"/>
  <c r="BO32" i="13" s="1"/>
  <c r="AS30" i="13"/>
  <c r="L30" i="13" s="1"/>
  <c r="BQ30" i="13" s="1"/>
  <c r="I50" i="13"/>
  <c r="BO50" i="13" s="1"/>
  <c r="AO28" i="13"/>
  <c r="AQ28" i="13"/>
  <c r="AW32" i="13"/>
  <c r="AX32" i="13" s="1"/>
  <c r="AF32" i="13" s="1"/>
  <c r="BR32" i="13" s="1"/>
  <c r="I36" i="13"/>
  <c r="BO36" i="13" s="1"/>
  <c r="AM33" i="13"/>
  <c r="AM36" i="13"/>
  <c r="AQ49" i="13"/>
  <c r="AW33" i="13"/>
  <c r="AX33" i="13" s="1"/>
  <c r="BD33" i="13" s="1"/>
  <c r="BG33" i="13" s="1"/>
  <c r="AW36" i="13"/>
  <c r="AX36" i="13" s="1"/>
  <c r="AM29" i="13"/>
  <c r="AO32" i="13"/>
  <c r="AW50" i="13"/>
  <c r="AX50" i="13" s="1"/>
  <c r="BD50" i="13" s="1"/>
  <c r="BG50" i="13" s="1"/>
  <c r="I29" i="13"/>
  <c r="BO29" i="13" s="1"/>
  <c r="AQ32" i="13"/>
  <c r="I31" i="13"/>
  <c r="BO31" i="13" s="1"/>
  <c r="AQ35" i="13"/>
  <c r="AF7" i="10"/>
  <c r="I35" i="13"/>
  <c r="BO35" i="13" s="1"/>
  <c r="I11" i="13"/>
  <c r="BO11" i="13" s="1"/>
  <c r="AT11" i="13"/>
  <c r="M11" i="13" s="1"/>
  <c r="AT29" i="13"/>
  <c r="M29" i="13" s="1"/>
  <c r="BE29" i="13"/>
  <c r="AQ31" i="13"/>
  <c r="AT33" i="13"/>
  <c r="M33" i="13" s="1"/>
  <c r="BE33" i="13"/>
  <c r="AS36" i="13"/>
  <c r="L36" i="13" s="1"/>
  <c r="BQ36" i="13" s="1"/>
  <c r="AT36" i="13"/>
  <c r="M36" i="13" s="1"/>
  <c r="BE36" i="13"/>
  <c r="AM47" i="13"/>
  <c r="AW35" i="13"/>
  <c r="AX35" i="13" s="1"/>
  <c r="BD35" i="13" s="1"/>
  <c r="BG35" i="13" s="1"/>
  <c r="AW17" i="13"/>
  <c r="AX17" i="13" s="1"/>
  <c r="AY17" i="13" s="1"/>
  <c r="AH17" i="13" s="1"/>
  <c r="AT17" i="13"/>
  <c r="M17" i="13" s="1"/>
  <c r="AS28" i="13"/>
  <c r="L28" i="13" s="1"/>
  <c r="BQ28" i="13" s="1"/>
  <c r="AT28" i="13"/>
  <c r="M28" i="13" s="1"/>
  <c r="BE28" i="13"/>
  <c r="AS32" i="13"/>
  <c r="L32" i="13" s="1"/>
  <c r="BQ32" i="13" s="1"/>
  <c r="AT32" i="13"/>
  <c r="M32" i="13" s="1"/>
  <c r="BE32" i="13"/>
  <c r="AT48" i="13"/>
  <c r="M48" i="13" s="1"/>
  <c r="BE48" i="13"/>
  <c r="AW28" i="13"/>
  <c r="AX28" i="13" s="1"/>
  <c r="I47" i="13"/>
  <c r="BO47" i="13" s="1"/>
  <c r="AT8" i="13"/>
  <c r="M8" i="13" s="1"/>
  <c r="AW12" i="13"/>
  <c r="AT12" i="13"/>
  <c r="M12" i="13" s="1"/>
  <c r="AW29" i="13"/>
  <c r="AX29" i="13" s="1"/>
  <c r="AF29" i="13" s="1"/>
  <c r="BR29" i="13" s="1"/>
  <c r="I28" i="13"/>
  <c r="BO28" i="13" s="1"/>
  <c r="AT15" i="13"/>
  <c r="M15" i="13" s="1"/>
  <c r="AM28" i="13"/>
  <c r="AT30" i="13"/>
  <c r="M30" i="13" s="1"/>
  <c r="BE30" i="13"/>
  <c r="AM32" i="13"/>
  <c r="AT34" i="13"/>
  <c r="M34" i="13" s="1"/>
  <c r="BE34" i="13"/>
  <c r="AT49" i="13"/>
  <c r="M49" i="13" s="1"/>
  <c r="BE49" i="13"/>
  <c r="AW30" i="13"/>
  <c r="AX30" i="13" s="1"/>
  <c r="AF30" i="13" s="1"/>
  <c r="BR30" i="13" s="1"/>
  <c r="AW48" i="13"/>
  <c r="AX48" i="13" s="1"/>
  <c r="AF48" i="13" s="1"/>
  <c r="BR48" i="13" s="1"/>
  <c r="I9" i="13"/>
  <c r="BO9" i="13" s="1"/>
  <c r="AT9" i="13"/>
  <c r="M9" i="13" s="1"/>
  <c r="AW13" i="13"/>
  <c r="AX13" i="13" s="1"/>
  <c r="AT13" i="13"/>
  <c r="M13" i="13" s="1"/>
  <c r="AO36" i="13"/>
  <c r="AT50" i="13"/>
  <c r="M50" i="13" s="1"/>
  <c r="BE50" i="13"/>
  <c r="AW49" i="13"/>
  <c r="AX49" i="13" s="1"/>
  <c r="AY49" i="13" s="1"/>
  <c r="AH49" i="13" s="1"/>
  <c r="AT16" i="13"/>
  <c r="M16" i="13" s="1"/>
  <c r="AT35" i="13"/>
  <c r="M35" i="13" s="1"/>
  <c r="BE35" i="13"/>
  <c r="I10" i="13"/>
  <c r="BO10" i="13" s="1"/>
  <c r="AT10" i="13"/>
  <c r="M10" i="13" s="1"/>
  <c r="AT14" i="13"/>
  <c r="M14" i="13" s="1"/>
  <c r="AT31" i="13"/>
  <c r="M31" i="13" s="1"/>
  <c r="BE31" i="13"/>
  <c r="AT47" i="13"/>
  <c r="M47" i="13" s="1"/>
  <c r="BE47" i="13"/>
  <c r="I12" i="13"/>
  <c r="BO12" i="13" s="1"/>
  <c r="AQ14" i="13"/>
  <c r="I14" i="13"/>
  <c r="BO14" i="13" s="1"/>
  <c r="AS14" i="13"/>
  <c r="L14" i="13" s="1"/>
  <c r="BQ14" i="13" s="1"/>
  <c r="AS10" i="13"/>
  <c r="L10" i="13" s="1"/>
  <c r="BQ10" i="13" s="1"/>
  <c r="I7" i="7"/>
  <c r="D7" i="7" s="1"/>
  <c r="AR13" i="14"/>
  <c r="AO58" i="13"/>
  <c r="AS58" i="13" s="1"/>
  <c r="L58" i="13" s="1"/>
  <c r="I8" i="7"/>
  <c r="D8" i="7" s="1"/>
  <c r="I9" i="7"/>
  <c r="D9" i="7" s="1"/>
  <c r="I6" i="7"/>
  <c r="I17" i="13"/>
  <c r="BO17" i="13" s="1"/>
  <c r="AQ17" i="13"/>
  <c r="BE17" i="13"/>
  <c r="AQ9" i="13"/>
  <c r="AW14" i="13"/>
  <c r="AX14" i="13" s="1"/>
  <c r="AM14" i="13"/>
  <c r="BE10" i="13"/>
  <c r="AM10" i="13"/>
  <c r="AO11" i="13"/>
  <c r="BE12" i="13"/>
  <c r="AM11" i="13"/>
  <c r="AO10" i="13"/>
  <c r="BE9" i="13"/>
  <c r="AQ10" i="13"/>
  <c r="BE13" i="13"/>
  <c r="AW8" i="13"/>
  <c r="AX8" i="13" s="1"/>
  <c r="AW11" i="13"/>
  <c r="AX11" i="13" s="1"/>
  <c r="AW9" i="13"/>
  <c r="AX9" i="13" s="1"/>
  <c r="BE11" i="13"/>
  <c r="AQ13" i="13"/>
  <c r="AW10" i="13"/>
  <c r="AX10" i="13" s="1"/>
  <c r="I15" i="13"/>
  <c r="BO15" i="13" s="1"/>
  <c r="AM15" i="13"/>
  <c r="AS34" i="13"/>
  <c r="L34" i="13" s="1"/>
  <c r="BQ34" i="13" s="1"/>
  <c r="AS48" i="13"/>
  <c r="L48" i="13" s="1"/>
  <c r="BQ48" i="13" s="1"/>
  <c r="I13" i="13"/>
  <c r="BO13" i="13" s="1"/>
  <c r="AM12" i="13"/>
  <c r="AO15" i="13"/>
  <c r="AM16" i="13"/>
  <c r="AS17" i="13"/>
  <c r="L17" i="13" s="1"/>
  <c r="BQ17" i="13" s="1"/>
  <c r="AO29" i="13"/>
  <c r="AM30" i="13"/>
  <c r="AS31" i="13"/>
  <c r="L31" i="13" s="1"/>
  <c r="BQ31" i="13" s="1"/>
  <c r="AO33" i="13"/>
  <c r="AM34" i="13"/>
  <c r="AS35" i="13"/>
  <c r="L35" i="13" s="1"/>
  <c r="BQ35" i="13" s="1"/>
  <c r="AO47" i="13"/>
  <c r="AM48" i="13"/>
  <c r="AS49" i="13"/>
  <c r="L49" i="13" s="1"/>
  <c r="BQ49" i="13" s="1"/>
  <c r="AO50" i="13"/>
  <c r="I16" i="13"/>
  <c r="BO16" i="13" s="1"/>
  <c r="I34" i="13"/>
  <c r="BO34" i="13" s="1"/>
  <c r="I8" i="13"/>
  <c r="BO8" i="13" s="1"/>
  <c r="AO8" i="13"/>
  <c r="AQ11" i="13"/>
  <c r="AO12" i="13"/>
  <c r="AS12" i="13" s="1"/>
  <c r="L12" i="13" s="1"/>
  <c r="BQ12" i="13" s="1"/>
  <c r="AM13" i="13"/>
  <c r="AQ15" i="13"/>
  <c r="AS15" i="13" s="1"/>
  <c r="L15" i="13" s="1"/>
  <c r="BQ15" i="13" s="1"/>
  <c r="AO16" i="13"/>
  <c r="AM17" i="13"/>
  <c r="AQ29" i="13"/>
  <c r="AO30" i="13"/>
  <c r="AM31" i="13"/>
  <c r="AQ33" i="13"/>
  <c r="AO34" i="13"/>
  <c r="AM35" i="13"/>
  <c r="AQ47" i="13"/>
  <c r="AO48" i="13"/>
  <c r="AM49" i="13"/>
  <c r="AQ50" i="13"/>
  <c r="AQ8" i="13"/>
  <c r="AO9" i="13"/>
  <c r="AQ12" i="13"/>
  <c r="AO13" i="13"/>
  <c r="AS13" i="13" s="1"/>
  <c r="L13" i="13" s="1"/>
  <c r="BQ13" i="13" s="1"/>
  <c r="AQ16" i="13"/>
  <c r="AS16" i="13" s="1"/>
  <c r="L16" i="13" s="1"/>
  <c r="BQ16" i="13" s="1"/>
  <c r="AO17" i="13"/>
  <c r="AS29" i="13"/>
  <c r="L29" i="13" s="1"/>
  <c r="BQ29" i="13" s="1"/>
  <c r="AQ30" i="13"/>
  <c r="AO31" i="13"/>
  <c r="AS33" i="13"/>
  <c r="L33" i="13" s="1"/>
  <c r="BQ33" i="13" s="1"/>
  <c r="AQ34" i="13"/>
  <c r="AO35" i="13"/>
  <c r="AS47" i="13"/>
  <c r="L47" i="13" s="1"/>
  <c r="BQ47" i="13" s="1"/>
  <c r="AQ48" i="13"/>
  <c r="AO49" i="13"/>
  <c r="AS50" i="13"/>
  <c r="L50" i="13" s="1"/>
  <c r="BQ50" i="13" s="1"/>
  <c r="I30" i="13"/>
  <c r="BO30" i="13" s="1"/>
  <c r="I48" i="13"/>
  <c r="BO48" i="13" s="1"/>
  <c r="AH2" i="13"/>
  <c r="AZ36" i="13" l="1"/>
  <c r="BS36" i="13" s="1"/>
  <c r="BD36" i="13"/>
  <c r="BG36" i="13" s="1"/>
  <c r="AF28" i="13"/>
  <c r="BR28" i="13" s="1"/>
  <c r="AZ28" i="13"/>
  <c r="BD34" i="13"/>
  <c r="BG34" i="13" s="1"/>
  <c r="AF34" i="13"/>
  <c r="BR34" i="13" s="1"/>
  <c r="AX12" i="13"/>
  <c r="AF12" i="13" s="1"/>
  <c r="BR12" i="13" s="1"/>
  <c r="AZ58" i="13"/>
  <c r="BQ58" i="13"/>
  <c r="BD28" i="13"/>
  <c r="BG28" i="13" s="1"/>
  <c r="AY33" i="13"/>
  <c r="AH33" i="13" s="1"/>
  <c r="AY47" i="13"/>
  <c r="AH47" i="13" s="1"/>
  <c r="AY28" i="13"/>
  <c r="AH28" i="13" s="1"/>
  <c r="AZ31" i="13"/>
  <c r="BS31" i="13" s="1"/>
  <c r="AY48" i="13"/>
  <c r="AH48" i="13" s="1"/>
  <c r="BD49" i="13"/>
  <c r="BG49" i="13" s="1"/>
  <c r="AY34" i="13"/>
  <c r="AH34" i="13" s="1"/>
  <c r="BD48" i="13"/>
  <c r="BG48" i="13" s="1"/>
  <c r="AZ48" i="13"/>
  <c r="BS48" i="13" s="1"/>
  <c r="AY36" i="13"/>
  <c r="AH36" i="13" s="1"/>
  <c r="AY15" i="13"/>
  <c r="AH15" i="13" s="1"/>
  <c r="BD29" i="13"/>
  <c r="BG29" i="13" s="1"/>
  <c r="AF36" i="13"/>
  <c r="BR36" i="13" s="1"/>
  <c r="BD30" i="13"/>
  <c r="BG30" i="13" s="1"/>
  <c r="AY32" i="13"/>
  <c r="AH32" i="13" s="1"/>
  <c r="BD47" i="13"/>
  <c r="BG47" i="13" s="1"/>
  <c r="AZ30" i="13"/>
  <c r="BS30" i="13" s="1"/>
  <c r="AZ47" i="13"/>
  <c r="BS47" i="13" s="1"/>
  <c r="AY16" i="13"/>
  <c r="AH16" i="13" s="1"/>
  <c r="AF50" i="13"/>
  <c r="BR50" i="13" s="1"/>
  <c r="AY50" i="13"/>
  <c r="AH50" i="13" s="1"/>
  <c r="AF33" i="13"/>
  <c r="BR33" i="13" s="1"/>
  <c r="AZ32" i="13"/>
  <c r="BS32" i="13" s="1"/>
  <c r="AZ50" i="13"/>
  <c r="BS50" i="13" s="1"/>
  <c r="AZ33" i="13"/>
  <c r="BS33" i="13" s="1"/>
  <c r="AZ29" i="13"/>
  <c r="BS29" i="13" s="1"/>
  <c r="AZ17" i="13"/>
  <c r="BS17" i="13" s="1"/>
  <c r="BD32" i="13"/>
  <c r="BG32" i="13" s="1"/>
  <c r="BD17" i="13"/>
  <c r="BG17" i="13" s="1"/>
  <c r="AY35" i="13"/>
  <c r="AH35" i="13" s="1"/>
  <c r="AF35" i="13"/>
  <c r="BR35" i="13" s="1"/>
  <c r="AZ34" i="13"/>
  <c r="BS34" i="13" s="1"/>
  <c r="AY30" i="13"/>
  <c r="AH30" i="13" s="1"/>
  <c r="AF49" i="13"/>
  <c r="BR49" i="13" s="1"/>
  <c r="AF17" i="13"/>
  <c r="BR17" i="13" s="1"/>
  <c r="AF31" i="13"/>
  <c r="BR31" i="13" s="1"/>
  <c r="BD31" i="13"/>
  <c r="BG31" i="13" s="1"/>
  <c r="AY29" i="13"/>
  <c r="AH29" i="13" s="1"/>
  <c r="AZ35" i="13"/>
  <c r="BS35" i="13" s="1"/>
  <c r="AZ49" i="13"/>
  <c r="BS49" i="13" s="1"/>
  <c r="AF13" i="13"/>
  <c r="BR13" i="13" s="1"/>
  <c r="AZ13" i="13"/>
  <c r="BS13" i="13" s="1"/>
  <c r="BD13" i="13"/>
  <c r="BG13" i="13" s="1"/>
  <c r="AY14" i="13"/>
  <c r="J13" i="14"/>
  <c r="J71" i="14"/>
  <c r="J8" i="14"/>
  <c r="AW40" i="14"/>
  <c r="AZ16" i="13"/>
  <c r="BS16" i="13" s="1"/>
  <c r="BD11" i="13"/>
  <c r="BG11" i="13" s="1"/>
  <c r="L7" i="7"/>
  <c r="D6" i="7"/>
  <c r="E6" i="7"/>
  <c r="L9" i="7"/>
  <c r="L8" i="7"/>
  <c r="BD14" i="13"/>
  <c r="AF14" i="13"/>
  <c r="BR14" i="13" s="1"/>
  <c r="AZ14" i="13"/>
  <c r="BS14" i="13" s="1"/>
  <c r="AF11" i="13"/>
  <c r="BR11" i="13" s="1"/>
  <c r="AS11" i="13"/>
  <c r="BD9" i="13"/>
  <c r="BG9" i="13" s="1"/>
  <c r="AF9" i="13"/>
  <c r="BR9" i="13" s="1"/>
  <c r="BD10" i="13"/>
  <c r="AF10" i="13"/>
  <c r="BR10" i="13" s="1"/>
  <c r="AZ10" i="13"/>
  <c r="BS10" i="13" s="1"/>
  <c r="AF15" i="13"/>
  <c r="BR15" i="13" s="1"/>
  <c r="AZ15" i="13"/>
  <c r="BS15" i="13" s="1"/>
  <c r="AF16" i="13"/>
  <c r="BR16" i="13" s="1"/>
  <c r="BE15" i="13"/>
  <c r="BG15" i="13" s="1"/>
  <c r="BE16" i="13"/>
  <c r="BG16" i="13" s="1"/>
  <c r="AI36" i="13" l="1"/>
  <c r="AI58" i="13"/>
  <c r="BS58" i="13"/>
  <c r="AI28" i="13"/>
  <c r="BS28" i="13"/>
  <c r="AZ12" i="13"/>
  <c r="BS12" i="13" s="1"/>
  <c r="BD12" i="13"/>
  <c r="BG12" i="13" s="1"/>
  <c r="AW13" i="14"/>
  <c r="BO13" i="14" s="1"/>
  <c r="BM13" i="14"/>
  <c r="AW8" i="14"/>
  <c r="BO8" i="14" s="1"/>
  <c r="BM8" i="14"/>
  <c r="AW71" i="14"/>
  <c r="BM71" i="14"/>
  <c r="E7" i="7"/>
  <c r="P7" i="7"/>
  <c r="E9" i="7"/>
  <c r="P9" i="7"/>
  <c r="E8" i="7"/>
  <c r="P8" i="7"/>
  <c r="AW39" i="14"/>
  <c r="BO39" i="14" s="1"/>
  <c r="BM39" i="14"/>
  <c r="AI15" i="13"/>
  <c r="AI32" i="13"/>
  <c r="AI49" i="13"/>
  <c r="AI48" i="13"/>
  <c r="AI31" i="13"/>
  <c r="AI30" i="13"/>
  <c r="AI50" i="13"/>
  <c r="AI35" i="13"/>
  <c r="AI16" i="13"/>
  <c r="AI17" i="13"/>
  <c r="AI33" i="13"/>
  <c r="AI34" i="13"/>
  <c r="AI29" i="13"/>
  <c r="AI47" i="13"/>
  <c r="K65" i="19"/>
  <c r="K64" i="19"/>
  <c r="K63" i="19"/>
  <c r="K66" i="19"/>
  <c r="K67" i="19"/>
  <c r="K49" i="19"/>
  <c r="AZ11" i="13"/>
  <c r="BS11" i="13" s="1"/>
  <c r="L11" i="13"/>
  <c r="BQ11" i="13" s="1"/>
  <c r="AH14" i="13"/>
  <c r="AI14" i="13"/>
  <c r="AF40" i="14"/>
  <c r="K44" i="19"/>
  <c r="AI13" i="13"/>
  <c r="K40" i="19"/>
  <c r="AI10" i="13"/>
  <c r="AF8" i="13"/>
  <c r="BR8" i="13" s="1"/>
  <c r="BG10" i="13"/>
  <c r="BD8" i="13"/>
  <c r="AF13" i="14"/>
  <c r="BE14" i="13"/>
  <c r="AF8" i="14"/>
  <c r="AF39" i="14" l="1"/>
  <c r="AI12" i="13"/>
  <c r="AF71" i="14"/>
  <c r="BO71" i="14"/>
  <c r="AI11" i="13"/>
  <c r="BG8" i="13"/>
  <c r="BE8" i="13"/>
  <c r="K68" i="19"/>
  <c r="BG14" i="13"/>
  <c r="S4" i="31"/>
  <c r="J50" i="13"/>
  <c r="BN50" i="13" s="1"/>
  <c r="J49" i="13"/>
  <c r="BN49" i="13" s="1"/>
  <c r="J48" i="13"/>
  <c r="BN48" i="13" s="1"/>
  <c r="J47" i="13"/>
  <c r="BN47" i="13" s="1"/>
  <c r="J36" i="13"/>
  <c r="BN36" i="13" s="1"/>
  <c r="J35" i="13"/>
  <c r="BN35" i="13" s="1"/>
  <c r="J34" i="13"/>
  <c r="BN34" i="13" s="1"/>
  <c r="J33" i="13"/>
  <c r="BN33" i="13" s="1"/>
  <c r="J32" i="13"/>
  <c r="BN32" i="13" s="1"/>
  <c r="J31" i="13"/>
  <c r="BN31" i="13" s="1"/>
  <c r="J30" i="13"/>
  <c r="BN30" i="13" s="1"/>
  <c r="J29" i="13"/>
  <c r="BN29" i="13" s="1"/>
  <c r="J28" i="13"/>
  <c r="BN28" i="13" s="1"/>
  <c r="J17" i="13"/>
  <c r="BN17" i="13" s="1"/>
  <c r="J16" i="13"/>
  <c r="BN16" i="13" s="1"/>
  <c r="J15" i="13"/>
  <c r="BN15" i="13" s="1"/>
  <c r="AR14" i="14" l="1"/>
  <c r="AR73" i="14"/>
  <c r="AR74" i="14"/>
  <c r="AR75" i="14"/>
  <c r="AR8" i="14"/>
  <c r="AR40" i="14"/>
  <c r="AR71" i="14"/>
  <c r="AR7" i="14"/>
  <c r="J7" i="14" s="1"/>
  <c r="AR38" i="14"/>
  <c r="AR39" i="14"/>
  <c r="AR43" i="14"/>
  <c r="AR9" i="14"/>
  <c r="J9" i="14" s="1"/>
  <c r="AR12" i="14"/>
  <c r="AR11" i="14"/>
  <c r="AR41" i="14"/>
  <c r="AW41" i="14" s="1"/>
  <c r="AR69" i="14"/>
  <c r="AR10" i="14"/>
  <c r="AR42" i="14"/>
  <c r="AR70" i="14"/>
  <c r="AM8" i="13"/>
  <c r="AS8" i="13" s="1"/>
  <c r="L8" i="13" s="1"/>
  <c r="BQ8" i="13" s="1"/>
  <c r="AM9" i="13"/>
  <c r="AS9" i="13" s="1"/>
  <c r="AK57" i="13"/>
  <c r="AK56" i="13"/>
  <c r="AK55" i="13"/>
  <c r="AK54" i="13"/>
  <c r="AK53" i="13"/>
  <c r="AK52" i="13"/>
  <c r="J14" i="13"/>
  <c r="BN14" i="13" s="1"/>
  <c r="J13" i="13"/>
  <c r="J12" i="13"/>
  <c r="J11" i="13"/>
  <c r="J10" i="13"/>
  <c r="J9" i="13"/>
  <c r="BN9" i="13" s="1"/>
  <c r="AK7" i="13"/>
  <c r="H7" i="13" s="1"/>
  <c r="AL57" i="13"/>
  <c r="AL56" i="13"/>
  <c r="AL55" i="13"/>
  <c r="AL54" i="13"/>
  <c r="AL53" i="13"/>
  <c r="AL7" i="13"/>
  <c r="AY10" i="13" l="1"/>
  <c r="BN10" i="13"/>
  <c r="AR55" i="13"/>
  <c r="AP55" i="13"/>
  <c r="AN55" i="13"/>
  <c r="H55" i="13"/>
  <c r="H56" i="13"/>
  <c r="AR56" i="13"/>
  <c r="AP56" i="13"/>
  <c r="AN56" i="13"/>
  <c r="AR52" i="13"/>
  <c r="AP52" i="13"/>
  <c r="AN52" i="13"/>
  <c r="H52" i="13"/>
  <c r="AY11" i="13"/>
  <c r="AH11" i="13" s="1"/>
  <c r="BN11" i="13"/>
  <c r="AR57" i="13"/>
  <c r="AP57" i="13"/>
  <c r="AN57" i="13"/>
  <c r="H57" i="13"/>
  <c r="AY13" i="13"/>
  <c r="H40" i="19" s="1"/>
  <c r="BN13" i="13"/>
  <c r="AR53" i="13"/>
  <c r="AP53" i="13"/>
  <c r="AN53" i="13"/>
  <c r="H53" i="13"/>
  <c r="AY12" i="13"/>
  <c r="AH12" i="13" s="1"/>
  <c r="BN12" i="13"/>
  <c r="AR54" i="13"/>
  <c r="AP54" i="13"/>
  <c r="AN54" i="13"/>
  <c r="H54" i="13"/>
  <c r="AW9" i="14"/>
  <c r="BO9" i="14" s="1"/>
  <c r="BM9" i="14"/>
  <c r="AN7" i="13"/>
  <c r="AR7" i="13"/>
  <c r="AP7" i="13"/>
  <c r="BM7" i="14"/>
  <c r="AW7" i="14"/>
  <c r="J52" i="13"/>
  <c r="AW52" i="13"/>
  <c r="AX52" i="13" s="1"/>
  <c r="AZ9" i="13"/>
  <c r="BS9" i="13" s="1"/>
  <c r="L9" i="13"/>
  <c r="BQ9" i="13" s="1"/>
  <c r="AF41" i="14"/>
  <c r="K51" i="19"/>
  <c r="J10" i="14"/>
  <c r="K43" i="19"/>
  <c r="AY9" i="13"/>
  <c r="AH9" i="13" s="1"/>
  <c r="AZ8" i="13"/>
  <c r="BS8" i="13" s="1"/>
  <c r="AT55" i="13"/>
  <c r="M55" i="13" s="1"/>
  <c r="BE55" i="13"/>
  <c r="AW55" i="13"/>
  <c r="AX55" i="13" s="1"/>
  <c r="AT56" i="13"/>
  <c r="M56" i="13" s="1"/>
  <c r="BE56" i="13"/>
  <c r="I56" i="13"/>
  <c r="BO56" i="13" s="1"/>
  <c r="AS56" i="13"/>
  <c r="L56" i="13" s="1"/>
  <c r="BQ56" i="13" s="1"/>
  <c r="AQ56" i="13"/>
  <c r="AO56" i="13"/>
  <c r="BN56" i="13"/>
  <c r="AW56" i="13"/>
  <c r="AT57" i="13"/>
  <c r="M57" i="13" s="1"/>
  <c r="BE57" i="13"/>
  <c r="AS57" i="13"/>
  <c r="L57" i="13" s="1"/>
  <c r="AQ57" i="13"/>
  <c r="I57" i="13"/>
  <c r="BO57" i="13" s="1"/>
  <c r="AM57" i="13"/>
  <c r="AW57" i="13"/>
  <c r="BN57" i="13"/>
  <c r="AO57" i="13"/>
  <c r="AT52" i="13"/>
  <c r="M52" i="13" s="1"/>
  <c r="AQ52" i="13"/>
  <c r="I52" i="13"/>
  <c r="BO52" i="13" s="1"/>
  <c r="AO52" i="13"/>
  <c r="AS52" i="13"/>
  <c r="AT53" i="13"/>
  <c r="M53" i="13" s="1"/>
  <c r="BE53" i="13"/>
  <c r="I53" i="13"/>
  <c r="BO53" i="13" s="1"/>
  <c r="AM53" i="13"/>
  <c r="AQ53" i="13"/>
  <c r="AW53" i="13"/>
  <c r="BN53" i="13"/>
  <c r="AO53" i="13"/>
  <c r="AS53" i="13" s="1"/>
  <c r="AM52" i="13"/>
  <c r="AM56" i="13"/>
  <c r="AT54" i="13"/>
  <c r="M54" i="13" s="1"/>
  <c r="AM54" i="13"/>
  <c r="AO54" i="13"/>
  <c r="AW54" i="13"/>
  <c r="I54" i="13"/>
  <c r="BO54" i="13" s="1"/>
  <c r="AQ54" i="13"/>
  <c r="AT7" i="13"/>
  <c r="M7" i="13" s="1"/>
  <c r="J42" i="14"/>
  <c r="J11" i="14"/>
  <c r="J12" i="14"/>
  <c r="J70" i="14"/>
  <c r="J43" i="14"/>
  <c r="AM7" i="13"/>
  <c r="I7" i="13"/>
  <c r="BO7" i="13" s="1"/>
  <c r="AO7" i="13"/>
  <c r="AQ7" i="13"/>
  <c r="AW7" i="13"/>
  <c r="AX7" i="13" s="1"/>
  <c r="AH10" i="13"/>
  <c r="BN55" i="13"/>
  <c r="AQ55" i="13"/>
  <c r="I55" i="13"/>
  <c r="BO55" i="13" s="1"/>
  <c r="AO55" i="13"/>
  <c r="AM55" i="13"/>
  <c r="J8" i="13"/>
  <c r="BN8" i="13" s="1"/>
  <c r="AO58" i="10"/>
  <c r="AM58" i="10"/>
  <c r="AO56" i="10"/>
  <c r="AM56" i="10"/>
  <c r="AO55" i="10"/>
  <c r="AM55" i="10"/>
  <c r="AO54" i="10"/>
  <c r="AM54" i="10"/>
  <c r="AO53" i="10"/>
  <c r="AM53" i="10"/>
  <c r="AO52" i="10"/>
  <c r="AM52" i="10"/>
  <c r="AO51" i="10"/>
  <c r="AM51" i="10"/>
  <c r="AO50" i="10"/>
  <c r="AM50" i="10"/>
  <c r="AO49" i="10"/>
  <c r="AM49" i="10"/>
  <c r="AO48" i="10"/>
  <c r="AM48" i="10"/>
  <c r="AO47" i="10"/>
  <c r="AM47" i="10"/>
  <c r="AO46" i="10"/>
  <c r="AM46" i="10"/>
  <c r="AO45" i="10"/>
  <c r="AM45" i="10"/>
  <c r="AO44" i="10"/>
  <c r="AM44" i="10"/>
  <c r="AO40" i="10"/>
  <c r="AM40" i="10"/>
  <c r="AO39" i="10"/>
  <c r="AM39" i="10"/>
  <c r="AO36" i="10"/>
  <c r="AM36" i="10"/>
  <c r="AO35" i="10"/>
  <c r="AM35" i="10"/>
  <c r="AO34" i="10"/>
  <c r="AM34" i="10"/>
  <c r="AO33" i="10"/>
  <c r="AM33" i="10"/>
  <c r="AO32" i="10"/>
  <c r="AM32" i="10"/>
  <c r="AO31" i="10"/>
  <c r="AM31" i="10"/>
  <c r="AO30" i="10"/>
  <c r="AM30" i="10"/>
  <c r="AO29" i="10"/>
  <c r="AM29" i="10"/>
  <c r="AO28" i="10"/>
  <c r="AM28" i="10"/>
  <c r="AO27" i="10"/>
  <c r="AM27" i="10"/>
  <c r="AO26" i="10"/>
  <c r="AM26" i="10"/>
  <c r="AO25" i="10"/>
  <c r="AM25" i="10"/>
  <c r="AO24" i="10"/>
  <c r="AM24" i="10"/>
  <c r="AO23" i="10"/>
  <c r="AM23" i="10"/>
  <c r="AO22" i="10"/>
  <c r="AM22" i="10"/>
  <c r="AO21" i="10"/>
  <c r="AM21" i="10"/>
  <c r="AO20" i="10"/>
  <c r="AM20" i="10"/>
  <c r="AO19" i="10"/>
  <c r="AM19" i="10"/>
  <c r="AO18" i="10"/>
  <c r="AM18" i="10"/>
  <c r="AO17" i="10"/>
  <c r="AM17" i="10"/>
  <c r="AO16" i="10"/>
  <c r="AM16" i="10"/>
  <c r="AO15" i="10"/>
  <c r="AM15" i="10"/>
  <c r="AO14" i="10"/>
  <c r="AM14" i="10"/>
  <c r="AO13" i="10"/>
  <c r="AM13" i="10"/>
  <c r="AO12" i="10"/>
  <c r="AM12" i="10"/>
  <c r="AO11" i="10"/>
  <c r="AM11" i="10"/>
  <c r="AO10" i="10"/>
  <c r="AM10" i="10"/>
  <c r="AO9" i="10"/>
  <c r="AM9" i="10"/>
  <c r="AO8" i="10"/>
  <c r="AM8" i="10"/>
  <c r="AO7" i="10"/>
  <c r="AM7" i="10"/>
  <c r="AG7" i="10"/>
  <c r="AK58" i="10"/>
  <c r="AK56" i="10"/>
  <c r="AK55" i="10"/>
  <c r="AK54" i="10"/>
  <c r="AK53" i="10"/>
  <c r="AK52" i="10"/>
  <c r="AK51" i="10"/>
  <c r="AK50" i="10"/>
  <c r="AK49" i="10"/>
  <c r="AK48" i="10"/>
  <c r="AK47" i="10"/>
  <c r="AK46" i="10"/>
  <c r="AK45" i="10"/>
  <c r="AK44"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K10" i="10"/>
  <c r="AK9" i="10"/>
  <c r="AK8" i="10"/>
  <c r="AK7" i="10"/>
  <c r="AQ58" i="10"/>
  <c r="AQ56" i="10"/>
  <c r="AQ55" i="10"/>
  <c r="AQ54" i="10"/>
  <c r="AQ53" i="10"/>
  <c r="AQ52" i="10"/>
  <c r="AQ51" i="10"/>
  <c r="AQ50" i="10"/>
  <c r="AQ49" i="10"/>
  <c r="AQ48" i="10"/>
  <c r="AQ44" i="10"/>
  <c r="AQ40" i="10"/>
  <c r="AQ39" i="10"/>
  <c r="AQ38" i="10"/>
  <c r="AQ37" i="10"/>
  <c r="AQ36" i="10"/>
  <c r="AQ35" i="10"/>
  <c r="AQ34" i="10"/>
  <c r="AQ33" i="10"/>
  <c r="AQ32" i="10"/>
  <c r="AQ31" i="10"/>
  <c r="AQ30" i="10"/>
  <c r="AQ29" i="10"/>
  <c r="AQ28" i="10"/>
  <c r="AQ27" i="10"/>
  <c r="AQ26" i="10"/>
  <c r="AQ25" i="10"/>
  <c r="D4" i="28"/>
  <c r="D5" i="28" s="1"/>
  <c r="D6" i="28" s="1"/>
  <c r="D7" i="28" s="1"/>
  <c r="D8" i="28" s="1"/>
  <c r="D9" i="28" s="1"/>
  <c r="D10" i="28" s="1"/>
  <c r="D11" i="28" s="1"/>
  <c r="D12" i="28" s="1"/>
  <c r="D13" i="28" s="1"/>
  <c r="D14" i="28" s="1"/>
  <c r="D15" i="28" s="1"/>
  <c r="D16" i="28" s="1"/>
  <c r="D17" i="28" s="1"/>
  <c r="D18" i="28" s="1"/>
  <c r="D19" i="28" s="1"/>
  <c r="D20" i="28" s="1"/>
  <c r="AQ24" i="10" s="1"/>
  <c r="AH13" i="13" l="1"/>
  <c r="AY52" i="13"/>
  <c r="M39" i="19"/>
  <c r="F39" i="19"/>
  <c r="M38" i="19"/>
  <c r="M33" i="19"/>
  <c r="F33" i="19"/>
  <c r="BN52" i="13"/>
  <c r="F47" i="19"/>
  <c r="M47" i="19"/>
  <c r="AX53" i="13"/>
  <c r="AY53" i="13" s="1"/>
  <c r="AX57" i="13"/>
  <c r="AY57" i="13" s="1"/>
  <c r="AH57" i="13" s="1"/>
  <c r="AX56" i="13"/>
  <c r="AY56" i="13" s="1"/>
  <c r="AX54" i="13"/>
  <c r="AY54" i="13" s="1"/>
  <c r="AW12" i="14"/>
  <c r="BM12" i="14"/>
  <c r="AW10" i="14"/>
  <c r="BO10" i="14" s="1"/>
  <c r="BM10" i="14"/>
  <c r="AW42" i="14"/>
  <c r="BM42" i="14"/>
  <c r="AW70" i="14"/>
  <c r="BM70" i="14"/>
  <c r="AW11" i="14"/>
  <c r="BM11" i="14"/>
  <c r="AW43" i="14"/>
  <c r="BM43" i="14"/>
  <c r="AF9" i="14"/>
  <c r="BE54" i="13"/>
  <c r="BN54" i="13"/>
  <c r="BN7" i="13"/>
  <c r="L52" i="13"/>
  <c r="BQ52" i="13" s="1"/>
  <c r="BF57" i="13"/>
  <c r="BQ57" i="13"/>
  <c r="BO7" i="14"/>
  <c r="AF7" i="14"/>
  <c r="AI9" i="13"/>
  <c r="AI8" i="13"/>
  <c r="AH52" i="13"/>
  <c r="BF53" i="13"/>
  <c r="L53" i="13"/>
  <c r="BQ53" i="13" s="1"/>
  <c r="AQ7" i="10"/>
  <c r="AY55" i="13"/>
  <c r="H59" i="19" s="1"/>
  <c r="K48" i="19"/>
  <c r="K53" i="19"/>
  <c r="K42" i="19"/>
  <c r="K41" i="19"/>
  <c r="K45" i="19"/>
  <c r="F60" i="19"/>
  <c r="AS55" i="13"/>
  <c r="L55" i="13" s="1"/>
  <c r="BQ55" i="13" s="1"/>
  <c r="AS54" i="13"/>
  <c r="L54" i="13" s="1"/>
  <c r="BQ54" i="13" s="1"/>
  <c r="AY8" i="13"/>
  <c r="AH8" i="13" s="1"/>
  <c r="F38" i="19"/>
  <c r="AY7" i="13"/>
  <c r="AH7" i="13" s="1"/>
  <c r="BF54" i="13"/>
  <c r="F40" i="19"/>
  <c r="AZ53" i="13"/>
  <c r="BS53" i="13" s="1"/>
  <c r="BD52" i="13"/>
  <c r="F35" i="29" s="1"/>
  <c r="AF52" i="13"/>
  <c r="BR52" i="13" s="1"/>
  <c r="AF55" i="13"/>
  <c r="BR55" i="13" s="1"/>
  <c r="BD55" i="13"/>
  <c r="AZ52" i="13"/>
  <c r="BS52" i="13" s="1"/>
  <c r="AS7" i="13"/>
  <c r="AF43" i="14"/>
  <c r="AF12" i="14"/>
  <c r="AF11" i="14"/>
  <c r="AF42" i="14"/>
  <c r="BD7" i="13"/>
  <c r="AF7" i="13"/>
  <c r="BR7" i="13" s="1"/>
  <c r="AQ8" i="10"/>
  <c r="I9" i="29" s="1"/>
  <c r="AQ17" i="10"/>
  <c r="AQ10" i="10"/>
  <c r="AQ18" i="10"/>
  <c r="AQ11" i="10"/>
  <c r="AQ19" i="10"/>
  <c r="AQ45" i="10"/>
  <c r="AQ9" i="10"/>
  <c r="AQ12" i="10"/>
  <c r="AQ20" i="10"/>
  <c r="AQ46" i="10"/>
  <c r="AQ13" i="10"/>
  <c r="AQ21" i="10"/>
  <c r="AQ47" i="10"/>
  <c r="AQ14" i="10"/>
  <c r="AQ22" i="10"/>
  <c r="AQ15" i="10"/>
  <c r="AQ23" i="10"/>
  <c r="AQ16" i="10"/>
  <c r="I2" i="29"/>
  <c r="I1" i="29"/>
  <c r="AZ56" i="13" l="1"/>
  <c r="BS56" i="13" s="1"/>
  <c r="BD56" i="13"/>
  <c r="AF53" i="13"/>
  <c r="BR53" i="13" s="1"/>
  <c r="BD57" i="13"/>
  <c r="AZ57" i="13"/>
  <c r="BS57" i="13" s="1"/>
  <c r="AF57" i="13"/>
  <c r="BR57" i="13" s="1"/>
  <c r="AF56" i="13"/>
  <c r="BR56" i="13" s="1"/>
  <c r="AF54" i="13"/>
  <c r="BR54" i="13" s="1"/>
  <c r="BD54" i="13"/>
  <c r="BG54" i="13" s="1"/>
  <c r="I56" i="29" s="1"/>
  <c r="AZ54" i="13"/>
  <c r="BS54" i="13" s="1"/>
  <c r="BD53" i="13"/>
  <c r="BG53" i="13" s="1"/>
  <c r="I55" i="29" s="1"/>
  <c r="BG57" i="13"/>
  <c r="H39" i="19"/>
  <c r="I39" i="19" s="1"/>
  <c r="H33" i="19"/>
  <c r="I33" i="19" s="1"/>
  <c r="H60" i="19"/>
  <c r="H61" i="19" s="1"/>
  <c r="AH54" i="13"/>
  <c r="AF70" i="14"/>
  <c r="BO70" i="14"/>
  <c r="AF10" i="14"/>
  <c r="K50" i="19"/>
  <c r="BO11" i="14"/>
  <c r="K52" i="19"/>
  <c r="BO12" i="14"/>
  <c r="F29" i="29"/>
  <c r="BE52" i="13"/>
  <c r="AI52" i="13"/>
  <c r="I19" i="29"/>
  <c r="K59" i="19"/>
  <c r="AZ55" i="13"/>
  <c r="BS55" i="13" s="1"/>
  <c r="BF55" i="13"/>
  <c r="BG55" i="13" s="1"/>
  <c r="J59" i="19"/>
  <c r="I59" i="19"/>
  <c r="K60" i="19"/>
  <c r="L7" i="13"/>
  <c r="I23" i="29"/>
  <c r="I31" i="29"/>
  <c r="I18" i="29"/>
  <c r="I24" i="29"/>
  <c r="I28" i="29"/>
  <c r="H14" i="29"/>
  <c r="I21" i="29"/>
  <c r="I22" i="29"/>
  <c r="I14" i="29"/>
  <c r="H13" i="29"/>
  <c r="H8" i="29"/>
  <c r="I20" i="29"/>
  <c r="I16" i="29"/>
  <c r="H26" i="29"/>
  <c r="H25" i="29"/>
  <c r="I13" i="29"/>
  <c r="H10" i="29"/>
  <c r="H27" i="29"/>
  <c r="H24" i="29"/>
  <c r="I7" i="29"/>
  <c r="H19" i="29"/>
  <c r="I12" i="29"/>
  <c r="I17" i="29"/>
  <c r="I30" i="29"/>
  <c r="H23" i="29"/>
  <c r="H18" i="29"/>
  <c r="I27" i="29"/>
  <c r="I26" i="29"/>
  <c r="H22" i="29"/>
  <c r="I10" i="29"/>
  <c r="H12" i="29"/>
  <c r="H20" i="29"/>
  <c r="H9" i="29"/>
  <c r="H7" i="29"/>
  <c r="H17" i="29"/>
  <c r="I8" i="29"/>
  <c r="H30" i="29"/>
  <c r="H16" i="29"/>
  <c r="I25" i="29"/>
  <c r="H21" i="29"/>
  <c r="H31" i="29"/>
  <c r="I15" i="29"/>
  <c r="H28" i="29"/>
  <c r="H15" i="29"/>
  <c r="F56" i="29"/>
  <c r="BG56" i="13"/>
  <c r="F34" i="29"/>
  <c r="AH56" i="13"/>
  <c r="H38" i="19"/>
  <c r="K37" i="19"/>
  <c r="F33" i="29"/>
  <c r="AH55" i="13"/>
  <c r="H37" i="19"/>
  <c r="H47" i="19"/>
  <c r="H54" i="19" s="1"/>
  <c r="F55" i="29"/>
  <c r="AI53" i="13"/>
  <c r="F36" i="29"/>
  <c r="AH53" i="13"/>
  <c r="BG7" i="13"/>
  <c r="I34" i="29" s="1"/>
  <c r="BE7" i="13"/>
  <c r="AI57" i="13"/>
  <c r="F43" i="29"/>
  <c r="Z58" i="10"/>
  <c r="X58" i="10"/>
  <c r="W58" i="10"/>
  <c r="Z56" i="10"/>
  <c r="X56" i="10"/>
  <c r="W56" i="10"/>
  <c r="Z55" i="10"/>
  <c r="X55" i="10"/>
  <c r="W55" i="10"/>
  <c r="Z54" i="10"/>
  <c r="X54" i="10"/>
  <c r="W54" i="10"/>
  <c r="Z53" i="10"/>
  <c r="X53" i="10"/>
  <c r="W53" i="10"/>
  <c r="Z52" i="10"/>
  <c r="X52" i="10"/>
  <c r="W52" i="10"/>
  <c r="Z51" i="10"/>
  <c r="X51" i="10"/>
  <c r="W51" i="10"/>
  <c r="Z50" i="10"/>
  <c r="X50" i="10"/>
  <c r="W50" i="10"/>
  <c r="Z49" i="10"/>
  <c r="X49" i="10"/>
  <c r="W49" i="10"/>
  <c r="Z48" i="10"/>
  <c r="X48" i="10"/>
  <c r="W48" i="10"/>
  <c r="Z47" i="10"/>
  <c r="X47" i="10"/>
  <c r="W47" i="10"/>
  <c r="Z46" i="10"/>
  <c r="X46" i="10"/>
  <c r="W46" i="10"/>
  <c r="Z45" i="10"/>
  <c r="X45" i="10"/>
  <c r="W45" i="10"/>
  <c r="AI58" i="10"/>
  <c r="AJ58" i="10" s="1"/>
  <c r="AI56" i="10"/>
  <c r="AJ56" i="10" s="1"/>
  <c r="AI55" i="10"/>
  <c r="AJ55" i="10" s="1"/>
  <c r="AI54" i="10"/>
  <c r="AJ54" i="10" s="1"/>
  <c r="AI53" i="10"/>
  <c r="AJ53" i="10" s="1"/>
  <c r="AI52" i="10"/>
  <c r="AJ52" i="10" s="1"/>
  <c r="AI51" i="10"/>
  <c r="AJ51" i="10" s="1"/>
  <c r="AI50" i="10"/>
  <c r="AJ50" i="10" s="1"/>
  <c r="AI49" i="10"/>
  <c r="AJ49" i="10" s="1"/>
  <c r="AI48" i="10"/>
  <c r="AJ48" i="10" s="1"/>
  <c r="AE58" i="10"/>
  <c r="AD58" i="10"/>
  <c r="AC58" i="10"/>
  <c r="AE56" i="10"/>
  <c r="AD56" i="10"/>
  <c r="AC56" i="10"/>
  <c r="AE55" i="10"/>
  <c r="AD55" i="10"/>
  <c r="AC55" i="10"/>
  <c r="AE54" i="10"/>
  <c r="AD54" i="10"/>
  <c r="AC54" i="10"/>
  <c r="AE53" i="10"/>
  <c r="AD53" i="10"/>
  <c r="AC53" i="10"/>
  <c r="AE52" i="10"/>
  <c r="AD52" i="10"/>
  <c r="AC52" i="10"/>
  <c r="AE51" i="10"/>
  <c r="AD51" i="10"/>
  <c r="AC51" i="10"/>
  <c r="AE50" i="10"/>
  <c r="AD50" i="10"/>
  <c r="AC50" i="10"/>
  <c r="AE49" i="10"/>
  <c r="AD49" i="10"/>
  <c r="AC49" i="10"/>
  <c r="AE48" i="10"/>
  <c r="AD48" i="10"/>
  <c r="AC48" i="10"/>
  <c r="AE47" i="10"/>
  <c r="AD47" i="10"/>
  <c r="AC47" i="10"/>
  <c r="AE46" i="10"/>
  <c r="AD46" i="10"/>
  <c r="AC46" i="10"/>
  <c r="AE45" i="10"/>
  <c r="AD45" i="10"/>
  <c r="AC45" i="10"/>
  <c r="Z44" i="10"/>
  <c r="Z7" i="10"/>
  <c r="AH7" i="10" s="1"/>
  <c r="AI44" i="10"/>
  <c r="AJ44" i="10" s="1"/>
  <c r="AE44" i="10"/>
  <c r="AD44" i="10"/>
  <c r="AC44" i="10"/>
  <c r="X44" i="10"/>
  <c r="W44" i="10"/>
  <c r="Z1" i="10"/>
  <c r="O33" i="25"/>
  <c r="W37" i="10" s="1"/>
  <c r="Z40" i="10"/>
  <c r="W39" i="10"/>
  <c r="W36" i="10"/>
  <c r="W35" i="10"/>
  <c r="W34" i="10"/>
  <c r="W33" i="10"/>
  <c r="W32" i="10"/>
  <c r="W31" i="10"/>
  <c r="W30" i="10"/>
  <c r="W29" i="10"/>
  <c r="W28" i="10"/>
  <c r="W27" i="10"/>
  <c r="W26" i="10"/>
  <c r="W25" i="10"/>
  <c r="W24" i="10"/>
  <c r="W23" i="10"/>
  <c r="W22" i="10"/>
  <c r="W21" i="10"/>
  <c r="W20" i="10"/>
  <c r="W19" i="10"/>
  <c r="W18" i="10"/>
  <c r="W17" i="10"/>
  <c r="W16" i="10"/>
  <c r="W15" i="10"/>
  <c r="W14" i="10"/>
  <c r="W13" i="10"/>
  <c r="W12" i="10"/>
  <c r="W11" i="10"/>
  <c r="W10" i="10"/>
  <c r="W9" i="10"/>
  <c r="W8" i="10"/>
  <c r="W7" i="10"/>
  <c r="O34" i="25"/>
  <c r="W38" i="10" s="1"/>
  <c r="D48" i="27"/>
  <c r="D47" i="27"/>
  <c r="D46" i="27"/>
  <c r="D45" i="27"/>
  <c r="D44" i="27"/>
  <c r="AE23" i="10" s="1"/>
  <c r="D39" i="27"/>
  <c r="D43" i="27"/>
  <c r="D42" i="27"/>
  <c r="D41" i="27"/>
  <c r="D40" i="27"/>
  <c r="AE21" i="10"/>
  <c r="AE36" i="10"/>
  <c r="AC40" i="10"/>
  <c r="AC39" i="10"/>
  <c r="AC38" i="10"/>
  <c r="AC37" i="10"/>
  <c r="AC36" i="10"/>
  <c r="AC35" i="10"/>
  <c r="AC34" i="10"/>
  <c r="AC33" i="10"/>
  <c r="AC32" i="10"/>
  <c r="AC31" i="10"/>
  <c r="AC30" i="10"/>
  <c r="AC29" i="10"/>
  <c r="AC28" i="10"/>
  <c r="AC27" i="10"/>
  <c r="AC26" i="10"/>
  <c r="AC25" i="10"/>
  <c r="AC24" i="10"/>
  <c r="AC23" i="10"/>
  <c r="AC22" i="10"/>
  <c r="AC21" i="10"/>
  <c r="AC20" i="10"/>
  <c r="AC19" i="10"/>
  <c r="AC18" i="10"/>
  <c r="AC17" i="10"/>
  <c r="AC16" i="10"/>
  <c r="AC15" i="10"/>
  <c r="AC14" i="10"/>
  <c r="AC13" i="10"/>
  <c r="AC12" i="10"/>
  <c r="AC11" i="10"/>
  <c r="AC10" i="10"/>
  <c r="AC9" i="10"/>
  <c r="AC8" i="10"/>
  <c r="AC7" i="10"/>
  <c r="C4" i="28"/>
  <c r="C5" i="28" s="1"/>
  <c r="C6" i="28" s="1"/>
  <c r="C7" i="28" s="1"/>
  <c r="C8" i="28" s="1"/>
  <c r="X40" i="10"/>
  <c r="Z39" i="10"/>
  <c r="X39" i="10"/>
  <c r="Z36" i="10"/>
  <c r="X36" i="10"/>
  <c r="Z35" i="10"/>
  <c r="X35" i="10"/>
  <c r="Z34" i="10"/>
  <c r="X34" i="10"/>
  <c r="Z33" i="10"/>
  <c r="X33" i="10"/>
  <c r="Z32" i="10"/>
  <c r="X32" i="10"/>
  <c r="Z31" i="10"/>
  <c r="X31" i="10"/>
  <c r="Z30" i="10"/>
  <c r="X30" i="10"/>
  <c r="Z29" i="10"/>
  <c r="X29" i="10"/>
  <c r="Z28" i="10"/>
  <c r="X28" i="10"/>
  <c r="Z27" i="10"/>
  <c r="X27" i="10"/>
  <c r="AE40" i="10"/>
  <c r="AD40" i="10"/>
  <c r="AE39" i="10"/>
  <c r="AD39" i="10"/>
  <c r="AE38" i="10"/>
  <c r="AD38" i="10"/>
  <c r="AE37" i="10"/>
  <c r="AD37" i="10"/>
  <c r="AD36" i="10"/>
  <c r="AE35" i="10"/>
  <c r="AD35" i="10"/>
  <c r="AE34" i="10"/>
  <c r="AD34" i="10"/>
  <c r="AE33" i="10"/>
  <c r="AD33" i="10"/>
  <c r="AE32" i="10"/>
  <c r="AD32" i="10"/>
  <c r="AE31" i="10"/>
  <c r="AD31" i="10"/>
  <c r="AE30" i="10"/>
  <c r="AD30" i="10"/>
  <c r="AE29" i="10"/>
  <c r="AD29" i="10"/>
  <c r="AE28" i="10"/>
  <c r="AD28" i="10"/>
  <c r="AE27" i="10"/>
  <c r="AD27" i="10"/>
  <c r="AE26" i="10"/>
  <c r="AD26" i="10"/>
  <c r="AE25" i="10"/>
  <c r="AD25" i="10"/>
  <c r="AE24" i="10"/>
  <c r="AD24" i="10"/>
  <c r="AD23" i="10"/>
  <c r="AE22" i="10"/>
  <c r="AD22" i="10"/>
  <c r="AD21" i="10"/>
  <c r="AD20" i="10"/>
  <c r="AD19" i="10"/>
  <c r="AE18" i="10"/>
  <c r="AD18" i="10"/>
  <c r="AD17" i="10"/>
  <c r="AE16" i="10"/>
  <c r="AD16" i="10"/>
  <c r="AE15" i="10"/>
  <c r="AD15" i="10"/>
  <c r="AE14" i="10"/>
  <c r="AD14" i="10"/>
  <c r="AE13" i="10"/>
  <c r="AD13" i="10"/>
  <c r="AE12" i="10"/>
  <c r="AD12" i="10"/>
  <c r="AE11" i="10"/>
  <c r="AD11" i="10"/>
  <c r="AE10" i="10"/>
  <c r="AD10" i="10"/>
  <c r="AE9" i="10"/>
  <c r="AD9" i="10"/>
  <c r="AE8" i="10"/>
  <c r="AD8" i="10"/>
  <c r="D26" i="27"/>
  <c r="D25" i="27"/>
  <c r="AE19" i="10" s="1"/>
  <c r="D24" i="27"/>
  <c r="D23" i="27"/>
  <c r="D22" i="27"/>
  <c r="AE20" i="10" s="1"/>
  <c r="D21" i="27"/>
  <c r="D20" i="27"/>
  <c r="D19" i="27"/>
  <c r="AE17" i="10" s="1"/>
  <c r="K2" i="8"/>
  <c r="K2" i="19"/>
  <c r="E2" i="7"/>
  <c r="K2" i="11"/>
  <c r="AE2" i="14"/>
  <c r="AH1" i="13"/>
  <c r="R2" i="17"/>
  <c r="N2" i="22"/>
  <c r="J1" i="8"/>
  <c r="E1" i="7"/>
  <c r="K1" i="19"/>
  <c r="K1" i="11"/>
  <c r="AE1" i="14"/>
  <c r="N1" i="16"/>
  <c r="N1" i="22"/>
  <c r="R1" i="17"/>
  <c r="Z8" i="10"/>
  <c r="X9" i="10"/>
  <c r="Z9" i="10"/>
  <c r="X10" i="10"/>
  <c r="Z10" i="10"/>
  <c r="X11" i="10"/>
  <c r="Z11" i="10"/>
  <c r="X12" i="10"/>
  <c r="Z12" i="10"/>
  <c r="X13" i="10"/>
  <c r="Z13" i="10"/>
  <c r="X14" i="10"/>
  <c r="Z14" i="10"/>
  <c r="X15" i="10"/>
  <c r="Z15" i="10"/>
  <c r="X16" i="10"/>
  <c r="Z16" i="10"/>
  <c r="X17" i="10"/>
  <c r="Z17" i="10"/>
  <c r="X18" i="10"/>
  <c r="Z18" i="10"/>
  <c r="X19" i="10"/>
  <c r="Z19" i="10"/>
  <c r="X20" i="10"/>
  <c r="Z20" i="10"/>
  <c r="X21" i="10"/>
  <c r="Z21" i="10"/>
  <c r="X22" i="10"/>
  <c r="Z22" i="10"/>
  <c r="X23" i="10"/>
  <c r="Z23" i="10"/>
  <c r="X24" i="10"/>
  <c r="Z24" i="10"/>
  <c r="X25" i="10"/>
  <c r="Z25" i="10"/>
  <c r="X26" i="10"/>
  <c r="Z26" i="10"/>
  <c r="AI56" i="13" l="1"/>
  <c r="AI54" i="13"/>
  <c r="J33" i="19"/>
  <c r="J39" i="19"/>
  <c r="H29" i="29"/>
  <c r="I43" i="29"/>
  <c r="I50" i="29" s="1"/>
  <c r="J60" i="19"/>
  <c r="J61" i="19" s="1"/>
  <c r="I60" i="19"/>
  <c r="I61" i="19" s="1"/>
  <c r="AI55" i="13"/>
  <c r="BG52" i="13"/>
  <c r="AZ7" i="13"/>
  <c r="BS7" i="13" s="1"/>
  <c r="BQ7" i="13"/>
  <c r="K47" i="19"/>
  <c r="K54" i="19" s="1"/>
  <c r="C9" i="28"/>
  <c r="C10" i="28" s="1"/>
  <c r="C11" i="28" s="1"/>
  <c r="C12" i="28" s="1"/>
  <c r="C13" i="28" s="1"/>
  <c r="AI17" i="10" s="1"/>
  <c r="AJ17" i="10" s="1"/>
  <c r="AI7" i="10"/>
  <c r="AF29" i="10"/>
  <c r="AH29" i="10" s="1"/>
  <c r="I38" i="19"/>
  <c r="J38" i="19"/>
  <c r="I47" i="19"/>
  <c r="I54" i="19" s="1"/>
  <c r="J47" i="19"/>
  <c r="J54" i="19" s="1"/>
  <c r="J37" i="19"/>
  <c r="I37" i="19"/>
  <c r="AF19" i="10"/>
  <c r="AH19" i="10" s="1"/>
  <c r="AF49" i="10"/>
  <c r="AG49" i="10" s="1"/>
  <c r="Y49" i="10" s="1"/>
  <c r="AF33" i="10"/>
  <c r="AG33" i="10" s="1"/>
  <c r="AF25" i="10"/>
  <c r="AH25" i="10" s="1"/>
  <c r="AF53" i="10"/>
  <c r="AL53" i="10" s="1"/>
  <c r="AN53" i="10" s="1"/>
  <c r="AP53" i="10" s="1"/>
  <c r="AF20" i="10"/>
  <c r="AG20" i="10" s="1"/>
  <c r="AF17" i="10"/>
  <c r="AG17" i="10" s="1"/>
  <c r="AF18" i="10"/>
  <c r="AG18" i="10" s="1"/>
  <c r="AF24" i="10"/>
  <c r="AG24" i="10" s="1"/>
  <c r="AF38" i="10"/>
  <c r="AF11" i="10"/>
  <c r="AG11" i="10" s="1"/>
  <c r="AF8" i="10"/>
  <c r="AG8" i="10" s="1"/>
  <c r="AF12" i="10"/>
  <c r="AG12" i="10" s="1"/>
  <c r="AF16" i="10"/>
  <c r="AG16" i="10" s="1"/>
  <c r="AF22" i="10"/>
  <c r="AG22" i="10" s="1"/>
  <c r="AF50" i="10"/>
  <c r="AH50" i="10" s="1"/>
  <c r="AA50" i="10" s="1"/>
  <c r="AF58" i="10"/>
  <c r="V58" i="10" s="1"/>
  <c r="AF15" i="10"/>
  <c r="AG15" i="10" s="1"/>
  <c r="K61" i="19"/>
  <c r="J40" i="19"/>
  <c r="I40" i="19"/>
  <c r="H46" i="19"/>
  <c r="G3" i="7" s="1"/>
  <c r="AF52" i="10"/>
  <c r="AH52" i="10" s="1"/>
  <c r="AA52" i="10" s="1"/>
  <c r="AF47" i="10"/>
  <c r="AH47" i="10" s="1"/>
  <c r="AF55" i="10"/>
  <c r="AG55" i="10" s="1"/>
  <c r="Y55" i="10" s="1"/>
  <c r="AF56" i="10"/>
  <c r="V56" i="10" s="1"/>
  <c r="AF45" i="10"/>
  <c r="AG45" i="10" s="1"/>
  <c r="AF44" i="10"/>
  <c r="AH44" i="10" s="1"/>
  <c r="AF51" i="10"/>
  <c r="AH51" i="10" s="1"/>
  <c r="AA51" i="10" s="1"/>
  <c r="AF48" i="10"/>
  <c r="AG48" i="10" s="1"/>
  <c r="Y48" i="10" s="1"/>
  <c r="AF46" i="10"/>
  <c r="AH46" i="10" s="1"/>
  <c r="AF54" i="10"/>
  <c r="AG54" i="10" s="1"/>
  <c r="Y54" i="10" s="1"/>
  <c r="AF26" i="10"/>
  <c r="AG26" i="10" s="1"/>
  <c r="AF30" i="10"/>
  <c r="AG30" i="10" s="1"/>
  <c r="AF34" i="10"/>
  <c r="AG34" i="10" s="1"/>
  <c r="AF39" i="10"/>
  <c r="AG39" i="10" s="1"/>
  <c r="AF27" i="10"/>
  <c r="AG27" i="10" s="1"/>
  <c r="AF31" i="10"/>
  <c r="AG31" i="10" s="1"/>
  <c r="AF35" i="10"/>
  <c r="AG35" i="10" s="1"/>
  <c r="AF9" i="10"/>
  <c r="AG9" i="10" s="1"/>
  <c r="AF13" i="10"/>
  <c r="AH13" i="10" s="1"/>
  <c r="AF40" i="10"/>
  <c r="AG40" i="10" s="1"/>
  <c r="AF23" i="10"/>
  <c r="AH23" i="10" s="1"/>
  <c r="AF28" i="10"/>
  <c r="AG28" i="10" s="1"/>
  <c r="AF32" i="10"/>
  <c r="AG32" i="10" s="1"/>
  <c r="AF36" i="10"/>
  <c r="AG36" i="10" s="1"/>
  <c r="AF10" i="10"/>
  <c r="AG10" i="10" s="1"/>
  <c r="AF14" i="10"/>
  <c r="AG14" i="10" s="1"/>
  <c r="AF37" i="10"/>
  <c r="AF21" i="10"/>
  <c r="AH21" i="10" s="1"/>
  <c r="AG29" i="10"/>
  <c r="AI14" i="10"/>
  <c r="AJ14" i="10" s="1"/>
  <c r="AI15" i="10"/>
  <c r="AJ15" i="10" s="1"/>
  <c r="AI13" i="10"/>
  <c r="AJ13" i="10" s="1"/>
  <c r="AI46" i="10"/>
  <c r="AJ46" i="10" s="1"/>
  <c r="AI47" i="10"/>
  <c r="AJ47" i="10" s="1"/>
  <c r="AI16" i="10"/>
  <c r="AJ16" i="10" s="1"/>
  <c r="AI9" i="10"/>
  <c r="AJ9" i="10" s="1"/>
  <c r="AI10" i="10"/>
  <c r="AJ10" i="10" s="1"/>
  <c r="AI11" i="10"/>
  <c r="AJ11" i="10" s="1"/>
  <c r="AI12" i="10"/>
  <c r="AJ12" i="10" s="1"/>
  <c r="AI45" i="10"/>
  <c r="AJ45" i="10" s="1"/>
  <c r="AI40" i="10"/>
  <c r="AJ40" i="10" s="1"/>
  <c r="W40" i="10"/>
  <c r="AI8" i="10"/>
  <c r="AJ8" i="10" s="1"/>
  <c r="C14" i="28"/>
  <c r="K33" i="19" l="1"/>
  <c r="K39" i="19"/>
  <c r="I29" i="29"/>
  <c r="I35" i="29"/>
  <c r="I42" i="29" s="1"/>
  <c r="K38" i="19"/>
  <c r="AJ7" i="10"/>
  <c r="AI7" i="13"/>
  <c r="AG56" i="10"/>
  <c r="Y56" i="10" s="1"/>
  <c r="AH56" i="10"/>
  <c r="AA56" i="10" s="1"/>
  <c r="AH53" i="10"/>
  <c r="AA53" i="10" s="1"/>
  <c r="AH49" i="10"/>
  <c r="AA49" i="10" s="1"/>
  <c r="AG19" i="10"/>
  <c r="AH40" i="10"/>
  <c r="AA40" i="10" s="1"/>
  <c r="AL44" i="10"/>
  <c r="AN44" i="10" s="1"/>
  <c r="AP44" i="10" s="1"/>
  <c r="I46" i="19"/>
  <c r="J46" i="19"/>
  <c r="AG25" i="10"/>
  <c r="Y25" i="10" s="1"/>
  <c r="AH33" i="10"/>
  <c r="AA33" i="10" s="1"/>
  <c r="AH30" i="10"/>
  <c r="AA30" i="10" s="1"/>
  <c r="AH17" i="10"/>
  <c r="AA17" i="10" s="1"/>
  <c r="AG13" i="10"/>
  <c r="Y13" i="10" s="1"/>
  <c r="AH11" i="10"/>
  <c r="AA11" i="10" s="1"/>
  <c r="AL56" i="10"/>
  <c r="AN56" i="10" s="1"/>
  <c r="AP56" i="10" s="1"/>
  <c r="AL51" i="10"/>
  <c r="AN51" i="10" s="1"/>
  <c r="AP51" i="10" s="1"/>
  <c r="AL49" i="10"/>
  <c r="AN49" i="10" s="1"/>
  <c r="AP49" i="10" s="1"/>
  <c r="V49" i="10"/>
  <c r="V53" i="10"/>
  <c r="AL50" i="10"/>
  <c r="AN50" i="10" s="1"/>
  <c r="AP50" i="10" s="1"/>
  <c r="AG53" i="10"/>
  <c r="Y53" i="10" s="1"/>
  <c r="V50" i="10"/>
  <c r="AH18" i="10"/>
  <c r="AA18" i="10" s="1"/>
  <c r="AH26" i="10"/>
  <c r="AA26" i="10" s="1"/>
  <c r="AG50" i="10"/>
  <c r="Y50" i="10" s="1"/>
  <c r="AH10" i="10"/>
  <c r="AA10" i="10" s="1"/>
  <c r="V55" i="10"/>
  <c r="AL55" i="10"/>
  <c r="AN55" i="10" s="1"/>
  <c r="AP55" i="10" s="1"/>
  <c r="AG52" i="10"/>
  <c r="Y52" i="10" s="1"/>
  <c r="AH16" i="10"/>
  <c r="AA16" i="10" s="1"/>
  <c r="AH24" i="10"/>
  <c r="AA24" i="10" s="1"/>
  <c r="AH8" i="10"/>
  <c r="AH20" i="10"/>
  <c r="AA20" i="10" s="1"/>
  <c r="AH45" i="10"/>
  <c r="AA45" i="10" s="1"/>
  <c r="AG58" i="10"/>
  <c r="Y58" i="10" s="1"/>
  <c r="AH55" i="10"/>
  <c r="AA55" i="10" s="1"/>
  <c r="AH22" i="10"/>
  <c r="AA22" i="10" s="1"/>
  <c r="V48" i="10"/>
  <c r="AH39" i="10"/>
  <c r="AA39" i="10" s="1"/>
  <c r="AH9" i="10"/>
  <c r="AA9" i="10" s="1"/>
  <c r="AH31" i="10"/>
  <c r="AA31" i="10" s="1"/>
  <c r="AL52" i="10"/>
  <c r="AN52" i="10" s="1"/>
  <c r="AP52" i="10" s="1"/>
  <c r="AH27" i="10"/>
  <c r="AA27" i="10" s="1"/>
  <c r="AL54" i="10"/>
  <c r="AN54" i="10" s="1"/>
  <c r="AP54" i="10" s="1"/>
  <c r="V52" i="10"/>
  <c r="AH14" i="10"/>
  <c r="AA14" i="10" s="1"/>
  <c r="AG44" i="10"/>
  <c r="Y44" i="10" s="1"/>
  <c r="AH36" i="10"/>
  <c r="AA36" i="10" s="1"/>
  <c r="AH58" i="10"/>
  <c r="AA58" i="10" s="1"/>
  <c r="AG46" i="10"/>
  <c r="Y46" i="10" s="1"/>
  <c r="V46" i="10"/>
  <c r="AL58" i="10"/>
  <c r="AN58" i="10" s="1"/>
  <c r="AP58" i="10" s="1"/>
  <c r="AH34" i="10"/>
  <c r="AA34" i="10" s="1"/>
  <c r="AL47" i="10"/>
  <c r="AN47" i="10" s="1"/>
  <c r="AH12" i="10"/>
  <c r="AA12" i="10" s="1"/>
  <c r="AH54" i="10"/>
  <c r="AA54" i="10" s="1"/>
  <c r="AH35" i="10"/>
  <c r="AA35" i="10" s="1"/>
  <c r="AG21" i="10"/>
  <c r="Y21" i="10" s="1"/>
  <c r="V54" i="10"/>
  <c r="AG47" i="10"/>
  <c r="Y47" i="10" s="1"/>
  <c r="AH48" i="10"/>
  <c r="AA48" i="10" s="1"/>
  <c r="AG23" i="10"/>
  <c r="Y23" i="10" s="1"/>
  <c r="AL48" i="10"/>
  <c r="AN48" i="10" s="1"/>
  <c r="AP48" i="10" s="1"/>
  <c r="AH15" i="10"/>
  <c r="AA15" i="10" s="1"/>
  <c r="I57" i="29"/>
  <c r="V51" i="10"/>
  <c r="AG51" i="10"/>
  <c r="Y51" i="10" s="1"/>
  <c r="AH32" i="10"/>
  <c r="AA32" i="10" s="1"/>
  <c r="AH28" i="10"/>
  <c r="AA28" i="10" s="1"/>
  <c r="C15" i="28"/>
  <c r="AI18" i="10"/>
  <c r="AJ18" i="10" s="1"/>
  <c r="V47" i="10"/>
  <c r="AL46" i="10"/>
  <c r="AN46" i="10" s="1"/>
  <c r="AA47" i="10"/>
  <c r="AL45" i="10"/>
  <c r="AN45" i="10" s="1"/>
  <c r="Y45" i="10"/>
  <c r="V45" i="10"/>
  <c r="AA46" i="10"/>
  <c r="V10" i="10"/>
  <c r="AL10" i="10"/>
  <c r="V33" i="10"/>
  <c r="AL33" i="10"/>
  <c r="V27" i="10"/>
  <c r="AL27" i="10"/>
  <c r="V37" i="10"/>
  <c r="AL37" i="10"/>
  <c r="V25" i="10"/>
  <c r="AL25" i="10"/>
  <c r="AN25" i="10" s="1"/>
  <c r="AP25" i="10" s="1"/>
  <c r="V16" i="10"/>
  <c r="AL16" i="10"/>
  <c r="V39" i="10"/>
  <c r="AL39" i="10"/>
  <c r="V18" i="10"/>
  <c r="AL18" i="10"/>
  <c r="AN18" i="10" s="1"/>
  <c r="AP18" i="10" s="1"/>
  <c r="V8" i="10"/>
  <c r="AL8" i="10"/>
  <c r="V34" i="10"/>
  <c r="AL34" i="10"/>
  <c r="V22" i="10"/>
  <c r="AL22" i="10"/>
  <c r="V28" i="10"/>
  <c r="AL28" i="10"/>
  <c r="AN28" i="10" s="1"/>
  <c r="AP28" i="10" s="1"/>
  <c r="V31" i="10"/>
  <c r="AL31" i="10"/>
  <c r="AN31" i="10" s="1"/>
  <c r="AP31" i="10" s="1"/>
  <c r="V17" i="10"/>
  <c r="AL17" i="10"/>
  <c r="V20" i="10"/>
  <c r="AL20" i="10"/>
  <c r="AN20" i="10" s="1"/>
  <c r="AP20" i="10" s="1"/>
  <c r="V23" i="10"/>
  <c r="AL23" i="10"/>
  <c r="V14" i="10"/>
  <c r="AL14" i="10"/>
  <c r="V19" i="10"/>
  <c r="AL19" i="10"/>
  <c r="AN19" i="10" s="1"/>
  <c r="AP19" i="10" s="1"/>
  <c r="V40" i="10"/>
  <c r="AL40" i="10"/>
  <c r="V38" i="10"/>
  <c r="AL38" i="10"/>
  <c r="V24" i="10"/>
  <c r="AL24" i="10"/>
  <c r="V26" i="10"/>
  <c r="AL26" i="10"/>
  <c r="AN26" i="10" s="1"/>
  <c r="AP26" i="10" s="1"/>
  <c r="V29" i="10"/>
  <c r="AL29" i="10"/>
  <c r="AN29" i="10" s="1"/>
  <c r="AP29" i="10" s="1"/>
  <c r="V21" i="10"/>
  <c r="AL21" i="10"/>
  <c r="V12" i="10"/>
  <c r="AL12" i="10"/>
  <c r="V36" i="10"/>
  <c r="AL36" i="10"/>
  <c r="V35" i="10"/>
  <c r="AL35" i="10"/>
  <c r="V13" i="10"/>
  <c r="AL13" i="10"/>
  <c r="V15" i="10"/>
  <c r="AL15" i="10"/>
  <c r="V11" i="10"/>
  <c r="AL11" i="10"/>
  <c r="V32" i="10"/>
  <c r="AL32" i="10"/>
  <c r="V30" i="10"/>
  <c r="AL30" i="10"/>
  <c r="AN30" i="10" s="1"/>
  <c r="AP30" i="10" s="1"/>
  <c r="V7" i="10"/>
  <c r="AL7" i="10"/>
  <c r="V9" i="10"/>
  <c r="AL9" i="10"/>
  <c r="AA7" i="10"/>
  <c r="Y11" i="10"/>
  <c r="Y34" i="10"/>
  <c r="Y15" i="10"/>
  <c r="Y8" i="10"/>
  <c r="Y32" i="10"/>
  <c r="Y17" i="10"/>
  <c r="Y30" i="10"/>
  <c r="Y36" i="10"/>
  <c r="Y19" i="10"/>
  <c r="Y12" i="10"/>
  <c r="Y28" i="10"/>
  <c r="Y10" i="10"/>
  <c r="AA13" i="10"/>
  <c r="Y16" i="10"/>
  <c r="Y39" i="10"/>
  <c r="Y14" i="10"/>
  <c r="AA21" i="10"/>
  <c r="AA29" i="10"/>
  <c r="Y20" i="10"/>
  <c r="Y35" i="10"/>
  <c r="Y18" i="10"/>
  <c r="AA25" i="10"/>
  <c r="Y24" i="10"/>
  <c r="Y31" i="10"/>
  <c r="Y22" i="10"/>
  <c r="AA19" i="10"/>
  <c r="Y33" i="10"/>
  <c r="Y27" i="10"/>
  <c r="Y26" i="10"/>
  <c r="Y29" i="10"/>
  <c r="Y9" i="10"/>
  <c r="AA23" i="10"/>
  <c r="V44" i="10"/>
  <c r="AA44" i="10"/>
  <c r="Y40" i="10"/>
  <c r="Y7" i="10"/>
  <c r="K46" i="19" l="1"/>
  <c r="AA8" i="10"/>
  <c r="AN12" i="10"/>
  <c r="F11" i="29"/>
  <c r="AN14" i="10"/>
  <c r="F13" i="29"/>
  <c r="AN8" i="10"/>
  <c r="F7" i="29"/>
  <c r="AN15" i="10"/>
  <c r="F14" i="29"/>
  <c r="AN21" i="10"/>
  <c r="F17" i="29"/>
  <c r="F27" i="29"/>
  <c r="AN23" i="10"/>
  <c r="F19" i="29"/>
  <c r="AN10" i="10"/>
  <c r="F9" i="29"/>
  <c r="AN7" i="10"/>
  <c r="F6" i="29"/>
  <c r="AN32" i="10"/>
  <c r="F22" i="29"/>
  <c r="AN35" i="10"/>
  <c r="F25" i="29"/>
  <c r="AN40" i="10"/>
  <c r="F30" i="29"/>
  <c r="AN22" i="10"/>
  <c r="F18" i="29"/>
  <c r="AN39" i="10"/>
  <c r="F28" i="29"/>
  <c r="AN27" i="10"/>
  <c r="F21" i="29"/>
  <c r="AN24" i="10"/>
  <c r="F20" i="29"/>
  <c r="F31" i="29"/>
  <c r="AN13" i="10"/>
  <c r="F12" i="29"/>
  <c r="AN9" i="10"/>
  <c r="F8" i="29"/>
  <c r="AN11" i="10"/>
  <c r="F10" i="29"/>
  <c r="AN36" i="10"/>
  <c r="F26" i="29"/>
  <c r="AN17" i="10"/>
  <c r="F16" i="29"/>
  <c r="AN34" i="10"/>
  <c r="F24" i="29"/>
  <c r="AN16" i="10"/>
  <c r="F15" i="29"/>
  <c r="AN33" i="10"/>
  <c r="F23" i="29"/>
  <c r="C16" i="28"/>
  <c r="AI19" i="10"/>
  <c r="AJ19" i="10" s="1"/>
  <c r="AP47" i="10"/>
  <c r="AP46" i="10"/>
  <c r="AP45" i="10"/>
  <c r="H6" i="29" l="1"/>
  <c r="H11" i="29"/>
  <c r="AP16" i="10"/>
  <c r="AP11" i="10"/>
  <c r="AP24" i="10"/>
  <c r="AP40" i="10"/>
  <c r="AP10" i="10"/>
  <c r="AP15" i="10"/>
  <c r="AP34" i="10"/>
  <c r="AP9" i="10"/>
  <c r="AP27" i="10"/>
  <c r="AP35" i="10"/>
  <c r="AP23" i="10"/>
  <c r="AP8" i="10"/>
  <c r="AP17" i="10"/>
  <c r="AP13" i="10"/>
  <c r="AP39" i="10"/>
  <c r="AP32" i="10"/>
  <c r="AP14" i="10"/>
  <c r="AP33" i="10"/>
  <c r="AP36" i="10"/>
  <c r="AP22" i="10"/>
  <c r="AP7" i="10"/>
  <c r="AP21" i="10"/>
  <c r="AP12" i="10"/>
  <c r="C17" i="28"/>
  <c r="AI20" i="10"/>
  <c r="AJ20" i="10" s="1"/>
  <c r="I6" i="29" l="1"/>
  <c r="I11" i="29"/>
  <c r="C18" i="28"/>
  <c r="AI21" i="10"/>
  <c r="K36" i="24"/>
  <c r="K35" i="24"/>
  <c r="E36" i="24"/>
  <c r="E35" i="24"/>
  <c r="Z37" i="10" s="1"/>
  <c r="AJ21" i="10" l="1"/>
  <c r="J36" i="24"/>
  <c r="AO38" i="10" s="1"/>
  <c r="Z38" i="10"/>
  <c r="C19" i="28"/>
  <c r="AI22" i="10"/>
  <c r="J35" i="24"/>
  <c r="AO37" i="10" s="1"/>
  <c r="C36" i="24"/>
  <c r="X38" i="10" s="1"/>
  <c r="C35" i="24"/>
  <c r="X37" i="10" s="1"/>
  <c r="AJ22" i="10" l="1"/>
  <c r="AG38" i="10"/>
  <c r="Y38" i="10" s="1"/>
  <c r="AH38" i="10"/>
  <c r="AA38" i="10" s="1"/>
  <c r="AG37" i="10"/>
  <c r="Y37" i="10" s="1"/>
  <c r="AH37" i="10"/>
  <c r="AA37" i="10" s="1"/>
  <c r="C20" i="28"/>
  <c r="AI23" i="10"/>
  <c r="AJ23" i="10" s="1"/>
  <c r="H36" i="24"/>
  <c r="AM38" i="10" s="1"/>
  <c r="AN38" i="10" s="1"/>
  <c r="H35" i="24"/>
  <c r="AM37" i="10" s="1"/>
  <c r="AN37" i="10" s="1"/>
  <c r="S80" i="17"/>
  <c r="R80" i="17"/>
  <c r="S79" i="17"/>
  <c r="R79" i="17"/>
  <c r="S78" i="17"/>
  <c r="R78" i="17"/>
  <c r="S77" i="17"/>
  <c r="R77" i="17"/>
  <c r="S76" i="17"/>
  <c r="R76" i="17"/>
  <c r="S75" i="17"/>
  <c r="R75" i="17"/>
  <c r="S74" i="17"/>
  <c r="R74" i="17"/>
  <c r="S73" i="17"/>
  <c r="R73" i="17"/>
  <c r="S72" i="17"/>
  <c r="R72" i="17"/>
  <c r="S71" i="17"/>
  <c r="R71" i="17"/>
  <c r="S70" i="17"/>
  <c r="R70" i="17"/>
  <c r="S69" i="17"/>
  <c r="R69" i="17"/>
  <c r="S68" i="17"/>
  <c r="R68" i="17"/>
  <c r="S67" i="17"/>
  <c r="R67" i="17"/>
  <c r="S66" i="17"/>
  <c r="R66" i="17"/>
  <c r="S65" i="17"/>
  <c r="R65" i="17"/>
  <c r="S64" i="17"/>
  <c r="R64" i="17"/>
  <c r="S63" i="17"/>
  <c r="R63" i="17"/>
  <c r="S62" i="17"/>
  <c r="R62" i="17"/>
  <c r="S61" i="17"/>
  <c r="R61" i="17"/>
  <c r="S60" i="17"/>
  <c r="R60" i="17"/>
  <c r="S59" i="17"/>
  <c r="R59" i="17"/>
  <c r="S58" i="17"/>
  <c r="R58" i="17"/>
  <c r="S57" i="17"/>
  <c r="R57" i="17"/>
  <c r="S56" i="17"/>
  <c r="R56" i="17"/>
  <c r="S55" i="17"/>
  <c r="R55" i="17"/>
  <c r="S54" i="17"/>
  <c r="R54" i="17"/>
  <c r="S53" i="17"/>
  <c r="R53" i="17"/>
  <c r="S52" i="17"/>
  <c r="R52" i="17"/>
  <c r="S51" i="17"/>
  <c r="R51" i="17"/>
  <c r="S50" i="17"/>
  <c r="R50" i="17"/>
  <c r="S49" i="17"/>
  <c r="R49" i="17"/>
  <c r="S48" i="17"/>
  <c r="R48" i="17"/>
  <c r="S47" i="17"/>
  <c r="R47" i="17"/>
  <c r="S46" i="17"/>
  <c r="R46" i="17"/>
  <c r="R42" i="17"/>
  <c r="R41" i="17"/>
  <c r="AP37" i="10" l="1"/>
  <c r="AP38" i="10"/>
  <c r="C21" i="28"/>
  <c r="AI24" i="10"/>
  <c r="AJ24" i="10" s="1"/>
  <c r="H32" i="29" l="1"/>
  <c r="I32" i="29"/>
  <c r="I58" i="29" s="1"/>
  <c r="C22" i="28"/>
  <c r="AI28" i="10"/>
  <c r="AJ28" i="10" s="1"/>
  <c r="AI25" i="10"/>
  <c r="AJ25" i="10" s="1"/>
  <c r="S12" i="17"/>
  <c r="R12" i="17"/>
  <c r="S10" i="17"/>
  <c r="C23" i="28" l="1"/>
  <c r="AI26" i="10"/>
  <c r="AJ26" i="10" s="1"/>
  <c r="AI29" i="10"/>
  <c r="AJ29" i="10" s="1"/>
  <c r="J23" i="8"/>
  <c r="C24" i="28" l="1"/>
  <c r="AI27" i="10"/>
  <c r="AJ27" i="10" s="1"/>
  <c r="AI30" i="10"/>
  <c r="AJ30" i="10" s="1"/>
  <c r="C25" i="28" l="1"/>
  <c r="AI31" i="10"/>
  <c r="AJ31" i="10" s="1"/>
  <c r="N36" i="15"/>
  <c r="D36" i="24" s="1"/>
  <c r="I36" i="24" s="1"/>
  <c r="N35" i="15"/>
  <c r="D35" i="24" s="1"/>
  <c r="I35" i="24" s="1"/>
  <c r="S34" i="17"/>
  <c r="R34" i="17"/>
  <c r="S33" i="17"/>
  <c r="R33" i="17"/>
  <c r="S32" i="17"/>
  <c r="R32" i="17"/>
  <c r="S31" i="17"/>
  <c r="R31" i="17"/>
  <c r="S30" i="17"/>
  <c r="R30" i="17"/>
  <c r="S29" i="17"/>
  <c r="R29" i="17"/>
  <c r="S28" i="17"/>
  <c r="R28" i="17"/>
  <c r="S27" i="17"/>
  <c r="R27" i="17"/>
  <c r="S26" i="17"/>
  <c r="R26" i="17"/>
  <c r="S25" i="17"/>
  <c r="R25" i="17"/>
  <c r="S24" i="17"/>
  <c r="R24" i="17"/>
  <c r="S23" i="17"/>
  <c r="R23" i="17"/>
  <c r="S22" i="17"/>
  <c r="R22" i="17"/>
  <c r="S21" i="17"/>
  <c r="R21" i="17"/>
  <c r="S20" i="17"/>
  <c r="R20" i="17"/>
  <c r="S19" i="17"/>
  <c r="R19" i="17"/>
  <c r="S18" i="17"/>
  <c r="R18" i="17"/>
  <c r="S17" i="17"/>
  <c r="R17" i="17"/>
  <c r="S16" i="17"/>
  <c r="R16" i="17"/>
  <c r="S15" i="17"/>
  <c r="R15" i="17"/>
  <c r="S14" i="17"/>
  <c r="R14" i="17"/>
  <c r="S13" i="17"/>
  <c r="R13" i="17"/>
  <c r="S11" i="17"/>
  <c r="R11" i="17"/>
  <c r="R10" i="17"/>
  <c r="N2" i="16"/>
  <c r="Q27" i="15"/>
  <c r="Q8" i="15"/>
  <c r="Q3" i="15"/>
  <c r="R6" i="17" l="1"/>
  <c r="G14" i="15" s="1"/>
  <c r="S6" i="17"/>
  <c r="C26" i="28"/>
  <c r="AI32" i="10"/>
  <c r="AJ32" i="10" s="1"/>
  <c r="C27" i="28" l="1"/>
  <c r="AI33" i="10"/>
  <c r="AJ33" i="10" s="1"/>
  <c r="C28" i="28" l="1"/>
  <c r="AI34" i="10"/>
  <c r="AJ34" i="10" s="1"/>
  <c r="C29" i="28" l="1"/>
  <c r="AI35" i="10"/>
  <c r="AJ35" i="10" s="1"/>
  <c r="C30" i="28" l="1"/>
  <c r="AI36" i="10"/>
  <c r="AJ36" i="10" s="1"/>
  <c r="C31" i="28" l="1"/>
  <c r="AI37" i="10"/>
  <c r="AJ37" i="10" s="1"/>
  <c r="C32" i="28" l="1"/>
  <c r="AI38" i="10"/>
  <c r="AJ38" i="10" s="1"/>
  <c r="K28" i="19" l="1"/>
  <c r="C34" i="28"/>
  <c r="AI39" i="10"/>
  <c r="M22" i="19" l="1"/>
  <c r="M19" i="19"/>
  <c r="M35" i="19"/>
  <c r="M21" i="19"/>
  <c r="M26" i="19"/>
  <c r="M12" i="19"/>
  <c r="M10" i="19"/>
  <c r="M23" i="19"/>
  <c r="M6" i="19"/>
  <c r="M11" i="19"/>
  <c r="M25" i="19"/>
  <c r="F6" i="19"/>
  <c r="M24" i="19"/>
  <c r="M14" i="19"/>
  <c r="M17" i="19"/>
  <c r="M7" i="19"/>
  <c r="M18" i="19"/>
  <c r="M16" i="19"/>
  <c r="M27" i="19"/>
  <c r="M13" i="19"/>
  <c r="M20" i="19"/>
  <c r="M31" i="19"/>
  <c r="M30" i="19"/>
  <c r="M32" i="19"/>
  <c r="M28" i="19"/>
  <c r="M34" i="19"/>
  <c r="M29" i="19"/>
  <c r="M8" i="19"/>
  <c r="M15" i="19"/>
  <c r="M9" i="19"/>
  <c r="H34" i="19"/>
  <c r="AJ39" i="10"/>
  <c r="H10" i="19"/>
  <c r="K30" i="19"/>
  <c r="K6" i="19"/>
  <c r="H35" i="19"/>
  <c r="H32" i="19"/>
  <c r="H14" i="19"/>
  <c r="K8" i="19"/>
  <c r="K19" i="19"/>
  <c r="H22" i="19"/>
  <c r="K23" i="19"/>
  <c r="K15" i="19"/>
  <c r="K27" i="19"/>
  <c r="H6" i="19"/>
  <c r="K16" i="19"/>
  <c r="K34" i="19"/>
  <c r="H24" i="19"/>
  <c r="H16" i="19"/>
  <c r="H31" i="19"/>
  <c r="H18" i="19"/>
  <c r="K18" i="19"/>
  <c r="H13" i="19"/>
  <c r="H17" i="19"/>
  <c r="H25" i="19"/>
  <c r="K22" i="19"/>
  <c r="H11" i="19"/>
  <c r="H27" i="19"/>
  <c r="H19" i="19"/>
  <c r="H20" i="19"/>
  <c r="H9" i="19"/>
  <c r="H21" i="19"/>
  <c r="H29" i="19"/>
  <c r="K35" i="19"/>
  <c r="H7" i="19"/>
  <c r="K24" i="19"/>
  <c r="H28" i="19"/>
  <c r="K31" i="19"/>
  <c r="H30" i="19"/>
  <c r="K17" i="19"/>
  <c r="K11" i="19"/>
  <c r="K29" i="19"/>
  <c r="H12" i="19"/>
  <c r="K25" i="19"/>
  <c r="H23" i="19"/>
  <c r="K20" i="19"/>
  <c r="K32" i="19"/>
  <c r="K26" i="19"/>
  <c r="K7" i="19"/>
  <c r="K12" i="19"/>
  <c r="K21" i="19"/>
  <c r="K10" i="19"/>
  <c r="K9" i="19"/>
  <c r="K13" i="19"/>
  <c r="H26" i="19"/>
  <c r="H15" i="19"/>
  <c r="H8" i="19"/>
  <c r="K14" i="19"/>
  <c r="F17" i="19"/>
  <c r="F11" i="19"/>
  <c r="F12" i="19"/>
  <c r="F20" i="19"/>
  <c r="F19" i="19"/>
  <c r="F18" i="19"/>
  <c r="F21" i="19"/>
  <c r="F26" i="19"/>
  <c r="F13" i="19"/>
  <c r="F9" i="19"/>
  <c r="F29" i="19"/>
  <c r="F8" i="19"/>
  <c r="F31" i="19"/>
  <c r="F14" i="19"/>
  <c r="F10" i="19"/>
  <c r="F25" i="19"/>
  <c r="F35" i="19"/>
  <c r="F24" i="19"/>
  <c r="F32" i="19"/>
  <c r="F7" i="19"/>
  <c r="F15" i="19"/>
  <c r="F28" i="19"/>
  <c r="F34" i="19"/>
  <c r="F22" i="19"/>
  <c r="F30" i="19"/>
  <c r="F16" i="19"/>
  <c r="F23" i="19"/>
  <c r="F27" i="19"/>
  <c r="K36" i="19" l="1"/>
  <c r="K69" i="19" s="1"/>
  <c r="J6" i="19"/>
  <c r="H36" i="19"/>
  <c r="H69" i="19" s="1"/>
  <c r="I6" i="19"/>
  <c r="J7" i="19"/>
  <c r="I7" i="19"/>
  <c r="J34" i="19"/>
  <c r="I34" i="19"/>
  <c r="J30" i="19"/>
  <c r="I30" i="19"/>
  <c r="J15" i="19"/>
  <c r="I15" i="19"/>
  <c r="J18" i="19"/>
  <c r="I18" i="19"/>
  <c r="J12" i="19"/>
  <c r="I12" i="19"/>
  <c r="J35" i="19"/>
  <c r="I35" i="19"/>
  <c r="J31" i="19"/>
  <c r="I31" i="19"/>
  <c r="J10" i="19"/>
  <c r="I10" i="19"/>
  <c r="J25" i="19"/>
  <c r="I25" i="19"/>
  <c r="J11" i="19"/>
  <c r="I11" i="19"/>
  <c r="J16" i="19"/>
  <c r="I16" i="19"/>
  <c r="J23" i="19"/>
  <c r="I23" i="19"/>
  <c r="J32" i="19"/>
  <c r="I32" i="19"/>
  <c r="J9" i="19"/>
  <c r="I9" i="19"/>
  <c r="J20" i="19"/>
  <c r="I20" i="19"/>
  <c r="J28" i="19"/>
  <c r="I28" i="19"/>
  <c r="J27" i="19"/>
  <c r="I27" i="19"/>
  <c r="J21" i="19"/>
  <c r="I21" i="19"/>
  <c r="J19" i="19"/>
  <c r="I19" i="19"/>
  <c r="J8" i="19"/>
  <c r="I8" i="19"/>
  <c r="J14" i="19"/>
  <c r="I14" i="19"/>
  <c r="J22" i="19"/>
  <c r="I22" i="19"/>
  <c r="J24" i="19"/>
  <c r="I24" i="19"/>
  <c r="J17" i="19"/>
  <c r="I17" i="19"/>
  <c r="J26" i="19"/>
  <c r="I26" i="19"/>
  <c r="J13" i="19"/>
  <c r="I13" i="19"/>
  <c r="J29" i="19"/>
  <c r="I29" i="19"/>
  <c r="H104" i="19" l="1"/>
  <c r="H105" i="19" s="1"/>
  <c r="I36" i="19"/>
  <c r="J36" i="19"/>
  <c r="J69" i="19" l="1"/>
  <c r="I69" i="19"/>
  <c r="G17" i="15"/>
  <c r="H102" i="19" l="1"/>
  <c r="G15" i="15" s="1"/>
  <c r="H103" i="19"/>
  <c r="G16"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9"/>
            <color indexed="81"/>
            <rFont val="ＭＳ Ｐ明朝"/>
            <family val="1"/>
            <charset val="128"/>
          </rPr>
          <t>実績年度を選択してください。</t>
        </r>
      </text>
    </comment>
    <comment ref="L8" authorId="0" shapeId="0" xr:uid="{00000000-0006-0000-0000-000002000000}">
      <text>
        <r>
          <rPr>
            <b/>
            <sz val="9"/>
            <color indexed="81"/>
            <rFont val="MS P ゴシック"/>
            <family val="3"/>
            <charset val="128"/>
          </rPr>
          <t>R7.4.1 や 2025/4/1 のように半角で入力してください。元号で表示されます。</t>
        </r>
      </text>
    </comment>
    <comment ref="D13" authorId="0" shapeId="0" xr:uid="{00000000-0006-0000-0000-000003000000}">
      <text>
        <r>
          <rPr>
            <b/>
            <sz val="9"/>
            <color indexed="81"/>
            <rFont val="ＭＳ Ｐ明朝"/>
            <family val="1"/>
            <charset val="128"/>
          </rPr>
          <t>事業所番号は半角数字６桁で入力してください。</t>
        </r>
      </text>
    </comment>
    <comment ref="G27" authorId="0" shapeId="0" xr:uid="{00000000-0006-0000-0000-000004000000}">
      <text>
        <r>
          <rPr>
            <b/>
            <sz val="9"/>
            <color indexed="81"/>
            <rFont val="ＭＳ Ｐ明朝"/>
            <family val="1"/>
            <charset val="128"/>
          </rPr>
          <t>半角英数で入力してください。</t>
        </r>
      </text>
    </comment>
    <comment ref="G28" authorId="0" shapeId="0" xr:uid="{00000000-0006-0000-0000-000005000000}">
      <text>
        <r>
          <rPr>
            <b/>
            <sz val="9"/>
            <color indexed="81"/>
            <rFont val="ＭＳ Ｐ明朝"/>
            <family val="1"/>
            <charset val="128"/>
          </rPr>
          <t>半角英数で入力してください。</t>
        </r>
      </text>
    </comment>
    <comment ref="G29" authorId="0" shapeId="0" xr:uid="{00000000-0006-0000-0000-000006000000}">
      <text>
        <r>
          <rPr>
            <b/>
            <sz val="9"/>
            <color indexed="81"/>
            <rFont val="ＭＳ Ｐ明朝"/>
            <family val="1"/>
            <charset val="128"/>
          </rPr>
          <t>半角英数で入力してください。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200-000001000000}">
      <text>
        <r>
          <rPr>
            <b/>
            <sz val="9"/>
            <color indexed="81"/>
            <rFont val="ＭＳ Ｐ明朝"/>
            <family val="1"/>
            <charset val="128"/>
          </rPr>
          <t>燃料の種類をプルダウンから選択してください。
プルダウン以外の入力も可能です。</t>
        </r>
      </text>
    </comment>
  </commentList>
</comments>
</file>

<file path=xl/sharedStrings.xml><?xml version="1.0" encoding="utf-8"?>
<sst xmlns="http://schemas.openxmlformats.org/spreadsheetml/2006/main" count="8174" uniqueCount="2085">
  <si>
    <t>事業所番号</t>
    <rPh sb="0" eb="3">
      <t>ジギョウショ</t>
    </rPh>
    <rPh sb="3" eb="5">
      <t>バンゴウ</t>
    </rPh>
    <phoneticPr fontId="6"/>
  </si>
  <si>
    <t>種類</t>
    <rPh sb="0" eb="2">
      <t>シュルイ</t>
    </rPh>
    <phoneticPr fontId="6"/>
  </si>
  <si>
    <t>熱　量</t>
    <phoneticPr fontId="6"/>
  </si>
  <si>
    <t>二酸化炭素
排　出　量</t>
    <phoneticPr fontId="6"/>
  </si>
  <si>
    <t>①</t>
    <phoneticPr fontId="6"/>
  </si>
  <si>
    <t>②</t>
    <phoneticPr fontId="6"/>
  </si>
  <si>
    <t>③=①×②</t>
    <phoneticPr fontId="6"/>
  </si>
  <si>
    <t>GJ</t>
    <phoneticPr fontId="6"/>
  </si>
  <si>
    <t>kL</t>
    <phoneticPr fontId="6"/>
  </si>
  <si>
    <t>原油（コンデンセートを除く）</t>
    <rPh sb="0" eb="2">
      <t>ゲンユ</t>
    </rPh>
    <rPh sb="11" eb="12">
      <t>ノゾ</t>
    </rPh>
    <phoneticPr fontId="6"/>
  </si>
  <si>
    <t>原油のうちコンデンセート（ＮＧＬ）</t>
    <rPh sb="0" eb="2">
      <t>ゲンユ</t>
    </rPh>
    <phoneticPr fontId="6"/>
  </si>
  <si>
    <t>揮発油（ガソリン）</t>
    <rPh sb="0" eb="3">
      <t>キハツユ</t>
    </rPh>
    <phoneticPr fontId="6"/>
  </si>
  <si>
    <t>t-C/GJ</t>
    <phoneticPr fontId="6"/>
  </si>
  <si>
    <t>ナフサ</t>
    <phoneticPr fontId="6"/>
  </si>
  <si>
    <t>灯油</t>
    <rPh sb="0" eb="2">
      <t>トウユ</t>
    </rPh>
    <phoneticPr fontId="6"/>
  </si>
  <si>
    <t>軽油</t>
    <rPh sb="0" eb="2">
      <t>ケイユ</t>
    </rPh>
    <phoneticPr fontId="6"/>
  </si>
  <si>
    <t>Ａ重油</t>
    <rPh sb="1" eb="3">
      <t>ジュウユ</t>
    </rPh>
    <phoneticPr fontId="6"/>
  </si>
  <si>
    <t>Ｂ・Ｃ重油</t>
    <rPh sb="3" eb="5">
      <t>ジュウユ</t>
    </rPh>
    <phoneticPr fontId="6"/>
  </si>
  <si>
    <t>石油アスファルト</t>
    <rPh sb="0" eb="2">
      <t>セキユ</t>
    </rPh>
    <phoneticPr fontId="6"/>
  </si>
  <si>
    <t>t</t>
    <phoneticPr fontId="6"/>
  </si>
  <si>
    <t>石油コークス</t>
    <rPh sb="0" eb="2">
      <t>セキユ</t>
    </rPh>
    <phoneticPr fontId="6"/>
  </si>
  <si>
    <t>石油ガス</t>
    <rPh sb="0" eb="2">
      <t>セキユ</t>
    </rPh>
    <phoneticPr fontId="6"/>
  </si>
  <si>
    <t>液化石油ガス（ＬＰＧ）</t>
    <phoneticPr fontId="6"/>
  </si>
  <si>
    <t>石油系炭化水素ガス</t>
    <rPh sb="0" eb="3">
      <t>セキユケイ</t>
    </rPh>
    <rPh sb="3" eb="5">
      <t>タンカ</t>
    </rPh>
    <rPh sb="5" eb="7">
      <t>スイソ</t>
    </rPh>
    <phoneticPr fontId="6"/>
  </si>
  <si>
    <t>可燃性天然ガス</t>
    <rPh sb="0" eb="3">
      <t>カネンセイ</t>
    </rPh>
    <rPh sb="3" eb="5">
      <t>テンネン</t>
    </rPh>
    <phoneticPr fontId="6"/>
  </si>
  <si>
    <t>液化天然ガス（ＬＮＧ）</t>
    <rPh sb="0" eb="2">
      <t>エキカ</t>
    </rPh>
    <rPh sb="2" eb="4">
      <t>テンネン</t>
    </rPh>
    <phoneticPr fontId="6"/>
  </si>
  <si>
    <t>その他可燃性天然ガス</t>
    <rPh sb="2" eb="3">
      <t>タ</t>
    </rPh>
    <rPh sb="3" eb="6">
      <t>カネンセイ</t>
    </rPh>
    <rPh sb="6" eb="8">
      <t>テンネン</t>
    </rPh>
    <phoneticPr fontId="6"/>
  </si>
  <si>
    <t>石炭コークス</t>
    <rPh sb="0" eb="2">
      <t>セキタン</t>
    </rPh>
    <phoneticPr fontId="6"/>
  </si>
  <si>
    <t>コールタール</t>
    <phoneticPr fontId="6"/>
  </si>
  <si>
    <t>コークス炉ガス</t>
    <rPh sb="4" eb="5">
      <t>ロ</t>
    </rPh>
    <phoneticPr fontId="6"/>
  </si>
  <si>
    <t>転炉ガス</t>
    <rPh sb="0" eb="2">
      <t>テンロ</t>
    </rPh>
    <phoneticPr fontId="6"/>
  </si>
  <si>
    <t>その他燃料</t>
    <rPh sb="2" eb="3">
      <t>タ</t>
    </rPh>
    <rPh sb="3" eb="5">
      <t>ネンリョウ</t>
    </rPh>
    <phoneticPr fontId="6"/>
  </si>
  <si>
    <t>都市ガス</t>
    <rPh sb="0" eb="2">
      <t>トシ</t>
    </rPh>
    <phoneticPr fontId="6"/>
  </si>
  <si>
    <t>産業用蒸気</t>
    <rPh sb="0" eb="3">
      <t>サンギョウヨウ</t>
    </rPh>
    <rPh sb="3" eb="5">
      <t>ジョウキ</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</si>
  <si>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</si>
  <si>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</si>
  <si>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</si>
  <si>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小計</t>
    <phoneticPr fontId="6"/>
  </si>
  <si>
    <t>千kWh</t>
    <rPh sb="0" eb="1">
      <t>セン</t>
    </rPh>
    <phoneticPr fontId="6"/>
  </si>
  <si>
    <t>外部供給</t>
    <rPh sb="0" eb="2">
      <t>ガイブ</t>
    </rPh>
    <rPh sb="2" eb="4">
      <t>キョウキュウ</t>
    </rPh>
    <phoneticPr fontId="6"/>
  </si>
  <si>
    <t>自ら生成した熱の供給</t>
    <rPh sb="0" eb="1">
      <t>ミズカ</t>
    </rPh>
    <rPh sb="2" eb="4">
      <t>セイセイ</t>
    </rPh>
    <rPh sb="6" eb="7">
      <t>ネツ</t>
    </rPh>
    <rPh sb="8" eb="10">
      <t>キョウキュウ</t>
    </rPh>
    <phoneticPr fontId="6"/>
  </si>
  <si>
    <t>自ら生成した電力の供給</t>
    <rPh sb="0" eb="1">
      <t>ミズカ</t>
    </rPh>
    <rPh sb="2" eb="4">
      <t>セイセイ</t>
    </rPh>
    <rPh sb="6" eb="8">
      <t>デンリョク</t>
    </rPh>
    <rPh sb="9" eb="11">
      <t>キョウキュウ</t>
    </rPh>
    <phoneticPr fontId="6"/>
  </si>
  <si>
    <t>合計</t>
    <rPh sb="0" eb="2">
      <t>ゴウケイ</t>
    </rPh>
    <phoneticPr fontId="6"/>
  </si>
  <si>
    <t>原料炭</t>
    <rPh sb="0" eb="2">
      <t>ゲンリョウ</t>
    </rPh>
    <rPh sb="2" eb="3">
      <t>スミ</t>
    </rPh>
    <phoneticPr fontId="5"/>
  </si>
  <si>
    <t>輸入原料炭</t>
    <rPh sb="0" eb="2">
      <t>ユニュウ</t>
    </rPh>
    <rPh sb="2" eb="4">
      <t>ゲンリョウ</t>
    </rPh>
    <rPh sb="4" eb="5">
      <t>タン</t>
    </rPh>
    <phoneticPr fontId="6"/>
  </si>
  <si>
    <t>コークス炉用原料炭</t>
    <rPh sb="4" eb="5">
      <t>ロ</t>
    </rPh>
    <rPh sb="5" eb="6">
      <t>ヨウ</t>
    </rPh>
    <rPh sb="6" eb="8">
      <t>ゲンリョウ</t>
    </rPh>
    <rPh sb="8" eb="9">
      <t>タン</t>
    </rPh>
    <phoneticPr fontId="6"/>
  </si>
  <si>
    <t>一般炭</t>
    <rPh sb="0" eb="2">
      <t>イッパン</t>
    </rPh>
    <rPh sb="2" eb="3">
      <t>スミ</t>
    </rPh>
    <phoneticPr fontId="5"/>
  </si>
  <si>
    <t>輸入一般炭</t>
    <rPh sb="0" eb="4">
      <t>ユニュウイッパン</t>
    </rPh>
    <rPh sb="4" eb="5">
      <t>スミ</t>
    </rPh>
    <phoneticPr fontId="5"/>
  </si>
  <si>
    <t>国産一般炭</t>
    <rPh sb="0" eb="2">
      <t>コクサン</t>
    </rPh>
    <rPh sb="2" eb="4">
      <t>イッパン</t>
    </rPh>
    <rPh sb="4" eb="5">
      <t>スミ</t>
    </rPh>
    <phoneticPr fontId="6"/>
  </si>
  <si>
    <t>発電用高炉ガス</t>
    <rPh sb="0" eb="3">
      <t>ハツデンヨウ</t>
    </rPh>
    <rPh sb="3" eb="5">
      <t>コウロ</t>
    </rPh>
    <phoneticPr fontId="6"/>
  </si>
  <si>
    <t>ジェット燃料油</t>
    <rPh sb="4" eb="6">
      <t>ネンリョウ</t>
    </rPh>
    <rPh sb="6" eb="7">
      <t>アブラ</t>
    </rPh>
    <phoneticPr fontId="6"/>
  </si>
  <si>
    <t>原油換算
エネルギー
使用量</t>
    <rPh sb="0" eb="2">
      <t>ゲンユ</t>
    </rPh>
    <rPh sb="2" eb="4">
      <t>カンサン</t>
    </rPh>
    <rPh sb="11" eb="14">
      <t>シヨウリョウ</t>
    </rPh>
    <phoneticPr fontId="6"/>
  </si>
  <si>
    <t>規模判定
エネルギー
使用量</t>
    <rPh sb="0" eb="4">
      <t>キボハンテイ</t>
    </rPh>
    <rPh sb="11" eb="14">
      <t>シヨウリョウ</t>
    </rPh>
    <phoneticPr fontId="5"/>
  </si>
  <si>
    <t>輸入無煙炭</t>
    <rPh sb="0" eb="2">
      <t>ユニュウ</t>
    </rPh>
    <rPh sb="2" eb="5">
      <t>ムエンタン</t>
    </rPh>
    <phoneticPr fontId="6"/>
  </si>
  <si>
    <t>吹込用原料炭</t>
    <rPh sb="0" eb="2">
      <t>フキコ</t>
    </rPh>
    <rPh sb="2" eb="3">
      <t>ヨウ</t>
    </rPh>
    <rPh sb="3" eb="5">
      <t>ゲンリョウ</t>
    </rPh>
    <rPh sb="5" eb="6">
      <t>タン</t>
    </rPh>
    <phoneticPr fontId="6"/>
  </si>
  <si>
    <t>⑥=①×②×④</t>
    <phoneticPr fontId="6"/>
  </si>
  <si>
    <t>自家消費量</t>
    <phoneticPr fontId="5"/>
  </si>
  <si>
    <t>事業所外からの供給量</t>
    <phoneticPr fontId="5"/>
  </si>
  <si>
    <t>環境価値を
有する熱</t>
    <rPh sb="0" eb="2">
      <t>カンキョウ</t>
    </rPh>
    <rPh sb="2" eb="4">
      <t>カチ</t>
    </rPh>
    <rPh sb="6" eb="7">
      <t>ユウ</t>
    </rPh>
    <rPh sb="9" eb="10">
      <t>ネツ</t>
    </rPh>
    <phoneticPr fontId="5"/>
  </si>
  <si>
    <t>グリーン電力証書</t>
    <rPh sb="4" eb="6">
      <t>デンリョク</t>
    </rPh>
    <rPh sb="6" eb="8">
      <t>ショウショ</t>
    </rPh>
    <phoneticPr fontId="5"/>
  </si>
  <si>
    <t>FIT非化石証書</t>
    <rPh sb="3" eb="6">
      <t>ヒカセキ</t>
    </rPh>
    <rPh sb="6" eb="8">
      <t>ショウショ</t>
    </rPh>
    <phoneticPr fontId="5"/>
  </si>
  <si>
    <t>非FIT非化石証書（再生可能エネルギー指定）</t>
    <rPh sb="0" eb="1">
      <t>ヒ</t>
    </rPh>
    <rPh sb="4" eb="7">
      <t>ヒカセキ</t>
    </rPh>
    <rPh sb="7" eb="9">
      <t>ショウショ</t>
    </rPh>
    <phoneticPr fontId="5"/>
  </si>
  <si>
    <t>J-クレジット制度において認証・発行された
クレジット（①森林経営活動、
②植林活動、③再造林活動）</t>
    <phoneticPr fontId="5"/>
  </si>
  <si>
    <t>高炉ガス（発電用以外）</t>
    <rPh sb="0" eb="2">
      <t>コウロ</t>
    </rPh>
    <rPh sb="5" eb="7">
      <t>ハツデン</t>
    </rPh>
    <rPh sb="7" eb="8">
      <t>ヨウ</t>
    </rPh>
    <rPh sb="8" eb="10">
      <t>イガイ</t>
    </rPh>
    <phoneticPr fontId="6"/>
  </si>
  <si>
    <t>グリーン熱証書</t>
    <rPh sb="4" eb="5">
      <t>デンネツ</t>
    </rPh>
    <rPh sb="5" eb="7">
      <t>ショウショ</t>
    </rPh>
    <phoneticPr fontId="5"/>
  </si>
  <si>
    <t>環境価値を移転した熱</t>
    <rPh sb="0" eb="2">
      <t>カンキョウ</t>
    </rPh>
    <rPh sb="2" eb="4">
      <t>カチ</t>
    </rPh>
    <rPh sb="5" eb="7">
      <t>イテン</t>
    </rPh>
    <rPh sb="9" eb="10">
      <t>ネツ</t>
    </rPh>
    <phoneticPr fontId="5"/>
  </si>
  <si>
    <t>環境価値を有する電気</t>
    <rPh sb="0" eb="2">
      <t>カンキョウ</t>
    </rPh>
    <rPh sb="2" eb="4">
      <t>カチ</t>
    </rPh>
    <rPh sb="5" eb="6">
      <t>ユウ</t>
    </rPh>
    <rPh sb="8" eb="10">
      <t>デンキ</t>
    </rPh>
    <phoneticPr fontId="5"/>
  </si>
  <si>
    <t>環境価値を移転した電気</t>
    <rPh sb="0" eb="2">
      <t>カンキョウ</t>
    </rPh>
    <rPh sb="2" eb="4">
      <t>カチ</t>
    </rPh>
    <rPh sb="5" eb="7">
      <t>イテン</t>
    </rPh>
    <rPh sb="9" eb="11">
      <t>デンキ</t>
    </rPh>
    <phoneticPr fontId="5"/>
  </si>
  <si>
    <t>石炭</t>
    <rPh sb="0" eb="2">
      <t>セキタン</t>
    </rPh>
    <phoneticPr fontId="6"/>
  </si>
  <si>
    <t>把握方法</t>
    <rPh sb="0" eb="2">
      <t>ハアク</t>
    </rPh>
    <rPh sb="2" eb="4">
      <t>ホウホウ</t>
    </rPh>
    <phoneticPr fontId="6"/>
  </si>
  <si>
    <t>単位</t>
    <rPh sb="0" eb="2">
      <t>タンイ</t>
    </rPh>
    <phoneticPr fontId="6"/>
  </si>
  <si>
    <t>4月分</t>
    <rPh sb="1" eb="2">
      <t>ガツ</t>
    </rPh>
    <rPh sb="2" eb="3">
      <t>ブン</t>
    </rPh>
    <phoneticPr fontId="6"/>
  </si>
  <si>
    <t>5月分</t>
    <rPh sb="1" eb="2">
      <t>ガツ</t>
    </rPh>
    <rPh sb="2" eb="3">
      <t>ブン</t>
    </rPh>
    <phoneticPr fontId="6"/>
  </si>
  <si>
    <t>6月分</t>
    <rPh sb="1" eb="2">
      <t>ガツ</t>
    </rPh>
    <rPh sb="2" eb="3">
      <t>ブン</t>
    </rPh>
    <phoneticPr fontId="6"/>
  </si>
  <si>
    <t>7月分</t>
    <rPh sb="1" eb="2">
      <t>ガツ</t>
    </rPh>
    <rPh sb="2" eb="3">
      <t>ブン</t>
    </rPh>
    <phoneticPr fontId="6"/>
  </si>
  <si>
    <t>8月分</t>
    <rPh sb="1" eb="2">
      <t>ガツ</t>
    </rPh>
    <rPh sb="2" eb="3">
      <t>ブン</t>
    </rPh>
    <phoneticPr fontId="6"/>
  </si>
  <si>
    <t>9月分</t>
    <rPh sb="1" eb="2">
      <t>ガツ</t>
    </rPh>
    <rPh sb="2" eb="3">
      <t>ブン</t>
    </rPh>
    <phoneticPr fontId="6"/>
  </si>
  <si>
    <t>10月分</t>
    <rPh sb="2" eb="3">
      <t>ガツ</t>
    </rPh>
    <rPh sb="3" eb="4">
      <t>ブン</t>
    </rPh>
    <phoneticPr fontId="6"/>
  </si>
  <si>
    <t>11月分</t>
    <rPh sb="2" eb="3">
      <t>ガツ</t>
    </rPh>
    <rPh sb="3" eb="4">
      <t>ブン</t>
    </rPh>
    <phoneticPr fontId="6"/>
  </si>
  <si>
    <t>12月分</t>
    <rPh sb="2" eb="3">
      <t>ガツ</t>
    </rPh>
    <rPh sb="3" eb="4">
      <t>ブン</t>
    </rPh>
    <phoneticPr fontId="6"/>
  </si>
  <si>
    <t>1月分</t>
    <rPh sb="1" eb="2">
      <t>ガツ</t>
    </rPh>
    <rPh sb="2" eb="3">
      <t>ブン</t>
    </rPh>
    <phoneticPr fontId="6"/>
  </si>
  <si>
    <t>2月分</t>
    <rPh sb="1" eb="2">
      <t>ガツ</t>
    </rPh>
    <rPh sb="2" eb="3">
      <t>ブン</t>
    </rPh>
    <phoneticPr fontId="6"/>
  </si>
  <si>
    <t>3月分</t>
    <rPh sb="1" eb="2">
      <t>ガツ</t>
    </rPh>
    <rPh sb="2" eb="3">
      <t>ブン</t>
    </rPh>
    <phoneticPr fontId="6"/>
  </si>
  <si>
    <t>排出活動の種類</t>
    <rPh sb="0" eb="2">
      <t>ハイシュツ</t>
    </rPh>
    <rPh sb="2" eb="4">
      <t>カツドウ</t>
    </rPh>
    <rPh sb="5" eb="7">
      <t>シュルイ</t>
    </rPh>
    <phoneticPr fontId="5"/>
  </si>
  <si>
    <t>コークス炉ガス</t>
    <phoneticPr fontId="6"/>
  </si>
  <si>
    <t>排出活動の種類</t>
    <rPh sb="0" eb="2">
      <t>ハイシュツ</t>
    </rPh>
    <rPh sb="2" eb="4">
      <t>カツドウ</t>
    </rPh>
    <rPh sb="5" eb="7">
      <t>シュルイ</t>
    </rPh>
    <phoneticPr fontId="6"/>
  </si>
  <si>
    <t>区  分</t>
    <rPh sb="0" eb="1">
      <t>ク</t>
    </rPh>
    <rPh sb="3" eb="4">
      <t>ブン</t>
    </rPh>
    <phoneticPr fontId="6"/>
  </si>
  <si>
    <t>単  位</t>
    <rPh sb="0" eb="1">
      <t>タン</t>
    </rPh>
    <rPh sb="3" eb="4">
      <t>クライ</t>
    </rPh>
    <phoneticPr fontId="13"/>
  </si>
  <si>
    <t>使用量</t>
    <rPh sb="0" eb="3">
      <t>シヨウリョウ</t>
    </rPh>
    <phoneticPr fontId="6"/>
  </si>
  <si>
    <t>単位補正後使用量</t>
    <phoneticPr fontId="6"/>
  </si>
  <si>
    <t>単位補正</t>
    <rPh sb="0" eb="2">
      <t>タンイ</t>
    </rPh>
    <rPh sb="2" eb="4">
      <t>ホセイ</t>
    </rPh>
    <phoneticPr fontId="6"/>
  </si>
  <si>
    <t>年度</t>
    <rPh sb="0" eb="2">
      <t>ネンド</t>
    </rPh>
    <phoneticPr fontId="6"/>
  </si>
  <si>
    <t xml:space="preserve">廃棄物の焼却
</t>
    <rPh sb="0" eb="3">
      <t>ハイキブツ</t>
    </rPh>
    <rPh sb="4" eb="6">
      <t>ショウキャク</t>
    </rPh>
    <phoneticPr fontId="6"/>
  </si>
  <si>
    <t xml:space="preserve">廃油（特定有害産業廃棄物に限る。） </t>
    <phoneticPr fontId="6"/>
  </si>
  <si>
    <t>合成繊維</t>
    <rPh sb="0" eb="2">
      <t>ゴウセイ</t>
    </rPh>
    <rPh sb="2" eb="4">
      <t>センイ</t>
    </rPh>
    <phoneticPr fontId="6"/>
  </si>
  <si>
    <t>合成繊維及び廃ﾀｲﾔ以外の廃ﾌﾟﾗｽﾁｯｸ類
（産業廃棄物）</t>
    <rPh sb="0" eb="2">
      <t>ゴウセイ</t>
    </rPh>
    <rPh sb="2" eb="4">
      <t>センイ</t>
    </rPh>
    <rPh sb="4" eb="5">
      <t>オヨ</t>
    </rPh>
    <rPh sb="6" eb="7">
      <t>ハイ</t>
    </rPh>
    <rPh sb="10" eb="12">
      <t>イガイ</t>
    </rPh>
    <rPh sb="13" eb="14">
      <t>ハイ</t>
    </rPh>
    <rPh sb="21" eb="22">
      <t>ルイ</t>
    </rPh>
    <rPh sb="24" eb="26">
      <t>サンギョウ</t>
    </rPh>
    <rPh sb="26" eb="29">
      <t>ハイキブツ</t>
    </rPh>
    <phoneticPr fontId="6"/>
  </si>
  <si>
    <t>ポリエチレンテレフタレート製の容器</t>
    <phoneticPr fontId="6"/>
  </si>
  <si>
    <t>廃プラスチック類（合成繊維、廃タイヤ、廃プラスチック類（産業廃棄物であるものに限る。）及びポリエチレンテレフタレート製の容器を除く。）</t>
    <phoneticPr fontId="6"/>
  </si>
  <si>
    <t>紙くず</t>
    <rPh sb="0" eb="1">
      <t>カミ</t>
    </rPh>
    <phoneticPr fontId="5"/>
  </si>
  <si>
    <t>紙おむつ</t>
    <rPh sb="0" eb="1">
      <t>カミ</t>
    </rPh>
    <phoneticPr fontId="5"/>
  </si>
  <si>
    <t>廃棄原燃料
の利用</t>
    <rPh sb="2" eb="5">
      <t>ゲンネンリョウ</t>
    </rPh>
    <rPh sb="3" eb="5">
      <t>ネンリョウ</t>
    </rPh>
    <phoneticPr fontId="5"/>
  </si>
  <si>
    <t>ごみ固形燃料（RDF）</t>
    <phoneticPr fontId="5"/>
  </si>
  <si>
    <t>ごみ固形燃料（RPF）</t>
    <rPh sb="2" eb="4">
      <t>コケイ</t>
    </rPh>
    <rPh sb="4" eb="6">
      <t>ネンリョウ</t>
    </rPh>
    <phoneticPr fontId="5"/>
  </si>
  <si>
    <t>廃タイヤ</t>
    <rPh sb="0" eb="1">
      <t>ハイ</t>
    </rPh>
    <phoneticPr fontId="12"/>
  </si>
  <si>
    <t>廃プラスチック類（一般廃棄物）</t>
    <rPh sb="0" eb="1">
      <t>ハイ</t>
    </rPh>
    <rPh sb="7" eb="8">
      <t>ルイ</t>
    </rPh>
    <rPh sb="9" eb="11">
      <t>イッパン</t>
    </rPh>
    <rPh sb="11" eb="14">
      <t>ハイキブツ</t>
    </rPh>
    <phoneticPr fontId="12"/>
  </si>
  <si>
    <t>廃プラスチック類（産業廃棄物）</t>
    <rPh sb="0" eb="1">
      <t>ハイ</t>
    </rPh>
    <rPh sb="7" eb="8">
      <t>ルイ</t>
    </rPh>
    <rPh sb="9" eb="11">
      <t>サンギョウ</t>
    </rPh>
    <rPh sb="11" eb="14">
      <t>ハイキブツ</t>
    </rPh>
    <phoneticPr fontId="12"/>
  </si>
  <si>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47" eb="49">
      <t>セイゾウ</t>
    </rPh>
    <rPh sb="52" eb="56">
      <t>ネンリョウタンカ</t>
    </rPh>
    <rPh sb="56" eb="58">
      <t>スイソ</t>
    </rPh>
    <rPh sb="58" eb="59">
      <t>アブラ</t>
    </rPh>
    <phoneticPr fontId="12"/>
  </si>
  <si>
    <t>廃プラスチック類から製造された燃料炭化水素油</t>
    <rPh sb="0" eb="1">
      <t>ハイ</t>
    </rPh>
    <rPh sb="7" eb="8">
      <t>ルイ</t>
    </rPh>
    <rPh sb="10" eb="12">
      <t>セイゾウ</t>
    </rPh>
    <phoneticPr fontId="12"/>
  </si>
  <si>
    <t>廃棄物ガス</t>
    <rPh sb="0" eb="3">
      <t>ハイキブツ</t>
    </rPh>
    <phoneticPr fontId="5"/>
  </si>
  <si>
    <t>セメントクリンカーの製造</t>
    <rPh sb="10" eb="12">
      <t>セイゾウ</t>
    </rPh>
    <phoneticPr fontId="6"/>
  </si>
  <si>
    <t>生石灰の製造</t>
    <rPh sb="0" eb="3">
      <t>セイセッカイ</t>
    </rPh>
    <rPh sb="4" eb="6">
      <t>セイゾウ</t>
    </rPh>
    <phoneticPr fontId="6"/>
  </si>
  <si>
    <t>石灰石</t>
    <rPh sb="0" eb="3">
      <t>セッカイセキ</t>
    </rPh>
    <phoneticPr fontId="6"/>
  </si>
  <si>
    <t>ドロマイト</t>
    <phoneticPr fontId="6"/>
  </si>
  <si>
    <t>ソーダ石灰ガラス
の製造</t>
    <rPh sb="3" eb="5">
      <t>セッカイ</t>
    </rPh>
    <rPh sb="10" eb="12">
      <t>セイゾウ</t>
    </rPh>
    <phoneticPr fontId="6"/>
  </si>
  <si>
    <t>ソーダ灰（国内産）</t>
    <phoneticPr fontId="5"/>
  </si>
  <si>
    <t>ソーダ灰（輸入）</t>
    <phoneticPr fontId="5"/>
  </si>
  <si>
    <t>炭酸バリウム</t>
    <phoneticPr fontId="5"/>
  </si>
  <si>
    <t>炭酸カリウム</t>
    <phoneticPr fontId="5"/>
  </si>
  <si>
    <t>炭酸ストロンチウム</t>
    <phoneticPr fontId="5"/>
  </si>
  <si>
    <t>炭酸リチウム</t>
    <phoneticPr fontId="5"/>
  </si>
  <si>
    <t>ソーダ灰の製造</t>
    <rPh sb="3" eb="4">
      <t>ハイ</t>
    </rPh>
    <rPh sb="5" eb="7">
      <t>セイゾウ</t>
    </rPh>
    <phoneticPr fontId="6"/>
  </si>
  <si>
    <t>その他用途・プロセスでの炭酸塩の使用</t>
    <phoneticPr fontId="5"/>
  </si>
  <si>
    <t>石灰石</t>
    <rPh sb="0" eb="3">
      <t>セッカイセキ</t>
    </rPh>
    <phoneticPr fontId="12"/>
  </si>
  <si>
    <t>ドロマイト</t>
  </si>
  <si>
    <t>ソーダ灰（国内産）</t>
    <rPh sb="3" eb="4">
      <t>ハイ</t>
    </rPh>
    <rPh sb="5" eb="8">
      <t>コクナイサン</t>
    </rPh>
    <phoneticPr fontId="12"/>
  </si>
  <si>
    <t>ソーダ灰（輸入）</t>
    <rPh sb="3" eb="4">
      <t>ハイ</t>
    </rPh>
    <rPh sb="5" eb="7">
      <t>ユニュウ</t>
    </rPh>
    <phoneticPr fontId="12"/>
  </si>
  <si>
    <t>アンモニアの製造</t>
    <rPh sb="6" eb="8">
      <t>セイゾウ</t>
    </rPh>
    <phoneticPr fontId="6"/>
  </si>
  <si>
    <t>石油コークス</t>
    <rPh sb="0" eb="2">
      <t>セキユ</t>
    </rPh>
    <phoneticPr fontId="5"/>
  </si>
  <si>
    <t>液化天然ガス（LNG)</t>
    <rPh sb="0" eb="2">
      <t>エキカ</t>
    </rPh>
    <rPh sb="2" eb="4">
      <t>テンネン</t>
    </rPh>
    <phoneticPr fontId="6"/>
  </si>
  <si>
    <t>天然ガス
（液化天然ガス（LNG)を除く）</t>
    <rPh sb="0" eb="2">
      <t>テンネン</t>
    </rPh>
    <rPh sb="6" eb="8">
      <t>エキカ</t>
    </rPh>
    <rPh sb="8" eb="10">
      <t>テンネン</t>
    </rPh>
    <rPh sb="18" eb="19">
      <t>ノゾ</t>
    </rPh>
    <phoneticPr fontId="6"/>
  </si>
  <si>
    <t>製造された生石灰を炭化カルシウムの原料として使用した場合の生石灰の製造</t>
    <phoneticPr fontId="6"/>
  </si>
  <si>
    <t>炭化カルシウムの製造</t>
    <phoneticPr fontId="6"/>
  </si>
  <si>
    <t>二酸化チタンの製造</t>
    <rPh sb="0" eb="3">
      <t>ニサンカ</t>
    </rPh>
    <rPh sb="7" eb="9">
      <t>セイゾウ</t>
    </rPh>
    <phoneticPr fontId="5"/>
  </si>
  <si>
    <t>二酸化チタンをルチルから分離させる方法</t>
    <phoneticPr fontId="5"/>
  </si>
  <si>
    <t>塩化チタンと酸素を化学反応させる方法</t>
    <phoneticPr fontId="5"/>
  </si>
  <si>
    <t>日本産業規格Ａ列４番</t>
    <rPh sb="2" eb="4">
      <t>サンギョウ</t>
    </rPh>
    <phoneticPr fontId="6"/>
  </si>
  <si>
    <t>エチレン（ナフサからの製造）</t>
    <rPh sb="11" eb="13">
      <t>セイゾウ</t>
    </rPh>
    <phoneticPr fontId="12"/>
  </si>
  <si>
    <t>エチレン（軽油からの製造）</t>
    <rPh sb="5" eb="7">
      <t>ケイユ</t>
    </rPh>
    <rPh sb="10" eb="12">
      <t>セイゾウ</t>
    </rPh>
    <phoneticPr fontId="12"/>
  </si>
  <si>
    <t>エチレン（エタンからの製造）</t>
    <rPh sb="11" eb="13">
      <t>セイゾウ</t>
    </rPh>
    <phoneticPr fontId="12"/>
  </si>
  <si>
    <t>エチレン（プロパンからの製造）</t>
    <rPh sb="12" eb="14">
      <t>セイゾウ</t>
    </rPh>
    <phoneticPr fontId="12"/>
  </si>
  <si>
    <t>エチレン（ブタンからの製造）</t>
    <rPh sb="11" eb="13">
      <t>セイゾウ</t>
    </rPh>
    <phoneticPr fontId="12"/>
  </si>
  <si>
    <t>エチレン（その他原料からの製造）</t>
    <rPh sb="7" eb="8">
      <t>ホカ</t>
    </rPh>
    <rPh sb="8" eb="10">
      <t>ゲンリョウ</t>
    </rPh>
    <rPh sb="13" eb="15">
      <t>セイゾウ</t>
    </rPh>
    <phoneticPr fontId="12"/>
  </si>
  <si>
    <t>クロロエチレン</t>
  </si>
  <si>
    <t>酸化エチレン</t>
    <rPh sb="0" eb="2">
      <t>サンカ</t>
    </rPh>
    <phoneticPr fontId="12"/>
  </si>
  <si>
    <t>アクリロニトリル</t>
  </si>
  <si>
    <t>カーボンブラック</t>
  </si>
  <si>
    <t>無水フタル酸</t>
    <rPh sb="0" eb="2">
      <t>ムスイ</t>
    </rPh>
    <rPh sb="5" eb="6">
      <t>サン</t>
    </rPh>
    <phoneticPr fontId="12"/>
  </si>
  <si>
    <t>無水マレイン酸</t>
    <rPh sb="0" eb="2">
      <t>ムスイ</t>
    </rPh>
    <rPh sb="6" eb="7">
      <t>サン</t>
    </rPh>
    <phoneticPr fontId="12"/>
  </si>
  <si>
    <t>水素</t>
    <rPh sb="0" eb="2">
      <t>スイソ</t>
    </rPh>
    <phoneticPr fontId="12"/>
  </si>
  <si>
    <t>カルシウムカーバイドを原料としたアセチレンの使用</t>
    <rPh sb="11" eb="13">
      <t>ゲンリョウ</t>
    </rPh>
    <rPh sb="22" eb="24">
      <t>シヨウ</t>
    </rPh>
    <phoneticPr fontId="6"/>
  </si>
  <si>
    <t>電気炉における炭素電極の使用</t>
    <phoneticPr fontId="5"/>
  </si>
  <si>
    <t>鉄鋼の製造における鉱物の使用</t>
    <phoneticPr fontId="5"/>
  </si>
  <si>
    <t>石灰石</t>
    <phoneticPr fontId="12"/>
  </si>
  <si>
    <t>ドロマイト</t>
    <phoneticPr fontId="12"/>
  </si>
  <si>
    <t>鉄鋼の製造において生じるガスの燃焼（フレアリング）</t>
    <phoneticPr fontId="5"/>
  </si>
  <si>
    <t>転炉ガス</t>
    <phoneticPr fontId="5"/>
  </si>
  <si>
    <t>潤滑油等の使用</t>
    <phoneticPr fontId="5"/>
  </si>
  <si>
    <t>潤滑油</t>
    <phoneticPr fontId="5"/>
  </si>
  <si>
    <t>グリース</t>
    <phoneticPr fontId="5"/>
  </si>
  <si>
    <t>パラフィンろう</t>
    <phoneticPr fontId="5"/>
  </si>
  <si>
    <t>非メタン揮発性有機化合物（NMVOC)を含む溶剤の焼却</t>
    <phoneticPr fontId="5"/>
  </si>
  <si>
    <t>ドライアイスの製造</t>
    <phoneticPr fontId="5"/>
  </si>
  <si>
    <t>炭酸ガスのボンベへの封入</t>
    <phoneticPr fontId="6"/>
  </si>
  <si>
    <t>小計</t>
    <rPh sb="0" eb="1">
      <t>ショウ</t>
    </rPh>
    <rPh sb="1" eb="2">
      <t>ケイ</t>
    </rPh>
    <phoneticPr fontId="6"/>
  </si>
  <si>
    <t>メタン</t>
    <phoneticPr fontId="6"/>
  </si>
  <si>
    <t>一酸化二窒素</t>
    <rPh sb="0" eb="3">
      <t>イッサンカ</t>
    </rPh>
    <rPh sb="3" eb="6">
      <t>ニチッソ</t>
    </rPh>
    <phoneticPr fontId="6"/>
  </si>
  <si>
    <t>ハイドロフルオロカーボン</t>
    <phoneticPr fontId="6"/>
  </si>
  <si>
    <t>パーフルオロカーボン</t>
    <phoneticPr fontId="6"/>
  </si>
  <si>
    <t>三ふっ化窒素</t>
    <rPh sb="0" eb="1">
      <t>サン</t>
    </rPh>
    <rPh sb="3" eb="4">
      <t>カ</t>
    </rPh>
    <rPh sb="4" eb="6">
      <t>チッソ</t>
    </rPh>
    <phoneticPr fontId="6"/>
  </si>
  <si>
    <t>非化石燃料の種類</t>
    <rPh sb="0" eb="3">
      <t>ヒカセキ</t>
    </rPh>
    <rPh sb="3" eb="5">
      <t>ネンリョウ</t>
    </rPh>
    <rPh sb="6" eb="8">
      <t>シュルイ</t>
    </rPh>
    <phoneticPr fontId="5"/>
  </si>
  <si>
    <t>非化石燃料使用量</t>
    <rPh sb="0" eb="3">
      <t>ヒカセキ</t>
    </rPh>
    <rPh sb="3" eb="5">
      <t>ネンリョウ</t>
    </rPh>
    <rPh sb="5" eb="8">
      <t>シヨウリョウ</t>
    </rPh>
    <phoneticPr fontId="5"/>
  </si>
  <si>
    <t>廃棄物原燃料
（燃料として使用する廃棄物及び廃棄物由来の燃料）</t>
    <rPh sb="0" eb="3">
      <t>ハイキブツ</t>
    </rPh>
    <rPh sb="3" eb="6">
      <t>ゲンネンリョウ</t>
    </rPh>
    <rPh sb="8" eb="10">
      <t>ネンリョウ</t>
    </rPh>
    <rPh sb="13" eb="15">
      <t>シヨウ</t>
    </rPh>
    <rPh sb="17" eb="20">
      <t>ハイキブツ</t>
    </rPh>
    <rPh sb="20" eb="21">
      <t>オヨ</t>
    </rPh>
    <rPh sb="22" eb="25">
      <t>ハイキブツ</t>
    </rPh>
    <rPh sb="25" eb="27">
      <t>ユライ</t>
    </rPh>
    <rPh sb="28" eb="30">
      <t>ネンリョウ</t>
    </rPh>
    <phoneticPr fontId="5"/>
  </si>
  <si>
    <t>混合廃材</t>
    <rPh sb="0" eb="2">
      <t>コンゴウ</t>
    </rPh>
    <rPh sb="2" eb="4">
      <t>ハイザイ</t>
    </rPh>
    <phoneticPr fontId="5"/>
  </si>
  <si>
    <t>バイオマス燃料</t>
    <rPh sb="5" eb="7">
      <t>ネンリョウ</t>
    </rPh>
    <phoneticPr fontId="5"/>
  </si>
  <si>
    <t>黒液</t>
    <rPh sb="0" eb="2">
      <t>コクエキ</t>
    </rPh>
    <phoneticPr fontId="5"/>
  </si>
  <si>
    <t>木材</t>
    <rPh sb="0" eb="2">
      <t>モクザイ</t>
    </rPh>
    <phoneticPr fontId="5"/>
  </si>
  <si>
    <t>木質廃材</t>
    <rPh sb="0" eb="2">
      <t>モクシツ</t>
    </rPh>
    <rPh sb="2" eb="4">
      <t>ハイザイ</t>
    </rPh>
    <phoneticPr fontId="5"/>
  </si>
  <si>
    <t>バイオエタノール</t>
    <phoneticPr fontId="5"/>
  </si>
  <si>
    <t>バイオエタノールディーゼル</t>
    <phoneticPr fontId="5"/>
  </si>
  <si>
    <t>バイオガス</t>
    <phoneticPr fontId="5"/>
  </si>
  <si>
    <t>その他バイオマス</t>
    <rPh sb="2" eb="3">
      <t>ホカ</t>
    </rPh>
    <phoneticPr fontId="5"/>
  </si>
  <si>
    <t>その他の燃料</t>
    <rPh sb="2" eb="3">
      <t>ホカ</t>
    </rPh>
    <rPh sb="4" eb="6">
      <t>ネンリョウ</t>
    </rPh>
    <phoneticPr fontId="5"/>
  </si>
  <si>
    <t>水素</t>
    <rPh sb="0" eb="2">
      <t>スイソ</t>
    </rPh>
    <phoneticPr fontId="5"/>
  </si>
  <si>
    <t>アンモニア</t>
    <phoneticPr fontId="5"/>
  </si>
  <si>
    <t>合計</t>
    <rPh sb="0" eb="2">
      <t>ゴウケイ</t>
    </rPh>
    <phoneticPr fontId="5"/>
  </si>
  <si>
    <t>廃タイヤ</t>
    <rPh sb="0" eb="1">
      <t>ハイ</t>
    </rPh>
    <phoneticPr fontId="6"/>
  </si>
  <si>
    <t>炭化けい素の製造</t>
    <rPh sb="0" eb="2">
      <t>タンカ</t>
    </rPh>
    <rPh sb="4" eb="5">
      <t>ソ</t>
    </rPh>
    <rPh sb="6" eb="8">
      <t>セイゾウ</t>
    </rPh>
    <phoneticPr fontId="6"/>
  </si>
  <si>
    <t>炭化カルシウムの製造</t>
    <rPh sb="0" eb="2">
      <t>タンカ</t>
    </rPh>
    <rPh sb="8" eb="10">
      <t>セイゾウ</t>
    </rPh>
    <phoneticPr fontId="6"/>
  </si>
  <si>
    <t>エチレン等の製造</t>
    <rPh sb="4" eb="5">
      <t>トウ</t>
    </rPh>
    <rPh sb="6" eb="8">
      <t>セイゾウ</t>
    </rPh>
    <phoneticPr fontId="6"/>
  </si>
  <si>
    <t>ドライアイスの使用</t>
    <rPh sb="7" eb="9">
      <t>シヨウ</t>
    </rPh>
    <phoneticPr fontId="6"/>
  </si>
  <si>
    <r>
      <t>t-CO</t>
    </r>
    <r>
      <rPr>
        <vertAlign val="subscript"/>
        <sz val="11"/>
        <color theme="1"/>
        <rFont val="游明朝"/>
        <family val="1"/>
        <charset val="128"/>
      </rPr>
      <t>2</t>
    </r>
    <phoneticPr fontId="6"/>
  </si>
  <si>
    <t>廃プラスチック類から製造された
燃料炭化水素油</t>
    <rPh sb="0" eb="1">
      <t>ハイ</t>
    </rPh>
    <rPh sb="7" eb="8">
      <t>ルイ</t>
    </rPh>
    <rPh sb="10" eb="12">
      <t>セイゾウ</t>
    </rPh>
    <phoneticPr fontId="12"/>
  </si>
  <si>
    <t>GJ/t</t>
  </si>
  <si>
    <t>GJ/kL</t>
  </si>
  <si>
    <t>GJ</t>
    <phoneticPr fontId="5"/>
  </si>
  <si>
    <t>kL</t>
    <phoneticPr fontId="5"/>
  </si>
  <si>
    <t>規模判定エネルギー使用量　合計</t>
    <rPh sb="0" eb="4">
      <t>キボハンテイ</t>
    </rPh>
    <rPh sb="9" eb="12">
      <t>シヨウリョウ</t>
    </rPh>
    <rPh sb="13" eb="15">
      <t>ゴウケイ</t>
    </rPh>
    <phoneticPr fontId="5"/>
  </si>
  <si>
    <t>原油換算エネルギー使用量　合計</t>
    <rPh sb="0" eb="4">
      <t>ゲンユカンザン</t>
    </rPh>
    <rPh sb="9" eb="12">
      <t>シヨウリョウ</t>
    </rPh>
    <rPh sb="13" eb="15">
      <t>ゴウケイ</t>
    </rPh>
    <phoneticPr fontId="5"/>
  </si>
  <si>
    <t>燃料</t>
    <rPh sb="0" eb="2">
      <t>ネンリョウ</t>
    </rPh>
    <phoneticPr fontId="6"/>
  </si>
  <si>
    <t>持続可能性を確認できない
バイオマス燃料によるもの</t>
    <phoneticPr fontId="6"/>
  </si>
  <si>
    <t>仮想電力契約により
環境価値を取引したもの</t>
    <rPh sb="0" eb="2">
      <t>カソウ</t>
    </rPh>
    <rPh sb="2" eb="4">
      <t>デンリョク</t>
    </rPh>
    <rPh sb="4" eb="6">
      <t>ケイヤク</t>
    </rPh>
    <rPh sb="10" eb="12">
      <t>カンキョウ</t>
    </rPh>
    <rPh sb="12" eb="14">
      <t>カチ</t>
    </rPh>
    <rPh sb="15" eb="17">
      <t>トリヒキ</t>
    </rPh>
    <phoneticPr fontId="5"/>
  </si>
  <si>
    <t>再エネ以外</t>
    <rPh sb="0" eb="1">
      <t>サイ</t>
    </rPh>
    <rPh sb="3" eb="5">
      <t>イガイ</t>
    </rPh>
    <phoneticPr fontId="5"/>
  </si>
  <si>
    <t>再エネ</t>
    <rPh sb="0" eb="1">
      <t>サイ</t>
    </rPh>
    <phoneticPr fontId="6"/>
  </si>
  <si>
    <t>一般送配電事業者の電線路および自営線を介して供給された電気</t>
    <rPh sb="15" eb="18">
      <t>ジエイセン</t>
    </rPh>
    <rPh sb="27" eb="29">
      <t>デンキ</t>
    </rPh>
    <phoneticPr fontId="6"/>
  </si>
  <si>
    <t>t</t>
    <phoneticPr fontId="5"/>
  </si>
  <si>
    <t>再エネ
以外</t>
    <rPh sb="0" eb="1">
      <t>サイ</t>
    </rPh>
    <rPh sb="4" eb="6">
      <t>イガイ</t>
    </rPh>
    <phoneticPr fontId="5"/>
  </si>
  <si>
    <t>kL</t>
    <phoneticPr fontId="5"/>
  </si>
  <si>
    <t>ｔ</t>
    <phoneticPr fontId="6"/>
  </si>
  <si>
    <t>千m3</t>
    <rPh sb="0" eb="1">
      <t>セン</t>
    </rPh>
    <phoneticPr fontId="6"/>
  </si>
  <si>
    <r>
      <t>GJ/千m</t>
    </r>
    <r>
      <rPr>
        <vertAlign val="superscript"/>
        <sz val="11"/>
        <color theme="1"/>
        <rFont val="游明朝"/>
        <family val="1"/>
        <charset val="128"/>
      </rPr>
      <t>3</t>
    </r>
    <rPh sb="3" eb="4">
      <t>セン</t>
    </rPh>
    <phoneticPr fontId="6"/>
  </si>
  <si>
    <t>t</t>
    <phoneticPr fontId="5"/>
  </si>
  <si>
    <r>
      <t>廃油</t>
    </r>
    <r>
      <rPr>
        <sz val="9"/>
        <color theme="1"/>
        <rFont val="游明朝"/>
        <family val="1"/>
        <charset val="128"/>
      </rPr>
      <t>（植物性のもの及び動物性のもの並びに特定有害産業廃棄物を除く）</t>
    </r>
    <rPh sb="0" eb="2">
      <t>ハイユ</t>
    </rPh>
    <rPh sb="3" eb="6">
      <t>ショクブツセイ</t>
    </rPh>
    <rPh sb="9" eb="10">
      <t>オヨ</t>
    </rPh>
    <rPh sb="11" eb="14">
      <t>ドウブツセイ</t>
    </rPh>
    <rPh sb="30" eb="31">
      <t>ノゾ</t>
    </rPh>
    <phoneticPr fontId="6"/>
  </si>
  <si>
    <r>
      <t>炭酸ガスの使用に伴い排出されたCO</t>
    </r>
    <r>
      <rPr>
        <vertAlign val="subscript"/>
        <sz val="11"/>
        <color theme="1"/>
        <rFont val="游明朝"/>
        <family val="1"/>
        <charset val="128"/>
      </rPr>
      <t>2</t>
    </r>
    <r>
      <rPr>
        <sz val="11"/>
        <color theme="1"/>
        <rFont val="游明朝"/>
        <family val="1"/>
        <charset val="128"/>
      </rPr>
      <t xml:space="preserve">の量 </t>
    </r>
    <phoneticPr fontId="6"/>
  </si>
  <si>
    <r>
      <t>t-CH</t>
    </r>
    <r>
      <rPr>
        <vertAlign val="subscript"/>
        <sz val="11"/>
        <color theme="1"/>
        <rFont val="游明朝"/>
        <family val="1"/>
        <charset val="128"/>
      </rPr>
      <t>4</t>
    </r>
    <phoneticPr fontId="6"/>
  </si>
  <si>
    <r>
      <t>t-N</t>
    </r>
    <r>
      <rPr>
        <vertAlign val="subscript"/>
        <sz val="11"/>
        <color theme="1"/>
        <rFont val="游明朝"/>
        <family val="1"/>
        <charset val="128"/>
      </rPr>
      <t>2</t>
    </r>
    <r>
      <rPr>
        <sz val="11"/>
        <color theme="1"/>
        <rFont val="游明朝"/>
        <family val="1"/>
        <charset val="128"/>
      </rPr>
      <t>O</t>
    </r>
    <phoneticPr fontId="6"/>
  </si>
  <si>
    <r>
      <t>t-SF</t>
    </r>
    <r>
      <rPr>
        <vertAlign val="subscript"/>
        <sz val="11"/>
        <color theme="1"/>
        <rFont val="游明朝"/>
        <family val="1"/>
        <charset val="128"/>
      </rPr>
      <t>6</t>
    </r>
    <phoneticPr fontId="6"/>
  </si>
  <si>
    <r>
      <t>t-NF</t>
    </r>
    <r>
      <rPr>
        <vertAlign val="subscript"/>
        <sz val="11"/>
        <color theme="1"/>
        <rFont val="游明朝"/>
        <family val="1"/>
        <charset val="128"/>
      </rPr>
      <t>3</t>
    </r>
    <phoneticPr fontId="6"/>
  </si>
  <si>
    <t>監視点番号</t>
    <rPh sb="0" eb="5">
      <t>カンシテンバンゴウ</t>
    </rPh>
    <phoneticPr fontId="5"/>
  </si>
  <si>
    <t>計量器</t>
    <rPh sb="0" eb="3">
      <t>ケイリョウキ</t>
    </rPh>
    <phoneticPr fontId="5"/>
  </si>
  <si>
    <t>種類</t>
    <rPh sb="0" eb="2">
      <t>シュルイ</t>
    </rPh>
    <phoneticPr fontId="5"/>
  </si>
  <si>
    <t>検定</t>
    <rPh sb="0" eb="2">
      <t>ケンテイ</t>
    </rPh>
    <phoneticPr fontId="5"/>
  </si>
  <si>
    <t>把握方法</t>
    <rPh sb="0" eb="4">
      <t>ハアクホウホウ</t>
    </rPh>
    <phoneticPr fontId="5"/>
  </si>
  <si>
    <t>単位</t>
    <rPh sb="0" eb="2">
      <t>タンイ</t>
    </rPh>
    <phoneticPr fontId="5"/>
  </si>
  <si>
    <t>①　事業所内へ供給される燃料使用量</t>
    <phoneticPr fontId="5"/>
  </si>
  <si>
    <t>使用量
(年度計）</t>
    <rPh sb="0" eb="3">
      <t>シヨウリョウ</t>
    </rPh>
    <rPh sb="5" eb="7">
      <t>ネンド</t>
    </rPh>
    <rPh sb="7" eb="8">
      <t>ケイ</t>
    </rPh>
    <phoneticPr fontId="6"/>
  </si>
  <si>
    <t>都市ガス</t>
    <rPh sb="0" eb="2">
      <t>トシ</t>
    </rPh>
    <phoneticPr fontId="5"/>
  </si>
  <si>
    <t>単位発熱量</t>
    <rPh sb="0" eb="5">
      <t>タンイハツネツリョウ</t>
    </rPh>
    <phoneticPr fontId="5"/>
  </si>
  <si>
    <t>排出係数</t>
    <rPh sb="0" eb="2">
      <t>ハイシュツ</t>
    </rPh>
    <rPh sb="2" eb="4">
      <t>ケイスウ</t>
    </rPh>
    <phoneticPr fontId="5"/>
  </si>
  <si>
    <t>設定根拠</t>
    <rPh sb="0" eb="2">
      <t>セッテイ</t>
    </rPh>
    <rPh sb="2" eb="4">
      <t>コンキョ</t>
    </rPh>
    <phoneticPr fontId="5"/>
  </si>
  <si>
    <t>契約情報</t>
    <rPh sb="0" eb="2">
      <t>ケイヤク</t>
    </rPh>
    <rPh sb="2" eb="4">
      <t>ジョウホウ</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</si>
  <si>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3">
      <t>コユウ</t>
    </rPh>
    <rPh sb="13" eb="15">
      <t>タンイ</t>
    </rPh>
    <phoneticPr fontId="5"/>
  </si>
  <si>
    <t>メニュー
有無</t>
    <rPh sb="5" eb="7">
      <t>ウム</t>
    </rPh>
    <phoneticPr fontId="5"/>
  </si>
  <si>
    <t>メニュー別
契約名称</t>
    <rPh sb="4" eb="5">
      <t>ベツ</t>
    </rPh>
    <rPh sb="6" eb="8">
      <t>ケイヤク</t>
    </rPh>
    <rPh sb="8" eb="10">
      <t>メイショウ</t>
    </rPh>
    <phoneticPr fontId="5"/>
  </si>
  <si>
    <t>熱量
[GJ]</t>
    <rPh sb="0" eb="2">
      <t>ネツリョウ</t>
    </rPh>
    <phoneticPr fontId="5"/>
  </si>
  <si>
    <r>
      <t>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3" eb="6">
      <t>ハイシュツリョウ</t>
    </rPh>
    <phoneticPr fontId="5"/>
  </si>
  <si>
    <t>再エネの種類</t>
    <rPh sb="0" eb="1">
      <t>サイ</t>
    </rPh>
    <rPh sb="4" eb="6">
      <t>シュルイ</t>
    </rPh>
    <phoneticPr fontId="5"/>
  </si>
  <si>
    <t>(バイオマス燃料種）</t>
    <rPh sb="6" eb="8">
      <t>ネンリョウ</t>
    </rPh>
    <rPh sb="8" eb="9">
      <t>シュ</t>
    </rPh>
    <phoneticPr fontId="5"/>
  </si>
  <si>
    <t>環境価値
の有無</t>
    <rPh sb="0" eb="2">
      <t>カンキョウ</t>
    </rPh>
    <rPh sb="2" eb="4">
      <t>カチ</t>
    </rPh>
    <rPh sb="6" eb="8">
      <t>ウム</t>
    </rPh>
    <phoneticPr fontId="5"/>
  </si>
  <si>
    <t>令和</t>
    <rPh sb="0" eb="2">
      <t>レイワ</t>
    </rPh>
    <phoneticPr fontId="6"/>
  </si>
  <si>
    <t>検　証</t>
    <rPh sb="0" eb="1">
      <t>ケン</t>
    </rPh>
    <rPh sb="2" eb="3">
      <t>アカシ</t>
    </rPh>
    <phoneticPr fontId="6"/>
  </si>
  <si>
    <t>事業所種別</t>
    <rPh sb="0" eb="3">
      <t>ジギョウショ</t>
    </rPh>
    <rPh sb="3" eb="5">
      <t>シュベツ</t>
    </rPh>
    <phoneticPr fontId="6"/>
  </si>
  <si>
    <t>（Ｂ事業所，Ｃ事業所用）</t>
    <phoneticPr fontId="6"/>
  </si>
  <si>
    <t>資料作成日</t>
    <rPh sb="0" eb="2">
      <t>シリョウ</t>
    </rPh>
    <rPh sb="2" eb="5">
      <t>サクセイビ</t>
    </rPh>
    <phoneticPr fontId="6"/>
  </si>
  <si>
    <t>１　事業所の概要</t>
    <rPh sb="2" eb="5">
      <t>ジギョウショ</t>
    </rPh>
    <rPh sb="6" eb="8">
      <t>ガイヨウ</t>
    </rPh>
    <phoneticPr fontId="6"/>
  </si>
  <si>
    <t>名称</t>
    <rPh sb="0" eb="2">
      <t>メイショウ</t>
    </rPh>
    <phoneticPr fontId="6"/>
  </si>
  <si>
    <t>所在地</t>
    <rPh sb="0" eb="3">
      <t>ショザイチ</t>
    </rPh>
    <phoneticPr fontId="6"/>
  </si>
  <si>
    <t>延床面積（年度末）</t>
    <rPh sb="0" eb="1">
      <t>ノ</t>
    </rPh>
    <rPh sb="1" eb="4">
      <t>ユカメンセキ</t>
    </rPh>
    <rPh sb="5" eb="8">
      <t>ネンドマツ</t>
    </rPh>
    <phoneticPr fontId="6"/>
  </si>
  <si>
    <t>原油換算エネルギー使用量</t>
    <rPh sb="0" eb="2">
      <t>ゲンユ</t>
    </rPh>
    <rPh sb="2" eb="4">
      <t>カンザン</t>
    </rPh>
    <rPh sb="9" eb="12">
      <t>シヨウリョウ</t>
    </rPh>
    <phoneticPr fontId="6"/>
  </si>
  <si>
    <t>ｋＬ</t>
    <phoneticPr fontId="6"/>
  </si>
  <si>
    <t>２　算定体制</t>
    <rPh sb="2" eb="4">
      <t>サンテイ</t>
    </rPh>
    <rPh sb="4" eb="6">
      <t>タイセイ</t>
    </rPh>
    <phoneticPr fontId="6"/>
  </si>
  <si>
    <t>算定責任者</t>
    <rPh sb="0" eb="2">
      <t>サンテイ</t>
    </rPh>
    <rPh sb="2" eb="5">
      <t>セキニンシャ</t>
    </rPh>
    <phoneticPr fontId="6"/>
  </si>
  <si>
    <t>所属</t>
    <rPh sb="0" eb="2">
      <t>ショゾク</t>
    </rPh>
    <phoneticPr fontId="6"/>
  </si>
  <si>
    <t>職名・氏名</t>
    <rPh sb="0" eb="2">
      <t>ショクメイ</t>
    </rPh>
    <rPh sb="3" eb="5">
      <t>シメイ</t>
    </rPh>
    <phoneticPr fontId="6"/>
  </si>
  <si>
    <t>算定担当者</t>
    <rPh sb="0" eb="2">
      <t>サンテイ</t>
    </rPh>
    <rPh sb="2" eb="5">
      <t>タントウシャ</t>
    </rPh>
    <phoneticPr fontId="6"/>
  </si>
  <si>
    <t>電話番号</t>
    <rPh sb="0" eb="2">
      <t>デンワ</t>
    </rPh>
    <rPh sb="2" eb="4">
      <t>バンゴウ</t>
    </rPh>
    <phoneticPr fontId="6"/>
  </si>
  <si>
    <t>特殊条件の設定</t>
    <rPh sb="0" eb="2">
      <t>トクシュ</t>
    </rPh>
    <rPh sb="2" eb="4">
      <t>ジョウケン</t>
    </rPh>
    <rPh sb="5" eb="7">
      <t>セッテイ</t>
    </rPh>
    <phoneticPr fontId="6"/>
  </si>
  <si>
    <t>燃料の種類</t>
    <rPh sb="0" eb="2">
      <t>ネンリョウ</t>
    </rPh>
    <rPh sb="3" eb="5">
      <t>シュルイ</t>
    </rPh>
    <phoneticPr fontId="6"/>
  </si>
  <si>
    <t>圧力(kPa)</t>
    <rPh sb="0" eb="2">
      <t>アツリョク</t>
    </rPh>
    <phoneticPr fontId="6"/>
  </si>
  <si>
    <t>温度(℃)</t>
    <rPh sb="0" eb="2">
      <t>オンド</t>
    </rPh>
    <phoneticPr fontId="6"/>
  </si>
  <si>
    <t>単位発熱量</t>
    <rPh sb="0" eb="2">
      <t>タンイ</t>
    </rPh>
    <rPh sb="2" eb="4">
      <t>ハツネツ</t>
    </rPh>
    <rPh sb="4" eb="5">
      <t>リョウ</t>
    </rPh>
    <phoneticPr fontId="6"/>
  </si>
  <si>
    <t>排出係数</t>
    <rPh sb="0" eb="2">
      <t>ハイシュツ</t>
    </rPh>
    <rPh sb="2" eb="4">
      <t>ケイスウ</t>
    </rPh>
    <phoneticPr fontId="6"/>
  </si>
  <si>
    <t>改版履歴</t>
    <rPh sb="0" eb="2">
      <t>カイバン</t>
    </rPh>
    <rPh sb="2" eb="4">
      <t>リレキ</t>
    </rPh>
    <phoneticPr fontId="10"/>
  </si>
  <si>
    <t>最新Rvision番号はB62セルに記入し、古い記述は下にシフトして記録を残していくこと。B62セルはP51セルにINDIRECTで表示している。</t>
    <phoneticPr fontId="6"/>
  </si>
  <si>
    <t>Rev.3.0</t>
  </si>
  <si>
    <t>R3.4.1</t>
  </si>
  <si>
    <t>第３計画期間用First Revision</t>
  </si>
  <si>
    <t>３　事業所境界及び燃料等使用量監視点の図面</t>
    <rPh sb="19" eb="21">
      <t>ズメン</t>
    </rPh>
    <phoneticPr fontId="6"/>
  </si>
  <si>
    <t>← 図のリンク貼り付けはしないでください。別紙とする場合はその旨を記入してください。</t>
    <phoneticPr fontId="6"/>
  </si>
  <si>
    <t>監視点一覧</t>
    <rPh sb="0" eb="2">
      <t>カンシ</t>
    </rPh>
    <rPh sb="2" eb="3">
      <t>テン</t>
    </rPh>
    <rPh sb="3" eb="5">
      <t>イチラン</t>
    </rPh>
    <phoneticPr fontId="6"/>
  </si>
  <si>
    <t>監視点番号</t>
    <rPh sb="0" eb="2">
      <t>カンシ</t>
    </rPh>
    <rPh sb="2" eb="3">
      <t>テン</t>
    </rPh>
    <rPh sb="3" eb="5">
      <t>バンゴウ</t>
    </rPh>
    <phoneticPr fontId="6"/>
  </si>
  <si>
    <t>監視点の名前</t>
    <rPh sb="0" eb="2">
      <t>カンシ</t>
    </rPh>
    <rPh sb="2" eb="3">
      <t>テン</t>
    </rPh>
    <rPh sb="4" eb="6">
      <t>ナマエ</t>
    </rPh>
    <phoneticPr fontId="6"/>
  </si>
  <si>
    <t>電気</t>
    <rPh sb="0" eb="2">
      <t>デンキ</t>
    </rPh>
    <phoneticPr fontId="29"/>
  </si>
  <si>
    <t>都市ガス(低圧用)</t>
    <rPh sb="5" eb="7">
      <t>テイアツ</t>
    </rPh>
    <rPh sb="7" eb="8">
      <t>ヨウ</t>
    </rPh>
    <phoneticPr fontId="6"/>
  </si>
  <si>
    <t>都市ガス(中間圧以上用)</t>
    <rPh sb="5" eb="7">
      <t>チュウカン</t>
    </rPh>
    <rPh sb="7" eb="8">
      <t>アツ</t>
    </rPh>
    <rPh sb="8" eb="10">
      <t>イジョウ</t>
    </rPh>
    <rPh sb="10" eb="11">
      <t>ヨウ</t>
    </rPh>
    <phoneticPr fontId="6"/>
  </si>
  <si>
    <t>液化石油ガス_LPG</t>
    <phoneticPr fontId="11"/>
  </si>
  <si>
    <t>原油</t>
    <rPh sb="0" eb="2">
      <t>ゲンユ</t>
    </rPh>
    <phoneticPr fontId="30"/>
  </si>
  <si>
    <t>揮発油_ガソリン</t>
    <rPh sb="0" eb="3">
      <t>キハツユ</t>
    </rPh>
    <phoneticPr fontId="30"/>
  </si>
  <si>
    <t>灯油</t>
    <rPh sb="0" eb="2">
      <t>トウユ</t>
    </rPh>
    <phoneticPr fontId="30"/>
  </si>
  <si>
    <t>軽油</t>
    <rPh sb="0" eb="2">
      <t>ケイユ</t>
    </rPh>
    <phoneticPr fontId="30"/>
  </si>
  <si>
    <t>重油</t>
    <rPh sb="0" eb="2">
      <t>ジュウユ</t>
    </rPh>
    <phoneticPr fontId="30"/>
  </si>
  <si>
    <t>ナフサ</t>
  </si>
  <si>
    <t>石油アスファルト</t>
    <rPh sb="0" eb="2">
      <t>セキユ</t>
    </rPh>
    <phoneticPr fontId="30"/>
  </si>
  <si>
    <t>石油系炭化水素ガス</t>
    <rPh sb="0" eb="3">
      <t>セキユケイ</t>
    </rPh>
    <rPh sb="3" eb="5">
      <t>タンカ</t>
    </rPh>
    <rPh sb="5" eb="7">
      <t>スイソ</t>
    </rPh>
    <phoneticPr fontId="30"/>
  </si>
  <si>
    <t>液化天然ガス_ＬＮＧ</t>
    <rPh sb="0" eb="2">
      <t>エキカ</t>
    </rPh>
    <rPh sb="2" eb="4">
      <t>テンネン</t>
    </rPh>
    <phoneticPr fontId="30"/>
  </si>
  <si>
    <t>その他可燃性天然ガス</t>
    <rPh sb="2" eb="3">
      <t>タ</t>
    </rPh>
    <rPh sb="3" eb="6">
      <t>カネンセイ</t>
    </rPh>
    <rPh sb="6" eb="8">
      <t>テンネン</t>
    </rPh>
    <phoneticPr fontId="30"/>
  </si>
  <si>
    <t>４　床面積入力</t>
    <rPh sb="2" eb="5">
      <t>ユカメンセキ</t>
    </rPh>
    <rPh sb="5" eb="7">
      <t>ニュウリョク</t>
    </rPh>
    <phoneticPr fontId="6"/>
  </si>
  <si>
    <t>建物名称</t>
    <rPh sb="0" eb="2">
      <t>タテモノ</t>
    </rPh>
    <rPh sb="2" eb="4">
      <t>メイショウ</t>
    </rPh>
    <phoneticPr fontId="6"/>
  </si>
  <si>
    <t>床面積
前年度末</t>
    <rPh sb="0" eb="3">
      <t>ユカメンセキ</t>
    </rPh>
    <rPh sb="4" eb="7">
      <t>ゼンネンド</t>
    </rPh>
    <rPh sb="7" eb="8">
      <t>マツ</t>
    </rPh>
    <phoneticPr fontId="6"/>
  </si>
  <si>
    <t>年度内における
変更の有無</t>
    <rPh sb="0" eb="3">
      <t>ネンドナイ</t>
    </rPh>
    <rPh sb="8" eb="10">
      <t>ヘンコウ</t>
    </rPh>
    <rPh sb="11" eb="13">
      <t>ウム</t>
    </rPh>
    <phoneticPr fontId="6"/>
  </si>
  <si>
    <t>年度末</t>
    <rPh sb="0" eb="3">
      <t>ネンドマツ</t>
    </rPh>
    <phoneticPr fontId="6"/>
  </si>
  <si>
    <t>合　　計</t>
    <rPh sb="0" eb="1">
      <t>ゴウ</t>
    </rPh>
    <rPh sb="3" eb="4">
      <t>ケイ</t>
    </rPh>
    <phoneticPr fontId="6"/>
  </si>
  <si>
    <t>　※　翌月適用平均　…　床面積の増減について、変更があった日を含む月の翌月から変更後の床面積になったものとして、月を単位として年度の平均をとった面積</t>
    <rPh sb="3" eb="4">
      <t>ヨク</t>
    </rPh>
    <rPh sb="4" eb="5">
      <t>ツキ</t>
    </rPh>
    <rPh sb="5" eb="7">
      <t>テキヨウ</t>
    </rPh>
    <rPh sb="7" eb="9">
      <t>ヘイキン</t>
    </rPh>
    <rPh sb="12" eb="15">
      <t>ユカメンセキ</t>
    </rPh>
    <rPh sb="16" eb="18">
      <t>ゾウゲン</t>
    </rPh>
    <rPh sb="23" eb="25">
      <t>ヘンコウ</t>
    </rPh>
    <rPh sb="29" eb="30">
      <t>ヒ</t>
    </rPh>
    <rPh sb="31" eb="32">
      <t>フク</t>
    </rPh>
    <rPh sb="33" eb="34">
      <t>ツキ</t>
    </rPh>
    <rPh sb="35" eb="36">
      <t>ヨク</t>
    </rPh>
    <rPh sb="36" eb="37">
      <t>ツキ</t>
    </rPh>
    <rPh sb="39" eb="41">
      <t>ヘンコウ</t>
    </rPh>
    <rPh sb="41" eb="42">
      <t>ゴ</t>
    </rPh>
    <rPh sb="43" eb="46">
      <t>ユカメンセキ</t>
    </rPh>
    <rPh sb="56" eb="57">
      <t>ツキ</t>
    </rPh>
    <rPh sb="58" eb="60">
      <t>タンイ</t>
    </rPh>
    <rPh sb="63" eb="65">
      <t>ネンド</t>
    </rPh>
    <rPh sb="66" eb="68">
      <t>ヘイキン</t>
    </rPh>
    <rPh sb="72" eb="74">
      <t>メンセキ</t>
    </rPh>
    <phoneticPr fontId="6"/>
  </si>
  <si>
    <t>参考（把握方法が「その他」である場合、その他特殊な事情についての参考情報）</t>
    <rPh sb="0" eb="2">
      <t>サンコウ</t>
    </rPh>
    <rPh sb="3" eb="5">
      <t>ハアク</t>
    </rPh>
    <rPh sb="5" eb="7">
      <t>ホウホウ</t>
    </rPh>
    <rPh sb="11" eb="12">
      <t>タ</t>
    </rPh>
    <rPh sb="16" eb="18">
      <t>バアイ</t>
    </rPh>
    <rPh sb="21" eb="22">
      <t>タ</t>
    </rPh>
    <rPh sb="22" eb="24">
      <t>トクシュ</t>
    </rPh>
    <rPh sb="25" eb="27">
      <t>ジジョウ</t>
    </rPh>
    <rPh sb="32" eb="34">
      <t>サンコウ</t>
    </rPh>
    <rPh sb="34" eb="36">
      <t>ジョウホウ</t>
    </rPh>
    <phoneticPr fontId="6"/>
  </si>
  <si>
    <t>第４計画期間</t>
    <rPh sb="0" eb="1">
      <t>ダイ</t>
    </rPh>
    <rPh sb="2" eb="4">
      <t>ケイカク</t>
    </rPh>
    <rPh sb="4" eb="6">
      <t>キカン</t>
    </rPh>
    <phoneticPr fontId="6"/>
  </si>
  <si>
    <t>規模判定エネルギー使用量</t>
    <rPh sb="0" eb="4">
      <t>キボハンテイ</t>
    </rPh>
    <rPh sb="9" eb="12">
      <t>シヨウリョウ</t>
    </rPh>
    <phoneticPr fontId="5"/>
  </si>
  <si>
    <t>その他ガス排出量</t>
    <rPh sb="2" eb="3">
      <t>ホカ</t>
    </rPh>
    <rPh sb="5" eb="8">
      <t>ハイシュツリョウ</t>
    </rPh>
    <phoneticPr fontId="6"/>
  </si>
  <si>
    <t>算定資料</t>
    <phoneticPr fontId="6"/>
  </si>
  <si>
    <t>単位</t>
    <rPh sb="0" eb="2">
      <t>タンイ</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</si>
  <si>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5">
      <t>コユウタンイ</t>
    </rPh>
    <phoneticPr fontId="5"/>
  </si>
  <si>
    <t>B,C事業所算定資料３</t>
    <rPh sb="3" eb="6">
      <t>ジギョウショ</t>
    </rPh>
    <rPh sb="6" eb="8">
      <t>サンテイ</t>
    </rPh>
    <rPh sb="8" eb="10">
      <t>シリョウ</t>
    </rPh>
    <phoneticPr fontId="6"/>
  </si>
  <si>
    <r>
      <t>ｍ</t>
    </r>
    <r>
      <rPr>
        <vertAlign val="superscript"/>
        <sz val="11"/>
        <color indexed="8"/>
        <rFont val="游明朝"/>
        <family val="1"/>
        <charset val="128"/>
      </rPr>
      <t>２</t>
    </r>
    <phoneticPr fontId="6"/>
  </si>
  <si>
    <r>
      <t>ｔ-ＣＯ</t>
    </r>
    <r>
      <rPr>
        <vertAlign val="subscript"/>
        <sz val="11"/>
        <color indexed="8"/>
        <rFont val="游明朝"/>
        <family val="1"/>
        <charset val="128"/>
      </rPr>
      <t>２</t>
    </r>
    <phoneticPr fontId="6"/>
  </si>
  <si>
    <r>
      <t>翌月適用平均</t>
    </r>
    <r>
      <rPr>
        <vertAlign val="superscript"/>
        <sz val="11"/>
        <color theme="1"/>
        <rFont val="游明朝"/>
        <family val="1"/>
        <charset val="128"/>
      </rPr>
      <t>※</t>
    </r>
    <rPh sb="0" eb="2">
      <t>ヨクゲツ</t>
    </rPh>
    <rPh sb="2" eb="4">
      <t>テキヨウ</t>
    </rPh>
    <rPh sb="4" eb="6">
      <t>ヘイキン</t>
    </rPh>
    <phoneticPr fontId="6"/>
  </si>
  <si>
    <t>５ー１　燃料使用量</t>
    <rPh sb="4" eb="6">
      <t>ネンリョウ</t>
    </rPh>
    <rPh sb="6" eb="9">
      <t>シヨウリョウ</t>
    </rPh>
    <phoneticPr fontId="6"/>
  </si>
  <si>
    <t>B,C事業所算定資料４</t>
    <rPh sb="3" eb="6">
      <t>ジギョウショ</t>
    </rPh>
    <rPh sb="6" eb="8">
      <t>サンテイ</t>
    </rPh>
    <rPh sb="8" eb="10">
      <t>シリョウ</t>
    </rPh>
    <phoneticPr fontId="6"/>
  </si>
  <si>
    <t>５－２　再生可能エネルギー以外の電気・熱の使用量及び都市ガスの使用量</t>
    <phoneticPr fontId="6"/>
  </si>
  <si>
    <t>５－４　非化石燃料使用量</t>
    <rPh sb="4" eb="7">
      <t>ヒカセキ</t>
    </rPh>
    <rPh sb="7" eb="9">
      <t>ネンリョウ</t>
    </rPh>
    <rPh sb="9" eb="12">
      <t>シヨウリョウ</t>
    </rPh>
    <phoneticPr fontId="6"/>
  </si>
  <si>
    <t>B,C事業所算定資料１～２</t>
    <rPh sb="3" eb="6">
      <t>ジギョウショ</t>
    </rPh>
    <rPh sb="6" eb="8">
      <t>サンテイ</t>
    </rPh>
    <rPh sb="8" eb="10">
      <t>シリョウ</t>
    </rPh>
    <phoneticPr fontId="6"/>
  </si>
  <si>
    <t>B,C事業所算定資料５ー１</t>
    <rPh sb="3" eb="6">
      <t>ジギョウショ</t>
    </rPh>
    <rPh sb="6" eb="8">
      <t>サンテイ</t>
    </rPh>
    <rPh sb="8" eb="10">
      <t>シリョウ</t>
    </rPh>
    <phoneticPr fontId="6"/>
  </si>
  <si>
    <t>B,C事業所算定資料５ー２</t>
    <rPh sb="3" eb="6">
      <t>ジギョウショ</t>
    </rPh>
    <rPh sb="6" eb="8">
      <t>サンテイ</t>
    </rPh>
    <rPh sb="8" eb="10">
      <t>シリョウ</t>
    </rPh>
    <phoneticPr fontId="6"/>
  </si>
  <si>
    <t>B,C事業所算定資料５ー３</t>
    <rPh sb="3" eb="6">
      <t>ジギョウショ</t>
    </rPh>
    <rPh sb="6" eb="8">
      <t>サンテイ</t>
    </rPh>
    <rPh sb="8" eb="10">
      <t>シリョウ</t>
    </rPh>
    <phoneticPr fontId="6"/>
  </si>
  <si>
    <t>B,C事業所算定資料５ー４</t>
    <rPh sb="3" eb="6">
      <t>ジギョウショ</t>
    </rPh>
    <rPh sb="6" eb="8">
      <t>サンテイ</t>
    </rPh>
    <rPh sb="8" eb="10">
      <t>シリョウ</t>
    </rPh>
    <phoneticPr fontId="6"/>
  </si>
  <si>
    <t>B,C事業所算定資料５ー５</t>
    <rPh sb="3" eb="6">
      <t>ジギョウショ</t>
    </rPh>
    <rPh sb="6" eb="8">
      <t>サンテイ</t>
    </rPh>
    <rPh sb="8" eb="10">
      <t>シリョウ</t>
    </rPh>
    <phoneticPr fontId="6"/>
  </si>
  <si>
    <t>B,C事業所算定資料７</t>
    <rPh sb="3" eb="6">
      <t>ジギョウショ</t>
    </rPh>
    <rPh sb="6" eb="8">
      <t>サンテイ</t>
    </rPh>
    <rPh sb="8" eb="10">
      <t>シリョウ</t>
    </rPh>
    <phoneticPr fontId="6"/>
  </si>
  <si>
    <t>B,C事業所算定資料６</t>
    <rPh sb="3" eb="6">
      <t>ジギョウショ</t>
    </rPh>
    <rPh sb="6" eb="8">
      <t>サンテイ</t>
    </rPh>
    <rPh sb="8" eb="10">
      <t>シリョウ</t>
    </rPh>
    <phoneticPr fontId="6"/>
  </si>
  <si>
    <t>５－５　再生可能エネルギー等由来の証書等の利用</t>
    <rPh sb="4" eb="6">
      <t>サイセイ</t>
    </rPh>
    <rPh sb="6" eb="8">
      <t>カノウ</t>
    </rPh>
    <rPh sb="13" eb="14">
      <t>トウ</t>
    </rPh>
    <rPh sb="14" eb="16">
      <t>ユライ</t>
    </rPh>
    <rPh sb="17" eb="19">
      <t>ショウショ</t>
    </rPh>
    <rPh sb="19" eb="20">
      <t>トウ</t>
    </rPh>
    <rPh sb="21" eb="23">
      <t>リヨウ</t>
    </rPh>
    <phoneticPr fontId="5"/>
  </si>
  <si>
    <t>証書等の種類</t>
    <rPh sb="0" eb="2">
      <t>ショウショ</t>
    </rPh>
    <rPh sb="2" eb="3">
      <t>トウ</t>
    </rPh>
    <rPh sb="4" eb="6">
      <t>シュルイ</t>
    </rPh>
    <phoneticPr fontId="5"/>
  </si>
  <si>
    <t>使　用　量
（端数処理後）</t>
    <rPh sb="0" eb="1">
      <t>シ</t>
    </rPh>
    <rPh sb="2" eb="3">
      <t>ヨウ</t>
    </rPh>
    <rPh sb="4" eb="5">
      <t>リョウ</t>
    </rPh>
    <rPh sb="7" eb="9">
      <t>ハスウ</t>
    </rPh>
    <rPh sb="9" eb="11">
      <t>ショリ</t>
    </rPh>
    <rPh sb="11" eb="12">
      <t>アト</t>
    </rPh>
    <phoneticPr fontId="6"/>
  </si>
  <si>
    <t>①　事業所内へ供給される電気・熱・都市ガスの使用量</t>
    <rPh sb="2" eb="5">
      <t>ジギョウジョ</t>
    </rPh>
    <rPh sb="5" eb="6">
      <t>ナイ</t>
    </rPh>
    <rPh sb="7" eb="9">
      <t>キョウキュウ</t>
    </rPh>
    <rPh sb="12" eb="14">
      <t>デンキ</t>
    </rPh>
    <rPh sb="15" eb="16">
      <t>ネツ</t>
    </rPh>
    <rPh sb="17" eb="19">
      <t>トシ</t>
    </rPh>
    <rPh sb="22" eb="25">
      <t>シヨウリョウ</t>
    </rPh>
    <phoneticPr fontId="5"/>
  </si>
  <si>
    <t>目標設定ガス</t>
    <rPh sb="0" eb="4">
      <t>モクヒョウセッテイ</t>
    </rPh>
    <phoneticPr fontId="6"/>
  </si>
  <si>
    <t>目標設定ガス</t>
    <rPh sb="0" eb="2">
      <t>モクヒョウ</t>
    </rPh>
    <rPh sb="2" eb="4">
      <t>セッテイ</t>
    </rPh>
    <phoneticPr fontId="5"/>
  </si>
  <si>
    <t>６．燃料等使用量及び目標設定ガス排出量（自動計算）続き</t>
    <rPh sb="8" eb="9">
      <t>オヨ</t>
    </rPh>
    <rPh sb="10" eb="14">
      <t>モクヒョウセッテイ</t>
    </rPh>
    <rPh sb="16" eb="18">
      <t>ハイシュツ</t>
    </rPh>
    <rPh sb="18" eb="19">
      <t>リョウ</t>
    </rPh>
    <rPh sb="25" eb="26">
      <t>ツヅ</t>
    </rPh>
    <phoneticPr fontId="6"/>
  </si>
  <si>
    <t>kL</t>
  </si>
  <si>
    <t>日本産業規格Ａ列４番</t>
    <phoneticPr fontId="5"/>
  </si>
  <si>
    <t>温室効果ガス排出量</t>
    <rPh sb="0" eb="4">
      <t>オンシツコウカ</t>
    </rPh>
    <rPh sb="6" eb="9">
      <t>ハイシュツリョウ</t>
    </rPh>
    <phoneticPr fontId="6"/>
  </si>
  <si>
    <t>７その他の温室効果ガス排出量</t>
    <rPh sb="3" eb="4">
      <t>ホカ</t>
    </rPh>
    <rPh sb="5" eb="9">
      <t>オンシツコウカ</t>
    </rPh>
    <rPh sb="11" eb="14">
      <t>ハイシュツリョウ</t>
    </rPh>
    <phoneticPr fontId="5"/>
  </si>
  <si>
    <t>その他の温室効果ガス</t>
    <rPh sb="2" eb="3">
      <t>タ</t>
    </rPh>
    <rPh sb="4" eb="6">
      <t>オンシツ</t>
    </rPh>
    <rPh sb="6" eb="8">
      <t>コウカ</t>
    </rPh>
    <phoneticPr fontId="6"/>
  </si>
  <si>
    <t>目標設定ガス以外のCO2</t>
    <phoneticPr fontId="5"/>
  </si>
  <si>
    <t>目標設定ガス以外のCO2</t>
    <rPh sb="0" eb="4">
      <t>モクヒョウセッテイ</t>
    </rPh>
    <rPh sb="6" eb="8">
      <t>イガイ</t>
    </rPh>
    <phoneticPr fontId="6"/>
  </si>
  <si>
    <t>熱</t>
    <rPh sb="0" eb="1">
      <t>ネツ</t>
    </rPh>
    <phoneticPr fontId="5"/>
  </si>
  <si>
    <t>電気</t>
    <rPh sb="0" eb="2">
      <t>デンキ</t>
    </rPh>
    <phoneticPr fontId="5"/>
  </si>
  <si>
    <t>目標設定ガス排出量</t>
    <rPh sb="0" eb="4">
      <t>モクヒョウセッテイ</t>
    </rPh>
    <rPh sb="6" eb="9">
      <t>ハイシュツリョウ</t>
    </rPh>
    <phoneticPr fontId="6"/>
  </si>
  <si>
    <t>上記以外の温室効果ガス</t>
    <rPh sb="0" eb="2">
      <t>ジョウキ</t>
    </rPh>
    <rPh sb="2" eb="4">
      <t>イガイ</t>
    </rPh>
    <rPh sb="5" eb="9">
      <t>オンシツコウカ</t>
    </rPh>
    <phoneticPr fontId="5"/>
  </si>
  <si>
    <t>単位発熱量</t>
    <rPh sb="0" eb="5">
      <t>タンイハツネツリョウ</t>
    </rPh>
    <phoneticPr fontId="6"/>
  </si>
  <si>
    <t>温室効果ガス
排出係数</t>
    <rPh sb="0" eb="4">
      <t>オンシツコウカ</t>
    </rPh>
    <rPh sb="7" eb="9">
      <t>ハイシュツ</t>
    </rPh>
    <rPh sb="9" eb="11">
      <t>ケイスウ</t>
    </rPh>
    <phoneticPr fontId="5"/>
  </si>
  <si>
    <t>事業所番号</t>
    <rPh sb="0" eb="3">
      <t>ジギョウジョ</t>
    </rPh>
    <rPh sb="3" eb="5">
      <t>バンゴウ</t>
    </rPh>
    <phoneticPr fontId="5"/>
  </si>
  <si>
    <t>廃棄物原燃料
（燃料として
使用する
廃棄物及び
廃棄物由来の
燃料）</t>
    <rPh sb="0" eb="3">
      <t>ハイキブツ</t>
    </rPh>
    <rPh sb="3" eb="6">
      <t>ゲンネンリョウ</t>
    </rPh>
    <rPh sb="8" eb="10">
      <t>ネンリョウ</t>
    </rPh>
    <rPh sb="14" eb="16">
      <t>シヨウ</t>
    </rPh>
    <rPh sb="19" eb="22">
      <t>ハイキブツ</t>
    </rPh>
    <rPh sb="22" eb="23">
      <t>オヨ</t>
    </rPh>
    <rPh sb="25" eb="28">
      <t>ハイキブツ</t>
    </rPh>
    <rPh sb="28" eb="30">
      <t>ユライ</t>
    </rPh>
    <rPh sb="32" eb="34">
      <t>ネンリョウ</t>
    </rPh>
    <phoneticPr fontId="5"/>
  </si>
  <si>
    <t>上記以外の非化石燃料</t>
    <rPh sb="0" eb="2">
      <t>ジョウキ</t>
    </rPh>
    <rPh sb="2" eb="4">
      <t>イガイ</t>
    </rPh>
    <rPh sb="5" eb="8">
      <t>ヒカセキ</t>
    </rPh>
    <rPh sb="8" eb="10">
      <t>ネンリョウ</t>
    </rPh>
    <phoneticPr fontId="5"/>
  </si>
  <si>
    <t>目標設定ガス排出量　合計</t>
    <rPh sb="0" eb="2">
      <t>モクヒョウ</t>
    </rPh>
    <rPh sb="2" eb="4">
      <t>セッテイ</t>
    </rPh>
    <rPh sb="6" eb="9">
      <t>ハイシュツリョウ</t>
    </rPh>
    <rPh sb="10" eb="12">
      <t>ゴウケイ</t>
    </rPh>
    <phoneticPr fontId="5"/>
  </si>
  <si>
    <r>
      <t>埼玉県森林CO</t>
    </r>
    <r>
      <rPr>
        <vertAlign val="subscript"/>
        <sz val="11"/>
        <color theme="1"/>
        <rFont val="游明朝"/>
        <family val="1"/>
        <charset val="128"/>
      </rPr>
      <t>2</t>
    </r>
    <r>
      <rPr>
        <sz val="11"/>
        <color theme="1"/>
        <rFont val="游明朝"/>
        <family val="1"/>
        <charset val="128"/>
      </rPr>
      <t>吸収量認証制度
において認証されたCO</t>
    </r>
    <r>
      <rPr>
        <vertAlign val="subscript"/>
        <sz val="11"/>
        <color theme="1"/>
        <rFont val="游明朝"/>
        <family val="1"/>
        <charset val="128"/>
      </rPr>
      <t>2</t>
    </r>
    <r>
      <rPr>
        <sz val="11"/>
        <color theme="1"/>
        <rFont val="游明朝"/>
        <family val="1"/>
        <charset val="128"/>
      </rPr>
      <t>吸収量</t>
    </r>
    <phoneticPr fontId="5"/>
  </si>
  <si>
    <r>
      <t>千ｍ</t>
    </r>
    <r>
      <rPr>
        <vertAlign val="superscript"/>
        <sz val="11"/>
        <color theme="1"/>
        <rFont val="游明朝"/>
        <family val="1"/>
        <charset val="128"/>
      </rPr>
      <t xml:space="preserve">3 </t>
    </r>
    <r>
      <rPr>
        <sz val="11"/>
        <color theme="1"/>
        <rFont val="游明朝"/>
        <family val="1"/>
        <charset val="128"/>
      </rPr>
      <t>(SATP)</t>
    </r>
    <rPh sb="0" eb="1">
      <t>セン</t>
    </rPh>
    <phoneticPr fontId="6"/>
  </si>
  <si>
    <t>高炉ガス</t>
    <phoneticPr fontId="5"/>
  </si>
  <si>
    <t>排出係数改善及び証書等利用による削減量</t>
    <rPh sb="10" eb="11">
      <t>トウ</t>
    </rPh>
    <rPh sb="18" eb="19">
      <t>リョウ</t>
    </rPh>
    <phoneticPr fontId="5"/>
  </si>
  <si>
    <t>７</t>
    <phoneticPr fontId="5"/>
  </si>
  <si>
    <t>８</t>
    <phoneticPr fontId="5"/>
  </si>
  <si>
    <t>９</t>
    <phoneticPr fontId="5"/>
  </si>
  <si>
    <t>１０</t>
    <phoneticPr fontId="5"/>
  </si>
  <si>
    <t>１１</t>
    <phoneticPr fontId="5"/>
  </si>
  <si>
    <t>第4和暦年度 全角</t>
    <rPh sb="0" eb="1">
      <t>ダイ</t>
    </rPh>
    <rPh sb="2" eb="4">
      <t>ワレキ</t>
    </rPh>
    <rPh sb="4" eb="6">
      <t>ネンド</t>
    </rPh>
    <rPh sb="7" eb="9">
      <t>ゼンカク</t>
    </rPh>
    <phoneticPr fontId="5"/>
  </si>
  <si>
    <t>検証</t>
    <rPh sb="0" eb="2">
      <t>ケンショウ</t>
    </rPh>
    <phoneticPr fontId="5"/>
  </si>
  <si>
    <t>未実施</t>
    <rPh sb="0" eb="3">
      <t>ミジッシ</t>
    </rPh>
    <phoneticPr fontId="5"/>
  </si>
  <si>
    <t>事業所種別</t>
    <rPh sb="0" eb="3">
      <t>ジギョウジョ</t>
    </rPh>
    <rPh sb="3" eb="5">
      <t>シュベツ</t>
    </rPh>
    <phoneticPr fontId="5"/>
  </si>
  <si>
    <t>A</t>
    <phoneticPr fontId="5"/>
  </si>
  <si>
    <t>Bテナント</t>
    <phoneticPr fontId="5"/>
  </si>
  <si>
    <t>C</t>
    <phoneticPr fontId="5"/>
  </si>
  <si>
    <t>B</t>
    <phoneticPr fontId="5"/>
  </si>
  <si>
    <r>
      <t>目標設定ガス以外のCO</t>
    </r>
    <r>
      <rPr>
        <vertAlign val="subscript"/>
        <sz val="11"/>
        <color theme="1"/>
        <rFont val="游明朝"/>
        <family val="1"/>
        <charset val="128"/>
      </rPr>
      <t>2</t>
    </r>
    <rPh sb="0" eb="2">
      <t>モクヒョウ</t>
    </rPh>
    <rPh sb="2" eb="4">
      <t>セッテイ</t>
    </rPh>
    <rPh sb="6" eb="8">
      <t>イガイ</t>
    </rPh>
    <phoneticPr fontId="5"/>
  </si>
  <si>
    <t>実施済</t>
    <rPh sb="0" eb="2">
      <t>ジッシ</t>
    </rPh>
    <rPh sb="2" eb="3">
      <t>ズ</t>
    </rPh>
    <phoneticPr fontId="5"/>
  </si>
  <si>
    <t>L</t>
    <phoneticPr fontId="5"/>
  </si>
  <si>
    <r>
      <t>m</t>
    </r>
    <r>
      <rPr>
        <vertAlign val="superscript"/>
        <sz val="11"/>
        <color theme="1"/>
        <rFont val="游ゴシック"/>
        <family val="3"/>
        <charset val="128"/>
        <scheme val="minor"/>
      </rPr>
      <t>3</t>
    </r>
    <phoneticPr fontId="5"/>
  </si>
  <si>
    <r>
      <t>Nm</t>
    </r>
    <r>
      <rPr>
        <vertAlign val="superscript"/>
        <sz val="11"/>
        <color theme="1"/>
        <rFont val="游ゴシック"/>
        <family val="3"/>
        <charset val="128"/>
        <scheme val="minor"/>
      </rPr>
      <t>3</t>
    </r>
    <phoneticPr fontId="5"/>
  </si>
  <si>
    <t>kg</t>
    <phoneticPr fontId="5"/>
  </si>
  <si>
    <t>原料炭</t>
    <rPh sb="0" eb="2">
      <t>ゲンリョウ</t>
    </rPh>
    <rPh sb="2" eb="3">
      <t>タン</t>
    </rPh>
    <phoneticPr fontId="30"/>
  </si>
  <si>
    <t>一般炭</t>
    <rPh sb="0" eb="2">
      <t>イッパン</t>
    </rPh>
    <rPh sb="2" eb="3">
      <t>タン</t>
    </rPh>
    <phoneticPr fontId="30"/>
  </si>
  <si>
    <t>無煙炭</t>
    <rPh sb="0" eb="3">
      <t>ムエンタン</t>
    </rPh>
    <phoneticPr fontId="30"/>
  </si>
  <si>
    <t>石炭コークス</t>
    <rPh sb="0" eb="2">
      <t>セキタン</t>
    </rPh>
    <phoneticPr fontId="46"/>
  </si>
  <si>
    <t>コールタール</t>
  </si>
  <si>
    <t>コークス炉ガス</t>
    <rPh sb="4" eb="5">
      <t>ロ</t>
    </rPh>
    <phoneticPr fontId="46"/>
  </si>
  <si>
    <t>高炉ガス</t>
    <rPh sb="0" eb="2">
      <t>コウロ</t>
    </rPh>
    <phoneticPr fontId="46"/>
  </si>
  <si>
    <t>転炉ガス</t>
    <rPh sb="0" eb="2">
      <t>テンロ</t>
    </rPh>
    <phoneticPr fontId="46"/>
  </si>
  <si>
    <t>その他の燃料</t>
    <rPh sb="2" eb="3">
      <t>タ</t>
    </rPh>
    <rPh sb="4" eb="6">
      <t>ネンリョウ</t>
    </rPh>
    <phoneticPr fontId="11"/>
  </si>
  <si>
    <t>産業用蒸気</t>
  </si>
  <si>
    <t>産業用以外の蒸気</t>
  </si>
  <si>
    <t>温水</t>
  </si>
  <si>
    <t>冷水</t>
  </si>
  <si>
    <t>再エネ_電気</t>
    <rPh sb="0" eb="1">
      <t>サイ</t>
    </rPh>
    <rPh sb="4" eb="6">
      <t>デンキ</t>
    </rPh>
    <phoneticPr fontId="29"/>
  </si>
  <si>
    <t>再エネ_熱</t>
    <rPh sb="0" eb="1">
      <t>サイ</t>
    </rPh>
    <rPh sb="4" eb="5">
      <t>ネツ</t>
    </rPh>
    <phoneticPr fontId="29"/>
  </si>
  <si>
    <t>監視点</t>
    <rPh sb="0" eb="3">
      <t>カンシテン</t>
    </rPh>
    <phoneticPr fontId="5"/>
  </si>
  <si>
    <t>事業所概要_算定体制</t>
    <rPh sb="0" eb="3">
      <t>ジギョウジョ</t>
    </rPh>
    <rPh sb="3" eb="5">
      <t>ガイヨウ</t>
    </rPh>
    <rPh sb="6" eb="8">
      <t>サンテイ</t>
    </rPh>
    <rPh sb="8" eb="10">
      <t>タイセイ</t>
    </rPh>
    <phoneticPr fontId="5"/>
  </si>
  <si>
    <t>監視点用燃料種類</t>
    <rPh sb="0" eb="3">
      <t>カンシテン</t>
    </rPh>
    <rPh sb="3" eb="4">
      <t>ヨウ</t>
    </rPh>
    <rPh sb="4" eb="6">
      <t>ネンリョウ</t>
    </rPh>
    <rPh sb="6" eb="8">
      <t>シュルイ</t>
    </rPh>
    <phoneticPr fontId="5"/>
  </si>
  <si>
    <t>ジェット燃料油</t>
    <rPh sb="4" eb="6">
      <t>ネンリョウ</t>
    </rPh>
    <rPh sb="6" eb="7">
      <t>アブラ</t>
    </rPh>
    <phoneticPr fontId="5"/>
  </si>
  <si>
    <t>建築確認書類</t>
    <phoneticPr fontId="5"/>
  </si>
  <si>
    <t>登記簿</t>
    <phoneticPr fontId="5"/>
  </si>
  <si>
    <t>その他</t>
    <phoneticPr fontId="5"/>
  </si>
  <si>
    <t>床面積</t>
    <rPh sb="0" eb="3">
      <t>ユカメンセキ</t>
    </rPh>
    <phoneticPr fontId="5"/>
  </si>
  <si>
    <t>把握方法</t>
    <rPh sb="0" eb="2">
      <t>ハアク</t>
    </rPh>
    <rPh sb="2" eb="4">
      <t>ホウホウ</t>
    </rPh>
    <phoneticPr fontId="5"/>
  </si>
  <si>
    <t>変更の有無</t>
    <rPh sb="0" eb="2">
      <t>ヘンコウ</t>
    </rPh>
    <rPh sb="3" eb="5">
      <t>ウム</t>
    </rPh>
    <phoneticPr fontId="5"/>
  </si>
  <si>
    <t>変更なし</t>
    <phoneticPr fontId="5"/>
  </si>
  <si>
    <t>右記のとおり変更</t>
    <phoneticPr fontId="5"/>
  </si>
  <si>
    <t>４　床面積追加入力用</t>
    <rPh sb="2" eb="5">
      <t>ユカメンセキ</t>
    </rPh>
    <rPh sb="5" eb="7">
      <t>ツイカ</t>
    </rPh>
    <rPh sb="7" eb="9">
      <t>ニュウリョク</t>
    </rPh>
    <rPh sb="9" eb="10">
      <t>ヨウ</t>
    </rPh>
    <phoneticPr fontId="6"/>
  </si>
  <si>
    <t xml:space="preserve">B,C事業所算定資料４ </t>
    <rPh sb="3" eb="6">
      <t>ジギョウショ</t>
    </rPh>
    <rPh sb="6" eb="8">
      <t>サンテイ</t>
    </rPh>
    <rPh sb="8" eb="10">
      <t>シリョウ</t>
    </rPh>
    <phoneticPr fontId="6"/>
  </si>
  <si>
    <t>（撤去、閉栓等しても監視点は削除せず、翌年度以降も記載し続けてください）。</t>
    <phoneticPr fontId="5"/>
  </si>
  <si>
    <t>シート名</t>
    <rPh sb="3" eb="4">
      <t>メイ</t>
    </rPh>
    <phoneticPr fontId="5"/>
  </si>
  <si>
    <t>リスト名</t>
    <rPh sb="3" eb="4">
      <t>メイ</t>
    </rPh>
    <phoneticPr fontId="5"/>
  </si>
  <si>
    <t>燃料の使用</t>
  </si>
  <si>
    <t>事業所外利用の移動体への供給</t>
    <phoneticPr fontId="6"/>
  </si>
  <si>
    <t>工事のためのエネルギー使用</t>
    <phoneticPr fontId="6"/>
  </si>
  <si>
    <t>住宅用途への供給</t>
    <phoneticPr fontId="6"/>
  </si>
  <si>
    <t>他事業所への燃料等の直接供給</t>
    <phoneticPr fontId="6"/>
  </si>
  <si>
    <t>コークス炉ガス</t>
  </si>
  <si>
    <t>液化石油ガス_LPG_プロパン・ブタン混合</t>
    <rPh sb="19" eb="21">
      <t>コンゴウ</t>
    </rPh>
    <phoneticPr fontId="4"/>
  </si>
  <si>
    <t>液化石油ガス_LPG_プロパン</t>
  </si>
  <si>
    <t>液化石油ガス_LPG_ブタン</t>
  </si>
  <si>
    <t>液化石油ガス_LPG_その他</t>
    <rPh sb="13" eb="14">
      <t>タ</t>
    </rPh>
    <phoneticPr fontId="4"/>
  </si>
  <si>
    <t>原油_コンデンセートを除く</t>
    <rPh sb="0" eb="2">
      <t>ゲンユ</t>
    </rPh>
    <rPh sb="11" eb="12">
      <t>ノゾ</t>
    </rPh>
    <phoneticPr fontId="6"/>
  </si>
  <si>
    <t>原油_コンデンセート_ＮＧＬ</t>
    <rPh sb="0" eb="2">
      <t>ゲンユ</t>
    </rPh>
    <phoneticPr fontId="6"/>
  </si>
  <si>
    <t>揮発油_ガソリン</t>
    <rPh sb="0" eb="3">
      <t>キハツユ</t>
    </rPh>
    <phoneticPr fontId="6"/>
  </si>
  <si>
    <t>液化天然ガス_ＬＮＧ</t>
    <rPh sb="0" eb="2">
      <t>エキカ</t>
    </rPh>
    <rPh sb="2" eb="4">
      <t>テンネン</t>
    </rPh>
    <phoneticPr fontId="6"/>
  </si>
  <si>
    <t>原料炭_輸入原料炭</t>
    <rPh sb="0" eb="2">
      <t>ゲンリョウ</t>
    </rPh>
    <rPh sb="2" eb="3">
      <t>スミ</t>
    </rPh>
    <rPh sb="4" eb="6">
      <t>ユニュウ</t>
    </rPh>
    <rPh sb="6" eb="8">
      <t>ゲンリョウ</t>
    </rPh>
    <rPh sb="8" eb="9">
      <t>タン</t>
    </rPh>
    <phoneticPr fontId="6"/>
  </si>
  <si>
    <t>原料炭_コークス炉用原料炭</t>
    <rPh sb="8" eb="9">
      <t>ロ</t>
    </rPh>
    <rPh sb="9" eb="10">
      <t>ヨウ</t>
    </rPh>
    <rPh sb="10" eb="12">
      <t>ゲンリョウ</t>
    </rPh>
    <rPh sb="12" eb="13">
      <t>タン</t>
    </rPh>
    <phoneticPr fontId="6"/>
  </si>
  <si>
    <t>原料炭_吹込用原料炭</t>
    <rPh sb="4" eb="6">
      <t>フキコ</t>
    </rPh>
    <rPh sb="6" eb="7">
      <t>ヨウ</t>
    </rPh>
    <rPh sb="7" eb="9">
      <t>ゲンリョウ</t>
    </rPh>
    <rPh sb="9" eb="10">
      <t>タン</t>
    </rPh>
    <phoneticPr fontId="6"/>
  </si>
  <si>
    <t>一般炭_輸入一般炭</t>
    <rPh sb="0" eb="2">
      <t>イッパン</t>
    </rPh>
    <rPh sb="2" eb="3">
      <t>スミ</t>
    </rPh>
    <rPh sb="4" eb="8">
      <t>ユニュウイッパン</t>
    </rPh>
    <rPh sb="8" eb="9">
      <t>スミ</t>
    </rPh>
    <phoneticPr fontId="5"/>
  </si>
  <si>
    <t>一般炭_国産一般炭</t>
    <rPh sb="0" eb="2">
      <t>イッパン</t>
    </rPh>
    <rPh sb="2" eb="3">
      <t>スミ</t>
    </rPh>
    <rPh sb="4" eb="6">
      <t>コクサン</t>
    </rPh>
    <rPh sb="6" eb="8">
      <t>イッパン</t>
    </rPh>
    <rPh sb="8" eb="9">
      <t>スミ</t>
    </rPh>
    <phoneticPr fontId="6"/>
  </si>
  <si>
    <t>無煙炭_輸入無煙炭</t>
    <rPh sb="4" eb="6">
      <t>ユニュウ</t>
    </rPh>
    <rPh sb="6" eb="9">
      <t>ムエンタン</t>
    </rPh>
    <phoneticPr fontId="6"/>
  </si>
  <si>
    <t>高炉ガス_発電用以外</t>
    <rPh sb="0" eb="2">
      <t>コウロ</t>
    </rPh>
    <rPh sb="5" eb="7">
      <t>ハツデン</t>
    </rPh>
    <rPh sb="7" eb="8">
      <t>ヨウ</t>
    </rPh>
    <rPh sb="8" eb="10">
      <t>イガイ</t>
    </rPh>
    <phoneticPr fontId="6"/>
  </si>
  <si>
    <t>高炉ガス_発電用</t>
    <rPh sb="0" eb="2">
      <t>コウロ</t>
    </rPh>
    <phoneticPr fontId="6"/>
  </si>
  <si>
    <t>他事業所への熱や電気の外部供給</t>
    <rPh sb="11" eb="13">
      <t>ガイブ</t>
    </rPh>
    <phoneticPr fontId="6"/>
  </si>
  <si>
    <t>単位発熱量/一次エネルギー換算係数</t>
    <rPh sb="0" eb="5">
      <t>タンイハツネツリョウ</t>
    </rPh>
    <rPh sb="6" eb="8">
      <t>イチジ</t>
    </rPh>
    <rPh sb="13" eb="17">
      <t>カンザンケイスウ</t>
    </rPh>
    <phoneticPr fontId="5"/>
  </si>
  <si>
    <t>数値</t>
    <rPh sb="0" eb="2">
      <t>スウチ</t>
    </rPh>
    <phoneticPr fontId="5"/>
  </si>
  <si>
    <t>第4計画期間</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</si>
  <si>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phoneticPr fontId="5"/>
  </si>
  <si>
    <t>t-C/GJ</t>
    <phoneticPr fontId="5"/>
  </si>
  <si>
    <r>
      <t>GJ/N千m</t>
    </r>
    <r>
      <rPr>
        <vertAlign val="superscript"/>
        <sz val="11"/>
        <color theme="1"/>
        <rFont val="游ゴシック"/>
        <family val="3"/>
        <charset val="128"/>
        <scheme val="minor"/>
      </rPr>
      <t>3</t>
    </r>
    <phoneticPr fontId="5"/>
  </si>
  <si>
    <t>単位変換</t>
    <rPh sb="0" eb="2">
      <t>タンイ</t>
    </rPh>
    <rPh sb="2" eb="4">
      <t>ヘンカン</t>
    </rPh>
    <phoneticPr fontId="5"/>
  </si>
  <si>
    <t>燃料</t>
    <phoneticPr fontId="5"/>
  </si>
  <si>
    <t>電気・熱_都市ガス</t>
    <rPh sb="0" eb="2">
      <t>デンキ</t>
    </rPh>
    <rPh sb="3" eb="4">
      <t>ネツ</t>
    </rPh>
    <rPh sb="5" eb="7">
      <t>トシ</t>
    </rPh>
    <phoneticPr fontId="5"/>
  </si>
  <si>
    <t>都市ガスの使用</t>
    <rPh sb="0" eb="2">
      <t>トシ</t>
    </rPh>
    <rPh sb="5" eb="7">
      <t>シヨウ</t>
    </rPh>
    <phoneticPr fontId="5"/>
  </si>
  <si>
    <t>都市ガス</t>
    <rPh sb="0" eb="2">
      <t>トシ</t>
    </rPh>
    <phoneticPr fontId="5"/>
  </si>
  <si>
    <t>有</t>
    <rPh sb="0" eb="1">
      <t>アリ</t>
    </rPh>
    <phoneticPr fontId="5"/>
  </si>
  <si>
    <t>無</t>
    <rPh sb="0" eb="1">
      <t>ナ</t>
    </rPh>
    <phoneticPr fontId="5"/>
  </si>
  <si>
    <t>把握方法</t>
    <rPh sb="0" eb="2">
      <t>ハアク</t>
    </rPh>
    <rPh sb="2" eb="4">
      <t>ホウホウ</t>
    </rPh>
    <phoneticPr fontId="5"/>
  </si>
  <si>
    <t>計量器の実測値</t>
    <rPh sb="0" eb="3">
      <t>ケイリョウキ</t>
    </rPh>
    <rPh sb="4" eb="7">
      <t>ジッソクチ</t>
    </rPh>
    <phoneticPr fontId="5"/>
  </si>
  <si>
    <t>その他</t>
    <rPh sb="2" eb="3">
      <t>ホカ</t>
    </rPh>
    <phoneticPr fontId="5"/>
  </si>
  <si>
    <t>kWh</t>
  </si>
  <si>
    <t>kWh</t>
    <phoneticPr fontId="5"/>
  </si>
  <si>
    <t>L</t>
  </si>
  <si>
    <t>kg</t>
  </si>
  <si>
    <t>t</t>
  </si>
  <si>
    <t>m3</t>
  </si>
  <si>
    <t>単位リスト</t>
    <rPh sb="0" eb="2">
      <t>タンイ</t>
    </rPh>
    <phoneticPr fontId="5"/>
  </si>
  <si>
    <t>Nm3</t>
  </si>
  <si>
    <r>
      <t>千m</t>
    </r>
    <r>
      <rPr>
        <vertAlign val="superscript"/>
        <sz val="11"/>
        <color theme="1"/>
        <rFont val="游ゴシック"/>
        <family val="3"/>
        <charset val="128"/>
        <scheme val="minor"/>
      </rPr>
      <t>3</t>
    </r>
    <rPh sb="0" eb="1">
      <t>セン</t>
    </rPh>
    <phoneticPr fontId="5"/>
  </si>
  <si>
    <r>
      <t>千Nm</t>
    </r>
    <r>
      <rPr>
        <vertAlign val="superscript"/>
        <sz val="11"/>
        <color theme="1"/>
        <rFont val="游ゴシック"/>
        <family val="3"/>
        <charset val="128"/>
        <scheme val="minor"/>
      </rPr>
      <t>3</t>
    </r>
    <rPh sb="0" eb="1">
      <t>セン</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</si>
  <si>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</si>
  <si>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r>
      <t>千m</t>
    </r>
    <r>
      <rPr>
        <vertAlign val="superscript"/>
        <sz val="11"/>
        <color theme="1"/>
        <rFont val="游ゴシック"/>
        <family val="3"/>
        <charset val="128"/>
        <scheme val="minor"/>
      </rPr>
      <t>3</t>
    </r>
    <r>
      <rPr>
        <sz val="11"/>
        <color theme="1"/>
        <rFont val="游ゴシック"/>
        <family val="3"/>
        <charset val="128"/>
        <scheme val="minor"/>
      </rPr>
      <t>（SATP)</t>
    </r>
    <rPh sb="0" eb="1">
      <t>セン</t>
    </rPh>
    <phoneticPr fontId="5"/>
  </si>
  <si>
    <t>燃料</t>
    <rPh sb="0" eb="2">
      <t>ネンリョウ</t>
    </rPh>
    <phoneticPr fontId="5"/>
  </si>
  <si>
    <t>熱の使用</t>
    <rPh sb="0" eb="1">
      <t>ネツ</t>
    </rPh>
    <rPh sb="2" eb="4">
      <t>シヨウ</t>
    </rPh>
    <phoneticPr fontId="5"/>
  </si>
  <si>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</si>
  <si>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</si>
  <si>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</si>
  <si>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</si>
  <si>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</si>
  <si>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</si>
  <si>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</si>
  <si>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</si>
  <si>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</si>
  <si>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</si>
  <si>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</si>
  <si>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</si>
  <si>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</si>
  <si>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</si>
  <si>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</si>
  <si>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</si>
  <si>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</si>
  <si>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登録番号</t>
    <rPh sb="0" eb="2">
      <t>トウロク</t>
    </rPh>
    <rPh sb="2" eb="4">
      <t>バンゴウ</t>
    </rPh>
    <phoneticPr fontId="5"/>
  </si>
  <si>
    <t>メニュー名</t>
    <rPh sb="4" eb="5">
      <t>メイ</t>
    </rPh>
    <phoneticPr fontId="5"/>
  </si>
  <si>
    <t>契約メニューの有無</t>
    <rPh sb="0" eb="2">
      <t>ケイヤク</t>
    </rPh>
    <rPh sb="7" eb="9">
      <t>ウム</t>
    </rPh>
    <phoneticPr fontId="5"/>
  </si>
  <si>
    <t>国公表値</t>
    <rPh sb="0" eb="1">
      <t>クニ</t>
    </rPh>
    <rPh sb="1" eb="4">
      <t>コウヒョウチ</t>
    </rPh>
    <phoneticPr fontId="5"/>
  </si>
  <si>
    <t>国代替値</t>
    <rPh sb="0" eb="1">
      <t>クニ</t>
    </rPh>
    <rPh sb="1" eb="4">
      <t>ダイタイチ</t>
    </rPh>
    <phoneticPr fontId="5"/>
  </si>
  <si>
    <t>計量器の検定</t>
    <rPh sb="0" eb="3">
      <t>ケイリョウキ</t>
    </rPh>
    <rPh sb="4" eb="6">
      <t>ケンテイ</t>
    </rPh>
    <phoneticPr fontId="5"/>
  </si>
  <si>
    <t>低圧用</t>
    <rPh sb="0" eb="3">
      <t>テイアツヨウ</t>
    </rPh>
    <phoneticPr fontId="5"/>
  </si>
  <si>
    <t>電気・熱_都市ガス</t>
    <phoneticPr fontId="5"/>
  </si>
  <si>
    <t>再エネ電気・熱</t>
    <rPh sb="0" eb="1">
      <t>サイ</t>
    </rPh>
    <rPh sb="3" eb="5">
      <t>デンキ</t>
    </rPh>
    <rPh sb="6" eb="7">
      <t>ネツ</t>
    </rPh>
    <phoneticPr fontId="5"/>
  </si>
  <si>
    <t>電気の使用_一般送配電事業者の電線路を介して供給された買電</t>
    <rPh sb="0" eb="2">
      <t>デンキ</t>
    </rPh>
    <rPh sb="3" eb="5">
      <t>シヨウ</t>
    </rPh>
    <phoneticPr fontId="5"/>
  </si>
  <si>
    <t>①一般送配電事業者の電線路を介して供給された買電_種類</t>
    <rPh sb="1" eb="3">
      <t>イッパン</t>
    </rPh>
    <rPh sb="3" eb="9">
      <t>ソウハイデンジギョウシャ</t>
    </rPh>
    <rPh sb="10" eb="13">
      <t>デンセンロ</t>
    </rPh>
    <rPh sb="14" eb="15">
      <t>カイ</t>
    </rPh>
    <rPh sb="17" eb="19">
      <t>キョウキュウ</t>
    </rPh>
    <rPh sb="22" eb="24">
      <t>バイデン</t>
    </rPh>
    <rPh sb="25" eb="27">
      <t>シュルイ</t>
    </rPh>
    <phoneticPr fontId="5"/>
  </si>
  <si>
    <t>①事業所内供給_排出活動の種類　</t>
    <rPh sb="1" eb="4">
      <t>ジギョウジョ</t>
    </rPh>
    <rPh sb="4" eb="5">
      <t>ナイ</t>
    </rPh>
    <rPh sb="5" eb="7">
      <t>キョウキュウ</t>
    </rPh>
    <phoneticPr fontId="5"/>
  </si>
  <si>
    <t>②算定対象から除く_排出活動の種類　</t>
    <rPh sb="1" eb="3">
      <t>サンテイ</t>
    </rPh>
    <rPh sb="3" eb="5">
      <t>タイショウ</t>
    </rPh>
    <rPh sb="7" eb="8">
      <t>ノゾ</t>
    </rPh>
    <phoneticPr fontId="5"/>
  </si>
  <si>
    <t>①②共通_燃料種類</t>
    <rPh sb="5" eb="7">
      <t>ネンリョウ</t>
    </rPh>
    <rPh sb="7" eb="9">
      <t>シュルイ</t>
    </rPh>
    <phoneticPr fontId="5"/>
  </si>
  <si>
    <t>①熱の使用_種類</t>
    <rPh sb="1" eb="2">
      <t>ネツ</t>
    </rPh>
    <rPh sb="3" eb="5">
      <t>シヨウ</t>
    </rPh>
    <rPh sb="6" eb="8">
      <t>シュルイ</t>
    </rPh>
    <phoneticPr fontId="5"/>
  </si>
  <si>
    <t>①都市ガスの使用_種類</t>
    <rPh sb="1" eb="3">
      <t>トシ</t>
    </rPh>
    <rPh sb="6" eb="8">
      <t>シヨウ</t>
    </rPh>
    <rPh sb="9" eb="11">
      <t>シュルイ</t>
    </rPh>
    <phoneticPr fontId="5"/>
  </si>
  <si>
    <t>②_種類_外部供給以外</t>
    <rPh sb="2" eb="4">
      <t>シュルイ</t>
    </rPh>
    <rPh sb="5" eb="7">
      <t>ガイブ</t>
    </rPh>
    <rPh sb="7" eb="9">
      <t>キョウキュウ</t>
    </rPh>
    <rPh sb="9" eb="11">
      <t>イガイ</t>
    </rPh>
    <phoneticPr fontId="5"/>
  </si>
  <si>
    <t>②_種類_外部供給</t>
    <rPh sb="2" eb="4">
      <t>シュルイ</t>
    </rPh>
    <rPh sb="5" eb="7">
      <t>ガイブ</t>
    </rPh>
    <rPh sb="7" eb="9">
      <t>キョウキュウ</t>
    </rPh>
    <phoneticPr fontId="5"/>
  </si>
  <si>
    <t>電気の使用_一般送配電事業者の電線路以外</t>
    <rPh sb="0" eb="2">
      <t>デンキ</t>
    </rPh>
    <rPh sb="3" eb="5">
      <t>シヨウ</t>
    </rPh>
    <phoneticPr fontId="5"/>
  </si>
  <si>
    <t>①一般送配電事業者の電線路以外_種類</t>
    <rPh sb="16" eb="18">
      <t>シュルイ</t>
    </rPh>
    <phoneticPr fontId="5"/>
  </si>
  <si>
    <t>③算定対象から除く_排出活動の種類</t>
    <rPh sb="1" eb="5">
      <t>サンテイタイショウ</t>
    </rPh>
    <rPh sb="7" eb="8">
      <t>ノゾ</t>
    </rPh>
    <rPh sb="10" eb="12">
      <t>ハイシュツ</t>
    </rPh>
    <rPh sb="12" eb="14">
      <t>カツドウ</t>
    </rPh>
    <rPh sb="15" eb="17">
      <t>シュルイ</t>
    </rPh>
    <phoneticPr fontId="5"/>
  </si>
  <si>
    <t>電気_オフサイト型PPA</t>
    <rPh sb="0" eb="2">
      <t>デンキ</t>
    </rPh>
    <rPh sb="8" eb="9">
      <t>ガタ</t>
    </rPh>
    <phoneticPr fontId="5"/>
  </si>
  <si>
    <t>熱_産業用蒸気</t>
    <rPh sb="0" eb="1">
      <t>ネツ</t>
    </rPh>
    <phoneticPr fontId="5"/>
  </si>
  <si>
    <t>熱_産業用以外の蒸気</t>
    <rPh sb="0" eb="1">
      <t>ネツ</t>
    </rPh>
    <phoneticPr fontId="5"/>
  </si>
  <si>
    <t>熱_温水</t>
    <rPh sb="0" eb="1">
      <t>ネツ</t>
    </rPh>
    <phoneticPr fontId="5"/>
  </si>
  <si>
    <t>熱_冷水</t>
    <rPh sb="0" eb="1">
      <t>ネツ</t>
    </rPh>
    <phoneticPr fontId="5"/>
  </si>
  <si>
    <t>電気_オンサイト型PPA</t>
    <rPh sb="0" eb="2">
      <t>デンキ</t>
    </rPh>
    <rPh sb="8" eb="9">
      <t>ガタ</t>
    </rPh>
    <phoneticPr fontId="5"/>
  </si>
  <si>
    <t>電気_自家発電</t>
    <rPh sb="0" eb="2">
      <t>デンキ</t>
    </rPh>
    <rPh sb="3" eb="7">
      <t>ジカハツデン</t>
    </rPh>
    <phoneticPr fontId="5"/>
  </si>
  <si>
    <t>電気_非燃料由来の非化石電気</t>
    <rPh sb="0" eb="2">
      <t>デンキ</t>
    </rPh>
    <rPh sb="3" eb="4">
      <t>ヒ</t>
    </rPh>
    <rPh sb="4" eb="6">
      <t>ネンリョウ</t>
    </rPh>
    <rPh sb="6" eb="8">
      <t>ユライ</t>
    </rPh>
    <rPh sb="9" eb="12">
      <t>ヒカセキ</t>
    </rPh>
    <rPh sb="12" eb="14">
      <t>デンキ</t>
    </rPh>
    <phoneticPr fontId="5"/>
  </si>
  <si>
    <t>電気_電気事業者からの買電</t>
    <rPh sb="0" eb="2">
      <t>デンキ</t>
    </rPh>
    <rPh sb="3" eb="5">
      <t>デンキ</t>
    </rPh>
    <rPh sb="5" eb="8">
      <t>ジギョウシャ</t>
    </rPh>
    <rPh sb="11" eb="13">
      <t>バイデン</t>
    </rPh>
    <phoneticPr fontId="5"/>
  </si>
  <si>
    <t>再エネの種類</t>
    <rPh sb="0" eb="1">
      <t>サイ</t>
    </rPh>
    <rPh sb="4" eb="6">
      <t>シュルイ</t>
    </rPh>
    <phoneticPr fontId="5"/>
  </si>
  <si>
    <t>太陽光</t>
    <rPh sb="0" eb="3">
      <t>タイヨウコウ</t>
    </rPh>
    <phoneticPr fontId="8"/>
  </si>
  <si>
    <t>風力</t>
    <rPh sb="0" eb="2">
      <t>フウリョク</t>
    </rPh>
    <phoneticPr fontId="8"/>
  </si>
  <si>
    <t>地熱</t>
    <rPh sb="0" eb="2">
      <t>チネツ</t>
    </rPh>
    <phoneticPr fontId="8"/>
  </si>
  <si>
    <t>水力</t>
    <rPh sb="0" eb="2">
      <t>スイリョク</t>
    </rPh>
    <phoneticPr fontId="8"/>
  </si>
  <si>
    <t>温泉熱</t>
    <rPh sb="0" eb="3">
      <t>オンセンネツ</t>
    </rPh>
    <phoneticPr fontId="8"/>
  </si>
  <si>
    <t>雪氷熱</t>
    <rPh sb="0" eb="3">
      <t>セッピョウネツ</t>
    </rPh>
    <phoneticPr fontId="8"/>
  </si>
  <si>
    <t>バイオマス</t>
    <phoneticPr fontId="5"/>
  </si>
  <si>
    <t>任意_海水熱</t>
    <rPh sb="0" eb="2">
      <t>ニンイ</t>
    </rPh>
    <phoneticPr fontId="5"/>
  </si>
  <si>
    <t>任意_河川水熱</t>
    <rPh sb="0" eb="2">
      <t>ニンイ</t>
    </rPh>
    <phoneticPr fontId="5"/>
  </si>
  <si>
    <t>任意_地下水熱</t>
    <rPh sb="0" eb="2">
      <t>ニンイ</t>
    </rPh>
    <phoneticPr fontId="5"/>
  </si>
  <si>
    <t>任意_地中熱</t>
    <rPh sb="0" eb="2">
      <t>ニンイ</t>
    </rPh>
    <phoneticPr fontId="5"/>
  </si>
  <si>
    <t>バイオマス燃料の種類</t>
    <rPh sb="5" eb="7">
      <t>ネンリョウ</t>
    </rPh>
    <rPh sb="8" eb="10">
      <t>シュルイ</t>
    </rPh>
    <phoneticPr fontId="5"/>
  </si>
  <si>
    <t>黒液</t>
  </si>
  <si>
    <t>木材</t>
  </si>
  <si>
    <t>木質廃材</t>
  </si>
  <si>
    <t>バイオエタノール</t>
  </si>
  <si>
    <t>バイオディーゼル</t>
  </si>
  <si>
    <t>バイオガス</t>
  </si>
  <si>
    <t>その他バイオマス</t>
  </si>
  <si>
    <t>環境価値</t>
    <rPh sb="0" eb="2">
      <t>カンキョウ</t>
    </rPh>
    <rPh sb="2" eb="4">
      <t>カチ</t>
    </rPh>
    <phoneticPr fontId="5"/>
  </si>
  <si>
    <t>電気</t>
    <rPh sb="0" eb="2">
      <t>デンキ</t>
    </rPh>
    <phoneticPr fontId="5"/>
  </si>
  <si>
    <t>GJ/千kWh</t>
    <rPh sb="3" eb="4">
      <t>セン</t>
    </rPh>
    <phoneticPr fontId="5"/>
  </si>
  <si>
    <t>設定しない</t>
    <rPh sb="0" eb="2">
      <t>セッテイ</t>
    </rPh>
    <phoneticPr fontId="5"/>
  </si>
  <si>
    <r>
      <t>t-CO</t>
    </r>
    <r>
      <rPr>
        <vertAlign val="subscript"/>
        <sz val="11"/>
        <color theme="1"/>
        <rFont val="游ゴシック"/>
        <family val="3"/>
        <charset val="128"/>
        <scheme val="minor"/>
      </rPr>
      <t>2</t>
    </r>
    <r>
      <rPr>
        <sz val="11"/>
        <color theme="1"/>
        <rFont val="游ゴシック"/>
        <family val="3"/>
        <charset val="128"/>
        <scheme val="minor"/>
      </rPr>
      <t>/千kWh</t>
    </r>
    <rPh sb="6" eb="7">
      <t>セン</t>
    </rPh>
    <phoneticPr fontId="5"/>
  </si>
  <si>
    <t>事業者記入値</t>
    <rPh sb="0" eb="3">
      <t>ジギョウシャ</t>
    </rPh>
    <rPh sb="3" eb="6">
      <t>キニュウチ</t>
    </rPh>
    <phoneticPr fontId="5"/>
  </si>
  <si>
    <t>GJ/GJ</t>
    <phoneticPr fontId="5"/>
  </si>
  <si>
    <t>気体単位変換</t>
    <rPh sb="0" eb="2">
      <t>キタイ</t>
    </rPh>
    <rPh sb="2" eb="4">
      <t>タンイ</t>
    </rPh>
    <rPh sb="4" eb="6">
      <t>ヘンカン</t>
    </rPh>
    <phoneticPr fontId="5"/>
  </si>
  <si>
    <r>
      <t>t-CO</t>
    </r>
    <r>
      <rPr>
        <vertAlign val="subscript"/>
        <sz val="11"/>
        <color theme="1"/>
        <rFont val="游ゴシック"/>
        <family val="3"/>
        <charset val="128"/>
        <scheme val="minor"/>
      </rPr>
      <t>2</t>
    </r>
    <r>
      <rPr>
        <sz val="11"/>
        <color theme="1"/>
        <rFont val="游ゴシック"/>
        <family val="3"/>
        <charset val="128"/>
        <scheme val="minor"/>
      </rPr>
      <t>/GJ</t>
    </r>
    <phoneticPr fontId="5"/>
  </si>
  <si>
    <t>第3計画期間（第3計画期間基準での目標設定ガス排出量計算用）</t>
    <rPh sb="0" eb="1">
      <t>ダイ</t>
    </rPh>
    <rPh sb="2" eb="4">
      <t>ケイカク</t>
    </rPh>
    <rPh sb="4" eb="6">
      <t>キカン</t>
    </rPh>
    <rPh sb="7" eb="8">
      <t>ダイ</t>
    </rPh>
    <rPh sb="9" eb="13">
      <t>ケイカクキカン</t>
    </rPh>
    <rPh sb="13" eb="15">
      <t>キジュン</t>
    </rPh>
    <rPh sb="17" eb="19">
      <t>モクヒョウ</t>
    </rPh>
    <rPh sb="19" eb="21">
      <t>セッテイ</t>
    </rPh>
    <rPh sb="23" eb="25">
      <t>ハイシュツ</t>
    </rPh>
    <rPh sb="25" eb="26">
      <t>リョウ</t>
    </rPh>
    <rPh sb="26" eb="29">
      <t>ケイサンヨウ</t>
    </rPh>
    <phoneticPr fontId="5"/>
  </si>
  <si>
    <t>第3計画期間（第3計画期間基準での目標設定ガス排出量計算用）</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</si>
  <si>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rPh sb="3" eb="4">
      <t>セン</t>
    </rPh>
    <phoneticPr fontId="5"/>
  </si>
  <si>
    <t>t-C/GJ</t>
    <phoneticPr fontId="5"/>
  </si>
  <si>
    <r>
      <t>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6" eb="7">
      <t>セン</t>
    </rPh>
    <phoneticPr fontId="5"/>
  </si>
  <si>
    <t>排出係数設定根拠_電気・熱</t>
    <rPh sb="0" eb="2">
      <t>ハイシュツ</t>
    </rPh>
    <rPh sb="2" eb="4">
      <t>ケイスウ</t>
    </rPh>
    <rPh sb="4" eb="6">
      <t>セッテイ</t>
    </rPh>
    <rPh sb="6" eb="8">
      <t>コンキョ</t>
    </rPh>
    <rPh sb="9" eb="11">
      <t>デンキ</t>
    </rPh>
    <rPh sb="12" eb="13">
      <t>ネツ</t>
    </rPh>
    <phoneticPr fontId="5"/>
  </si>
  <si>
    <t>排出係数設定根拠_都市ガス</t>
    <rPh sb="0" eb="2">
      <t>ハイシュツ</t>
    </rPh>
    <rPh sb="2" eb="4">
      <t>ケイスウ</t>
    </rPh>
    <rPh sb="4" eb="6">
      <t>セッテイ</t>
    </rPh>
    <rPh sb="6" eb="8">
      <t>コンキョ</t>
    </rPh>
    <rPh sb="9" eb="11">
      <t>トシ</t>
    </rPh>
    <phoneticPr fontId="5"/>
  </si>
  <si>
    <t>メーター種_都市ガス</t>
    <rPh sb="4" eb="5">
      <t>シュ</t>
    </rPh>
    <rPh sb="6" eb="8">
      <t>トシ</t>
    </rPh>
    <phoneticPr fontId="5"/>
  </si>
  <si>
    <t>バイオマス燃料種_持続可能性</t>
    <rPh sb="5" eb="7">
      <t>ネンリョウ</t>
    </rPh>
    <rPh sb="7" eb="8">
      <t>シュ</t>
    </rPh>
    <rPh sb="9" eb="11">
      <t>ジゾク</t>
    </rPh>
    <rPh sb="11" eb="14">
      <t>カノウセイ</t>
    </rPh>
    <phoneticPr fontId="5"/>
  </si>
  <si>
    <t>排出係数設定根拠_環境価値有の場合</t>
    <rPh sb="0" eb="2">
      <t>ハイシュツ</t>
    </rPh>
    <rPh sb="2" eb="4">
      <t>ケイスウ</t>
    </rPh>
    <rPh sb="4" eb="6">
      <t>セッテイ</t>
    </rPh>
    <rPh sb="6" eb="8">
      <t>コンキョ</t>
    </rPh>
    <rPh sb="9" eb="11">
      <t>カンキョウ</t>
    </rPh>
    <rPh sb="11" eb="13">
      <t>カチ</t>
    </rPh>
    <rPh sb="13" eb="14">
      <t>アリ</t>
    </rPh>
    <rPh sb="15" eb="17">
      <t>バアイ</t>
    </rPh>
    <phoneticPr fontId="5"/>
  </si>
  <si>
    <t>国代替値</t>
    <rPh sb="0" eb="4">
      <t>クニダイタイチ</t>
    </rPh>
    <phoneticPr fontId="5"/>
  </si>
  <si>
    <t>排出係数設定根拠_環境価値無の場合</t>
    <rPh sb="0" eb="2">
      <t>ハイシュツ</t>
    </rPh>
    <rPh sb="2" eb="4">
      <t>ケイスウ</t>
    </rPh>
    <rPh sb="4" eb="6">
      <t>セッテイ</t>
    </rPh>
    <rPh sb="6" eb="8">
      <t>コンキョ</t>
    </rPh>
    <rPh sb="9" eb="11">
      <t>カンキョウ</t>
    </rPh>
    <rPh sb="11" eb="13">
      <t>カチ</t>
    </rPh>
    <rPh sb="13" eb="14">
      <t>ナ</t>
    </rPh>
    <rPh sb="15" eb="17">
      <t>バアイ</t>
    </rPh>
    <phoneticPr fontId="5"/>
  </si>
  <si>
    <t>燃料
電気・熱_都市ガス
再エネ電気・熱</t>
    <rPh sb="0" eb="2">
      <t>ネンリョウ</t>
    </rPh>
    <rPh sb="13" eb="14">
      <t>サイ</t>
    </rPh>
    <rPh sb="16" eb="18">
      <t>デンキ</t>
    </rPh>
    <rPh sb="19" eb="20">
      <t>ネツ</t>
    </rPh>
    <phoneticPr fontId="5"/>
  </si>
  <si>
    <t>千kWh</t>
    <rPh sb="0" eb="1">
      <t>セン</t>
    </rPh>
    <phoneticPr fontId="5"/>
  </si>
  <si>
    <t>MJ</t>
    <phoneticPr fontId="5"/>
  </si>
  <si>
    <t>アンモニア</t>
  </si>
  <si>
    <t>セメントクリンカーの製造</t>
  </si>
  <si>
    <t>ソーダ灰の製造</t>
  </si>
  <si>
    <t>廃棄物の焼却：廃油（植物性のもの及び動物性のもの並びに特定有害産業廃棄物を除く）</t>
  </si>
  <si>
    <t xml:space="preserve">廃棄物の焼却：廃油（特定有害産業廃棄物に限る。） </t>
  </si>
  <si>
    <t>廃棄物の焼却：合成繊維</t>
  </si>
  <si>
    <t>廃棄物の焼却：廃タイヤ</t>
  </si>
  <si>
    <t>廃棄物の焼却：合成繊維及び廃ﾀｲﾔ以外の廃ﾌﾟﾗｽﾁｯｸ類（産業廃棄物）</t>
  </si>
  <si>
    <t>廃棄物の焼却：ポリエチレンテレフタレート製の容器</t>
  </si>
  <si>
    <t>廃棄物の焼却：廃プラスチック類（合成繊維、廃タイヤ、廃プラスチック類（産業廃棄物であるものに限る。）及びポリエチレンテレフタレート製の容器を除く。）</t>
  </si>
  <si>
    <t>廃棄物の焼却：紙くず</t>
  </si>
  <si>
    <t>廃棄物の焼却：紙おむつ</t>
  </si>
  <si>
    <t>生石灰の製造:石灰石</t>
  </si>
  <si>
    <t>生石灰の製造:ドロマイト</t>
  </si>
  <si>
    <t>ソーダ石灰ガラスの製造:石灰石</t>
  </si>
  <si>
    <t>ソーダ石灰ガラスの製造:ドロマイト</t>
  </si>
  <si>
    <t>ソーダ石灰ガラスの製造:ソーダ灰（国内産）</t>
  </si>
  <si>
    <t>ソーダ石灰ガラスの製造:ソーダ灰（輸入）</t>
  </si>
  <si>
    <t>ソーダ石灰ガラスの製造:炭酸バリウム</t>
  </si>
  <si>
    <t>ソーダ石灰ガラスの製造:炭酸カリウム</t>
  </si>
  <si>
    <t>ソーダ石灰ガラスの製造:炭酸ストロンチウム</t>
  </si>
  <si>
    <t>ソーダ石灰ガラスの製造:炭酸リチウム</t>
  </si>
  <si>
    <t>その他用途・プロセスでの炭酸塩の使用:石灰石</t>
  </si>
  <si>
    <t>その他用途・プロセスでの炭酸塩の使用:ドロマイト</t>
  </si>
  <si>
    <t>その他用途・プロセスでの炭酸塩の使用:ソーダ灰（国内産）</t>
  </si>
  <si>
    <t>その他用途・プロセスでの炭酸塩の使用:ソーダ灰（輸入）</t>
  </si>
  <si>
    <t>アンモニアの製造:石炭</t>
  </si>
  <si>
    <t>アンモニアの製造:石油コークス</t>
  </si>
  <si>
    <t>アンモニアの製造:ナフサ</t>
  </si>
  <si>
    <t>アンモニアの製造:液化天然ガス（LNG)</t>
  </si>
  <si>
    <t>アンモニアの製造:天然ガス（液化天然ガス（LNG)を除く）</t>
  </si>
  <si>
    <t>炭化けい素の製造</t>
  </si>
  <si>
    <t>炭化カルシウムの製造:製造された生石灰を炭化カルシウムの原料として使用した場合の生石灰の製造</t>
  </si>
  <si>
    <t>炭化カルシウムの製造:炭化カルシウムの製造</t>
  </si>
  <si>
    <t>二酸化チタンの製造:二酸化チタンをルチルから分離させる方法</t>
  </si>
  <si>
    <t>二酸化チタンの製造:塩化チタンと酸素を化学反応させる方法</t>
  </si>
  <si>
    <t>エチレン等の製造:エチレン（ナフサからの製造）</t>
  </si>
  <si>
    <t>エチレン等の製造:エチレン（軽油からの製造）</t>
  </si>
  <si>
    <t>エチレン等の製造:エチレン（エタンからの製造）</t>
  </si>
  <si>
    <t>エチレン等の製造:エチレン（プロパンからの製造）</t>
  </si>
  <si>
    <t>エチレン等の製造:エチレン（ブタンからの製造）</t>
  </si>
  <si>
    <t>エチレン等の製造:エチレン（その他原料からの製造）</t>
  </si>
  <si>
    <t>エチレン等の製造:クロロエチレン</t>
  </si>
  <si>
    <t>エチレン等の製造:酸化エチレン</t>
  </si>
  <si>
    <t>エチレン等の製造:アクリロニトリル</t>
  </si>
  <si>
    <t>エチレン等の製造:カーボンブラック</t>
  </si>
  <si>
    <t>エチレン等の製造:無水フタル酸</t>
  </si>
  <si>
    <t>エチレン等の製造:無水マレイン酸</t>
  </si>
  <si>
    <t>エチレン等の製造:水素</t>
  </si>
  <si>
    <t>カルシウムカーバイドを原料としたアセチレンの使用</t>
  </si>
  <si>
    <t>電気炉における炭素電極の使用</t>
  </si>
  <si>
    <t>鉄鋼の製造における鉱物の使用:石灰石</t>
  </si>
  <si>
    <t>鉄鋼の製造における鉱物の使用:ドロマイト</t>
  </si>
  <si>
    <t>鉄鋼の製造において生じるガスの燃焼（フレアリング）:高炉がス</t>
  </si>
  <si>
    <t>鉄鋼の製造において生じるガスの燃焼（フレアリング）:転炉ガス</t>
  </si>
  <si>
    <t>潤滑油等の使用:潤滑油</t>
  </si>
  <si>
    <t>潤滑油等の使用:グリース</t>
  </si>
  <si>
    <t>潤滑油等の使用:パラフィンろう</t>
  </si>
  <si>
    <t>非メタン揮発性有機化合物（NMVOC)を含む溶剤の焼却</t>
  </si>
  <si>
    <t>ドライアイスの製造</t>
  </si>
  <si>
    <t>ドライアイスの使用</t>
  </si>
  <si>
    <t>炭酸ガスのボンベへの封入</t>
  </si>
  <si>
    <t xml:space="preserve">炭酸ガスの使用に伴い排出されたCO2の量 </t>
  </si>
  <si>
    <t>その他活動によるCO2排出量1</t>
  </si>
  <si>
    <t>その他活動によるCO2排出量2</t>
  </si>
  <si>
    <t>その他活動によるCO2排出量3</t>
  </si>
  <si>
    <t>シート　燃料</t>
    <rPh sb="4" eb="6">
      <t>ネンリョウ</t>
    </rPh>
    <phoneticPr fontId="5"/>
  </si>
  <si>
    <t>シート　非化石燃料</t>
    <rPh sb="4" eb="9">
      <t>ヒカセキネンリョウ</t>
    </rPh>
    <phoneticPr fontId="5"/>
  </si>
  <si>
    <t>シート　その他ガス</t>
    <rPh sb="6" eb="7">
      <t>ホカ</t>
    </rPh>
    <phoneticPr fontId="5"/>
  </si>
  <si>
    <t>シート　証書_森林吸収量</t>
    <rPh sb="4" eb="6">
      <t>ショウショ</t>
    </rPh>
    <rPh sb="7" eb="12">
      <t>シンリンキュウシュウリョウ</t>
    </rPh>
    <phoneticPr fontId="5"/>
  </si>
  <si>
    <t>グリーン熱証書</t>
    <rPh sb="4" eb="5">
      <t>ネツ</t>
    </rPh>
    <rPh sb="5" eb="7">
      <t>ショウショ</t>
    </rPh>
    <phoneticPr fontId="5"/>
  </si>
  <si>
    <t>シート　電気・熱_都市ガス、再エネ電気・熱</t>
    <rPh sb="4" eb="6">
      <t>デンキ</t>
    </rPh>
    <rPh sb="7" eb="8">
      <t>ネツ</t>
    </rPh>
    <rPh sb="9" eb="11">
      <t>トシ</t>
    </rPh>
    <rPh sb="14" eb="15">
      <t>サイ</t>
    </rPh>
    <rPh sb="17" eb="19">
      <t>デンキ</t>
    </rPh>
    <rPh sb="20" eb="21">
      <t>ネツ</t>
    </rPh>
    <phoneticPr fontId="5"/>
  </si>
  <si>
    <t>証書_森林吸収量</t>
    <rPh sb="0" eb="2">
      <t>ショウショ</t>
    </rPh>
    <rPh sb="3" eb="5">
      <t>シンリン</t>
    </rPh>
    <rPh sb="5" eb="8">
      <t>キュウシュウリョウ</t>
    </rPh>
    <phoneticPr fontId="5"/>
  </si>
  <si>
    <t>種類</t>
    <rPh sb="0" eb="2">
      <t>シュルイ</t>
    </rPh>
    <phoneticPr fontId="5"/>
  </si>
  <si>
    <t>メールアドレス</t>
    <phoneticPr fontId="6"/>
  </si>
  <si>
    <t>揮発油_ガソリン</t>
    <phoneticPr fontId="6"/>
  </si>
  <si>
    <t>ナフサ</t>
    <phoneticPr fontId="5"/>
  </si>
  <si>
    <t>液化石油ガス_LPG_プロパン</t>
    <phoneticPr fontId="5"/>
  </si>
  <si>
    <t>液化石油ガス_LPG_ブタン</t>
    <phoneticPr fontId="5"/>
  </si>
  <si>
    <t>コールタール</t>
    <phoneticPr fontId="5"/>
  </si>
  <si>
    <t>コークス炉ガス</t>
    <phoneticPr fontId="5"/>
  </si>
  <si>
    <t>７</t>
  </si>
  <si>
    <t>（１）都市ガス・ＬＰＧ以外の気体化石燃料</t>
    <rPh sb="16" eb="18">
      <t>カセキ</t>
    </rPh>
    <phoneticPr fontId="6"/>
  </si>
  <si>
    <t>（２）その他の化石燃料</t>
    <rPh sb="5" eb="6">
      <t>タ</t>
    </rPh>
    <rPh sb="7" eb="9">
      <t>カセキ</t>
    </rPh>
    <rPh sb="9" eb="11">
      <t>ネンリョウ</t>
    </rPh>
    <phoneticPr fontId="6"/>
  </si>
  <si>
    <t>換算係数</t>
    <rPh sb="0" eb="2">
      <t>カンザン</t>
    </rPh>
    <rPh sb="2" eb="4">
      <t>ケイスウ</t>
    </rPh>
    <phoneticPr fontId="5"/>
  </si>
  <si>
    <t>換算単位</t>
    <rPh sb="0" eb="2">
      <t>カンザン</t>
    </rPh>
    <rPh sb="2" eb="4">
      <t>タンイ</t>
    </rPh>
    <phoneticPr fontId="5"/>
  </si>
  <si>
    <t>石油系炭化水素ガス</t>
    <rPh sb="0" eb="3">
      <t>セキユケイ</t>
    </rPh>
    <rPh sb="3" eb="7">
      <t>タンカスイソ</t>
    </rPh>
    <phoneticPr fontId="5"/>
  </si>
  <si>
    <t>高炉ガス_発電用</t>
    <rPh sb="0" eb="2">
      <t>コウロ</t>
    </rPh>
    <rPh sb="5" eb="7">
      <t>ハツデン</t>
    </rPh>
    <rPh sb="7" eb="8">
      <t>ヨウ</t>
    </rPh>
    <phoneticPr fontId="6"/>
  </si>
  <si>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phoneticPr fontId="5"/>
  </si>
  <si>
    <t>事業所概要_算定体制から圧力と温度を参照して計算</t>
    <rPh sb="12" eb="14">
      <t>アツリョク</t>
    </rPh>
    <rPh sb="15" eb="17">
      <t>オンド</t>
    </rPh>
    <rPh sb="18" eb="20">
      <t>サンショウ</t>
    </rPh>
    <rPh sb="22" eb="24">
      <t>ケイサン</t>
    </rPh>
    <phoneticPr fontId="5"/>
  </si>
  <si>
    <t>単位補正</t>
    <rPh sb="0" eb="2">
      <t>タンイ</t>
    </rPh>
    <rPh sb="2" eb="4">
      <t>ホセイ</t>
    </rPh>
    <phoneticPr fontId="5"/>
  </si>
  <si>
    <t>単位補正</t>
    <rPh sb="0" eb="2">
      <t>タンイ</t>
    </rPh>
    <rPh sb="2" eb="4">
      <t>ホセイ</t>
    </rPh>
    <phoneticPr fontId="5"/>
  </si>
  <si>
    <t>単位補正値</t>
    <rPh sb="0" eb="4">
      <t>タンイホセイ</t>
    </rPh>
    <rPh sb="4" eb="5">
      <t>チ</t>
    </rPh>
    <phoneticPr fontId="5"/>
  </si>
  <si>
    <t>単位換算</t>
    <rPh sb="0" eb="4">
      <t>タンイカンザン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</si>
  <si>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t>
    </r>
    <rPh sb="0" eb="1">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</si>
  <si>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　（m3を単位補正1000で割った値に、この換算係数を掛ける）</t>
    </r>
    <rPh sb="0" eb="1">
      <t>セン</t>
    </rPh>
    <rPh sb="16" eb="18">
      <t>タンイ</t>
    </rPh>
    <rPh sb="18" eb="20">
      <t>ホセイ</t>
    </rPh>
    <rPh sb="25" eb="26">
      <t>ワ</t>
    </rPh>
    <rPh sb="28" eb="29">
      <t>アタイ</t>
    </rPh>
    <rPh sb="33" eb="35">
      <t>カンザン</t>
    </rPh>
    <rPh sb="35" eb="37">
      <t>ケイスウ</t>
    </rPh>
    <rPh sb="38" eb="39">
      <t>カ</t>
    </rPh>
    <phoneticPr fontId="5"/>
  </si>
  <si>
    <t>使用量(年度計)
単位換算後</t>
    <rPh sb="0" eb="3">
      <t>シヨウリョウ</t>
    </rPh>
    <rPh sb="4" eb="6">
      <t>ネンド</t>
    </rPh>
    <rPh sb="6" eb="7">
      <t>ケイ</t>
    </rPh>
    <rPh sb="9" eb="11">
      <t>タンイ</t>
    </rPh>
    <rPh sb="11" eb="13">
      <t>カンザン</t>
    </rPh>
    <rPh sb="13" eb="14">
      <t>アト</t>
    </rPh>
    <phoneticPr fontId="5"/>
  </si>
  <si>
    <t>6 燃料等使用量及び目標設定ガス排出量</t>
    <rPh sb="10" eb="14">
      <t>モクヒョウセッテイ</t>
    </rPh>
    <rPh sb="16" eb="19">
      <t>ハイシュツリョウ</t>
    </rPh>
    <phoneticPr fontId="5"/>
  </si>
  <si>
    <t>換算後単位</t>
    <rPh sb="0" eb="3">
      <t>カンザンアト</t>
    </rPh>
    <rPh sb="3" eb="5">
      <t>タンイ</t>
    </rPh>
    <phoneticPr fontId="5"/>
  </si>
  <si>
    <t>排出活動
選択</t>
    <rPh sb="0" eb="2">
      <t>ハイシュツ</t>
    </rPh>
    <rPh sb="2" eb="4">
      <t>カツドウ</t>
    </rPh>
    <rPh sb="5" eb="7">
      <t>センタク</t>
    </rPh>
    <phoneticPr fontId="5"/>
  </si>
  <si>
    <r>
      <t>Nm</t>
    </r>
    <r>
      <rPr>
        <vertAlign val="superscript"/>
        <sz val="11"/>
        <color theme="1"/>
        <rFont val="游ゴシック"/>
        <family val="3"/>
        <charset val="128"/>
        <scheme val="minor"/>
      </rPr>
      <t>3</t>
    </r>
    <r>
      <rPr>
        <sz val="11"/>
        <color theme="1"/>
        <rFont val="游ゴシック"/>
        <family val="3"/>
        <charset val="128"/>
        <scheme val="minor"/>
      </rPr>
      <t xml:space="preserve"> →m</t>
    </r>
    <r>
      <rPr>
        <vertAlign val="superscript"/>
        <sz val="11"/>
        <color theme="1"/>
        <rFont val="游ゴシック"/>
        <family val="3"/>
        <charset val="128"/>
        <scheme val="minor"/>
      </rPr>
      <t>3</t>
    </r>
    <r>
      <rPr>
        <sz val="11"/>
        <color theme="1"/>
        <rFont val="游ゴシック"/>
        <family val="3"/>
        <charset val="128"/>
        <scheme val="minor"/>
      </rPr>
      <t>(SATP)への換算係数</t>
    </r>
    <rPh sb="15" eb="17">
      <t>カンザン</t>
    </rPh>
    <rPh sb="17" eb="19">
      <t>ケイスウ</t>
    </rPh>
    <phoneticPr fontId="5"/>
  </si>
  <si>
    <r>
      <t>千Nm</t>
    </r>
    <r>
      <rPr>
        <vertAlign val="superscript"/>
        <sz val="11"/>
        <color theme="1"/>
        <rFont val="游ゴシック"/>
        <family val="3"/>
        <charset val="128"/>
        <scheme val="minor"/>
      </rPr>
      <t>3</t>
    </r>
    <r>
      <rPr>
        <sz val="11"/>
        <color theme="1"/>
        <rFont val="游ゴシック"/>
        <family val="3"/>
        <charset val="128"/>
        <scheme val="minor"/>
      </rPr>
      <t xml:space="preserve"> →千m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6" eb="7">
      <t>セン</t>
    </rPh>
    <rPh sb="17" eb="19">
      <t>カンザン</t>
    </rPh>
    <rPh sb="19" eb="21">
      <t>ケイスウ</t>
    </rPh>
    <phoneticPr fontId="5"/>
  </si>
  <si>
    <t>記入単位</t>
    <rPh sb="0" eb="2">
      <t>キニュウ</t>
    </rPh>
    <rPh sb="2" eb="4">
      <t>タンイ</t>
    </rPh>
    <phoneticPr fontId="5"/>
  </si>
  <si>
    <t>熱量</t>
    <rPh sb="0" eb="2">
      <t>ネツリョウ</t>
    </rPh>
    <phoneticPr fontId="5"/>
  </si>
  <si>
    <t>原料炭</t>
    <rPh sb="0" eb="2">
      <t>ゲンリョウ</t>
    </rPh>
    <rPh sb="2" eb="3">
      <t>スミ</t>
    </rPh>
    <phoneticPr fontId="6"/>
  </si>
  <si>
    <t>一般炭</t>
    <rPh sb="2" eb="3">
      <t>スミ</t>
    </rPh>
    <phoneticPr fontId="6"/>
  </si>
  <si>
    <t>無煙炭</t>
    <rPh sb="0" eb="3">
      <t>ムエンタン</t>
    </rPh>
    <phoneticPr fontId="6"/>
  </si>
  <si>
    <t>高炉ガス</t>
    <rPh sb="0" eb="2">
      <t>コウロ</t>
    </rPh>
    <phoneticPr fontId="6"/>
  </si>
  <si>
    <t>第4まとめ表
行番号</t>
    <rPh sb="0" eb="1">
      <t>ダイ</t>
    </rPh>
    <rPh sb="5" eb="6">
      <t>ヒョウ</t>
    </rPh>
    <rPh sb="7" eb="10">
      <t>ギョウバンゴウ</t>
    </rPh>
    <phoneticPr fontId="5"/>
  </si>
  <si>
    <t>第3まとめ表
行番号</t>
    <rPh sb="0" eb="1">
      <t>ダイ</t>
    </rPh>
    <rPh sb="5" eb="6">
      <t>ヒョウ</t>
    </rPh>
    <rPh sb="7" eb="10">
      <t>ギョウバンゴウ</t>
    </rPh>
    <phoneticPr fontId="5"/>
  </si>
  <si>
    <t>第3係数
排出係数</t>
    <rPh sb="0" eb="1">
      <t>ダイ</t>
    </rPh>
    <rPh sb="2" eb="4">
      <t>ケイスウ</t>
    </rPh>
    <rPh sb="5" eb="7">
      <t>ハイシュツ</t>
    </rPh>
    <rPh sb="7" eb="9">
      <t>ケイスウ</t>
    </rPh>
    <phoneticPr fontId="5"/>
  </si>
  <si>
    <t>第3係数
熱量[GJ]</t>
    <rPh sb="0" eb="1">
      <t>ダイ</t>
    </rPh>
    <rPh sb="2" eb="4">
      <t>ケイスウ</t>
    </rPh>
    <rPh sb="5" eb="7">
      <t>ネツリョウ</t>
    </rPh>
    <phoneticPr fontId="5"/>
  </si>
  <si>
    <t>第3係数
使用量（年度計)</t>
    <rPh sb="0" eb="1">
      <t>ダイ</t>
    </rPh>
    <rPh sb="2" eb="4">
      <t>ケイスウ</t>
    </rPh>
    <rPh sb="5" eb="8">
      <t>シヨウリョウ</t>
    </rPh>
    <rPh sb="9" eb="11">
      <t>ネンド</t>
    </rPh>
    <rPh sb="11" eb="12">
      <t>ケイ</t>
    </rPh>
    <phoneticPr fontId="5"/>
  </si>
  <si>
    <t>第3係数
単位発熱量</t>
    <rPh sb="0" eb="1">
      <t>ダイ</t>
    </rPh>
    <rPh sb="2" eb="4">
      <t>ケイスウ</t>
    </rPh>
    <rPh sb="5" eb="7">
      <t>タンイ</t>
    </rPh>
    <rPh sb="7" eb="10">
      <t>ハツネツリョウ</t>
    </rPh>
    <phoneticPr fontId="5"/>
  </si>
  <si>
    <t>第3係数気体単位換算
（SATP→N)</t>
    <rPh sb="0" eb="1">
      <t>ダイ</t>
    </rPh>
    <rPh sb="2" eb="4">
      <t>ケイスウ</t>
    </rPh>
    <rPh sb="4" eb="6">
      <t>キタイ</t>
    </rPh>
    <rPh sb="6" eb="8">
      <t>タンイ</t>
    </rPh>
    <rPh sb="8" eb="10">
      <t>カンザン</t>
    </rPh>
    <phoneticPr fontId="5"/>
  </si>
  <si>
    <r>
      <t>第3係数
排出量[t-CO</t>
    </r>
    <r>
      <rPr>
        <vertAlign val="subscript"/>
        <sz val="11"/>
        <color theme="1"/>
        <rFont val="游明朝"/>
        <family val="1"/>
        <charset val="128"/>
      </rPr>
      <t>2</t>
    </r>
    <r>
      <rPr>
        <sz val="11"/>
        <color theme="1"/>
        <rFont val="游明朝"/>
        <family val="1"/>
        <charset val="128"/>
      </rPr>
      <t>]</t>
    </r>
    <rPh sb="0" eb="1">
      <t>ダイ</t>
    </rPh>
    <rPh sb="2" eb="4">
      <t>ケイスウ</t>
    </rPh>
    <rPh sb="5" eb="7">
      <t>ハイシュツ</t>
    </rPh>
    <rPh sb="7" eb="8">
      <t>リョウ</t>
    </rPh>
    <phoneticPr fontId="5"/>
  </si>
  <si>
    <r>
      <t>千Nｍ</t>
    </r>
    <r>
      <rPr>
        <vertAlign val="superscript"/>
        <sz val="11"/>
        <color theme="1"/>
        <rFont val="游明朝"/>
        <family val="1"/>
        <charset val="128"/>
      </rPr>
      <t xml:space="preserve">3 </t>
    </r>
    <rPh sb="0" eb="1">
      <t>セン</t>
    </rPh>
    <phoneticPr fontId="6"/>
  </si>
  <si>
    <t>(参考）</t>
    <rPh sb="1" eb="3">
      <t>サンコウ</t>
    </rPh>
    <phoneticPr fontId="6"/>
  </si>
  <si>
    <t>自ら生成した電気熱</t>
    <rPh sb="0" eb="1">
      <t>ミズカ</t>
    </rPh>
    <rPh sb="2" eb="4">
      <t>セイセイ</t>
    </rPh>
    <rPh sb="6" eb="9">
      <t>デンキネツ</t>
    </rPh>
    <phoneticPr fontId="5"/>
  </si>
  <si>
    <t>自己作成値</t>
    <rPh sb="0" eb="2">
      <t>ジコ</t>
    </rPh>
    <rPh sb="2" eb="4">
      <t>サクセイ</t>
    </rPh>
    <rPh sb="4" eb="5">
      <t>チ</t>
    </rPh>
    <phoneticPr fontId="5"/>
  </si>
  <si>
    <t>自己作成値</t>
    <rPh sb="0" eb="2">
      <t>ジコ</t>
    </rPh>
    <rPh sb="2" eb="4">
      <t>サクセイ</t>
    </rPh>
    <rPh sb="4" eb="5">
      <t>チ</t>
    </rPh>
    <phoneticPr fontId="5"/>
  </si>
  <si>
    <t>対象</t>
    <rPh sb="0" eb="2">
      <t>タイショウ</t>
    </rPh>
    <phoneticPr fontId="5"/>
  </si>
  <si>
    <t>電気_自ら生成した電気</t>
    <rPh sb="0" eb="2">
      <t>デンキ</t>
    </rPh>
    <rPh sb="3" eb="4">
      <t>ミズカ</t>
    </rPh>
    <rPh sb="5" eb="7">
      <t>セイセイ</t>
    </rPh>
    <rPh sb="9" eb="11">
      <t>デンキ</t>
    </rPh>
    <phoneticPr fontId="5"/>
  </si>
  <si>
    <t>熱_自ら生成した熱</t>
    <rPh sb="0" eb="1">
      <t>ネツ</t>
    </rPh>
    <rPh sb="2" eb="3">
      <t>ミズカ</t>
    </rPh>
    <rPh sb="4" eb="6">
      <t>セイセイ</t>
    </rPh>
    <rPh sb="8" eb="9">
      <t>ネツ</t>
    </rPh>
    <phoneticPr fontId="5"/>
  </si>
  <si>
    <t>要記入</t>
    <rPh sb="0" eb="1">
      <t>ヨウ</t>
    </rPh>
    <rPh sb="1" eb="3">
      <t>キニュウ</t>
    </rPh>
    <phoneticPr fontId="5"/>
  </si>
  <si>
    <t>メータ種</t>
    <rPh sb="3" eb="4">
      <t>シュ</t>
    </rPh>
    <phoneticPr fontId="5"/>
  </si>
  <si>
    <t>供給事業者</t>
    <rPh sb="0" eb="2">
      <t>キョウキュウ</t>
    </rPh>
    <rPh sb="2" eb="5">
      <t>ジギョウシャ</t>
    </rPh>
    <phoneticPr fontId="5"/>
  </si>
  <si>
    <t>年度</t>
    <rPh sb="0" eb="2">
      <t>ネンド</t>
    </rPh>
    <phoneticPr fontId="5"/>
  </si>
  <si>
    <r>
      <t>単位発熱量[GJ/Nm</t>
    </r>
    <r>
      <rPr>
        <vertAlign val="superscript"/>
        <sz val="11"/>
        <color theme="1"/>
        <rFont val="游ゴシック"/>
        <family val="3"/>
        <charset val="128"/>
        <scheme val="minor"/>
      </rPr>
      <t>3</t>
    </r>
    <r>
      <rPr>
        <sz val="11"/>
        <color theme="1"/>
        <rFont val="游ゴシック"/>
        <family val="3"/>
        <charset val="128"/>
        <scheme val="minor"/>
      </rPr>
      <t>]</t>
    </r>
    <rPh sb="0" eb="5">
      <t>タンイハツネツリョウ</t>
    </rPh>
    <phoneticPr fontId="5"/>
  </si>
  <si>
    <r>
      <t>排出係数
[t-CO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0" eb="2">
      <t>ハイシュツ</t>
    </rPh>
    <rPh sb="2" eb="4">
      <t>ケイスウ</t>
    </rPh>
    <rPh sb="12" eb="13">
      <t>セン</t>
    </rPh>
    <phoneticPr fontId="5"/>
  </si>
  <si>
    <r>
      <t>単位発熱量
[GJ/千m</t>
    </r>
    <r>
      <rPr>
        <vertAlign val="superscript"/>
        <sz val="11"/>
        <color theme="1"/>
        <rFont val="游ゴシック"/>
        <family val="3"/>
        <charset val="128"/>
        <scheme val="minor"/>
      </rPr>
      <t>3</t>
    </r>
    <r>
      <rPr>
        <sz val="11"/>
        <color theme="1"/>
        <rFont val="游ゴシック"/>
        <family val="3"/>
        <charset val="128"/>
        <scheme val="minor"/>
      </rPr>
      <t>(SATP)]</t>
    </r>
    <rPh sb="0" eb="2">
      <t>タンイ</t>
    </rPh>
    <rPh sb="2" eb="5">
      <t>ハツネツリョウ</t>
    </rPh>
    <rPh sb="10" eb="11">
      <t>セン</t>
    </rPh>
    <phoneticPr fontId="5"/>
  </si>
  <si>
    <t>デフォルト値</t>
    <rPh sb="5" eb="6">
      <t>チ</t>
    </rPh>
    <phoneticPr fontId="5"/>
  </si>
  <si>
    <t>電気_自己託送_非燃料由来の非化石電気</t>
    <rPh sb="0" eb="2">
      <t>デンキ</t>
    </rPh>
    <rPh sb="3" eb="7">
      <t>ジコタクソウ</t>
    </rPh>
    <rPh sb="8" eb="13">
      <t>ヒネンリョウユライ</t>
    </rPh>
    <rPh sb="14" eb="17">
      <t>ヒカセキ</t>
    </rPh>
    <rPh sb="17" eb="19">
      <t>デンキ</t>
    </rPh>
    <phoneticPr fontId="5"/>
  </si>
  <si>
    <t>電気_自己託送_非燃料由来の非化石電気以外</t>
    <rPh sb="0" eb="2">
      <t>デンキ</t>
    </rPh>
    <rPh sb="3" eb="7">
      <t>ジコタクソウ</t>
    </rPh>
    <rPh sb="8" eb="13">
      <t>ヒネンリョウユライ</t>
    </rPh>
    <rPh sb="14" eb="19">
      <t>ヒカセキデンキ</t>
    </rPh>
    <rPh sb="19" eb="21">
      <t>イガイ</t>
    </rPh>
    <phoneticPr fontId="5"/>
  </si>
  <si>
    <t>非FIT非化石証書_再生可能エネルギー指定</t>
    <rPh sb="0" eb="1">
      <t>ヒ</t>
    </rPh>
    <rPh sb="4" eb="7">
      <t>ヒカセキ</t>
    </rPh>
    <rPh sb="7" eb="9">
      <t>ショウショ</t>
    </rPh>
    <rPh sb="10" eb="12">
      <t>サイセイ</t>
    </rPh>
    <rPh sb="12" eb="14">
      <t>カノウ</t>
    </rPh>
    <rPh sb="19" eb="21">
      <t>シテイ</t>
    </rPh>
    <phoneticPr fontId="5"/>
  </si>
  <si>
    <t>任意_大気熱_ヒートポンプを除く</t>
    <rPh sb="0" eb="2">
      <t>ニンイ</t>
    </rPh>
    <phoneticPr fontId="5"/>
  </si>
  <si>
    <t>排出係数
[t-CO2/千m3(SATP)]</t>
    <rPh sb="0" eb="4">
      <t>ハイシュツケイスウ</t>
    </rPh>
    <phoneticPr fontId="5"/>
  </si>
  <si>
    <t>電気事業者名</t>
    <rPh sb="0" eb="6">
      <t>デンキジギョウシャメイ</t>
    </rPh>
    <phoneticPr fontId="5"/>
  </si>
  <si>
    <t>メニューR</t>
  </si>
  <si>
    <t>メニューS</t>
  </si>
  <si>
    <t>メニューT</t>
  </si>
  <si>
    <t>メニュー名リスト</t>
    <rPh sb="4" eb="5">
      <t>メイ</t>
    </rPh>
    <phoneticPr fontId="5"/>
  </si>
  <si>
    <t>調整後排出係数[t-CO2/kWh]</t>
    <phoneticPr fontId="5"/>
  </si>
  <si>
    <t>国平均値</t>
    <rPh sb="0" eb="1">
      <t>クニ</t>
    </rPh>
    <rPh sb="1" eb="3">
      <t>ヘイキン</t>
    </rPh>
    <rPh sb="3" eb="4">
      <t>チ</t>
    </rPh>
    <phoneticPr fontId="5"/>
  </si>
  <si>
    <t>排出係数
[t-CO2/kWh]</t>
    <phoneticPr fontId="5"/>
  </si>
  <si>
    <t>電気事業者名リスト</t>
    <rPh sb="0" eb="6">
      <t>デンキジギョウシャメイ</t>
    </rPh>
    <phoneticPr fontId="5"/>
  </si>
  <si>
    <t>伊奈都市ガス(株)_13A</t>
    <rPh sb="0" eb="2">
      <t>イナ</t>
    </rPh>
    <rPh sb="2" eb="4">
      <t>トシ</t>
    </rPh>
    <rPh sb="6" eb="9">
      <t>カブ</t>
    </rPh>
    <phoneticPr fontId="3"/>
  </si>
  <si>
    <t>入間ガス(株)_13A</t>
    <rPh sb="0" eb="2">
      <t>イルマ</t>
    </rPh>
    <rPh sb="4" eb="7">
      <t>カブ</t>
    </rPh>
    <phoneticPr fontId="3"/>
  </si>
  <si>
    <t>太田都市ガス(株)_13A</t>
    <rPh sb="0" eb="2">
      <t>オオタ</t>
    </rPh>
    <rPh sb="2" eb="4">
      <t>トシ</t>
    </rPh>
    <rPh sb="6" eb="9">
      <t>カブ</t>
    </rPh>
    <phoneticPr fontId="3"/>
  </si>
  <si>
    <t>角栄ガス(株)_13A</t>
    <rPh sb="4" eb="7">
      <t>カブ</t>
    </rPh>
    <phoneticPr fontId="5"/>
  </si>
  <si>
    <t>埼玉ガス(株)_13A</t>
    <rPh sb="0" eb="2">
      <t>サイタマ</t>
    </rPh>
    <rPh sb="4" eb="7">
      <t>カブ</t>
    </rPh>
    <phoneticPr fontId="3"/>
  </si>
  <si>
    <t>坂戸ガス(株)_13A</t>
    <rPh sb="4" eb="7">
      <t>カブ</t>
    </rPh>
    <phoneticPr fontId="5"/>
  </si>
  <si>
    <t>幸手都市ガス(株)_13A</t>
    <rPh sb="6" eb="9">
      <t>カブ</t>
    </rPh>
    <phoneticPr fontId="5"/>
  </si>
  <si>
    <t>松栄ガス(株)_13A</t>
    <rPh sb="4" eb="7">
      <t>カブ</t>
    </rPh>
    <phoneticPr fontId="5"/>
  </si>
  <si>
    <t>新日本瓦斯(株)_13A</t>
    <rPh sb="0" eb="3">
      <t>シンニホン</t>
    </rPh>
    <rPh sb="3" eb="5">
      <t>ガス</t>
    </rPh>
    <rPh sb="5" eb="8">
      <t>カブ</t>
    </rPh>
    <phoneticPr fontId="3"/>
  </si>
  <si>
    <t>西武ガス(株)_13A</t>
    <rPh sb="4" eb="7">
      <t>カブ</t>
    </rPh>
    <phoneticPr fontId="5"/>
  </si>
  <si>
    <t>大東ガス(株)_13A</t>
    <rPh sb="0" eb="2">
      <t>ダイトウ</t>
    </rPh>
    <rPh sb="4" eb="7">
      <t>カブ</t>
    </rPh>
    <phoneticPr fontId="3"/>
  </si>
  <si>
    <t>秩父ガス(株)_13A</t>
    <rPh sb="0" eb="2">
      <t>チチブ</t>
    </rPh>
    <rPh sb="4" eb="7">
      <t>カブ</t>
    </rPh>
    <phoneticPr fontId="3"/>
  </si>
  <si>
    <t>東彩ガス(株)_13A</t>
    <rPh sb="4" eb="7">
      <t>カブ</t>
    </rPh>
    <phoneticPr fontId="5"/>
  </si>
  <si>
    <t>日高都市ガス(株)_13A</t>
    <rPh sb="0" eb="2">
      <t>ヒダカ</t>
    </rPh>
    <rPh sb="2" eb="4">
      <t>トシ</t>
    </rPh>
    <rPh sb="6" eb="9">
      <t>カブ</t>
    </rPh>
    <phoneticPr fontId="3"/>
  </si>
  <si>
    <t>武州ガス(株)_13A</t>
    <rPh sb="0" eb="2">
      <t>ブシュウ</t>
    </rPh>
    <rPh sb="4" eb="7">
      <t>カブ</t>
    </rPh>
    <phoneticPr fontId="3"/>
  </si>
  <si>
    <t>本庄ガス(株)_13A</t>
    <rPh sb="0" eb="2">
      <t>ホンジョウ</t>
    </rPh>
    <rPh sb="4" eb="7">
      <t>カブ</t>
    </rPh>
    <phoneticPr fontId="3"/>
  </si>
  <si>
    <t>武蔵野ガス(株)_13A</t>
    <rPh sb="0" eb="3">
      <t>ムサシノ</t>
    </rPh>
    <rPh sb="5" eb="8">
      <t>カブ</t>
    </rPh>
    <phoneticPr fontId="3"/>
  </si>
  <si>
    <t>東京ガス(株)_13A</t>
    <rPh sb="4" eb="7">
      <t>カブ</t>
    </rPh>
    <phoneticPr fontId="3"/>
  </si>
  <si>
    <t>鷲宮ガス(株)_13A</t>
    <rPh sb="0" eb="2">
      <t>ワシミヤ</t>
    </rPh>
    <rPh sb="4" eb="7">
      <t>カブ</t>
    </rPh>
    <phoneticPr fontId="3"/>
  </si>
  <si>
    <t>堀川産業(株)_13A</t>
    <rPh sb="0" eb="2">
      <t>ホリカワ</t>
    </rPh>
    <rPh sb="2" eb="4">
      <t>サンギョウ</t>
    </rPh>
    <rPh sb="4" eb="7">
      <t>カブ</t>
    </rPh>
    <phoneticPr fontId="3"/>
  </si>
  <si>
    <t>登録番号</t>
    <rPh sb="0" eb="4">
      <t>トウロクバンゴウ</t>
    </rPh>
    <phoneticPr fontId="5"/>
  </si>
  <si>
    <t>A0020</t>
    <phoneticPr fontId="5"/>
  </si>
  <si>
    <t>A0002</t>
    <phoneticPr fontId="5"/>
  </si>
  <si>
    <t>東京電力エナジーパートナー(株)</t>
    <rPh sb="13" eb="16">
      <t>カブ</t>
    </rPh>
    <phoneticPr fontId="5"/>
  </si>
  <si>
    <t>東京電力エナジーパートナー(株)_13A</t>
    <rPh sb="13" eb="16">
      <t>カブ</t>
    </rPh>
    <phoneticPr fontId="5"/>
  </si>
  <si>
    <t>メニュー名</t>
    <rPh sb="4" eb="5">
      <t>メイ</t>
    </rPh>
    <phoneticPr fontId="5"/>
  </si>
  <si>
    <t>メニューA</t>
    <phoneticPr fontId="5"/>
  </si>
  <si>
    <t>残差</t>
  </si>
  <si>
    <t>残差</t>
    <rPh sb="0" eb="2">
      <t>ザンサ</t>
    </rPh>
    <phoneticPr fontId="5"/>
  </si>
  <si>
    <t>ガス事業者名</t>
    <rPh sb="2" eb="5">
      <t>ジギョウシャ</t>
    </rPh>
    <rPh sb="5" eb="6">
      <t>メイ</t>
    </rPh>
    <phoneticPr fontId="5"/>
  </si>
  <si>
    <t>ガス事業者名リスト</t>
    <rPh sb="2" eb="5">
      <t>ジギョウシャ</t>
    </rPh>
    <rPh sb="5" eb="6">
      <t>メイ</t>
    </rPh>
    <phoneticPr fontId="5"/>
  </si>
  <si>
    <t>002</t>
    <phoneticPr fontId="48"/>
  </si>
  <si>
    <t>東京ガスエンジニアリングソリューションズ株式会社</t>
    <phoneticPr fontId="48"/>
  </si>
  <si>
    <t>田町駅東口北地域</t>
    <phoneticPr fontId="48"/>
  </si>
  <si>
    <t>006</t>
    <phoneticPr fontId="48"/>
  </si>
  <si>
    <t>丸の内熱供給株式会社</t>
    <rPh sb="0" eb="1">
      <t>マル</t>
    </rPh>
    <rPh sb="2" eb="3">
      <t>ウチ</t>
    </rPh>
    <rPh sb="3" eb="6">
      <t>ネツキョウキュウ</t>
    </rPh>
    <rPh sb="6" eb="10">
      <t>カブシキガイシャ</t>
    </rPh>
    <phoneticPr fontId="48"/>
  </si>
  <si>
    <t>残差</t>
    <rPh sb="0" eb="2">
      <t>ザンサ</t>
    </rPh>
    <phoneticPr fontId="48"/>
  </si>
  <si>
    <t>009</t>
    <phoneticPr fontId="48"/>
  </si>
  <si>
    <t>池袋地域冷暖房株式会社</t>
    <phoneticPr fontId="48"/>
  </si>
  <si>
    <t>東池袋地域</t>
    <phoneticPr fontId="48"/>
  </si>
  <si>
    <t>014</t>
    <phoneticPr fontId="48"/>
  </si>
  <si>
    <t>新都市熱供給株式会社</t>
    <phoneticPr fontId="48"/>
  </si>
  <si>
    <t>016</t>
    <phoneticPr fontId="48"/>
  </si>
  <si>
    <t>西池袋熱供給株式会社</t>
    <phoneticPr fontId="48"/>
  </si>
  <si>
    <t>西池袋地域</t>
    <phoneticPr fontId="48"/>
  </si>
  <si>
    <t>020</t>
    <phoneticPr fontId="48"/>
  </si>
  <si>
    <t>東京都市サービス株式会社</t>
    <phoneticPr fontId="48"/>
  </si>
  <si>
    <t>芝浦4丁目地域</t>
    <phoneticPr fontId="48"/>
  </si>
  <si>
    <t>銀座5・6丁目地域</t>
  </si>
  <si>
    <t>新川地域</t>
  </si>
  <si>
    <t>神田駿河台地域</t>
  </si>
  <si>
    <t>箱崎地域</t>
  </si>
  <si>
    <t>幕張新都心ハイテク・ビジネス地域</t>
  </si>
  <si>
    <t>高崎市中央・城址地域</t>
  </si>
  <si>
    <t>本駒込2丁目地域</t>
  </si>
  <si>
    <t>大崎1丁目地域</t>
  </si>
  <si>
    <t>晴海アイランド地域</t>
  </si>
  <si>
    <t>府中日鋼町地域</t>
  </si>
  <si>
    <t>横浜市北仲通南地域</t>
  </si>
  <si>
    <t>024</t>
    <phoneticPr fontId="48"/>
  </si>
  <si>
    <t>みなとみらい二十一熱供給株式会社</t>
    <rPh sb="6" eb="9">
      <t>ニジュウイチ</t>
    </rPh>
    <rPh sb="9" eb="10">
      <t>ネツ</t>
    </rPh>
    <rPh sb="10" eb="12">
      <t>キョウキュウ</t>
    </rPh>
    <rPh sb="12" eb="16">
      <t>カブシキガイシャ</t>
    </rPh>
    <phoneticPr fontId="48"/>
  </si>
  <si>
    <t>033</t>
    <phoneticPr fontId="48"/>
  </si>
  <si>
    <t>新宿熱供給株式会社</t>
    <phoneticPr fontId="48"/>
  </si>
  <si>
    <t>039</t>
    <phoneticPr fontId="48"/>
  </si>
  <si>
    <t>株式会社福岡エネルギーサービス</t>
    <rPh sb="0" eb="4">
      <t>カブシキ</t>
    </rPh>
    <rPh sb="4" eb="6">
      <t>フクオカ</t>
    </rPh>
    <phoneticPr fontId="48"/>
  </si>
  <si>
    <t>シーサイドももち地域</t>
    <phoneticPr fontId="48"/>
  </si>
  <si>
    <t>西鉄福岡駅再開発地域</t>
    <rPh sb="0" eb="2">
      <t>ニシテツ</t>
    </rPh>
    <rPh sb="2" eb="5">
      <t>フクオカエキ</t>
    </rPh>
    <rPh sb="5" eb="8">
      <t>サイカイハツ</t>
    </rPh>
    <rPh sb="8" eb="10">
      <t>チイキ</t>
    </rPh>
    <phoneticPr fontId="48"/>
  </si>
  <si>
    <t>下川端再開発地域</t>
    <rPh sb="0" eb="3">
      <t>シモカワバタ</t>
    </rPh>
    <rPh sb="3" eb="6">
      <t>サイカイハツ</t>
    </rPh>
    <rPh sb="6" eb="8">
      <t>チイキ</t>
    </rPh>
    <phoneticPr fontId="48"/>
  </si>
  <si>
    <t>047</t>
    <phoneticPr fontId="48"/>
  </si>
  <si>
    <t>東京下水道エネルギー株式会社　後楽事業所</t>
    <phoneticPr fontId="48"/>
  </si>
  <si>
    <t>後楽一丁目地域</t>
    <rPh sb="5" eb="7">
      <t>チイキ</t>
    </rPh>
    <phoneticPr fontId="48"/>
  </si>
  <si>
    <t>050</t>
    <phoneticPr fontId="48"/>
  </si>
  <si>
    <t>新宿南エネルギーサービス株式会社</t>
    <phoneticPr fontId="48"/>
  </si>
  <si>
    <t>057</t>
  </si>
  <si>
    <t>錦糸町熱供給株式会社</t>
    <phoneticPr fontId="48"/>
  </si>
  <si>
    <t>058</t>
  </si>
  <si>
    <t>品川熱供給株式会社</t>
    <rPh sb="0" eb="2">
      <t>シナガワ</t>
    </rPh>
    <rPh sb="2" eb="3">
      <t>ネツ</t>
    </rPh>
    <rPh sb="3" eb="5">
      <t>キョウキュウ</t>
    </rPh>
    <rPh sb="5" eb="7">
      <t>カブシキ</t>
    </rPh>
    <rPh sb="7" eb="9">
      <t>カイシャ</t>
    </rPh>
    <phoneticPr fontId="6"/>
  </si>
  <si>
    <t>品川東口南地域</t>
    <rPh sb="0" eb="2">
      <t>シナガワ</t>
    </rPh>
    <rPh sb="2" eb="4">
      <t>ヒガシグチ</t>
    </rPh>
    <rPh sb="4" eb="5">
      <t>ミナミ</t>
    </rPh>
    <rPh sb="5" eb="7">
      <t>チイキ</t>
    </rPh>
    <phoneticPr fontId="6"/>
  </si>
  <si>
    <t>064</t>
    <phoneticPr fontId="48"/>
  </si>
  <si>
    <t>山王熱供給株式会社</t>
    <rPh sb="0" eb="2">
      <t>サンノウ</t>
    </rPh>
    <rPh sb="2" eb="5">
      <t>ネツキョウキュウ</t>
    </rPh>
    <rPh sb="5" eb="9">
      <t>カブシキガイシャ</t>
    </rPh>
    <phoneticPr fontId="48"/>
  </si>
  <si>
    <t>065</t>
  </si>
  <si>
    <t>渋谷熱供給株式会社</t>
    <phoneticPr fontId="48"/>
  </si>
  <si>
    <t>069</t>
    <phoneticPr fontId="48"/>
  </si>
  <si>
    <t>073</t>
    <phoneticPr fontId="48"/>
  </si>
  <si>
    <t>ＤＨＣ名古屋株式会社</t>
    <phoneticPr fontId="48"/>
  </si>
  <si>
    <t>名駅東地域</t>
    <rPh sb="3" eb="5">
      <t>チイキ</t>
    </rPh>
    <phoneticPr fontId="48"/>
  </si>
  <si>
    <t>079</t>
    <phoneticPr fontId="48"/>
  </si>
  <si>
    <t>虎ノ門エネルギーネットワーク株式会社</t>
    <rPh sb="0" eb="1">
      <t>トラ</t>
    </rPh>
    <rPh sb="2" eb="3">
      <t>モン</t>
    </rPh>
    <rPh sb="14" eb="18">
      <t>カブシキガイシャ</t>
    </rPh>
    <phoneticPr fontId="48"/>
  </si>
  <si>
    <t>虎ノ門一・二丁目地域</t>
  </si>
  <si>
    <t>虎ノ門・麻布台地域</t>
  </si>
  <si>
    <t>メニューA</t>
    <phoneticPr fontId="48"/>
  </si>
  <si>
    <t>メニューB</t>
    <phoneticPr fontId="48"/>
  </si>
  <si>
    <t>品川エネルギーサービス株式会社</t>
    <phoneticPr fontId="48"/>
  </si>
  <si>
    <t>006</t>
  </si>
  <si>
    <t>009</t>
  </si>
  <si>
    <t>池袋地域冷暖房株式会社</t>
  </si>
  <si>
    <t>020</t>
  </si>
  <si>
    <t>東京都市サービス株式会社</t>
  </si>
  <si>
    <t>024</t>
  </si>
  <si>
    <t>039</t>
  </si>
  <si>
    <t>079</t>
  </si>
  <si>
    <t>熱供給事業者名</t>
    <rPh sb="0" eb="1">
      <t>ネツ</t>
    </rPh>
    <rPh sb="1" eb="3">
      <t>キョウキュウ</t>
    </rPh>
    <rPh sb="3" eb="6">
      <t>ジギョウシャ</t>
    </rPh>
    <rPh sb="6" eb="7">
      <t>メイ</t>
    </rPh>
    <phoneticPr fontId="5"/>
  </si>
  <si>
    <t>熱供給事業者名リスト</t>
    <rPh sb="0" eb="1">
      <t>ネツ</t>
    </rPh>
    <rPh sb="1" eb="3">
      <t>キョウキュウ</t>
    </rPh>
    <rPh sb="3" eb="6">
      <t>ジギョウシャ</t>
    </rPh>
    <rPh sb="6" eb="7">
      <t>メイ</t>
    </rPh>
    <phoneticPr fontId="5"/>
  </si>
  <si>
    <t>メニューB</t>
    <phoneticPr fontId="5"/>
  </si>
  <si>
    <t>メニューC</t>
    <phoneticPr fontId="5"/>
  </si>
  <si>
    <r>
      <t>排出係数
[t-CO</t>
    </r>
    <r>
      <rPr>
        <vertAlign val="subscript"/>
        <sz val="11"/>
        <color theme="1"/>
        <rFont val="游ゴシック"/>
        <family val="3"/>
        <charset val="128"/>
        <scheme val="minor"/>
      </rPr>
      <t>2</t>
    </r>
    <r>
      <rPr>
        <sz val="11"/>
        <color theme="1"/>
        <rFont val="游ゴシック"/>
        <family val="3"/>
        <charset val="128"/>
        <scheme val="minor"/>
      </rPr>
      <t>/GJ]</t>
    </r>
    <rPh sb="0" eb="2">
      <t>ハイシュツ</t>
    </rPh>
    <rPh sb="2" eb="4">
      <t>ケイスウ</t>
    </rPh>
    <phoneticPr fontId="5"/>
  </si>
  <si>
    <t>排出係数
国代替値</t>
    <rPh sb="0" eb="2">
      <t>ハイシュツ</t>
    </rPh>
    <rPh sb="2" eb="4">
      <t>ケイスウ</t>
    </rPh>
    <rPh sb="5" eb="6">
      <t>クニ</t>
    </rPh>
    <rPh sb="6" eb="9">
      <t>ダイタイチ</t>
    </rPh>
    <phoneticPr fontId="5"/>
  </si>
  <si>
    <t>排出係数
国公表値</t>
    <rPh sb="0" eb="2">
      <t>ハイシュツ</t>
    </rPh>
    <rPh sb="2" eb="4">
      <t>ケイスウ</t>
    </rPh>
    <rPh sb="5" eb="6">
      <t>クニ</t>
    </rPh>
    <rPh sb="6" eb="9">
      <t>コウヒョウチ</t>
    </rPh>
    <phoneticPr fontId="5"/>
  </si>
  <si>
    <t>令和７年度</t>
  </si>
  <si>
    <t>令和８年度</t>
  </si>
  <si>
    <t>令和９年度</t>
  </si>
  <si>
    <t>令和１０年度</t>
  </si>
  <si>
    <t>令和１１年度</t>
  </si>
  <si>
    <t>電気</t>
    <rPh sb="0" eb="2">
      <t>デンキ</t>
    </rPh>
    <phoneticPr fontId="5"/>
  </si>
  <si>
    <t>熱</t>
    <rPh sb="0" eb="1">
      <t>ネツ</t>
    </rPh>
    <phoneticPr fontId="5"/>
  </si>
  <si>
    <t>都市ガス</t>
    <rPh sb="0" eb="2">
      <t>トシ</t>
    </rPh>
    <phoneticPr fontId="5"/>
  </si>
  <si>
    <t>参照用</t>
    <rPh sb="0" eb="2">
      <t>サンショウ</t>
    </rPh>
    <rPh sb="2" eb="3">
      <t>ヨウ</t>
    </rPh>
    <phoneticPr fontId="5"/>
  </si>
  <si>
    <t>検索キー</t>
    <rPh sb="0" eb="2">
      <t>ケンサク</t>
    </rPh>
    <phoneticPr fontId="5"/>
  </si>
  <si>
    <t>検索キー</t>
    <rPh sb="0" eb="2">
      <t>ケンサク</t>
    </rPh>
    <phoneticPr fontId="5"/>
  </si>
  <si>
    <t>使用量年度計 
[固有単位]</t>
    <rPh sb="9" eb="11">
      <t>コユウ</t>
    </rPh>
    <rPh sb="11" eb="13">
      <t>タンイ</t>
    </rPh>
    <phoneticPr fontId="5"/>
  </si>
  <si>
    <t>単位発熱量
[GJ/固有単位]</t>
    <phoneticPr fontId="5"/>
  </si>
  <si>
    <t>排出係数
[t-C/GJ]</t>
    <phoneticPr fontId="5"/>
  </si>
  <si>
    <t>一次エネルギー
換算係数
[GJ/固有単位]</t>
    <rPh sb="0" eb="2">
      <t>イチジ</t>
    </rPh>
    <rPh sb="8" eb="12">
      <t>カンザンケイスウ</t>
    </rPh>
    <rPh sb="17" eb="19">
      <t>コユウ</t>
    </rPh>
    <rPh sb="19" eb="21">
      <t>タンイ</t>
    </rPh>
    <phoneticPr fontId="5"/>
  </si>
  <si>
    <t>排出係数
選択結果</t>
    <rPh sb="0" eb="2">
      <t>ハイシュツ</t>
    </rPh>
    <rPh sb="2" eb="4">
      <t>ケイスウ</t>
    </rPh>
    <rPh sb="5" eb="7">
      <t>センタク</t>
    </rPh>
    <rPh sb="7" eb="9">
      <t>ケッカ</t>
    </rPh>
    <phoneticPr fontId="5"/>
  </si>
  <si>
    <t>002</t>
  </si>
  <si>
    <t>東京ガスエンジニアリングソリューションズ株式会社</t>
  </si>
  <si>
    <t>田町駅東口北地域</t>
  </si>
  <si>
    <t>東池袋地域</t>
  </si>
  <si>
    <t>014</t>
  </si>
  <si>
    <t>新都市熱供給株式会社</t>
  </si>
  <si>
    <t>016</t>
  </si>
  <si>
    <t>西池袋熱供給株式会社</t>
  </si>
  <si>
    <t>西池袋地域</t>
  </si>
  <si>
    <t>芝浦4丁目地域</t>
  </si>
  <si>
    <t>033</t>
  </si>
  <si>
    <t>新宿熱供給株式会社</t>
  </si>
  <si>
    <t>シーサイドももち地域</t>
  </si>
  <si>
    <t>047</t>
  </si>
  <si>
    <t>東京下水道エネルギー株式会社　後楽事業所</t>
  </si>
  <si>
    <t>050</t>
  </si>
  <si>
    <t>新宿南エネルギーサービス株式会社</t>
  </si>
  <si>
    <t>錦糸町熱供給株式会社</t>
  </si>
  <si>
    <t>064</t>
  </si>
  <si>
    <t>渋谷熱供給株式会社</t>
  </si>
  <si>
    <t>069</t>
  </si>
  <si>
    <t>品川エネルギーサービス株式会社</t>
  </si>
  <si>
    <t>073</t>
  </si>
  <si>
    <t>ＤＨＣ名古屋株式会社</t>
  </si>
  <si>
    <t>地域</t>
    <rPh sb="0" eb="2">
      <t>チイキ</t>
    </rPh>
    <phoneticPr fontId="5"/>
  </si>
  <si>
    <t>排出係数
単位</t>
    <rPh sb="0" eb="2">
      <t>ハイシュツ</t>
    </rPh>
    <rPh sb="2" eb="4">
      <t>ケイスウ</t>
    </rPh>
    <rPh sb="5" eb="7">
      <t>タンイ</t>
    </rPh>
    <phoneticPr fontId="5"/>
  </si>
  <si>
    <t>SHK制度公表資料からの転記時は千kwhではなくkWh単位</t>
    <rPh sb="3" eb="5">
      <t>セイド</t>
    </rPh>
    <rPh sb="5" eb="7">
      <t>コウヒョウ</t>
    </rPh>
    <rPh sb="7" eb="9">
      <t>シリョウ</t>
    </rPh>
    <rPh sb="12" eb="14">
      <t>テンキ</t>
    </rPh>
    <rPh sb="14" eb="15">
      <t>ジ</t>
    </rPh>
    <rPh sb="16" eb="17">
      <t>セン</t>
    </rPh>
    <rPh sb="27" eb="29">
      <t>タンイ</t>
    </rPh>
    <phoneticPr fontId="5"/>
  </si>
  <si>
    <t>使用量
（年度計）
[記入単位]</t>
    <rPh sb="0" eb="3">
      <t>シヨウリョウ</t>
    </rPh>
    <rPh sb="5" eb="7">
      <t>ネンド</t>
    </rPh>
    <rPh sb="7" eb="8">
      <t>ケイ</t>
    </rPh>
    <rPh sb="11" eb="13">
      <t>キニュウ</t>
    </rPh>
    <rPh sb="13" eb="15">
      <t>タンイ</t>
    </rPh>
    <phoneticPr fontId="5"/>
  </si>
  <si>
    <t>使用量
（年度計）
[固有単位]</t>
    <rPh sb="0" eb="3">
      <t>シヨウリョウ</t>
    </rPh>
    <rPh sb="5" eb="7">
      <t>ネンド</t>
    </rPh>
    <rPh sb="7" eb="8">
      <t>ケイ</t>
    </rPh>
    <rPh sb="11" eb="13">
      <t>コユウ</t>
    </rPh>
    <phoneticPr fontId="5"/>
  </si>
  <si>
    <t>単位補正</t>
    <rPh sb="0" eb="2">
      <t>タンイ</t>
    </rPh>
    <rPh sb="2" eb="4">
      <t>ホセイ</t>
    </rPh>
    <phoneticPr fontId="5"/>
  </si>
  <si>
    <t>MJ</t>
  </si>
  <si>
    <t>GJ</t>
  </si>
  <si>
    <t>kWh</t>
    <phoneticPr fontId="5"/>
  </si>
  <si>
    <t>千kWh</t>
    <rPh sb="0" eb="1">
      <t>セン</t>
    </rPh>
    <phoneticPr fontId="5"/>
  </si>
  <si>
    <t>MJ</t>
    <phoneticPr fontId="5"/>
  </si>
  <si>
    <t>GJ</t>
    <phoneticPr fontId="5"/>
  </si>
  <si>
    <t>都市ガス低圧用</t>
    <rPh sb="0" eb="2">
      <t>トシ</t>
    </rPh>
    <rPh sb="4" eb="7">
      <t>テイアツヨウ</t>
    </rPh>
    <phoneticPr fontId="5"/>
  </si>
  <si>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　=  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rPh sb="21" eb="22">
      <t>セン</t>
    </rPh>
    <rPh sb="25" eb="26">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</si>
  <si>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4" eb="5">
      <t>セン</t>
    </rPh>
    <phoneticPr fontId="5"/>
  </si>
  <si>
    <r>
      <t>Nm</t>
    </r>
    <r>
      <rPr>
        <vertAlign val="superscript"/>
        <sz val="11"/>
        <color theme="1"/>
        <rFont val="游ゴシック"/>
        <family val="3"/>
        <charset val="128"/>
        <scheme val="minor"/>
      </rPr>
      <t>3</t>
    </r>
    <phoneticPr fontId="5"/>
  </si>
  <si>
    <r>
      <t>Nm</t>
    </r>
    <r>
      <rPr>
        <b/>
        <vertAlign val="superscript"/>
        <sz val="11"/>
        <color theme="1"/>
        <rFont val="游ゴシック"/>
        <family val="3"/>
        <charset val="128"/>
        <scheme val="minor"/>
      </rPr>
      <t>3</t>
    </r>
    <phoneticPr fontId="5"/>
  </si>
  <si>
    <t>単位換算</t>
    <rPh sb="0" eb="2">
      <t>タンイ</t>
    </rPh>
    <rPh sb="2" eb="4">
      <t>カンザン</t>
    </rPh>
    <phoneticPr fontId="5"/>
  </si>
  <si>
    <t>要記入</t>
    <rPh sb="0" eb="3">
      <t>ヨウキニュウ</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</si>
  <si>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</si>
  <si>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t>都市ガス単位換算
（SATP→N)</t>
    <rPh sb="0" eb="2">
      <t>トシ</t>
    </rPh>
    <rPh sb="4" eb="6">
      <t>タンイ</t>
    </rPh>
    <rPh sb="6" eb="8">
      <t>カンザン</t>
    </rPh>
    <phoneticPr fontId="5"/>
  </si>
  <si>
    <t>都市ガス
第3係数熱量
[GJ]</t>
    <rPh sb="0" eb="2">
      <t>トシ</t>
    </rPh>
    <rPh sb="5" eb="6">
      <t>ダイ</t>
    </rPh>
    <rPh sb="7" eb="9">
      <t>ケイスウ</t>
    </rPh>
    <rPh sb="9" eb="11">
      <t>ネツリョウ</t>
    </rPh>
    <phoneticPr fontId="5"/>
  </si>
  <si>
    <r>
      <t>第3係数
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0" eb="1">
      <t>ダイ</t>
    </rPh>
    <rPh sb="2" eb="4">
      <t>ケイスウ</t>
    </rPh>
    <rPh sb="8" eb="11">
      <t>ハイシュツリョウ</t>
    </rPh>
    <phoneticPr fontId="5"/>
  </si>
  <si>
    <t>第4まとめ表
行番号</t>
    <rPh sb="0" eb="1">
      <t>ダイ</t>
    </rPh>
    <rPh sb="5" eb="6">
      <t>ヒョウ</t>
    </rPh>
    <rPh sb="7" eb="8">
      <t>ギョウ</t>
    </rPh>
    <rPh sb="8" eb="10">
      <t>バンゴウ</t>
    </rPh>
    <phoneticPr fontId="5"/>
  </si>
  <si>
    <t>第3まとめ表
行番号</t>
    <rPh sb="0" eb="1">
      <t>ダイ</t>
    </rPh>
    <rPh sb="5" eb="6">
      <t>ヒョウ</t>
    </rPh>
    <rPh sb="7" eb="8">
      <t>ギョウ</t>
    </rPh>
    <rPh sb="8" eb="10">
      <t>バンゴウ</t>
    </rPh>
    <phoneticPr fontId="5"/>
  </si>
  <si>
    <t>電気・熱_都市ガスシート</t>
    <rPh sb="0" eb="2">
      <t>デンキ</t>
    </rPh>
    <rPh sb="3" eb="4">
      <t>ネツ</t>
    </rPh>
    <rPh sb="5" eb="7">
      <t>トシ</t>
    </rPh>
    <phoneticPr fontId="5"/>
  </si>
  <si>
    <t>燃料シート</t>
    <rPh sb="0" eb="2">
      <t>ネンリョウ</t>
    </rPh>
    <phoneticPr fontId="5"/>
  </si>
  <si>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5"/>
  </si>
  <si>
    <r>
      <t>単位発熱量
[MJ/m</t>
    </r>
    <r>
      <rPr>
        <vertAlign val="superscript"/>
        <sz val="10"/>
        <color theme="1"/>
        <rFont val="游明朝"/>
        <family val="1"/>
        <charset val="128"/>
      </rPr>
      <t xml:space="preserve">3
</t>
    </r>
    <r>
      <rPr>
        <sz val="10"/>
        <color theme="1"/>
        <rFont val="游明朝"/>
        <family val="1"/>
        <charset val="128"/>
      </rPr>
      <t>(SATP)]</t>
    </r>
    <rPh sb="0" eb="2">
      <t>タンイ</t>
    </rPh>
    <rPh sb="2" eb="5">
      <t>ハツネツリョウ</t>
    </rPh>
    <phoneticPr fontId="5"/>
  </si>
  <si>
    <t>電気・熱</t>
    <rPh sb="0" eb="2">
      <t>デンキ</t>
    </rPh>
    <rPh sb="3" eb="4">
      <t>ネツ</t>
    </rPh>
    <phoneticPr fontId="5"/>
  </si>
  <si>
    <r>
      <t>CO</t>
    </r>
    <r>
      <rPr>
        <vertAlign val="subscript"/>
        <sz val="10"/>
        <color theme="1"/>
        <rFont val="游明朝"/>
        <family val="1"/>
        <charset val="128"/>
      </rPr>
      <t>２</t>
    </r>
    <r>
      <rPr>
        <sz val="10"/>
        <color theme="1"/>
        <rFont val="游明朝"/>
        <family val="1"/>
        <charset val="128"/>
      </rPr>
      <t>排出量
[t-CO</t>
    </r>
    <r>
      <rPr>
        <vertAlign val="subscript"/>
        <sz val="10"/>
        <color theme="1"/>
        <rFont val="游明朝"/>
        <family val="1"/>
        <charset val="128"/>
      </rPr>
      <t>2</t>
    </r>
    <r>
      <rPr>
        <sz val="10"/>
        <color theme="1"/>
        <rFont val="游明朝"/>
        <family val="1"/>
        <charset val="128"/>
      </rPr>
      <t>]</t>
    </r>
    <rPh sb="3" eb="6">
      <t>ハイシュツリョウ</t>
    </rPh>
    <phoneticPr fontId="5"/>
  </si>
  <si>
    <r>
      <t>排出係数
[t-CO</t>
    </r>
    <r>
      <rPr>
        <vertAlign val="subscript"/>
        <sz val="10"/>
        <color theme="1"/>
        <rFont val="游明朝"/>
        <family val="1"/>
        <charset val="128"/>
      </rPr>
      <t>2</t>
    </r>
    <r>
      <rPr>
        <sz val="10"/>
        <color theme="1"/>
        <rFont val="游明朝"/>
        <family val="1"/>
        <charset val="128"/>
      </rPr>
      <t>/固有単位]</t>
    </r>
    <rPh sb="0" eb="2">
      <t>ハイシュツ</t>
    </rPh>
    <rPh sb="2" eb="4">
      <t>ケイスウ</t>
    </rPh>
    <rPh sb="12" eb="16">
      <t>コユウタンイ</t>
    </rPh>
    <phoneticPr fontId="5"/>
  </si>
  <si>
    <t>ごみ固形燃料（RDF）</t>
    <phoneticPr fontId="5"/>
  </si>
  <si>
    <t>非表示</t>
    <rPh sb="0" eb="3">
      <t>ヒヒョウジ</t>
    </rPh>
    <phoneticPr fontId="5"/>
  </si>
  <si>
    <t>単位_データ入力規則参照</t>
    <rPh sb="0" eb="2">
      <t>タンイ</t>
    </rPh>
    <rPh sb="6" eb="8">
      <t>ニュウリョク</t>
    </rPh>
    <rPh sb="8" eb="10">
      <t>キソク</t>
    </rPh>
    <rPh sb="10" eb="12">
      <t>サンショウ</t>
    </rPh>
    <phoneticPr fontId="5"/>
  </si>
  <si>
    <r>
      <t>t-CO</t>
    </r>
    <r>
      <rPr>
        <vertAlign val="subscript"/>
        <sz val="11"/>
        <color theme="1"/>
        <rFont val="游明朝"/>
        <family val="1"/>
        <charset val="128"/>
      </rPr>
      <t>2</t>
    </r>
    <r>
      <rPr>
        <sz val="11"/>
        <color theme="1"/>
        <rFont val="游明朝"/>
        <family val="1"/>
        <charset val="128"/>
      </rPr>
      <t>/t</t>
    </r>
    <phoneticPr fontId="6"/>
  </si>
  <si>
    <r>
      <t>t-CO</t>
    </r>
    <r>
      <rPr>
        <vertAlign val="subscript"/>
        <sz val="11"/>
        <color theme="1"/>
        <rFont val="游明朝"/>
        <family val="1"/>
        <charset val="128"/>
      </rPr>
      <t>2</t>
    </r>
    <r>
      <rPr>
        <sz val="11"/>
        <color theme="1"/>
        <rFont val="游明朝"/>
        <family val="1"/>
        <charset val="128"/>
      </rPr>
      <t>/kL</t>
    </r>
    <phoneticPr fontId="6"/>
  </si>
  <si>
    <t>使　用　量
（端数処理後）</t>
    <phoneticPr fontId="6"/>
  </si>
  <si>
    <t>熱量
[GJ]</t>
    <rPh sb="0" eb="2">
      <t>ネツリョウ</t>
    </rPh>
    <phoneticPr fontId="5"/>
  </si>
  <si>
    <r>
      <t>目標設定ガス以外のCO</t>
    </r>
    <r>
      <rPr>
        <vertAlign val="subscript"/>
        <sz val="11"/>
        <color indexed="8"/>
        <rFont val="游明朝"/>
        <family val="1"/>
        <charset val="128"/>
      </rPr>
      <t>2</t>
    </r>
    <r>
      <rPr>
        <sz val="11"/>
        <color indexed="8"/>
        <rFont val="游明朝"/>
        <family val="1"/>
        <charset val="128"/>
      </rPr>
      <t xml:space="preserve">
[t-CO</t>
    </r>
    <r>
      <rPr>
        <vertAlign val="subscript"/>
        <sz val="11"/>
        <color indexed="8"/>
        <rFont val="游明朝"/>
        <family val="1"/>
        <charset val="128"/>
      </rPr>
      <t>2</t>
    </r>
    <r>
      <rPr>
        <sz val="11"/>
        <color indexed="8"/>
        <rFont val="游明朝"/>
        <family val="1"/>
        <charset val="128"/>
      </rPr>
      <t>]</t>
    </r>
    <rPh sb="0" eb="4">
      <t>モクヒョウセッテイ</t>
    </rPh>
    <rPh sb="6" eb="8">
      <t>イガイ</t>
    </rPh>
    <phoneticPr fontId="5"/>
  </si>
  <si>
    <r>
      <t xml:space="preserve">排出係数
</t>
    </r>
    <r>
      <rPr>
        <sz val="10"/>
        <color theme="1"/>
        <rFont val="游明朝"/>
        <family val="1"/>
        <charset val="128"/>
      </rPr>
      <t>（その他の温室効果ガス欄は
地球温暖化係数）</t>
    </r>
    <rPh sb="8" eb="9">
      <t>タ</t>
    </rPh>
    <rPh sb="10" eb="12">
      <t>オンシツ</t>
    </rPh>
    <rPh sb="12" eb="14">
      <t>コウカ</t>
    </rPh>
    <rPh sb="16" eb="17">
      <t>ラン</t>
    </rPh>
    <rPh sb="19" eb="21">
      <t>チキュウ</t>
    </rPh>
    <rPh sb="21" eb="24">
      <t>オンダンカ</t>
    </rPh>
    <rPh sb="24" eb="26">
      <t>ケイスウ</t>
    </rPh>
    <phoneticPr fontId="6"/>
  </si>
  <si>
    <r>
      <t>t-CO</t>
    </r>
    <r>
      <rPr>
        <vertAlign val="subscript"/>
        <sz val="14"/>
        <color theme="1"/>
        <rFont val="游明朝"/>
        <family val="1"/>
        <charset val="128"/>
      </rPr>
      <t>2</t>
    </r>
    <phoneticPr fontId="5"/>
  </si>
  <si>
    <r>
      <t>t-CO</t>
    </r>
    <r>
      <rPr>
        <vertAlign val="subscript"/>
        <sz val="11"/>
        <color theme="1"/>
        <rFont val="游明朝"/>
        <family val="1"/>
        <charset val="128"/>
      </rPr>
      <t>2</t>
    </r>
    <r>
      <rPr>
        <sz val="11"/>
        <color theme="1"/>
        <rFont val="游明朝"/>
        <family val="1"/>
        <charset val="128"/>
      </rPr>
      <t>/千m</t>
    </r>
    <r>
      <rPr>
        <vertAlign val="superscript"/>
        <sz val="11"/>
        <color theme="1"/>
        <rFont val="游明朝"/>
        <family val="1"/>
        <charset val="128"/>
      </rPr>
      <t>3</t>
    </r>
    <rPh sb="6" eb="7">
      <t>セン</t>
    </rPh>
    <phoneticPr fontId="6"/>
  </si>
  <si>
    <r>
      <t>t-CO</t>
    </r>
    <r>
      <rPr>
        <vertAlign val="subscript"/>
        <sz val="11"/>
        <color theme="1"/>
        <rFont val="游明朝"/>
        <family val="1"/>
        <charset val="128"/>
      </rPr>
      <t>2</t>
    </r>
    <r>
      <rPr>
        <sz val="11"/>
        <color theme="1"/>
        <rFont val="游明朝"/>
        <family val="1"/>
        <charset val="128"/>
      </rPr>
      <t>/Nm</t>
    </r>
    <r>
      <rPr>
        <vertAlign val="superscript"/>
        <sz val="11"/>
        <color theme="1"/>
        <rFont val="游明朝"/>
        <family val="1"/>
        <charset val="128"/>
      </rPr>
      <t>3</t>
    </r>
    <phoneticPr fontId="6"/>
  </si>
  <si>
    <t>単位補正</t>
    <rPh sb="0" eb="2">
      <t>タンイ</t>
    </rPh>
    <rPh sb="2" eb="4">
      <t>ホセイ</t>
    </rPh>
    <phoneticPr fontId="5"/>
  </si>
  <si>
    <t>単位補正後使用量</t>
    <rPh sb="0" eb="2">
      <t>タンイ</t>
    </rPh>
    <rPh sb="2" eb="4">
      <t>ホセイ</t>
    </rPh>
    <rPh sb="4" eb="5">
      <t>アト</t>
    </rPh>
    <rPh sb="5" eb="8">
      <t>シヨウリョウ</t>
    </rPh>
    <phoneticPr fontId="6"/>
  </si>
  <si>
    <r>
      <t>t-CO</t>
    </r>
    <r>
      <rPr>
        <vertAlign val="subscript"/>
        <sz val="11"/>
        <color theme="1"/>
        <rFont val="游明朝"/>
        <family val="1"/>
        <charset val="128"/>
      </rPr>
      <t>2</t>
    </r>
    <r>
      <rPr>
        <sz val="11"/>
        <color theme="1"/>
        <rFont val="游明朝"/>
        <family val="1"/>
        <charset val="128"/>
      </rPr>
      <t>/t-CH</t>
    </r>
    <r>
      <rPr>
        <vertAlign val="subscript"/>
        <sz val="11"/>
        <color theme="1"/>
        <rFont val="游明朝"/>
        <family val="1"/>
        <charset val="128"/>
      </rPr>
      <t>4</t>
    </r>
    <phoneticPr fontId="6"/>
  </si>
  <si>
    <r>
      <t>t-CO</t>
    </r>
    <r>
      <rPr>
        <vertAlign val="subscript"/>
        <sz val="11"/>
        <color theme="1"/>
        <rFont val="游明朝"/>
        <family val="1"/>
        <charset val="128"/>
      </rPr>
      <t>2</t>
    </r>
    <r>
      <rPr>
        <sz val="11"/>
        <color theme="1"/>
        <rFont val="游明朝"/>
        <family val="1"/>
        <charset val="128"/>
      </rPr>
      <t>/t-N</t>
    </r>
    <r>
      <rPr>
        <vertAlign val="subscript"/>
        <sz val="11"/>
        <color theme="1"/>
        <rFont val="游明朝"/>
        <family val="1"/>
        <charset val="128"/>
      </rPr>
      <t>2</t>
    </r>
    <r>
      <rPr>
        <sz val="11"/>
        <color theme="1"/>
        <rFont val="游明朝"/>
        <family val="1"/>
        <charset val="128"/>
      </rPr>
      <t>O</t>
    </r>
    <phoneticPr fontId="6"/>
  </si>
  <si>
    <r>
      <t>t-CO</t>
    </r>
    <r>
      <rPr>
        <vertAlign val="subscript"/>
        <sz val="11"/>
        <color theme="1"/>
        <rFont val="游明朝"/>
        <family val="1"/>
        <charset val="128"/>
      </rPr>
      <t>2</t>
    </r>
    <r>
      <rPr>
        <sz val="11"/>
        <color theme="1"/>
        <rFont val="游明朝"/>
        <family val="1"/>
        <charset val="128"/>
      </rPr>
      <t>/t-SF</t>
    </r>
    <r>
      <rPr>
        <vertAlign val="subscript"/>
        <sz val="11"/>
        <color theme="1"/>
        <rFont val="游明朝"/>
        <family val="1"/>
        <charset val="128"/>
      </rPr>
      <t>6</t>
    </r>
    <phoneticPr fontId="6"/>
  </si>
  <si>
    <r>
      <t>t-CO</t>
    </r>
    <r>
      <rPr>
        <vertAlign val="subscript"/>
        <sz val="11"/>
        <color theme="1"/>
        <rFont val="游明朝"/>
        <family val="1"/>
        <charset val="128"/>
      </rPr>
      <t>2</t>
    </r>
    <r>
      <rPr>
        <sz val="11"/>
        <color theme="1"/>
        <rFont val="游明朝"/>
        <family val="1"/>
        <charset val="128"/>
      </rPr>
      <t>/t-NF</t>
    </r>
    <r>
      <rPr>
        <vertAlign val="subscript"/>
        <sz val="11"/>
        <color theme="1"/>
        <rFont val="游明朝"/>
        <family val="1"/>
        <charset val="128"/>
      </rPr>
      <t>3</t>
    </r>
    <phoneticPr fontId="6"/>
  </si>
  <si>
    <t>t</t>
    <phoneticPr fontId="5"/>
  </si>
  <si>
    <t>kL</t>
    <phoneticPr fontId="5"/>
  </si>
  <si>
    <t>非表示</t>
    <rPh sb="0" eb="3">
      <t>ヒヒョウジ</t>
    </rPh>
    <phoneticPr fontId="5"/>
  </si>
  <si>
    <r>
      <t>千m</t>
    </r>
    <r>
      <rPr>
        <vertAlign val="superscript"/>
        <sz val="11"/>
        <color theme="1"/>
        <rFont val="游明朝"/>
        <family val="1"/>
        <charset val="128"/>
      </rPr>
      <t>3</t>
    </r>
    <phoneticPr fontId="5"/>
  </si>
  <si>
    <r>
      <t>Nm</t>
    </r>
    <r>
      <rPr>
        <vertAlign val="superscript"/>
        <sz val="11"/>
        <color theme="1"/>
        <rFont val="游明朝"/>
        <family val="1"/>
        <charset val="128"/>
      </rPr>
      <t>3</t>
    </r>
    <phoneticPr fontId="5"/>
  </si>
  <si>
    <r>
      <t>t-SF</t>
    </r>
    <r>
      <rPr>
        <vertAlign val="subscript"/>
        <sz val="11"/>
        <color theme="1"/>
        <rFont val="游明朝"/>
        <family val="1"/>
        <charset val="128"/>
      </rPr>
      <t>6</t>
    </r>
    <phoneticPr fontId="5"/>
  </si>
  <si>
    <r>
      <t>t-NF</t>
    </r>
    <r>
      <rPr>
        <vertAlign val="subscript"/>
        <sz val="11"/>
        <color theme="1"/>
        <rFont val="游明朝"/>
        <family val="1"/>
        <charset val="128"/>
      </rPr>
      <t>3</t>
    </r>
    <phoneticPr fontId="5"/>
  </si>
  <si>
    <r>
      <t>t-CH</t>
    </r>
    <r>
      <rPr>
        <vertAlign val="subscript"/>
        <sz val="11"/>
        <color theme="1"/>
        <rFont val="游明朝"/>
        <family val="1"/>
        <charset val="128"/>
      </rPr>
      <t>4</t>
    </r>
    <phoneticPr fontId="5"/>
  </si>
  <si>
    <r>
      <t>t-N</t>
    </r>
    <r>
      <rPr>
        <vertAlign val="subscript"/>
        <sz val="11"/>
        <color theme="1"/>
        <rFont val="游明朝"/>
        <family val="1"/>
        <charset val="128"/>
      </rPr>
      <t>2</t>
    </r>
    <r>
      <rPr>
        <sz val="11"/>
        <color theme="1"/>
        <rFont val="游明朝"/>
        <family val="1"/>
        <charset val="128"/>
      </rPr>
      <t>O</t>
    </r>
    <phoneticPr fontId="5"/>
  </si>
  <si>
    <t>種類</t>
    <rPh sb="0" eb="2">
      <t>シュルイ</t>
    </rPh>
    <phoneticPr fontId="5"/>
  </si>
  <si>
    <t>再エネ種類選択</t>
    <rPh sb="0" eb="1">
      <t>サイ</t>
    </rPh>
    <rPh sb="3" eb="5">
      <t>シュルイ</t>
    </rPh>
    <rPh sb="5" eb="7">
      <t>センタク</t>
    </rPh>
    <phoneticPr fontId="5"/>
  </si>
  <si>
    <t>バイオマス種類選択</t>
    <rPh sb="5" eb="7">
      <t>シュルイ</t>
    </rPh>
    <rPh sb="7" eb="9">
      <t>センタク</t>
    </rPh>
    <phoneticPr fontId="5"/>
  </si>
  <si>
    <t>有</t>
    <rPh sb="0" eb="1">
      <t>アリ</t>
    </rPh>
    <phoneticPr fontId="5"/>
  </si>
  <si>
    <t>無</t>
    <rPh sb="0" eb="1">
      <t>ナ</t>
    </rPh>
    <phoneticPr fontId="5"/>
  </si>
  <si>
    <t>一次エネルギー換算係数</t>
    <rPh sb="0" eb="2">
      <t>イチジ</t>
    </rPh>
    <rPh sb="7" eb="11">
      <t>カンザンケイスウ</t>
    </rPh>
    <phoneticPr fontId="5"/>
  </si>
  <si>
    <t>一次エネルギー
換算係数
[GJ/固有単位]</t>
    <rPh sb="0" eb="2">
      <t>イチジ</t>
    </rPh>
    <rPh sb="8" eb="12">
      <t>カンザンケイスウ</t>
    </rPh>
    <phoneticPr fontId="5"/>
  </si>
  <si>
    <t>燃料
電気・熱_都市ガス</t>
    <rPh sb="0" eb="2">
      <t>ネンリョウ</t>
    </rPh>
    <phoneticPr fontId="5"/>
  </si>
  <si>
    <t>把握方法_事業所内</t>
    <rPh sb="0" eb="2">
      <t>ハアク</t>
    </rPh>
    <rPh sb="2" eb="4">
      <t>ホウホウ</t>
    </rPh>
    <rPh sb="5" eb="8">
      <t>ジギョウジョ</t>
    </rPh>
    <rPh sb="8" eb="9">
      <t>ウチ</t>
    </rPh>
    <phoneticPr fontId="5"/>
  </si>
  <si>
    <t>電気_仮想電力購入契約</t>
    <rPh sb="0" eb="2">
      <t>デンキ</t>
    </rPh>
    <rPh sb="3" eb="5">
      <t>カソウ</t>
    </rPh>
    <rPh sb="5" eb="7">
      <t>デンリョク</t>
    </rPh>
    <rPh sb="7" eb="9">
      <t>コウニュウ</t>
    </rPh>
    <rPh sb="9" eb="11">
      <t>ケイヤク</t>
    </rPh>
    <phoneticPr fontId="5"/>
  </si>
  <si>
    <t>環境価値_仮想電力契約</t>
    <rPh sb="0" eb="2">
      <t>カンキョウ</t>
    </rPh>
    <rPh sb="2" eb="4">
      <t>カチ</t>
    </rPh>
    <rPh sb="5" eb="7">
      <t>カソウ</t>
    </rPh>
    <rPh sb="7" eb="11">
      <t>デンリョクケイヤク</t>
    </rPh>
    <phoneticPr fontId="5"/>
  </si>
  <si>
    <t>環境価値の有無選択</t>
    <rPh sb="0" eb="4">
      <t>カンキョウカチ</t>
    </rPh>
    <rPh sb="5" eb="7">
      <t>ウム</t>
    </rPh>
    <rPh sb="7" eb="9">
      <t>センタク</t>
    </rPh>
    <phoneticPr fontId="5"/>
  </si>
  <si>
    <t>排出係数設定根拠_仮想電力契約購入の場合</t>
    <rPh sb="0" eb="2">
      <t>ハイシュツ</t>
    </rPh>
    <rPh sb="2" eb="4">
      <t>ケイスウ</t>
    </rPh>
    <rPh sb="4" eb="6">
      <t>セッテイ</t>
    </rPh>
    <rPh sb="6" eb="8">
      <t>コンキョ</t>
    </rPh>
    <rPh sb="9" eb="11">
      <t>カソウ</t>
    </rPh>
    <rPh sb="11" eb="15">
      <t>デンリョクケイヤク</t>
    </rPh>
    <rPh sb="15" eb="17">
      <t>コウニュウ</t>
    </rPh>
    <rPh sb="18" eb="20">
      <t>バアイ</t>
    </rPh>
    <phoneticPr fontId="5"/>
  </si>
  <si>
    <t>国代替値</t>
    <rPh sb="0" eb="1">
      <t>クニ</t>
    </rPh>
    <rPh sb="1" eb="4">
      <t>ダイタイチ</t>
    </rPh>
    <phoneticPr fontId="5"/>
  </si>
  <si>
    <t>目標設定ガスの算定対象外</t>
    <rPh sb="0" eb="4">
      <t>モクヒョウセッテイ</t>
    </rPh>
    <rPh sb="7" eb="9">
      <t>サンテイ</t>
    </rPh>
    <rPh sb="9" eb="12">
      <t>タイショウガイ</t>
    </rPh>
    <phoneticPr fontId="5"/>
  </si>
  <si>
    <t>排出係数設定根拠</t>
    <rPh sb="0" eb="2">
      <t>ハイシュツ</t>
    </rPh>
    <rPh sb="2" eb="4">
      <t>ケイスウ</t>
    </rPh>
    <rPh sb="4" eb="6">
      <t>セッテイ</t>
    </rPh>
    <rPh sb="6" eb="8">
      <t>コンキョ</t>
    </rPh>
    <phoneticPr fontId="5"/>
  </si>
  <si>
    <t>排出係数</t>
    <rPh sb="0" eb="2">
      <t>ハイシュツ</t>
    </rPh>
    <rPh sb="2" eb="4">
      <t>ケイスウ</t>
    </rPh>
    <phoneticPr fontId="5"/>
  </si>
  <si>
    <t>国代替値</t>
    <rPh sb="0" eb="4">
      <t>クニダイタイチ</t>
    </rPh>
    <phoneticPr fontId="5"/>
  </si>
  <si>
    <t>使用量
（年度計）
[記入単位]</t>
    <phoneticPr fontId="5"/>
  </si>
  <si>
    <t>使用量(年度計)
単位補正後</t>
    <rPh sb="0" eb="3">
      <t>シヨウリョウ</t>
    </rPh>
    <rPh sb="4" eb="6">
      <t>ネンド</t>
    </rPh>
    <rPh sb="6" eb="7">
      <t>ケイ</t>
    </rPh>
    <rPh sb="9" eb="11">
      <t>タンイ</t>
    </rPh>
    <rPh sb="11" eb="13">
      <t>ホセイ</t>
    </rPh>
    <rPh sb="13" eb="14">
      <t>アト</t>
    </rPh>
    <phoneticPr fontId="5"/>
  </si>
  <si>
    <r>
      <t>CO</t>
    </r>
    <r>
      <rPr>
        <vertAlign val="subscript"/>
        <sz val="11"/>
        <color theme="1"/>
        <rFont val="游明朝"/>
        <family val="1"/>
        <charset val="128"/>
      </rPr>
      <t>2</t>
    </r>
    <r>
      <rPr>
        <sz val="11"/>
        <color theme="1"/>
        <rFont val="游明朝"/>
        <family val="1"/>
        <charset val="128"/>
      </rPr>
      <t>排出量</t>
    </r>
    <rPh sb="3" eb="5">
      <t>ハイシュツ</t>
    </rPh>
    <rPh sb="5" eb="6">
      <t>リョウ</t>
    </rPh>
    <phoneticPr fontId="5"/>
  </si>
  <si>
    <t>正負</t>
    <rPh sb="0" eb="2">
      <t>セイフ</t>
    </rPh>
    <phoneticPr fontId="5"/>
  </si>
  <si>
    <t>②　事業所外から供給される再生可能エネルギー等により発電した電気及び発生させた熱</t>
    <rPh sb="2" eb="5">
      <t>ジギョウジョ</t>
    </rPh>
    <rPh sb="5" eb="6">
      <t>ガイ</t>
    </rPh>
    <rPh sb="13" eb="15">
      <t>サイセイ</t>
    </rPh>
    <rPh sb="15" eb="17">
      <t>カノウ</t>
    </rPh>
    <rPh sb="22" eb="23">
      <t>トウ</t>
    </rPh>
    <rPh sb="26" eb="28">
      <t>ハツデン</t>
    </rPh>
    <rPh sb="30" eb="32">
      <t>デンキ</t>
    </rPh>
    <rPh sb="32" eb="33">
      <t>オヨ</t>
    </rPh>
    <rPh sb="34" eb="36">
      <t>ハッセイ</t>
    </rPh>
    <rPh sb="39" eb="40">
      <t>ネツ</t>
    </rPh>
    <phoneticPr fontId="5"/>
  </si>
  <si>
    <t>①　事業所等で再生可能エネルギー等により発電した電気及び発生させた熱の自家消費</t>
    <rPh sb="2" eb="5">
      <t>ジギョウジョ</t>
    </rPh>
    <rPh sb="5" eb="6">
      <t>トウ</t>
    </rPh>
    <rPh sb="7" eb="9">
      <t>サイセイ</t>
    </rPh>
    <rPh sb="9" eb="11">
      <t>カノウ</t>
    </rPh>
    <rPh sb="16" eb="17">
      <t>トウ</t>
    </rPh>
    <rPh sb="20" eb="22">
      <t>ハツデン</t>
    </rPh>
    <rPh sb="24" eb="26">
      <t>デンキ</t>
    </rPh>
    <rPh sb="26" eb="27">
      <t>オヨ</t>
    </rPh>
    <rPh sb="28" eb="30">
      <t>ハッセイ</t>
    </rPh>
    <rPh sb="33" eb="34">
      <t>ネツ</t>
    </rPh>
    <rPh sb="35" eb="39">
      <t>ジカショウヒ</t>
    </rPh>
    <phoneticPr fontId="5"/>
  </si>
  <si>
    <t>②事業所外からの供給_排出活動の種類　</t>
    <phoneticPr fontId="5"/>
  </si>
  <si>
    <t>①自家消費_排出活動の種類</t>
    <phoneticPr fontId="5"/>
  </si>
  <si>
    <t>①事業所内_熱の使用_種類</t>
    <rPh sb="1" eb="4">
      <t>ジギョウジョ</t>
    </rPh>
    <rPh sb="4" eb="5">
      <t>ナイ</t>
    </rPh>
    <rPh sb="6" eb="7">
      <t>ネツ</t>
    </rPh>
    <rPh sb="8" eb="10">
      <t>シヨウ</t>
    </rPh>
    <rPh sb="11" eb="13">
      <t>シュルイ</t>
    </rPh>
    <phoneticPr fontId="5"/>
  </si>
  <si>
    <t>①事業所内_電気の使用_種類</t>
    <rPh sb="1" eb="4">
      <t>ジギョウジョ</t>
    </rPh>
    <rPh sb="4" eb="5">
      <t>ナイ</t>
    </rPh>
    <rPh sb="6" eb="8">
      <t>デンキ</t>
    </rPh>
    <rPh sb="9" eb="11">
      <t>シヨウ</t>
    </rPh>
    <rPh sb="12" eb="14">
      <t>シュルイ</t>
    </rPh>
    <phoneticPr fontId="5"/>
  </si>
  <si>
    <t>②事業所外_電気の使用_種類</t>
    <rPh sb="1" eb="4">
      <t>ジギョウジョ</t>
    </rPh>
    <rPh sb="4" eb="5">
      <t>ソト</t>
    </rPh>
    <rPh sb="6" eb="8">
      <t>デンキ</t>
    </rPh>
    <rPh sb="9" eb="11">
      <t>シヨウ</t>
    </rPh>
    <rPh sb="12" eb="14">
      <t>シュルイ</t>
    </rPh>
    <phoneticPr fontId="5"/>
  </si>
  <si>
    <t>②事業所外_熱の使用_種類</t>
    <rPh sb="1" eb="4">
      <t>ジギョウジョ</t>
    </rPh>
    <rPh sb="4" eb="5">
      <t>ソト</t>
    </rPh>
    <rPh sb="6" eb="7">
      <t>ネツ</t>
    </rPh>
    <rPh sb="8" eb="10">
      <t>シヨウ</t>
    </rPh>
    <rPh sb="11" eb="13">
      <t>シュルイ</t>
    </rPh>
    <phoneticPr fontId="5"/>
  </si>
  <si>
    <t>バイオマス燃料持続可能性</t>
    <rPh sb="5" eb="7">
      <t>ネンリョウ</t>
    </rPh>
    <rPh sb="7" eb="9">
      <t>ジゾク</t>
    </rPh>
    <rPh sb="9" eb="12">
      <t>カノウセイ</t>
    </rPh>
    <phoneticPr fontId="5"/>
  </si>
  <si>
    <t>排出係数設定根拠_バイオマス燃料_持続可能性無の場合</t>
    <rPh sb="0" eb="2">
      <t>ハイシュツ</t>
    </rPh>
    <rPh sb="2" eb="4">
      <t>ケイスウ</t>
    </rPh>
    <rPh sb="4" eb="6">
      <t>セッテイ</t>
    </rPh>
    <rPh sb="6" eb="8">
      <t>コンキョ</t>
    </rPh>
    <rPh sb="14" eb="16">
      <t>ネンリョウ</t>
    </rPh>
    <rPh sb="24" eb="26">
      <t>バアイ</t>
    </rPh>
    <phoneticPr fontId="5"/>
  </si>
  <si>
    <t>把握方法_事業所外</t>
    <rPh sb="0" eb="2">
      <t>ハアク</t>
    </rPh>
    <rPh sb="2" eb="4">
      <t>ホウホウ</t>
    </rPh>
    <rPh sb="5" eb="8">
      <t>ジギョウジョ</t>
    </rPh>
    <rPh sb="8" eb="9">
      <t>ガイ</t>
    </rPh>
    <phoneticPr fontId="5"/>
  </si>
  <si>
    <t>熱量実測値
対象再エネ</t>
    <rPh sb="0" eb="2">
      <t>ネツリョウ</t>
    </rPh>
    <rPh sb="2" eb="5">
      <t>ジッソクチ</t>
    </rPh>
    <rPh sb="6" eb="8">
      <t>タイショウ</t>
    </rPh>
    <rPh sb="8" eb="9">
      <t>サイ</t>
    </rPh>
    <phoneticPr fontId="5"/>
  </si>
  <si>
    <t>自家消費_事業所外利用の移動体への供給</t>
    <rPh sb="0" eb="4">
      <t>ジカショウヒ</t>
    </rPh>
    <phoneticPr fontId="6"/>
  </si>
  <si>
    <t>自家消費_工事のためのエネルギー使用</t>
    <rPh sb="0" eb="4">
      <t>ジカショウヒ</t>
    </rPh>
    <phoneticPr fontId="6"/>
  </si>
  <si>
    <t>自家消費_住宅用途への供給</t>
    <rPh sb="0" eb="4">
      <t>ジカショウヒ</t>
    </rPh>
    <phoneticPr fontId="6"/>
  </si>
  <si>
    <t>自家消費_他事業所への燃料等の直接供給</t>
    <rPh sb="0" eb="4">
      <t>ジカショウヒ</t>
    </rPh>
    <phoneticPr fontId="6"/>
  </si>
  <si>
    <t>自家消費以外_事業所外利用の移動体への供給</t>
    <rPh sb="0" eb="4">
      <t>ジカショウヒ</t>
    </rPh>
    <rPh sb="4" eb="6">
      <t>イガイ</t>
    </rPh>
    <phoneticPr fontId="6"/>
  </si>
  <si>
    <t>自家消費以外_住宅用途への供給</t>
    <phoneticPr fontId="6"/>
  </si>
  <si>
    <t>自家消費以外_他事業所への燃料等の直接供給</t>
    <phoneticPr fontId="6"/>
  </si>
  <si>
    <t>③自家消費_種類</t>
    <rPh sb="1" eb="5">
      <t>ジカショウヒ</t>
    </rPh>
    <rPh sb="6" eb="8">
      <t>シュルイ</t>
    </rPh>
    <phoneticPr fontId="5"/>
  </si>
  <si>
    <t>③自家消費以外（事業所外からの供給)_種類</t>
    <rPh sb="1" eb="7">
      <t>ジカショウヒイガイ</t>
    </rPh>
    <rPh sb="8" eb="12">
      <t>ジギョウジョソト</t>
    </rPh>
    <rPh sb="15" eb="17">
      <t>キョウキュウ</t>
    </rPh>
    <rPh sb="19" eb="21">
      <t>シュルイ</t>
    </rPh>
    <phoneticPr fontId="5"/>
  </si>
  <si>
    <t>自家消費以外_工事のためのエネルギー使用</t>
    <phoneticPr fontId="6"/>
  </si>
  <si>
    <t>再エネ電気・熱</t>
    <rPh sb="0" eb="1">
      <t>サイ</t>
    </rPh>
    <rPh sb="3" eb="5">
      <t>デンキ</t>
    </rPh>
    <rPh sb="6" eb="7">
      <t>ネツ</t>
    </rPh>
    <phoneticPr fontId="5"/>
  </si>
  <si>
    <t>自家消費</t>
    <rPh sb="0" eb="4">
      <t>ジカショウヒ</t>
    </rPh>
    <phoneticPr fontId="5"/>
  </si>
  <si>
    <t>熱</t>
    <rPh sb="0" eb="1">
      <t>ネツ</t>
    </rPh>
    <phoneticPr fontId="5"/>
  </si>
  <si>
    <t>環境価値</t>
    <rPh sb="0" eb="2">
      <t>カンキョウ</t>
    </rPh>
    <rPh sb="2" eb="4">
      <t>カチ</t>
    </rPh>
    <phoneticPr fontId="5"/>
  </si>
  <si>
    <t>区分</t>
    <rPh sb="0" eb="2">
      <t>クブン</t>
    </rPh>
    <phoneticPr fontId="5"/>
  </si>
  <si>
    <t>自家消費</t>
    <rPh sb="0" eb="4">
      <t>ジカショウヒ</t>
    </rPh>
    <phoneticPr fontId="5"/>
  </si>
  <si>
    <t>自家消費以外</t>
    <rPh sb="0" eb="4">
      <t>ジカショウヒ</t>
    </rPh>
    <rPh sb="4" eb="6">
      <t>イガイ</t>
    </rPh>
    <phoneticPr fontId="5"/>
  </si>
  <si>
    <t>電気</t>
    <rPh sb="0" eb="2">
      <t>デンキ</t>
    </rPh>
    <phoneticPr fontId="5"/>
  </si>
  <si>
    <t>バイオマス
持続可能性</t>
    <rPh sb="6" eb="8">
      <t>ジゾク</t>
    </rPh>
    <rPh sb="8" eb="11">
      <t>カノウセイ</t>
    </rPh>
    <phoneticPr fontId="5"/>
  </si>
  <si>
    <t>自家消費以外_仮想電力購入契約</t>
    <rPh sb="0" eb="4">
      <t>ジカショウヒ</t>
    </rPh>
    <rPh sb="4" eb="6">
      <t>イガイ</t>
    </rPh>
    <rPh sb="7" eb="9">
      <t>カソウ</t>
    </rPh>
    <rPh sb="9" eb="15">
      <t>デンリョクコウニュウケイヤク</t>
    </rPh>
    <phoneticPr fontId="5"/>
  </si>
  <si>
    <t>区分</t>
    <rPh sb="0" eb="2">
      <t>クブン</t>
    </rPh>
    <phoneticPr fontId="5"/>
  </si>
  <si>
    <t>環境価値</t>
    <rPh sb="0" eb="2">
      <t>カンキョウ</t>
    </rPh>
    <rPh sb="2" eb="4">
      <t>カチ</t>
    </rPh>
    <phoneticPr fontId="5"/>
  </si>
  <si>
    <t>自家消費</t>
    <rPh sb="0" eb="2">
      <t>ジカ</t>
    </rPh>
    <rPh sb="2" eb="4">
      <t>ショウヒ</t>
    </rPh>
    <phoneticPr fontId="5"/>
  </si>
  <si>
    <t>バイオマス持続可能性</t>
    <rPh sb="5" eb="7">
      <t>ジゾク</t>
    </rPh>
    <rPh sb="7" eb="10">
      <t>カノウセイ</t>
    </rPh>
    <phoneticPr fontId="5"/>
  </si>
  <si>
    <t>森林吸収量_埼玉県森林CO2吸収量認証制度</t>
    <rPh sb="0" eb="5">
      <t>シンリンキュウシュウリョウ</t>
    </rPh>
    <phoneticPr fontId="5"/>
  </si>
  <si>
    <t>森林吸収量_Jクレジット制度</t>
    <rPh sb="0" eb="5">
      <t>シンリンキュウシュウリョウ</t>
    </rPh>
    <rPh sb="12" eb="14">
      <t>セイド</t>
    </rPh>
    <phoneticPr fontId="5"/>
  </si>
  <si>
    <t>森林吸収量</t>
    <rPh sb="0" eb="5">
      <t>シンリンキュウシュウリョウ</t>
    </rPh>
    <phoneticPr fontId="5"/>
  </si>
  <si>
    <t>非FIT非化石証書_再生可能エネルギー指定</t>
  </si>
  <si>
    <t>単位</t>
    <rPh sb="0" eb="2">
      <t>タンイ</t>
    </rPh>
    <phoneticPr fontId="5"/>
  </si>
  <si>
    <t>区分</t>
    <rPh sb="0" eb="2">
      <t>クブン</t>
    </rPh>
    <phoneticPr fontId="5"/>
  </si>
  <si>
    <t>全国平均係数</t>
    <rPh sb="0" eb="2">
      <t>ゼンコク</t>
    </rPh>
    <rPh sb="2" eb="4">
      <t>ヘイキン</t>
    </rPh>
    <rPh sb="4" eb="6">
      <t>ケイスウ</t>
    </rPh>
    <phoneticPr fontId="5"/>
  </si>
  <si>
    <t>排出係数</t>
    <rPh sb="0" eb="2">
      <t>ハイシュツ</t>
    </rPh>
    <rPh sb="2" eb="4">
      <t>ケイスウ</t>
    </rPh>
    <phoneticPr fontId="5"/>
  </si>
  <si>
    <t>単位補正</t>
    <rPh sb="0" eb="2">
      <t>タンイ</t>
    </rPh>
    <rPh sb="2" eb="4">
      <t>ホセイ</t>
    </rPh>
    <phoneticPr fontId="5"/>
  </si>
  <si>
    <t>保有量
単位補正値</t>
    <rPh sb="0" eb="3">
      <t>ホユウリョウ</t>
    </rPh>
    <rPh sb="4" eb="9">
      <t>タンイホセイチ</t>
    </rPh>
    <phoneticPr fontId="5"/>
  </si>
  <si>
    <t>削減量</t>
    <rPh sb="0" eb="3">
      <t>サクゲンリョウ</t>
    </rPh>
    <phoneticPr fontId="5"/>
  </si>
  <si>
    <t>証書_森林吸収量</t>
    <rPh sb="0" eb="2">
      <t>ショウショ</t>
    </rPh>
    <rPh sb="3" eb="8">
      <t>シンリンキュウシュウリョウ</t>
    </rPh>
    <phoneticPr fontId="5"/>
  </si>
  <si>
    <t>第4まとめ表</t>
    <rPh sb="0" eb="1">
      <t>ダイ</t>
    </rPh>
    <rPh sb="5" eb="6">
      <t>ヒョウ</t>
    </rPh>
    <phoneticPr fontId="5"/>
  </si>
  <si>
    <t>第3まとめ表</t>
    <rPh sb="0" eb="1">
      <t>ダイ</t>
    </rPh>
    <rPh sb="5" eb="6">
      <t>ヒョウ</t>
    </rPh>
    <phoneticPr fontId="5"/>
  </si>
  <si>
    <t>第4
まとめ表</t>
    <rPh sb="0" eb="1">
      <t>ダイ</t>
    </rPh>
    <rPh sb="6" eb="7">
      <t>ヒョウ</t>
    </rPh>
    <phoneticPr fontId="5"/>
  </si>
  <si>
    <t>第3
まとめ表</t>
    <rPh sb="0" eb="1">
      <t>ダイ</t>
    </rPh>
    <rPh sb="6" eb="7">
      <t>ヒョウ</t>
    </rPh>
    <phoneticPr fontId="5"/>
  </si>
  <si>
    <t>証書等</t>
    <rPh sb="0" eb="2">
      <t>ショウショ</t>
    </rPh>
    <rPh sb="2" eb="3">
      <t>トウ</t>
    </rPh>
    <phoneticPr fontId="5"/>
  </si>
  <si>
    <t>日本産業規格Ａ列４番</t>
    <phoneticPr fontId="5"/>
  </si>
  <si>
    <t>東京電力エナジーパートナー(株)</t>
    <phoneticPr fontId="5"/>
  </si>
  <si>
    <t>メニューU</t>
    <phoneticPr fontId="5"/>
  </si>
  <si>
    <t>メニューV</t>
    <phoneticPr fontId="5"/>
  </si>
  <si>
    <t>メニューW</t>
    <phoneticPr fontId="5"/>
  </si>
  <si>
    <t>メニューX</t>
    <phoneticPr fontId="5"/>
  </si>
  <si>
    <t>メニューY</t>
    <phoneticPr fontId="5"/>
  </si>
  <si>
    <t>メニューZ</t>
    <phoneticPr fontId="5"/>
  </si>
  <si>
    <t>メニューD</t>
    <phoneticPr fontId="5"/>
  </si>
  <si>
    <t>メニューE</t>
    <phoneticPr fontId="5"/>
  </si>
  <si>
    <t>報告対象の再生可能
エネルギーかどうか</t>
    <rPh sb="0" eb="2">
      <t>ホウコク</t>
    </rPh>
    <rPh sb="2" eb="4">
      <t>タイショウ</t>
    </rPh>
    <rPh sb="5" eb="9">
      <t>サイセイカノウ</t>
    </rPh>
    <phoneticPr fontId="5"/>
  </si>
  <si>
    <t>(バイオマス燃料の持続可能性の有無）</t>
    <rPh sb="6" eb="8">
      <t>ネンリョウ</t>
    </rPh>
    <rPh sb="9" eb="11">
      <t>ジゾク</t>
    </rPh>
    <rPh sb="11" eb="14">
      <t>カノウセイ</t>
    </rPh>
    <rPh sb="15" eb="17">
      <t>ウム</t>
    </rPh>
    <phoneticPr fontId="5"/>
  </si>
  <si>
    <t>(参考値)事業者全体</t>
  </si>
  <si>
    <t>環境価値_バイオマス持続可能性無</t>
    <rPh sb="0" eb="2">
      <t>カンキョウ</t>
    </rPh>
    <rPh sb="2" eb="4">
      <t>カチ</t>
    </rPh>
    <rPh sb="10" eb="12">
      <t>ジゾク</t>
    </rPh>
    <rPh sb="12" eb="15">
      <t>カノウセイ</t>
    </rPh>
    <rPh sb="15" eb="16">
      <t>ナ</t>
    </rPh>
    <phoneticPr fontId="5"/>
  </si>
  <si>
    <r>
      <t>証書等による削減量
t-CO</t>
    </r>
    <r>
      <rPr>
        <vertAlign val="subscript"/>
        <sz val="11"/>
        <color theme="1"/>
        <rFont val="游明朝"/>
        <family val="1"/>
        <charset val="128"/>
      </rPr>
      <t>2</t>
    </r>
    <rPh sb="0" eb="2">
      <t>ショウショ</t>
    </rPh>
    <rPh sb="2" eb="3">
      <t>トウ</t>
    </rPh>
    <rPh sb="6" eb="9">
      <t>サクゲンリョウ</t>
    </rPh>
    <phoneticPr fontId="5"/>
  </si>
  <si>
    <t>電気あるいは熱の使用量がある場合のみ対象の証書を選択可</t>
    <rPh sb="0" eb="2">
      <t>デンキ</t>
    </rPh>
    <rPh sb="6" eb="7">
      <t>ネツ</t>
    </rPh>
    <rPh sb="8" eb="11">
      <t>シヨウリョウ</t>
    </rPh>
    <rPh sb="14" eb="16">
      <t>バアイ</t>
    </rPh>
    <rPh sb="18" eb="20">
      <t>タイショウ</t>
    </rPh>
    <rPh sb="21" eb="23">
      <t>ショウショ</t>
    </rPh>
    <rPh sb="24" eb="26">
      <t>センタク</t>
    </rPh>
    <rPh sb="26" eb="27">
      <t>カ</t>
    </rPh>
    <phoneticPr fontId="5"/>
  </si>
  <si>
    <t>種類_熱なし</t>
    <rPh sb="0" eb="2">
      <t>シュルイ</t>
    </rPh>
    <rPh sb="3" eb="4">
      <t>ネツ</t>
    </rPh>
    <phoneticPr fontId="5"/>
  </si>
  <si>
    <t>種類_電気なし</t>
    <rPh sb="0" eb="2">
      <t>シュルイ</t>
    </rPh>
    <rPh sb="3" eb="5">
      <t>デンキ</t>
    </rPh>
    <phoneticPr fontId="5"/>
  </si>
  <si>
    <t>種類_森林吸収量のみ</t>
    <rPh sb="0" eb="2">
      <t>シュルイ</t>
    </rPh>
    <rPh sb="3" eb="7">
      <t>シンリンキュウシュウ</t>
    </rPh>
    <rPh sb="7" eb="8">
      <t>リョウ</t>
    </rPh>
    <phoneticPr fontId="5"/>
  </si>
  <si>
    <t>燃料等の種類</t>
    <rPh sb="0" eb="2">
      <t>ネンリョウ</t>
    </rPh>
    <rPh sb="2" eb="3">
      <t>トウ</t>
    </rPh>
    <rPh sb="4" eb="6">
      <t>シュルイ</t>
    </rPh>
    <phoneticPr fontId="6"/>
  </si>
  <si>
    <t>設置、開栓等年月日、撤去、閉栓等年月日</t>
    <rPh sb="0" eb="2">
      <t>セッチ</t>
    </rPh>
    <rPh sb="3" eb="5">
      <t>カイセン</t>
    </rPh>
    <rPh sb="5" eb="6">
      <t>トウ</t>
    </rPh>
    <rPh sb="6" eb="9">
      <t>ネンガッピ</t>
    </rPh>
    <rPh sb="10" eb="12">
      <t>テッキョ</t>
    </rPh>
    <rPh sb="13" eb="15">
      <t>ヘイセン</t>
    </rPh>
    <rPh sb="15" eb="16">
      <t>トウ</t>
    </rPh>
    <rPh sb="16" eb="19">
      <t>ネンガッピ</t>
    </rPh>
    <phoneticPr fontId="5"/>
  </si>
  <si>
    <t>４月末</t>
    <rPh sb="1" eb="2">
      <t>ガツ</t>
    </rPh>
    <rPh sb="2" eb="3">
      <t>マツ</t>
    </rPh>
    <phoneticPr fontId="6"/>
  </si>
  <si>
    <t>５月末</t>
    <rPh sb="1" eb="2">
      <t>ガツ</t>
    </rPh>
    <rPh sb="2" eb="3">
      <t>マツ</t>
    </rPh>
    <phoneticPr fontId="6"/>
  </si>
  <si>
    <t>６月末</t>
    <rPh sb="1" eb="2">
      <t>ガツ</t>
    </rPh>
    <rPh sb="2" eb="3">
      <t>マツ</t>
    </rPh>
    <phoneticPr fontId="6"/>
  </si>
  <si>
    <t>７月末</t>
    <rPh sb="1" eb="2">
      <t>ガツ</t>
    </rPh>
    <rPh sb="2" eb="3">
      <t>マツ</t>
    </rPh>
    <phoneticPr fontId="6"/>
  </si>
  <si>
    <t>８月末</t>
    <rPh sb="1" eb="2">
      <t>ガツ</t>
    </rPh>
    <rPh sb="2" eb="3">
      <t>マツ</t>
    </rPh>
    <phoneticPr fontId="6"/>
  </si>
  <si>
    <t>９月末</t>
    <rPh sb="1" eb="2">
      <t>ガツ</t>
    </rPh>
    <rPh sb="2" eb="3">
      <t>マツ</t>
    </rPh>
    <phoneticPr fontId="6"/>
  </si>
  <si>
    <t>床面積</t>
    <rPh sb="0" eb="3">
      <t>ユカメンセキ</t>
    </rPh>
    <phoneticPr fontId="6"/>
  </si>
  <si>
    <t>１０月末</t>
    <rPh sb="2" eb="3">
      <t>ガツ</t>
    </rPh>
    <rPh sb="3" eb="4">
      <t>マツ</t>
    </rPh>
    <phoneticPr fontId="6"/>
  </si>
  <si>
    <t>１１月末</t>
    <rPh sb="2" eb="3">
      <t>ガツ</t>
    </rPh>
    <rPh sb="3" eb="4">
      <t>マツ</t>
    </rPh>
    <phoneticPr fontId="6"/>
  </si>
  <si>
    <t>１２月末</t>
    <rPh sb="2" eb="3">
      <t>ガツ</t>
    </rPh>
    <rPh sb="3" eb="4">
      <t>マツ</t>
    </rPh>
    <phoneticPr fontId="6"/>
  </si>
  <si>
    <t>１月末</t>
    <rPh sb="1" eb="2">
      <t>ガツ</t>
    </rPh>
    <rPh sb="2" eb="3">
      <t>マツ</t>
    </rPh>
    <phoneticPr fontId="6"/>
  </si>
  <si>
    <t>２月末</t>
    <rPh sb="1" eb="2">
      <t>ガツ</t>
    </rPh>
    <rPh sb="2" eb="3">
      <t>マツ</t>
    </rPh>
    <phoneticPr fontId="6"/>
  </si>
  <si>
    <t>３月末</t>
    <rPh sb="1" eb="2">
      <t>ガツ</t>
    </rPh>
    <rPh sb="2" eb="3">
      <t>マツ</t>
    </rPh>
    <phoneticPr fontId="6"/>
  </si>
  <si>
    <r>
      <t>単位発熱量
[MJ/Nm</t>
    </r>
    <r>
      <rPr>
        <vertAlign val="superscript"/>
        <sz val="10"/>
        <color theme="1"/>
        <rFont val="游明朝"/>
        <family val="1"/>
        <charset val="128"/>
      </rPr>
      <t>3</t>
    </r>
    <r>
      <rPr>
        <sz val="10"/>
        <color theme="1"/>
        <rFont val="游明朝"/>
        <family val="1"/>
        <charset val="128"/>
      </rPr>
      <t>]</t>
    </r>
    <rPh sb="0" eb="2">
      <t>タンイ</t>
    </rPh>
    <rPh sb="2" eb="5">
      <t>ハツネツリョウ</t>
    </rPh>
    <phoneticPr fontId="5"/>
  </si>
  <si>
    <t>バイオディーゼル</t>
    <phoneticPr fontId="5"/>
  </si>
  <si>
    <t>電気_「オンサイト型PPA、自家発電、非燃料由来の非化石電気」以外からの買電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</si>
  <si>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供給会社等
選択または入力可能</t>
    <rPh sb="0" eb="4">
      <t>キョウキュウカイシャ</t>
    </rPh>
    <rPh sb="4" eb="5">
      <t>トウ</t>
    </rPh>
    <rPh sb="6" eb="8">
      <t>センタク</t>
    </rPh>
    <rPh sb="11" eb="15">
      <t>ニュウリョクカノウ</t>
    </rPh>
    <phoneticPr fontId="5"/>
  </si>
  <si>
    <t>５－3　再生可能エネルギー由来の電気・熱の使用量</t>
    <rPh sb="13" eb="15">
      <t>ユライ</t>
    </rPh>
    <phoneticPr fontId="6"/>
  </si>
  <si>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</si>
  <si>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乗率_排出量</t>
    <rPh sb="0" eb="2">
      <t>ジョウリツ</t>
    </rPh>
    <rPh sb="3" eb="6">
      <t>ハイシュツリョウ</t>
    </rPh>
    <phoneticPr fontId="5"/>
  </si>
  <si>
    <t>乗率_除外する排出量</t>
    <rPh sb="0" eb="2">
      <t>ジョウリツ</t>
    </rPh>
    <rPh sb="3" eb="5">
      <t>ジョガイ</t>
    </rPh>
    <rPh sb="7" eb="10">
      <t>ハイシュツリョウ</t>
    </rPh>
    <phoneticPr fontId="5"/>
  </si>
  <si>
    <t>乗率選択</t>
    <rPh sb="0" eb="2">
      <t>ジョウリツ</t>
    </rPh>
    <rPh sb="2" eb="4">
      <t>センタク</t>
    </rPh>
    <phoneticPr fontId="5"/>
  </si>
  <si>
    <t>← 監視点を設置、開栓、撤去、閉栓等した場合はその年月を備考欄に 記入 してください</t>
    <rPh sb="6" eb="8">
      <t>セッチ</t>
    </rPh>
    <rPh sb="9" eb="11">
      <t>カイセン</t>
    </rPh>
    <phoneticPr fontId="6"/>
  </si>
  <si>
    <t>　　※　第3削減計画期間以前に撤去・閉栓等があった監視点は記載しないこと。</t>
    <rPh sb="10" eb="12">
      <t>キカン</t>
    </rPh>
    <phoneticPr fontId="5"/>
  </si>
  <si>
    <t>B,C事業所算定資料３（続き）</t>
    <rPh sb="3" eb="6">
      <t>ジギョウショ</t>
    </rPh>
    <rPh sb="6" eb="8">
      <t>サンテイ</t>
    </rPh>
    <rPh sb="8" eb="10">
      <t>シリョウ</t>
    </rPh>
    <rPh sb="12" eb="13">
      <t>ツヅ</t>
    </rPh>
    <phoneticPr fontId="6"/>
  </si>
  <si>
    <t>ID_FUEL</t>
    <phoneticPr fontId="5"/>
  </si>
  <si>
    <t>SUPPLIER</t>
    <phoneticPr fontId="5"/>
  </si>
  <si>
    <t>MENU</t>
    <phoneticPr fontId="5"/>
  </si>
  <si>
    <t>CALORIFIC_VALUE</t>
    <phoneticPr fontId="5"/>
  </si>
  <si>
    <t>CALORIFIC_VALUE2</t>
    <phoneticPr fontId="5"/>
  </si>
  <si>
    <t>EF_BASIS</t>
    <phoneticPr fontId="5"/>
  </si>
  <si>
    <t>EMISSION_FACTOR</t>
    <phoneticPr fontId="5"/>
  </si>
  <si>
    <t>AMOUNT</t>
    <phoneticPr fontId="5"/>
  </si>
  <si>
    <t>COEFFICIENTS</t>
    <phoneticPr fontId="5"/>
  </si>
  <si>
    <t>補正係数</t>
    <rPh sb="0" eb="2">
      <t>ホセイ</t>
    </rPh>
    <rPh sb="2" eb="4">
      <t>ケイスウ</t>
    </rPh>
    <phoneticPr fontId="5"/>
  </si>
  <si>
    <t>ID_RENEWENERGY_TYPE_CALC</t>
  </si>
  <si>
    <t>ID_RENEWENERGY_TYPE_CALC</t>
    <phoneticPr fontId="5"/>
  </si>
  <si>
    <t>ID_BIOMASS_FUEL_TYPE</t>
  </si>
  <si>
    <t>ID_BIOMASS_FUEL_TYPE</t>
    <phoneticPr fontId="5"/>
  </si>
  <si>
    <t>バイオマス</t>
  </si>
  <si>
    <t>排出係数
数式or値チェック</t>
    <rPh sb="0" eb="2">
      <t>ハイシュツ</t>
    </rPh>
    <rPh sb="2" eb="4">
      <t>ケイスウ</t>
    </rPh>
    <rPh sb="5" eb="7">
      <t>スウシキ</t>
    </rPh>
    <rPh sb="9" eb="10">
      <t>アタイ</t>
    </rPh>
    <phoneticPr fontId="5"/>
  </si>
  <si>
    <t>排出係数　数式or値チェック</t>
    <rPh sb="0" eb="2">
      <t>ハイシュツ</t>
    </rPh>
    <rPh sb="2" eb="4">
      <t>ケイスウ</t>
    </rPh>
    <rPh sb="5" eb="7">
      <t>スウシキ</t>
    </rPh>
    <rPh sb="9" eb="10">
      <t>アタイ</t>
    </rPh>
    <phoneticPr fontId="5"/>
  </si>
  <si>
    <t>保守的
算定
（乗率）</t>
    <rPh sb="0" eb="3">
      <t>ホシュテキ</t>
    </rPh>
    <rPh sb="4" eb="6">
      <t>サンテイ</t>
    </rPh>
    <rPh sb="8" eb="9">
      <t>ジョウ</t>
    </rPh>
    <rPh sb="9" eb="10">
      <t>リツ</t>
    </rPh>
    <phoneticPr fontId="5"/>
  </si>
  <si>
    <t>保守的算定
（乗率）</t>
    <rPh sb="0" eb="3">
      <t>ホシュテキ</t>
    </rPh>
    <rPh sb="3" eb="5">
      <t>サンテイ</t>
    </rPh>
    <rPh sb="7" eb="8">
      <t>ジョウ</t>
    </rPh>
    <rPh sb="8" eb="9">
      <t>リツ</t>
    </rPh>
    <phoneticPr fontId="5"/>
  </si>
  <si>
    <t>使用量
(年度計) 
[記入単位]</t>
    <rPh sb="0" eb="3">
      <t>シヨウリョウ</t>
    </rPh>
    <rPh sb="5" eb="7">
      <t>ネンド</t>
    </rPh>
    <rPh sb="7" eb="8">
      <t>ケイ</t>
    </rPh>
    <rPh sb="12" eb="14">
      <t>キニュウ</t>
    </rPh>
    <rPh sb="14" eb="16">
      <t>タンイ</t>
    </rPh>
    <phoneticPr fontId="5"/>
  </si>
  <si>
    <t>都市ガス発熱量数式or数値</t>
    <rPh sb="0" eb="2">
      <t>トシ</t>
    </rPh>
    <rPh sb="4" eb="7">
      <t>ハツネツリョウ</t>
    </rPh>
    <rPh sb="7" eb="9">
      <t>スウシキ</t>
    </rPh>
    <rPh sb="11" eb="13">
      <t>スウチ</t>
    </rPh>
    <phoneticPr fontId="5"/>
  </si>
  <si>
    <t>削減量数式or数値</t>
    <rPh sb="0" eb="3">
      <t>サクゲンリョウ</t>
    </rPh>
    <rPh sb="3" eb="5">
      <t>スウシキ</t>
    </rPh>
    <rPh sb="7" eb="9">
      <t>スウチ</t>
    </rPh>
    <phoneticPr fontId="5"/>
  </si>
  <si>
    <t>システム読取用</t>
    <rPh sb="4" eb="6">
      <t>ヨミトリ</t>
    </rPh>
    <rPh sb="6" eb="7">
      <t>ヨウ</t>
    </rPh>
    <phoneticPr fontId="5"/>
  </si>
  <si>
    <t>使用量
(端数処理前）</t>
    <rPh sb="0" eb="3">
      <t>シヨウリョウ</t>
    </rPh>
    <rPh sb="5" eb="7">
      <t>ハスウ</t>
    </rPh>
    <rPh sb="7" eb="9">
      <t>ショリ</t>
    </rPh>
    <rPh sb="9" eb="10">
      <t>マエ</t>
    </rPh>
    <phoneticPr fontId="5"/>
  </si>
  <si>
    <t>　　※　監視点番号は第3削減計画期間に使用していた番号を継続してください。</t>
    <phoneticPr fontId="5"/>
  </si>
  <si>
    <t>六ふっ化硫黄</t>
    <rPh sb="0" eb="1">
      <t>ロク</t>
    </rPh>
    <rPh sb="3" eb="4">
      <t>カ</t>
    </rPh>
    <rPh sb="4" eb="6">
      <t>イオウ</t>
    </rPh>
    <phoneticPr fontId="6"/>
  </si>
  <si>
    <t>※</t>
    <phoneticPr fontId="5"/>
  </si>
  <si>
    <t>A0269</t>
    <phoneticPr fontId="5"/>
  </si>
  <si>
    <t>A0003</t>
    <phoneticPr fontId="5"/>
  </si>
  <si>
    <t>A0004</t>
    <phoneticPr fontId="5"/>
  </si>
  <si>
    <t>A0006</t>
    <phoneticPr fontId="5"/>
  </si>
  <si>
    <t>A0007</t>
    <phoneticPr fontId="5"/>
  </si>
  <si>
    <t>A0008</t>
    <phoneticPr fontId="5"/>
  </si>
  <si>
    <t>A0009</t>
    <phoneticPr fontId="5"/>
  </si>
  <si>
    <t>A0011</t>
    <phoneticPr fontId="5"/>
  </si>
  <si>
    <t>A0012</t>
    <phoneticPr fontId="5"/>
  </si>
  <si>
    <t>A0013</t>
    <phoneticPr fontId="5"/>
  </si>
  <si>
    <t>A0014</t>
    <phoneticPr fontId="5"/>
  </si>
  <si>
    <t>A0015</t>
    <phoneticPr fontId="5"/>
  </si>
  <si>
    <t>A0016</t>
    <phoneticPr fontId="5"/>
  </si>
  <si>
    <t>A0017</t>
    <phoneticPr fontId="5"/>
  </si>
  <si>
    <t>A0018</t>
    <phoneticPr fontId="5"/>
  </si>
  <si>
    <t>A0019</t>
    <phoneticPr fontId="5"/>
  </si>
  <si>
    <t>A0021</t>
    <phoneticPr fontId="5"/>
  </si>
  <si>
    <t>A0023</t>
    <phoneticPr fontId="5"/>
  </si>
  <si>
    <t>A0024</t>
    <phoneticPr fontId="5"/>
  </si>
  <si>
    <t>A0025</t>
    <phoneticPr fontId="5"/>
  </si>
  <si>
    <t>A0026</t>
    <phoneticPr fontId="5"/>
  </si>
  <si>
    <t>A0027</t>
    <phoneticPr fontId="5"/>
  </si>
  <si>
    <t>A0031</t>
    <phoneticPr fontId="5"/>
  </si>
  <si>
    <t>A0032</t>
    <phoneticPr fontId="5"/>
  </si>
  <si>
    <t>A0034</t>
    <phoneticPr fontId="5"/>
  </si>
  <si>
    <t>A0035</t>
    <phoneticPr fontId="5"/>
  </si>
  <si>
    <t>A0036</t>
    <phoneticPr fontId="5"/>
  </si>
  <si>
    <t>A0039</t>
    <phoneticPr fontId="5"/>
  </si>
  <si>
    <t>A0040</t>
    <phoneticPr fontId="5"/>
  </si>
  <si>
    <t>A0042</t>
    <phoneticPr fontId="5"/>
  </si>
  <si>
    <t>A0043</t>
    <phoneticPr fontId="5"/>
  </si>
  <si>
    <t>A0045</t>
    <phoneticPr fontId="5"/>
  </si>
  <si>
    <t>A0046</t>
    <phoneticPr fontId="5"/>
  </si>
  <si>
    <t>A0048</t>
    <phoneticPr fontId="5"/>
  </si>
  <si>
    <t>A0049</t>
    <phoneticPr fontId="5"/>
  </si>
  <si>
    <t>A0050</t>
    <phoneticPr fontId="5"/>
  </si>
  <si>
    <t>A0051</t>
    <phoneticPr fontId="5"/>
  </si>
  <si>
    <t>A0052</t>
    <phoneticPr fontId="5"/>
  </si>
  <si>
    <t>A0053</t>
    <phoneticPr fontId="5"/>
  </si>
  <si>
    <t>A0054</t>
    <phoneticPr fontId="5"/>
  </si>
  <si>
    <t>A0055</t>
    <phoneticPr fontId="5"/>
  </si>
  <si>
    <t>A0056</t>
    <phoneticPr fontId="5"/>
  </si>
  <si>
    <t>A0057</t>
    <phoneticPr fontId="5"/>
  </si>
  <si>
    <t>A0058</t>
    <phoneticPr fontId="5"/>
  </si>
  <si>
    <t>A0060</t>
    <phoneticPr fontId="5"/>
  </si>
  <si>
    <t>A0061</t>
    <phoneticPr fontId="5"/>
  </si>
  <si>
    <t>A0062</t>
    <phoneticPr fontId="5"/>
  </si>
  <si>
    <t>A0063</t>
    <phoneticPr fontId="5"/>
  </si>
  <si>
    <t>A0064</t>
    <phoneticPr fontId="5"/>
  </si>
  <si>
    <t>A0065</t>
    <phoneticPr fontId="5"/>
  </si>
  <si>
    <t>A0066</t>
    <phoneticPr fontId="5"/>
  </si>
  <si>
    <t>A0067</t>
    <phoneticPr fontId="5"/>
  </si>
  <si>
    <t>A0068</t>
    <phoneticPr fontId="5"/>
  </si>
  <si>
    <t>A0069</t>
    <phoneticPr fontId="5"/>
  </si>
  <si>
    <t>A0070</t>
    <phoneticPr fontId="5"/>
  </si>
  <si>
    <t>A0071</t>
    <phoneticPr fontId="5"/>
  </si>
  <si>
    <t>A0072</t>
    <phoneticPr fontId="5"/>
  </si>
  <si>
    <t>A0073</t>
    <phoneticPr fontId="5"/>
  </si>
  <si>
    <t>A0075</t>
    <phoneticPr fontId="5"/>
  </si>
  <si>
    <t>A0076</t>
    <phoneticPr fontId="5"/>
  </si>
  <si>
    <t>A0077</t>
    <phoneticPr fontId="5"/>
  </si>
  <si>
    <t>A0079</t>
    <phoneticPr fontId="5"/>
  </si>
  <si>
    <t>A0080</t>
    <phoneticPr fontId="5"/>
  </si>
  <si>
    <t>A0081</t>
    <phoneticPr fontId="5"/>
  </si>
  <si>
    <t>A0082</t>
    <phoneticPr fontId="5"/>
  </si>
  <si>
    <t>A0084</t>
    <phoneticPr fontId="5"/>
  </si>
  <si>
    <t>A0085</t>
    <phoneticPr fontId="5"/>
  </si>
  <si>
    <t>A0086</t>
    <phoneticPr fontId="5"/>
  </si>
  <si>
    <t>A0088</t>
    <phoneticPr fontId="5"/>
  </si>
  <si>
    <t>A0089</t>
    <phoneticPr fontId="5"/>
  </si>
  <si>
    <t>A0090</t>
    <phoneticPr fontId="5"/>
  </si>
  <si>
    <t>A0092</t>
    <phoneticPr fontId="5"/>
  </si>
  <si>
    <t>A0093</t>
    <phoneticPr fontId="5"/>
  </si>
  <si>
    <t>A0104</t>
    <phoneticPr fontId="5"/>
  </si>
  <si>
    <t>A0120</t>
    <phoneticPr fontId="5"/>
  </si>
  <si>
    <t>A0121</t>
    <phoneticPr fontId="5"/>
  </si>
  <si>
    <t>A0122</t>
    <phoneticPr fontId="5"/>
  </si>
  <si>
    <t>A0123</t>
    <phoneticPr fontId="5"/>
  </si>
  <si>
    <t>A0124</t>
    <phoneticPr fontId="5"/>
  </si>
  <si>
    <t>A0126</t>
    <phoneticPr fontId="5"/>
  </si>
  <si>
    <t>A0130</t>
    <phoneticPr fontId="5"/>
  </si>
  <si>
    <t>A0133</t>
    <phoneticPr fontId="5"/>
  </si>
  <si>
    <t>A0134</t>
    <phoneticPr fontId="5"/>
  </si>
  <si>
    <t>A0135</t>
    <phoneticPr fontId="5"/>
  </si>
  <si>
    <t>A0136</t>
    <phoneticPr fontId="5"/>
  </si>
  <si>
    <t>A0137</t>
    <phoneticPr fontId="5"/>
  </si>
  <si>
    <t>A0138</t>
    <phoneticPr fontId="5"/>
  </si>
  <si>
    <t>A0140</t>
    <phoneticPr fontId="5"/>
  </si>
  <si>
    <t>A0141</t>
    <phoneticPr fontId="5"/>
  </si>
  <si>
    <t>A0142</t>
    <phoneticPr fontId="5"/>
  </si>
  <si>
    <t>A0143</t>
    <phoneticPr fontId="5"/>
  </si>
  <si>
    <t>A0144</t>
    <phoneticPr fontId="5"/>
  </si>
  <si>
    <t>A0145</t>
    <phoneticPr fontId="5"/>
  </si>
  <si>
    <t>A0149</t>
    <phoneticPr fontId="5"/>
  </si>
  <si>
    <t>A0150</t>
    <phoneticPr fontId="5"/>
  </si>
  <si>
    <t>A0151</t>
    <phoneticPr fontId="5"/>
  </si>
  <si>
    <t>A0153</t>
    <phoneticPr fontId="5"/>
  </si>
  <si>
    <t>A0154</t>
    <phoneticPr fontId="5"/>
  </si>
  <si>
    <t>A0155</t>
    <phoneticPr fontId="5"/>
  </si>
  <si>
    <t>A0156</t>
    <phoneticPr fontId="5"/>
  </si>
  <si>
    <t>A0157</t>
    <phoneticPr fontId="5"/>
  </si>
  <si>
    <t>A0158</t>
    <phoneticPr fontId="5"/>
  </si>
  <si>
    <t>A0159</t>
    <phoneticPr fontId="5"/>
  </si>
  <si>
    <t>A0160</t>
    <phoneticPr fontId="5"/>
  </si>
  <si>
    <t>A0161</t>
    <phoneticPr fontId="5"/>
  </si>
  <si>
    <t>A0162</t>
    <phoneticPr fontId="5"/>
  </si>
  <si>
    <t>A0163</t>
    <phoneticPr fontId="5"/>
  </si>
  <si>
    <t>A0164</t>
    <phoneticPr fontId="5"/>
  </si>
  <si>
    <t>A0165</t>
    <phoneticPr fontId="5"/>
  </si>
  <si>
    <t>A0166</t>
    <phoneticPr fontId="5"/>
  </si>
  <si>
    <t>A0167</t>
    <phoneticPr fontId="5"/>
  </si>
  <si>
    <t>A0168</t>
    <phoneticPr fontId="5"/>
  </si>
  <si>
    <t>A0169</t>
    <phoneticPr fontId="5"/>
  </si>
  <si>
    <t>A0170</t>
    <phoneticPr fontId="5"/>
  </si>
  <si>
    <t>A0172</t>
    <phoneticPr fontId="5"/>
  </si>
  <si>
    <t>A0173</t>
    <phoneticPr fontId="5"/>
  </si>
  <si>
    <t>A0175</t>
    <phoneticPr fontId="5"/>
  </si>
  <si>
    <t>A0177</t>
    <phoneticPr fontId="5"/>
  </si>
  <si>
    <t>A0178</t>
    <phoneticPr fontId="5"/>
  </si>
  <si>
    <t>A0179</t>
    <phoneticPr fontId="5"/>
  </si>
  <si>
    <t>A0180</t>
    <phoneticPr fontId="5"/>
  </si>
  <si>
    <t>A0181</t>
    <phoneticPr fontId="5"/>
  </si>
  <si>
    <t>A0184</t>
    <phoneticPr fontId="5"/>
  </si>
  <si>
    <t>A0185</t>
    <phoneticPr fontId="5"/>
  </si>
  <si>
    <t>A0186</t>
    <phoneticPr fontId="5"/>
  </si>
  <si>
    <t>A0187</t>
    <phoneticPr fontId="5"/>
  </si>
  <si>
    <t>A0188</t>
    <phoneticPr fontId="5"/>
  </si>
  <si>
    <t>A0189</t>
    <phoneticPr fontId="5"/>
  </si>
  <si>
    <t>A0190</t>
    <phoneticPr fontId="5"/>
  </si>
  <si>
    <t>A0193</t>
    <phoneticPr fontId="5"/>
  </si>
  <si>
    <t>A0195</t>
    <phoneticPr fontId="5"/>
  </si>
  <si>
    <t>A0196</t>
    <phoneticPr fontId="5"/>
  </si>
  <si>
    <t>A0197</t>
    <phoneticPr fontId="5"/>
  </si>
  <si>
    <t>A0199</t>
    <phoneticPr fontId="5"/>
  </si>
  <si>
    <t>A0200</t>
    <phoneticPr fontId="5"/>
  </si>
  <si>
    <t>A0203</t>
    <phoneticPr fontId="5"/>
  </si>
  <si>
    <t>A0204</t>
    <phoneticPr fontId="5"/>
  </si>
  <si>
    <t>A0206</t>
    <phoneticPr fontId="5"/>
  </si>
  <si>
    <t>A0209</t>
    <phoneticPr fontId="5"/>
  </si>
  <si>
    <t>A0210</t>
    <phoneticPr fontId="5"/>
  </si>
  <si>
    <t>A0211</t>
    <phoneticPr fontId="5"/>
  </si>
  <si>
    <t>A0213</t>
    <phoneticPr fontId="5"/>
  </si>
  <si>
    <t>A0214</t>
    <phoneticPr fontId="5"/>
  </si>
  <si>
    <t>A0216</t>
    <phoneticPr fontId="5"/>
  </si>
  <si>
    <t>A0217</t>
    <phoneticPr fontId="5"/>
  </si>
  <si>
    <t>A0218</t>
    <phoneticPr fontId="5"/>
  </si>
  <si>
    <t>A0220</t>
    <phoneticPr fontId="5"/>
  </si>
  <si>
    <t>A0221</t>
    <phoneticPr fontId="5"/>
  </si>
  <si>
    <t>A0222</t>
    <phoneticPr fontId="5"/>
  </si>
  <si>
    <t>A0227</t>
    <phoneticPr fontId="5"/>
  </si>
  <si>
    <t>A0228</t>
    <phoneticPr fontId="5"/>
  </si>
  <si>
    <t>A0229</t>
    <phoneticPr fontId="5"/>
  </si>
  <si>
    <t>A0230</t>
    <phoneticPr fontId="5"/>
  </si>
  <si>
    <t>A0231</t>
    <phoneticPr fontId="5"/>
  </si>
  <si>
    <t>A0232</t>
    <phoneticPr fontId="5"/>
  </si>
  <si>
    <t>A0234</t>
    <phoneticPr fontId="5"/>
  </si>
  <si>
    <t>A0236</t>
    <phoneticPr fontId="5"/>
  </si>
  <si>
    <t>A0237</t>
    <phoneticPr fontId="5"/>
  </si>
  <si>
    <t>A0238</t>
    <phoneticPr fontId="5"/>
  </si>
  <si>
    <t>A0239</t>
    <phoneticPr fontId="5"/>
  </si>
  <si>
    <t>A0240</t>
    <phoneticPr fontId="5"/>
  </si>
  <si>
    <t>A0241</t>
    <phoneticPr fontId="5"/>
  </si>
  <si>
    <t>A0243</t>
    <phoneticPr fontId="5"/>
  </si>
  <si>
    <t>A0245</t>
    <phoneticPr fontId="5"/>
  </si>
  <si>
    <t>A0246</t>
    <phoneticPr fontId="5"/>
  </si>
  <si>
    <t>A0248</t>
    <phoneticPr fontId="5"/>
  </si>
  <si>
    <t>A0250</t>
    <phoneticPr fontId="5"/>
  </si>
  <si>
    <t>A0253</t>
    <phoneticPr fontId="5"/>
  </si>
  <si>
    <t>A0256</t>
    <phoneticPr fontId="5"/>
  </si>
  <si>
    <t>A0258</t>
    <phoneticPr fontId="5"/>
  </si>
  <si>
    <t>A0259</t>
    <phoneticPr fontId="5"/>
  </si>
  <si>
    <t>A0260</t>
    <phoneticPr fontId="5"/>
  </si>
  <si>
    <t>A0261</t>
    <phoneticPr fontId="5"/>
  </si>
  <si>
    <t>A0264</t>
    <phoneticPr fontId="5"/>
  </si>
  <si>
    <t>A0265</t>
    <phoneticPr fontId="5"/>
  </si>
  <si>
    <t>A0266</t>
    <phoneticPr fontId="5"/>
  </si>
  <si>
    <t>A0267</t>
    <phoneticPr fontId="5"/>
  </si>
  <si>
    <t>A0268</t>
    <phoneticPr fontId="5"/>
  </si>
  <si>
    <t>A0270</t>
    <phoneticPr fontId="5"/>
  </si>
  <si>
    <t>A0271</t>
    <phoneticPr fontId="5"/>
  </si>
  <si>
    <t>A0272</t>
    <phoneticPr fontId="5"/>
  </si>
  <si>
    <t>A0273</t>
    <phoneticPr fontId="5"/>
  </si>
  <si>
    <t>A0274</t>
    <phoneticPr fontId="5"/>
  </si>
  <si>
    <t>A0275</t>
    <phoneticPr fontId="5"/>
  </si>
  <si>
    <t>A0276</t>
    <phoneticPr fontId="5"/>
  </si>
  <si>
    <t>A0277</t>
    <phoneticPr fontId="5"/>
  </si>
  <si>
    <t>A0278</t>
    <phoneticPr fontId="5"/>
  </si>
  <si>
    <t>A0280</t>
    <phoneticPr fontId="5"/>
  </si>
  <si>
    <t>A0281</t>
    <phoneticPr fontId="5"/>
  </si>
  <si>
    <t>A0283</t>
    <phoneticPr fontId="5"/>
  </si>
  <si>
    <t>A0284</t>
    <phoneticPr fontId="5"/>
  </si>
  <si>
    <t>A0285</t>
    <phoneticPr fontId="5"/>
  </si>
  <si>
    <t>A0286</t>
    <phoneticPr fontId="5"/>
  </si>
  <si>
    <t>A0287</t>
    <phoneticPr fontId="5"/>
  </si>
  <si>
    <t>A0288</t>
    <phoneticPr fontId="5"/>
  </si>
  <si>
    <t>A0292</t>
    <phoneticPr fontId="5"/>
  </si>
  <si>
    <t>A0293</t>
    <phoneticPr fontId="5"/>
  </si>
  <si>
    <t>A0295</t>
    <phoneticPr fontId="5"/>
  </si>
  <si>
    <t>A0296</t>
    <phoneticPr fontId="5"/>
  </si>
  <si>
    <t>A0300</t>
    <phoneticPr fontId="5"/>
  </si>
  <si>
    <t>A0303</t>
    <phoneticPr fontId="5"/>
  </si>
  <si>
    <t>A0305</t>
    <phoneticPr fontId="5"/>
  </si>
  <si>
    <t>A0306</t>
    <phoneticPr fontId="5"/>
  </si>
  <si>
    <t>A0310</t>
    <phoneticPr fontId="5"/>
  </si>
  <si>
    <t>A0311</t>
    <phoneticPr fontId="5"/>
  </si>
  <si>
    <t>A0314</t>
    <phoneticPr fontId="5"/>
  </si>
  <si>
    <t>A0315</t>
    <phoneticPr fontId="5"/>
  </si>
  <si>
    <t>A0317</t>
    <phoneticPr fontId="5"/>
  </si>
  <si>
    <t>A0318</t>
    <phoneticPr fontId="5"/>
  </si>
  <si>
    <t>A0323</t>
    <phoneticPr fontId="5"/>
  </si>
  <si>
    <t>A0330</t>
    <phoneticPr fontId="5"/>
  </si>
  <si>
    <t>A0332</t>
    <phoneticPr fontId="5"/>
  </si>
  <si>
    <t>A0336</t>
    <phoneticPr fontId="5"/>
  </si>
  <si>
    <t>A0337</t>
    <phoneticPr fontId="5"/>
  </si>
  <si>
    <t>A0338</t>
    <phoneticPr fontId="5"/>
  </si>
  <si>
    <t>A0342</t>
    <phoneticPr fontId="5"/>
  </si>
  <si>
    <t>A0343</t>
    <phoneticPr fontId="5"/>
  </si>
  <si>
    <t>A0344</t>
    <phoneticPr fontId="5"/>
  </si>
  <si>
    <t>A0345</t>
    <phoneticPr fontId="5"/>
  </si>
  <si>
    <t>A0348</t>
    <phoneticPr fontId="5"/>
  </si>
  <si>
    <t>A0349</t>
    <phoneticPr fontId="5"/>
  </si>
  <si>
    <t>A0350</t>
    <phoneticPr fontId="5"/>
  </si>
  <si>
    <t>A0351</t>
    <phoneticPr fontId="5"/>
  </si>
  <si>
    <t>A0352</t>
    <phoneticPr fontId="5"/>
  </si>
  <si>
    <t>A0353</t>
    <phoneticPr fontId="5"/>
  </si>
  <si>
    <t>A0355</t>
    <phoneticPr fontId="5"/>
  </si>
  <si>
    <t>A0356</t>
    <phoneticPr fontId="5"/>
  </si>
  <si>
    <t>A0362</t>
    <phoneticPr fontId="5"/>
  </si>
  <si>
    <t>A0364</t>
    <phoneticPr fontId="5"/>
  </si>
  <si>
    <t>A0365</t>
    <phoneticPr fontId="5"/>
  </si>
  <si>
    <t>A0366</t>
    <phoneticPr fontId="5"/>
  </si>
  <si>
    <t>A0367</t>
    <phoneticPr fontId="5"/>
  </si>
  <si>
    <t>A0368</t>
    <phoneticPr fontId="5"/>
  </si>
  <si>
    <t>A0371</t>
    <phoneticPr fontId="5"/>
  </si>
  <si>
    <t>A0372</t>
    <phoneticPr fontId="5"/>
  </si>
  <si>
    <t>A0376</t>
    <phoneticPr fontId="5"/>
  </si>
  <si>
    <t>A0378</t>
    <phoneticPr fontId="5"/>
  </si>
  <si>
    <t>A0380</t>
    <phoneticPr fontId="5"/>
  </si>
  <si>
    <t>A0381</t>
    <phoneticPr fontId="5"/>
  </si>
  <si>
    <t>A0382</t>
    <phoneticPr fontId="5"/>
  </si>
  <si>
    <t>A0383</t>
    <phoneticPr fontId="5"/>
  </si>
  <si>
    <t>A0385</t>
    <phoneticPr fontId="5"/>
  </si>
  <si>
    <t>A0386</t>
    <phoneticPr fontId="5"/>
  </si>
  <si>
    <t>A0388</t>
    <phoneticPr fontId="5"/>
  </si>
  <si>
    <t>A0389</t>
    <phoneticPr fontId="5"/>
  </si>
  <si>
    <t>A0391</t>
    <phoneticPr fontId="5"/>
  </si>
  <si>
    <t>A0392</t>
    <phoneticPr fontId="5"/>
  </si>
  <si>
    <t>A0397</t>
    <phoneticPr fontId="5"/>
  </si>
  <si>
    <t>A0398</t>
    <phoneticPr fontId="5"/>
  </si>
  <si>
    <t>A0405</t>
    <phoneticPr fontId="5"/>
  </si>
  <si>
    <t>A0407</t>
    <phoneticPr fontId="5"/>
  </si>
  <si>
    <t>A0411</t>
    <phoneticPr fontId="5"/>
  </si>
  <si>
    <t>A0413</t>
    <phoneticPr fontId="5"/>
  </si>
  <si>
    <t>A0415</t>
    <phoneticPr fontId="5"/>
  </si>
  <si>
    <t>A0419</t>
    <phoneticPr fontId="5"/>
  </si>
  <si>
    <t>A0420</t>
    <phoneticPr fontId="5"/>
  </si>
  <si>
    <t>A0425</t>
    <phoneticPr fontId="5"/>
  </si>
  <si>
    <t>A0429</t>
    <phoneticPr fontId="5"/>
  </si>
  <si>
    <t>A0430</t>
    <phoneticPr fontId="5"/>
  </si>
  <si>
    <t>A0431</t>
    <phoneticPr fontId="5"/>
  </si>
  <si>
    <t>A0435</t>
    <phoneticPr fontId="5"/>
  </si>
  <si>
    <t>A0437</t>
    <phoneticPr fontId="5"/>
  </si>
  <si>
    <t>A0438</t>
    <phoneticPr fontId="5"/>
  </si>
  <si>
    <t>A0439</t>
    <phoneticPr fontId="5"/>
  </si>
  <si>
    <t>A0440</t>
    <phoneticPr fontId="5"/>
  </si>
  <si>
    <t>A0442</t>
    <phoneticPr fontId="5"/>
  </si>
  <si>
    <t>A0443</t>
    <phoneticPr fontId="5"/>
  </si>
  <si>
    <t>A0446</t>
    <phoneticPr fontId="5"/>
  </si>
  <si>
    <t>A0447</t>
    <phoneticPr fontId="5"/>
  </si>
  <si>
    <t>A0451</t>
    <phoneticPr fontId="5"/>
  </si>
  <si>
    <t>A0452</t>
    <phoneticPr fontId="5"/>
  </si>
  <si>
    <t>A0454</t>
    <phoneticPr fontId="5"/>
  </si>
  <si>
    <t>A0456</t>
    <phoneticPr fontId="5"/>
  </si>
  <si>
    <t>A0457</t>
    <phoneticPr fontId="5"/>
  </si>
  <si>
    <t>A0461</t>
    <phoneticPr fontId="5"/>
  </si>
  <si>
    <t>A0463</t>
    <phoneticPr fontId="5"/>
  </si>
  <si>
    <t>A0465</t>
    <phoneticPr fontId="5"/>
  </si>
  <si>
    <t>A0467</t>
    <phoneticPr fontId="5"/>
  </si>
  <si>
    <t>A0468</t>
    <phoneticPr fontId="5"/>
  </si>
  <si>
    <t>A0470</t>
    <phoneticPr fontId="5"/>
  </si>
  <si>
    <t>A0471</t>
    <phoneticPr fontId="5"/>
  </si>
  <si>
    <t>A0472</t>
    <phoneticPr fontId="5"/>
  </si>
  <si>
    <t>A0473</t>
    <phoneticPr fontId="5"/>
  </si>
  <si>
    <t>A0476</t>
    <phoneticPr fontId="5"/>
  </si>
  <si>
    <t>A0477</t>
    <phoneticPr fontId="5"/>
  </si>
  <si>
    <t>A0480</t>
    <phoneticPr fontId="5"/>
  </si>
  <si>
    <t>A0481</t>
    <phoneticPr fontId="5"/>
  </si>
  <si>
    <t>A0482</t>
    <phoneticPr fontId="5"/>
  </si>
  <si>
    <t>A0490</t>
    <phoneticPr fontId="5"/>
  </si>
  <si>
    <t>A0491</t>
    <phoneticPr fontId="5"/>
  </si>
  <si>
    <t>A0493</t>
    <phoneticPr fontId="5"/>
  </si>
  <si>
    <t>A0494</t>
    <phoneticPr fontId="5"/>
  </si>
  <si>
    <t>A0495</t>
    <phoneticPr fontId="5"/>
  </si>
  <si>
    <t>A0499</t>
    <phoneticPr fontId="5"/>
  </si>
  <si>
    <t>A0500</t>
    <phoneticPr fontId="5"/>
  </si>
  <si>
    <t>A0501</t>
    <phoneticPr fontId="5"/>
  </si>
  <si>
    <t>A0502</t>
    <phoneticPr fontId="5"/>
  </si>
  <si>
    <t>A0503</t>
    <phoneticPr fontId="5"/>
  </si>
  <si>
    <t>A0506</t>
    <phoneticPr fontId="5"/>
  </si>
  <si>
    <t>A0507</t>
    <phoneticPr fontId="5"/>
  </si>
  <si>
    <t>A0511</t>
    <phoneticPr fontId="5"/>
  </si>
  <si>
    <t>A0513</t>
    <phoneticPr fontId="5"/>
  </si>
  <si>
    <t>A0514</t>
    <phoneticPr fontId="5"/>
  </si>
  <si>
    <t>A0515</t>
    <phoneticPr fontId="5"/>
  </si>
  <si>
    <t>A0518</t>
    <phoneticPr fontId="5"/>
  </si>
  <si>
    <t>A0519</t>
    <phoneticPr fontId="5"/>
  </si>
  <si>
    <t>A0520</t>
    <phoneticPr fontId="5"/>
  </si>
  <si>
    <t>A0525</t>
    <phoneticPr fontId="5"/>
  </si>
  <si>
    <t>A0526</t>
    <phoneticPr fontId="5"/>
  </si>
  <si>
    <t>A0528</t>
    <phoneticPr fontId="5"/>
  </si>
  <si>
    <t>A0529</t>
    <phoneticPr fontId="5"/>
  </si>
  <si>
    <t>A0532</t>
    <phoneticPr fontId="5"/>
  </si>
  <si>
    <t>A0533</t>
    <phoneticPr fontId="5"/>
  </si>
  <si>
    <t>A0534</t>
    <phoneticPr fontId="5"/>
  </si>
  <si>
    <t>A0538</t>
    <phoneticPr fontId="5"/>
  </si>
  <si>
    <t>A0539</t>
    <phoneticPr fontId="5"/>
  </si>
  <si>
    <t>A0543</t>
    <phoneticPr fontId="5"/>
  </si>
  <si>
    <t>A0546</t>
    <phoneticPr fontId="5"/>
  </si>
  <si>
    <t>A0547</t>
    <phoneticPr fontId="5"/>
  </si>
  <si>
    <t>A0549</t>
    <phoneticPr fontId="5"/>
  </si>
  <si>
    <t>A0550</t>
    <phoneticPr fontId="5"/>
  </si>
  <si>
    <t>A0551</t>
    <phoneticPr fontId="5"/>
  </si>
  <si>
    <t>A0552</t>
    <phoneticPr fontId="5"/>
  </si>
  <si>
    <t>A0553</t>
    <phoneticPr fontId="5"/>
  </si>
  <si>
    <t>A0555</t>
    <phoneticPr fontId="5"/>
  </si>
  <si>
    <t>A0556</t>
    <phoneticPr fontId="5"/>
  </si>
  <si>
    <t>A0558</t>
    <phoneticPr fontId="5"/>
  </si>
  <si>
    <t>A0559</t>
    <phoneticPr fontId="5"/>
  </si>
  <si>
    <t>A0560</t>
    <phoneticPr fontId="5"/>
  </si>
  <si>
    <t>A0562</t>
    <phoneticPr fontId="5"/>
  </si>
  <si>
    <t>A0565</t>
    <phoneticPr fontId="5"/>
  </si>
  <si>
    <t>A0567</t>
    <phoneticPr fontId="5"/>
  </si>
  <si>
    <t>A0570</t>
    <phoneticPr fontId="5"/>
  </si>
  <si>
    <t>A0571</t>
    <phoneticPr fontId="5"/>
  </si>
  <si>
    <t>A0572</t>
    <phoneticPr fontId="5"/>
  </si>
  <si>
    <t>A0573</t>
    <phoneticPr fontId="5"/>
  </si>
  <si>
    <t>A0574</t>
    <phoneticPr fontId="5"/>
  </si>
  <si>
    <t>A0577</t>
    <phoneticPr fontId="5"/>
  </si>
  <si>
    <t>A0578</t>
    <phoneticPr fontId="5"/>
  </si>
  <si>
    <t>A0581</t>
    <phoneticPr fontId="5"/>
  </si>
  <si>
    <t>A0582</t>
    <phoneticPr fontId="5"/>
  </si>
  <si>
    <t>A0584</t>
    <phoneticPr fontId="5"/>
  </si>
  <si>
    <t>A0586</t>
    <phoneticPr fontId="5"/>
  </si>
  <si>
    <t>A0587</t>
    <phoneticPr fontId="5"/>
  </si>
  <si>
    <t>A0589</t>
    <phoneticPr fontId="5"/>
  </si>
  <si>
    <t>A0590</t>
    <phoneticPr fontId="5"/>
  </si>
  <si>
    <t>A0596</t>
    <phoneticPr fontId="5"/>
  </si>
  <si>
    <t>A0598</t>
    <phoneticPr fontId="5"/>
  </si>
  <si>
    <t>A0602</t>
    <phoneticPr fontId="5"/>
  </si>
  <si>
    <t>A0603</t>
    <phoneticPr fontId="5"/>
  </si>
  <si>
    <t>A0605</t>
    <phoneticPr fontId="5"/>
  </si>
  <si>
    <t>A0609</t>
    <phoneticPr fontId="5"/>
  </si>
  <si>
    <t>A0610</t>
    <phoneticPr fontId="5"/>
  </si>
  <si>
    <t>A0611</t>
    <phoneticPr fontId="5"/>
  </si>
  <si>
    <t>A0612</t>
    <phoneticPr fontId="5"/>
  </si>
  <si>
    <t>A0615</t>
    <phoneticPr fontId="5"/>
  </si>
  <si>
    <t>A0617</t>
    <phoneticPr fontId="5"/>
  </si>
  <si>
    <t>A0620</t>
    <phoneticPr fontId="5"/>
  </si>
  <si>
    <t>A0622</t>
    <phoneticPr fontId="5"/>
  </si>
  <si>
    <t>A0624</t>
    <phoneticPr fontId="5"/>
  </si>
  <si>
    <t>A0627</t>
    <phoneticPr fontId="5"/>
  </si>
  <si>
    <t>A0629</t>
    <phoneticPr fontId="5"/>
  </si>
  <si>
    <t>A0630</t>
    <phoneticPr fontId="5"/>
  </si>
  <si>
    <t>A0631</t>
    <phoneticPr fontId="5"/>
  </si>
  <si>
    <t>A0632</t>
    <phoneticPr fontId="5"/>
  </si>
  <si>
    <t>A0639</t>
    <phoneticPr fontId="5"/>
  </si>
  <si>
    <t>A0640</t>
    <phoneticPr fontId="5"/>
  </si>
  <si>
    <t>A0641</t>
    <phoneticPr fontId="5"/>
  </si>
  <si>
    <t>A0642</t>
    <phoneticPr fontId="5"/>
  </si>
  <si>
    <t>A0644</t>
    <phoneticPr fontId="5"/>
  </si>
  <si>
    <t>A0648</t>
    <phoneticPr fontId="5"/>
  </si>
  <si>
    <t>A0649</t>
    <phoneticPr fontId="5"/>
  </si>
  <si>
    <t>A0650</t>
    <phoneticPr fontId="5"/>
  </si>
  <si>
    <t>A0653</t>
    <phoneticPr fontId="5"/>
  </si>
  <si>
    <t>A0654</t>
    <phoneticPr fontId="5"/>
  </si>
  <si>
    <t>A0655</t>
    <phoneticPr fontId="5"/>
  </si>
  <si>
    <t>A0656</t>
    <phoneticPr fontId="5"/>
  </si>
  <si>
    <t>A0659</t>
    <phoneticPr fontId="5"/>
  </si>
  <si>
    <t>A0660</t>
    <phoneticPr fontId="5"/>
  </si>
  <si>
    <t>A0664</t>
    <phoneticPr fontId="5"/>
  </si>
  <si>
    <t>A0666</t>
    <phoneticPr fontId="5"/>
  </si>
  <si>
    <t>A0667</t>
    <phoneticPr fontId="5"/>
  </si>
  <si>
    <t>A0668</t>
    <phoneticPr fontId="5"/>
  </si>
  <si>
    <t>A0670</t>
    <phoneticPr fontId="5"/>
  </si>
  <si>
    <t>A0671</t>
    <phoneticPr fontId="5"/>
  </si>
  <si>
    <t>A0673</t>
    <phoneticPr fontId="5"/>
  </si>
  <si>
    <t>A0676</t>
    <phoneticPr fontId="5"/>
  </si>
  <si>
    <t>A0677</t>
    <phoneticPr fontId="5"/>
  </si>
  <si>
    <t>A0680</t>
    <phoneticPr fontId="5"/>
  </si>
  <si>
    <t>A0681</t>
    <phoneticPr fontId="5"/>
  </si>
  <si>
    <t>A0683</t>
    <phoneticPr fontId="5"/>
  </si>
  <si>
    <t>A0685</t>
    <phoneticPr fontId="5"/>
  </si>
  <si>
    <t>A0687</t>
    <phoneticPr fontId="5"/>
  </si>
  <si>
    <t>A0689</t>
    <phoneticPr fontId="5"/>
  </si>
  <si>
    <t>A0690</t>
    <phoneticPr fontId="5"/>
  </si>
  <si>
    <t>A0692</t>
    <phoneticPr fontId="5"/>
  </si>
  <si>
    <t>A0693</t>
    <phoneticPr fontId="5"/>
  </si>
  <si>
    <t>A0695</t>
    <phoneticPr fontId="5"/>
  </si>
  <si>
    <t>A0696</t>
    <phoneticPr fontId="5"/>
  </si>
  <si>
    <t>A0698</t>
    <phoneticPr fontId="5"/>
  </si>
  <si>
    <t>A0699</t>
    <phoneticPr fontId="5"/>
  </si>
  <si>
    <t>A0702</t>
    <phoneticPr fontId="5"/>
  </si>
  <si>
    <t>A0703</t>
    <phoneticPr fontId="5"/>
  </si>
  <si>
    <t>A0704</t>
    <phoneticPr fontId="5"/>
  </si>
  <si>
    <t>A0705</t>
    <phoneticPr fontId="5"/>
  </si>
  <si>
    <t>A0707</t>
    <phoneticPr fontId="5"/>
  </si>
  <si>
    <t>A0708</t>
    <phoneticPr fontId="5"/>
  </si>
  <si>
    <t>A0709</t>
    <phoneticPr fontId="5"/>
  </si>
  <si>
    <t>A0711</t>
    <phoneticPr fontId="5"/>
  </si>
  <si>
    <t>A0712</t>
    <phoneticPr fontId="5"/>
  </si>
  <si>
    <t>A0714</t>
    <phoneticPr fontId="5"/>
  </si>
  <si>
    <t>A0715</t>
    <phoneticPr fontId="5"/>
  </si>
  <si>
    <t>A0716</t>
    <phoneticPr fontId="5"/>
  </si>
  <si>
    <t>A0718</t>
    <phoneticPr fontId="5"/>
  </si>
  <si>
    <t>A0720</t>
    <phoneticPr fontId="5"/>
  </si>
  <si>
    <t>A0721</t>
    <phoneticPr fontId="5"/>
  </si>
  <si>
    <t>A0722</t>
    <phoneticPr fontId="5"/>
  </si>
  <si>
    <t>A0726</t>
    <phoneticPr fontId="5"/>
  </si>
  <si>
    <t>A0729</t>
    <phoneticPr fontId="5"/>
  </si>
  <si>
    <t>A0730</t>
    <phoneticPr fontId="5"/>
  </si>
  <si>
    <t>A0732</t>
    <phoneticPr fontId="5"/>
  </si>
  <si>
    <t>A0733</t>
    <phoneticPr fontId="5"/>
  </si>
  <si>
    <t>A0737</t>
    <phoneticPr fontId="5"/>
  </si>
  <si>
    <t>A0738</t>
    <phoneticPr fontId="5"/>
  </si>
  <si>
    <t>A0739</t>
    <phoneticPr fontId="5"/>
  </si>
  <si>
    <t>A0740</t>
    <phoneticPr fontId="5"/>
  </si>
  <si>
    <t>A0742</t>
    <phoneticPr fontId="5"/>
  </si>
  <si>
    <t>A0743</t>
    <phoneticPr fontId="5"/>
  </si>
  <si>
    <t>A0744</t>
    <phoneticPr fontId="5"/>
  </si>
  <si>
    <t>A0746</t>
    <phoneticPr fontId="5"/>
  </si>
  <si>
    <t>A0747</t>
    <phoneticPr fontId="5"/>
  </si>
  <si>
    <t>A0748</t>
    <phoneticPr fontId="5"/>
  </si>
  <si>
    <t>A0752</t>
    <phoneticPr fontId="5"/>
  </si>
  <si>
    <t>A0753</t>
    <phoneticPr fontId="5"/>
  </si>
  <si>
    <t>A0754</t>
    <phoneticPr fontId="5"/>
  </si>
  <si>
    <t>A0758</t>
    <phoneticPr fontId="5"/>
  </si>
  <si>
    <t>A0759</t>
    <phoneticPr fontId="5"/>
  </si>
  <si>
    <t>A0760</t>
    <phoneticPr fontId="5"/>
  </si>
  <si>
    <t>A0764</t>
    <phoneticPr fontId="5"/>
  </si>
  <si>
    <t>A0770</t>
    <phoneticPr fontId="5"/>
  </si>
  <si>
    <t>A0772</t>
    <phoneticPr fontId="5"/>
  </si>
  <si>
    <t>A0773</t>
    <phoneticPr fontId="5"/>
  </si>
  <si>
    <t>A0777</t>
    <phoneticPr fontId="5"/>
  </si>
  <si>
    <t>A0781</t>
    <phoneticPr fontId="5"/>
  </si>
  <si>
    <t>A0783</t>
    <phoneticPr fontId="5"/>
  </si>
  <si>
    <t>A0785</t>
    <phoneticPr fontId="5"/>
  </si>
  <si>
    <t>A0786</t>
    <phoneticPr fontId="5"/>
  </si>
  <si>
    <t>A0792</t>
    <phoneticPr fontId="5"/>
  </si>
  <si>
    <t>A0793</t>
    <phoneticPr fontId="5"/>
  </si>
  <si>
    <t>A0796</t>
    <phoneticPr fontId="5"/>
  </si>
  <si>
    <t>A0798</t>
    <phoneticPr fontId="5"/>
  </si>
  <si>
    <t>A0799</t>
    <phoneticPr fontId="5"/>
  </si>
  <si>
    <t>A0800</t>
    <phoneticPr fontId="5"/>
  </si>
  <si>
    <t>A0802</t>
    <phoneticPr fontId="5"/>
  </si>
  <si>
    <t>A0803</t>
    <phoneticPr fontId="5"/>
  </si>
  <si>
    <t>A0806</t>
    <phoneticPr fontId="5"/>
  </si>
  <si>
    <t>A0807</t>
    <phoneticPr fontId="5"/>
  </si>
  <si>
    <t>A0808</t>
    <phoneticPr fontId="5"/>
  </si>
  <si>
    <t>A0809</t>
    <phoneticPr fontId="5"/>
  </si>
  <si>
    <t>A0810</t>
    <phoneticPr fontId="5"/>
  </si>
  <si>
    <t>A0812</t>
    <phoneticPr fontId="5"/>
  </si>
  <si>
    <t>A0817</t>
    <phoneticPr fontId="5"/>
  </si>
  <si>
    <t>A0819</t>
    <phoneticPr fontId="5"/>
  </si>
  <si>
    <t>A0820</t>
    <phoneticPr fontId="5"/>
  </si>
  <si>
    <t>A0821</t>
    <phoneticPr fontId="5"/>
  </si>
  <si>
    <t>A0822</t>
    <phoneticPr fontId="5"/>
  </si>
  <si>
    <t>A0824</t>
    <phoneticPr fontId="5"/>
  </si>
  <si>
    <t>A0825</t>
    <phoneticPr fontId="5"/>
  </si>
  <si>
    <t>A0826</t>
    <phoneticPr fontId="5"/>
  </si>
  <si>
    <t>A0827</t>
    <phoneticPr fontId="5"/>
  </si>
  <si>
    <t>A0829</t>
    <phoneticPr fontId="5"/>
  </si>
  <si>
    <t>A0831</t>
    <phoneticPr fontId="5"/>
  </si>
  <si>
    <t>A0835</t>
    <phoneticPr fontId="5"/>
  </si>
  <si>
    <t>A0838</t>
    <phoneticPr fontId="5"/>
  </si>
  <si>
    <t>A0839</t>
    <phoneticPr fontId="5"/>
  </si>
  <si>
    <t>A0840</t>
    <phoneticPr fontId="5"/>
  </si>
  <si>
    <t>A0843</t>
    <phoneticPr fontId="5"/>
  </si>
  <si>
    <t>A0844</t>
    <phoneticPr fontId="5"/>
  </si>
  <si>
    <t>A0847</t>
    <phoneticPr fontId="5"/>
  </si>
  <si>
    <t>A0849</t>
    <phoneticPr fontId="5"/>
  </si>
  <si>
    <t>A0851</t>
    <phoneticPr fontId="5"/>
  </si>
  <si>
    <t>A0852</t>
    <phoneticPr fontId="5"/>
  </si>
  <si>
    <t>A0853</t>
    <phoneticPr fontId="5"/>
  </si>
  <si>
    <t>A0854</t>
    <phoneticPr fontId="5"/>
  </si>
  <si>
    <t>A0857</t>
    <phoneticPr fontId="5"/>
  </si>
  <si>
    <t>A0859</t>
    <phoneticPr fontId="5"/>
  </si>
  <si>
    <t>A0860</t>
    <phoneticPr fontId="5"/>
  </si>
  <si>
    <t>A0863</t>
    <phoneticPr fontId="5"/>
  </si>
  <si>
    <t>A0865</t>
    <phoneticPr fontId="5"/>
  </si>
  <si>
    <t>A0866</t>
    <phoneticPr fontId="5"/>
  </si>
  <si>
    <t>A0867</t>
    <phoneticPr fontId="5"/>
  </si>
  <si>
    <t>A0868</t>
    <phoneticPr fontId="5"/>
  </si>
  <si>
    <t>A0869</t>
    <phoneticPr fontId="5"/>
  </si>
  <si>
    <t>A0870</t>
    <phoneticPr fontId="5"/>
  </si>
  <si>
    <t>A0871</t>
    <phoneticPr fontId="5"/>
  </si>
  <si>
    <t>A0873</t>
    <phoneticPr fontId="5"/>
  </si>
  <si>
    <t>A0874</t>
    <phoneticPr fontId="5"/>
  </si>
  <si>
    <t>A0877</t>
    <phoneticPr fontId="5"/>
  </si>
  <si>
    <t>A0880</t>
    <phoneticPr fontId="5"/>
  </si>
  <si>
    <t>A0881</t>
    <phoneticPr fontId="5"/>
  </si>
  <si>
    <t>A0882</t>
    <phoneticPr fontId="5"/>
  </si>
  <si>
    <t>A0883</t>
    <phoneticPr fontId="5"/>
  </si>
  <si>
    <t>A0886</t>
    <phoneticPr fontId="5"/>
  </si>
  <si>
    <t>A0888</t>
    <phoneticPr fontId="5"/>
  </si>
  <si>
    <t>A0890</t>
    <phoneticPr fontId="5"/>
  </si>
  <si>
    <t>A0893</t>
    <phoneticPr fontId="5"/>
  </si>
  <si>
    <t>A0903</t>
    <phoneticPr fontId="5"/>
  </si>
  <si>
    <t>A0905</t>
    <phoneticPr fontId="5"/>
  </si>
  <si>
    <t>A0906</t>
    <phoneticPr fontId="5"/>
  </si>
  <si>
    <t>イーレックス(株)</t>
    <phoneticPr fontId="5"/>
  </si>
  <si>
    <t>リエスパワー(株)</t>
    <phoneticPr fontId="5"/>
  </si>
  <si>
    <t>エバーグリーン・リテイリング(株)</t>
    <phoneticPr fontId="5"/>
  </si>
  <si>
    <t>エバーグリーン・マーケティング(株)</t>
    <phoneticPr fontId="5"/>
  </si>
  <si>
    <t>(株)SEウイングズ</t>
    <phoneticPr fontId="5"/>
  </si>
  <si>
    <t>(株)イーセル</t>
    <phoneticPr fontId="5"/>
  </si>
  <si>
    <t>(株)エネット</t>
    <phoneticPr fontId="5"/>
  </si>
  <si>
    <t>須賀川瓦斯(株)</t>
    <phoneticPr fontId="5"/>
  </si>
  <si>
    <t>出光興産(株)</t>
    <phoneticPr fontId="5"/>
  </si>
  <si>
    <t>(株)オプテージ</t>
    <phoneticPr fontId="5"/>
  </si>
  <si>
    <t>エネサーブ(株)</t>
    <phoneticPr fontId="5"/>
  </si>
  <si>
    <t>(株)エネワンでんき</t>
    <phoneticPr fontId="5"/>
  </si>
  <si>
    <t>ミツウロコグリーンエネルギー(株)</t>
    <phoneticPr fontId="5"/>
  </si>
  <si>
    <t>(株)リエネ</t>
    <phoneticPr fontId="5"/>
  </si>
  <si>
    <t>ネクストパワーやまと(株)</t>
    <phoneticPr fontId="5"/>
  </si>
  <si>
    <t>日本テクノ(株)</t>
    <phoneticPr fontId="5"/>
  </si>
  <si>
    <t>中央電力エナジー(株)</t>
    <phoneticPr fontId="5"/>
  </si>
  <si>
    <t>(株)Looop</t>
    <phoneticPr fontId="5"/>
  </si>
  <si>
    <t>(株)ナンワ(旧：(株)ナンワエナジー)</t>
    <phoneticPr fontId="5"/>
  </si>
  <si>
    <t>静岡ガス＆パワー(株)</t>
    <phoneticPr fontId="5"/>
  </si>
  <si>
    <t>荏原環境プラント(株)</t>
    <phoneticPr fontId="5"/>
  </si>
  <si>
    <t>東京エコサービス(株)</t>
    <phoneticPr fontId="5"/>
  </si>
  <si>
    <t>ダイヤモンドパワー(株)</t>
    <phoneticPr fontId="5"/>
  </si>
  <si>
    <t>(株)新出光</t>
    <phoneticPr fontId="5"/>
  </si>
  <si>
    <t>セントラル石油瓦斯(株)</t>
    <phoneticPr fontId="5"/>
  </si>
  <si>
    <t>一般財団法人泉佐野電力</t>
    <phoneticPr fontId="5"/>
  </si>
  <si>
    <t>コスモエネルギーソリューションズ(株)</t>
    <phoneticPr fontId="5"/>
  </si>
  <si>
    <t>(株)グリーンサークル</t>
    <phoneticPr fontId="5"/>
  </si>
  <si>
    <t>北海道瓦斯(株)</t>
    <phoneticPr fontId="5"/>
  </si>
  <si>
    <t>アルカナエナジー(株)</t>
    <phoneticPr fontId="5"/>
  </si>
  <si>
    <t>新エネルギー開発(株)</t>
    <phoneticPr fontId="5"/>
  </si>
  <si>
    <t>伊藤忠エネクス(株)</t>
    <phoneticPr fontId="5"/>
  </si>
  <si>
    <t>(株)VーPower</t>
    <phoneticPr fontId="5"/>
  </si>
  <si>
    <t>大和エネルギー(株)</t>
    <phoneticPr fontId="5"/>
  </si>
  <si>
    <t>大阪瓦斯(株)</t>
    <phoneticPr fontId="5"/>
  </si>
  <si>
    <t>エフビットコミュニケーションズ(株)　</t>
    <phoneticPr fontId="5"/>
  </si>
  <si>
    <t>ENEOS Power(株)（旧:ENEOS(株)）</t>
    <phoneticPr fontId="5"/>
  </si>
  <si>
    <t>真庭バイオエネルギー(株)</t>
    <phoneticPr fontId="5"/>
  </si>
  <si>
    <t>三井物産(株)</t>
    <phoneticPr fontId="5"/>
  </si>
  <si>
    <t>オリックス(株)</t>
    <phoneticPr fontId="5"/>
  </si>
  <si>
    <t>(株)エネサンス関東</t>
    <phoneticPr fontId="5"/>
  </si>
  <si>
    <t>(株)UPDATER</t>
    <phoneticPr fontId="5"/>
  </si>
  <si>
    <t>シン・エナジー(株)</t>
    <phoneticPr fontId="5"/>
  </si>
  <si>
    <t>(株)サニックス</t>
    <phoneticPr fontId="5"/>
  </si>
  <si>
    <t>(株)コンシェルジュ</t>
    <phoneticPr fontId="5"/>
  </si>
  <si>
    <t>(株)アイ・グリッド・ソリューションズ</t>
    <phoneticPr fontId="5"/>
  </si>
  <si>
    <t>サミットエナジー(株)</t>
    <phoneticPr fontId="5"/>
  </si>
  <si>
    <t>リコージャパン(株)</t>
    <phoneticPr fontId="5"/>
  </si>
  <si>
    <t>(株)エネルギア・ソリューション・アンド・サービス</t>
    <phoneticPr fontId="5"/>
  </si>
  <si>
    <t>東京ガス(株)</t>
    <phoneticPr fontId="5"/>
  </si>
  <si>
    <t>テス・エンジニアリング(株)</t>
    <phoneticPr fontId="5"/>
  </si>
  <si>
    <t>青梅ガス(株)</t>
    <phoneticPr fontId="5"/>
  </si>
  <si>
    <t>(株)イーネットワークシステムズ</t>
    <phoneticPr fontId="5"/>
  </si>
  <si>
    <t>(株)エネアーク関東</t>
    <phoneticPr fontId="5"/>
  </si>
  <si>
    <t>(株)東急パワーサプライ</t>
    <phoneticPr fontId="5"/>
  </si>
  <si>
    <t>王子・伊藤忠エネクス電力販売(株)</t>
    <phoneticPr fontId="5"/>
  </si>
  <si>
    <t>伊藤忠商事(株)</t>
    <phoneticPr fontId="5"/>
  </si>
  <si>
    <t>(株)エコスタイル</t>
    <phoneticPr fontId="5"/>
  </si>
  <si>
    <t>入間ガス(株)</t>
    <phoneticPr fontId="5"/>
  </si>
  <si>
    <t>(株)とんでんホールディングス</t>
    <phoneticPr fontId="5"/>
  </si>
  <si>
    <t>日鉄エンジニアリング(株)</t>
    <phoneticPr fontId="5"/>
  </si>
  <si>
    <t>auエネルギー＆ライフ(株)</t>
    <phoneticPr fontId="5"/>
  </si>
  <si>
    <t>イワタニ関東(株)</t>
    <phoneticPr fontId="5"/>
  </si>
  <si>
    <t>イワタニ首都圏(株)</t>
    <phoneticPr fontId="5"/>
  </si>
  <si>
    <t>サーラeエナジー(株)</t>
    <phoneticPr fontId="5"/>
  </si>
  <si>
    <t>(株)地球クラブ</t>
    <phoneticPr fontId="5"/>
  </si>
  <si>
    <t>西部瓦斯(株)</t>
    <phoneticPr fontId="5"/>
  </si>
  <si>
    <t>東邦ガス(株)</t>
    <phoneticPr fontId="5"/>
  </si>
  <si>
    <t>シナネン(株)</t>
    <phoneticPr fontId="5"/>
  </si>
  <si>
    <t>カワサキグリーンエナジー(株)</t>
    <phoneticPr fontId="5"/>
  </si>
  <si>
    <t>大一ガス(株)</t>
    <phoneticPr fontId="5"/>
  </si>
  <si>
    <t>(株)リミックスポイント</t>
    <phoneticPr fontId="5"/>
  </si>
  <si>
    <t>(株)中海テレビ放送</t>
    <phoneticPr fontId="5"/>
  </si>
  <si>
    <t>パシフィックパワー(株)</t>
    <phoneticPr fontId="5"/>
  </si>
  <si>
    <t>(株)ジェイコム札幌</t>
    <phoneticPr fontId="5"/>
  </si>
  <si>
    <t>鹿児島電力(株)</t>
    <phoneticPr fontId="5"/>
  </si>
  <si>
    <t>太陽ガス(株)</t>
    <phoneticPr fontId="5"/>
  </si>
  <si>
    <t>アーバンエナジー(株)</t>
    <phoneticPr fontId="5"/>
  </si>
  <si>
    <t>パワーネクスト(株)</t>
    <phoneticPr fontId="5"/>
  </si>
  <si>
    <t>合同会社北上新電力</t>
    <phoneticPr fontId="5"/>
  </si>
  <si>
    <t>(株)タクマエナジー</t>
    <phoneticPr fontId="5"/>
  </si>
  <si>
    <t>丸紅新電力(株)</t>
    <phoneticPr fontId="5"/>
  </si>
  <si>
    <t>奈良電力(株)</t>
    <phoneticPr fontId="5"/>
  </si>
  <si>
    <t>カナデビア(株)（旧:日立造船(株)）</t>
    <phoneticPr fontId="5"/>
  </si>
  <si>
    <t>大東ガス(株)</t>
    <phoneticPr fontId="5"/>
  </si>
  <si>
    <t>パナソニックオペレーショナルエクセレンス(株)</t>
    <phoneticPr fontId="5"/>
  </si>
  <si>
    <t>アストモスエネルギー(株)</t>
    <phoneticPr fontId="5"/>
  </si>
  <si>
    <t>(株)関電エネルギーソリューション</t>
    <phoneticPr fontId="5"/>
  </si>
  <si>
    <t>MCリテールエナジー(株)</t>
    <phoneticPr fontId="5"/>
  </si>
  <si>
    <t>(株)北九州パワー</t>
    <phoneticPr fontId="5"/>
  </si>
  <si>
    <t>武州瓦斯(株)</t>
    <phoneticPr fontId="5"/>
  </si>
  <si>
    <t>リニューアブル・ジャパン(株)</t>
    <phoneticPr fontId="5"/>
  </si>
  <si>
    <t>大垣ガス(株)</t>
    <phoneticPr fontId="5"/>
  </si>
  <si>
    <t>(株)藤田商店</t>
    <phoneticPr fontId="5"/>
  </si>
  <si>
    <t>(株)グローバルエンジニアリング</t>
    <phoneticPr fontId="5"/>
  </si>
  <si>
    <t>九州エナジー(株)</t>
    <phoneticPr fontId="5"/>
  </si>
  <si>
    <t>(株)トヨタエナジーソリューションズ</t>
    <phoneticPr fontId="5"/>
  </si>
  <si>
    <t>(株)エナリス・パワー・マーケティング</t>
    <phoneticPr fontId="5"/>
  </si>
  <si>
    <t>歌舞伎エナジー(株)</t>
    <phoneticPr fontId="5"/>
  </si>
  <si>
    <t>みやまスマートエネルギー(株)</t>
    <phoneticPr fontId="5"/>
  </si>
  <si>
    <t>エフィシエント(株)</t>
    <phoneticPr fontId="5"/>
  </si>
  <si>
    <t>(株)生活クラブエナジー</t>
    <phoneticPr fontId="5"/>
  </si>
  <si>
    <t>生活協同組合コープこうべ</t>
    <phoneticPr fontId="5"/>
  </si>
  <si>
    <t>(株)シーエナジー</t>
    <phoneticPr fontId="5"/>
  </si>
  <si>
    <t>角栄ガス(株)</t>
    <phoneticPr fontId="5"/>
  </si>
  <si>
    <t>京葉瓦斯(株)</t>
    <phoneticPr fontId="5"/>
  </si>
  <si>
    <t>TOPPANホールディングス(株)</t>
    <phoneticPr fontId="5"/>
  </si>
  <si>
    <t>伊勢崎ガス(株)</t>
    <phoneticPr fontId="5"/>
  </si>
  <si>
    <t>キヤノンマーケティングジャパン(株)</t>
    <phoneticPr fontId="5"/>
  </si>
  <si>
    <t>(株)とっとり市民電力</t>
    <phoneticPr fontId="5"/>
  </si>
  <si>
    <t>(株)エクスゲート(旧：(株)イーエムアイ)</t>
    <phoneticPr fontId="5"/>
  </si>
  <si>
    <t>佐野瓦斯(株)</t>
    <phoneticPr fontId="5"/>
  </si>
  <si>
    <t>桐生瓦斯(株)</t>
    <phoneticPr fontId="5"/>
  </si>
  <si>
    <t>森の電力(株)</t>
    <phoneticPr fontId="5"/>
  </si>
  <si>
    <t>大和ハウス工業(株)</t>
    <phoneticPr fontId="5"/>
  </si>
  <si>
    <t>HTBエナジー(株)</t>
    <phoneticPr fontId="5"/>
  </si>
  <si>
    <t>(株)アシストワンエナジー</t>
    <phoneticPr fontId="5"/>
  </si>
  <si>
    <t>(株)フソウ・エナジー</t>
    <phoneticPr fontId="5"/>
  </si>
  <si>
    <t>湘南電力(株)</t>
    <phoneticPr fontId="5"/>
  </si>
  <si>
    <t>大東建託パートナーズ(株)</t>
    <phoneticPr fontId="5"/>
  </si>
  <si>
    <t>Japan電力(株)</t>
    <phoneticPr fontId="5"/>
  </si>
  <si>
    <t>電源開発(株)</t>
    <phoneticPr fontId="5"/>
  </si>
  <si>
    <t>鈴与商事(株)</t>
    <phoneticPr fontId="5"/>
  </si>
  <si>
    <t>ワタミエナジー(株)</t>
    <phoneticPr fontId="5"/>
  </si>
  <si>
    <t>(株)パルシステム電力</t>
    <phoneticPr fontId="5"/>
  </si>
  <si>
    <t>SBパワー(株)</t>
    <phoneticPr fontId="5"/>
  </si>
  <si>
    <t>NFパワーサービス(株)</t>
    <phoneticPr fontId="5"/>
  </si>
  <si>
    <t>ひおき地域エネルギー(株)</t>
    <phoneticPr fontId="5"/>
  </si>
  <si>
    <t>和歌山電力(株)</t>
    <phoneticPr fontId="5"/>
  </si>
  <si>
    <t>日本瓦斯(株)(日本ガス(株))</t>
    <phoneticPr fontId="5"/>
  </si>
  <si>
    <t>九電みらいエナジー(株)</t>
    <phoneticPr fontId="5"/>
  </si>
  <si>
    <t>(株)フォレストパワー</t>
    <phoneticPr fontId="5"/>
  </si>
  <si>
    <t>日高都市ガス(株)</t>
    <phoneticPr fontId="5"/>
  </si>
  <si>
    <t>(株)アドバンテック</t>
    <phoneticPr fontId="5"/>
  </si>
  <si>
    <t>ローカルエナジー(株)</t>
    <phoneticPr fontId="5"/>
  </si>
  <si>
    <t>エネックス(株)</t>
    <phoneticPr fontId="5"/>
  </si>
  <si>
    <t>(株)レクスポート</t>
    <phoneticPr fontId="5"/>
  </si>
  <si>
    <t>なでしこ電力(株)</t>
    <phoneticPr fontId="5"/>
  </si>
  <si>
    <t>日田グリーン電力(株)</t>
    <phoneticPr fontId="5"/>
  </si>
  <si>
    <t>埼玉ガス(株)</t>
    <phoneticPr fontId="5"/>
  </si>
  <si>
    <t>宮崎パワーライン(株)</t>
    <phoneticPr fontId="5"/>
  </si>
  <si>
    <t>(株)パワー・オプティマイザー</t>
    <phoneticPr fontId="5"/>
  </si>
  <si>
    <t>(株)UーPOWER</t>
    <phoneticPr fontId="5"/>
  </si>
  <si>
    <t>(株)TTSパワー</t>
    <phoneticPr fontId="5"/>
  </si>
  <si>
    <t>(株)岩手ウッドパワー</t>
    <phoneticPr fontId="5"/>
  </si>
  <si>
    <t>里山パワーワークス(株)</t>
    <phoneticPr fontId="5"/>
  </si>
  <si>
    <t>(株)中之条パワー</t>
    <phoneticPr fontId="5"/>
  </si>
  <si>
    <t>日産トレーデイング(株)</t>
    <phoneticPr fontId="5"/>
  </si>
  <si>
    <t>(株)エネウィル</t>
    <phoneticPr fontId="5"/>
  </si>
  <si>
    <t>Next Power(株)</t>
    <phoneticPr fontId="5"/>
  </si>
  <si>
    <t>はりま電力(株)</t>
    <phoneticPr fontId="5"/>
  </si>
  <si>
    <t>(株)浜松新電力</t>
    <phoneticPr fontId="5"/>
  </si>
  <si>
    <t>ゼロワットパワー(株)</t>
    <phoneticPr fontId="5"/>
  </si>
  <si>
    <t>アストマックス(株)</t>
    <phoneticPr fontId="5"/>
  </si>
  <si>
    <t>(株)やまがた新電力</t>
    <phoneticPr fontId="5"/>
  </si>
  <si>
    <t>一般社団法人東松島みらいとし機構</t>
    <phoneticPr fontId="5"/>
  </si>
  <si>
    <t>(株)グリーンパワー大東</t>
    <phoneticPr fontId="5"/>
  </si>
  <si>
    <t>(株)シーラソーラー</t>
    <phoneticPr fontId="5"/>
  </si>
  <si>
    <t>御所野縄文電力(株)</t>
    <phoneticPr fontId="5"/>
  </si>
  <si>
    <t>(株)カーボンニュートラル</t>
    <phoneticPr fontId="5"/>
  </si>
  <si>
    <t>宮古新電力(株)</t>
    <phoneticPr fontId="5"/>
  </si>
  <si>
    <t>長崎地域電力(株)</t>
    <phoneticPr fontId="5"/>
  </si>
  <si>
    <t>(株)エネアーク関西</t>
    <phoneticPr fontId="5"/>
  </si>
  <si>
    <t>近畿電力(株)</t>
    <phoneticPr fontId="5"/>
  </si>
  <si>
    <t>新電力おおいた(株)</t>
    <phoneticPr fontId="5"/>
  </si>
  <si>
    <t>(株)日本セレモニー</t>
    <phoneticPr fontId="5"/>
  </si>
  <si>
    <t>(株)池見石油店</t>
    <phoneticPr fontId="5"/>
  </si>
  <si>
    <t>芝浦電力(株)</t>
    <phoneticPr fontId="5"/>
  </si>
  <si>
    <t>(株)地域創生ホールディングス</t>
    <phoneticPr fontId="5"/>
  </si>
  <si>
    <t>(株)エーコープサービス</t>
    <phoneticPr fontId="5"/>
  </si>
  <si>
    <t>宮崎瓦斯(株)(旧：(株)宮崎ガスリビング)</t>
    <phoneticPr fontId="5"/>
  </si>
  <si>
    <t>山陰エレキ・アライアンス(株)</t>
    <phoneticPr fontId="5"/>
  </si>
  <si>
    <t>(株)ジョヴィ</t>
    <phoneticPr fontId="5"/>
  </si>
  <si>
    <t xml:space="preserve">ミライフ東日本(株) </t>
    <phoneticPr fontId="5"/>
  </si>
  <si>
    <t>山陰酸素工業(株)</t>
    <phoneticPr fontId="5"/>
  </si>
  <si>
    <t>武陽ガス(株)</t>
    <phoneticPr fontId="5"/>
  </si>
  <si>
    <t>常石商事(株)</t>
    <phoneticPr fontId="5"/>
  </si>
  <si>
    <t>北海道電力(株)</t>
    <phoneticPr fontId="5"/>
  </si>
  <si>
    <t>東北電力(株)</t>
    <phoneticPr fontId="5"/>
  </si>
  <si>
    <t>中部電力ミライズ(株)</t>
    <phoneticPr fontId="5"/>
  </si>
  <si>
    <t>北陸電力(株)</t>
    <phoneticPr fontId="5"/>
  </si>
  <si>
    <t>関西電力(株)</t>
    <phoneticPr fontId="5"/>
  </si>
  <si>
    <t>中国電力(株)</t>
    <phoneticPr fontId="5"/>
  </si>
  <si>
    <t>四国電力(株)</t>
    <phoneticPr fontId="5"/>
  </si>
  <si>
    <t>九州電力(株)</t>
    <phoneticPr fontId="5"/>
  </si>
  <si>
    <t>沖縄電力(株)</t>
    <phoneticPr fontId="5"/>
  </si>
  <si>
    <t>北日本石油(株)</t>
    <phoneticPr fontId="5"/>
  </si>
  <si>
    <t>千葉電力(株)</t>
    <phoneticPr fontId="5"/>
  </si>
  <si>
    <t>やめエネルギー(株)</t>
    <phoneticPr fontId="5"/>
  </si>
  <si>
    <t>(株)アースインフィニティ</t>
    <phoneticPr fontId="5"/>
  </si>
  <si>
    <t>足利ガス(株)</t>
    <phoneticPr fontId="5"/>
  </si>
  <si>
    <t>(株)Misumi</t>
    <phoneticPr fontId="5"/>
  </si>
  <si>
    <t>米子瓦斯(株)</t>
    <phoneticPr fontId="5"/>
  </si>
  <si>
    <t>(株)エルピオ</t>
    <phoneticPr fontId="5"/>
  </si>
  <si>
    <t>浜田ガス(株)</t>
    <phoneticPr fontId="5"/>
  </si>
  <si>
    <t>(株)アメニティ電力</t>
    <phoneticPr fontId="5"/>
  </si>
  <si>
    <t>岡田建設(株)</t>
    <phoneticPr fontId="5"/>
  </si>
  <si>
    <t>出雲ガス(株)</t>
    <phoneticPr fontId="5"/>
  </si>
  <si>
    <t>一般社団法人グリーンコープでんき</t>
    <phoneticPr fontId="5"/>
  </si>
  <si>
    <t>公益財団法人東京都環境公社</t>
    <phoneticPr fontId="5"/>
  </si>
  <si>
    <t>(株)ファミリーネット・ジャパン</t>
    <phoneticPr fontId="5"/>
  </si>
  <si>
    <t>MKステーションズ(株)</t>
    <phoneticPr fontId="5"/>
  </si>
  <si>
    <t>フラワーペイメント(株)</t>
    <phoneticPr fontId="5"/>
  </si>
  <si>
    <t>(株)JTBコミュニケーションデザイン</t>
    <phoneticPr fontId="5"/>
  </si>
  <si>
    <t>全農エネルギー(株)</t>
    <phoneticPr fontId="5"/>
  </si>
  <si>
    <t>(株)ハルエネ</t>
    <phoneticPr fontId="5"/>
  </si>
  <si>
    <t>(株)ビビット</t>
    <phoneticPr fontId="5"/>
  </si>
  <si>
    <t>(株)おおた電力</t>
    <phoneticPr fontId="5"/>
  </si>
  <si>
    <t>伊藤忠プランテック(株)</t>
    <phoneticPr fontId="5"/>
  </si>
  <si>
    <t>(株)オカモト</t>
    <phoneticPr fontId="5"/>
  </si>
  <si>
    <t>キタコー(株)</t>
    <phoneticPr fontId="5"/>
  </si>
  <si>
    <t>香川電力(株)　</t>
    <phoneticPr fontId="5"/>
  </si>
  <si>
    <t>(株)PinT</t>
    <phoneticPr fontId="5"/>
  </si>
  <si>
    <t>(株)沖縄ガスニューパワー</t>
    <phoneticPr fontId="5"/>
  </si>
  <si>
    <t>諏訪瓦斯(株)</t>
    <phoneticPr fontId="5"/>
  </si>
  <si>
    <t>エッセンシャルエナジー(株)</t>
    <phoneticPr fontId="5"/>
  </si>
  <si>
    <t>(株)いちき串木野電力</t>
    <phoneticPr fontId="5"/>
  </si>
  <si>
    <t>(株)クローバー・テクノロジーズ</t>
    <phoneticPr fontId="5"/>
  </si>
  <si>
    <t>西武ガス(株)</t>
    <phoneticPr fontId="5"/>
  </si>
  <si>
    <t>松本ガス(株)</t>
    <phoneticPr fontId="5"/>
  </si>
  <si>
    <t>南部だんだんエナジー(株)</t>
    <phoneticPr fontId="5"/>
  </si>
  <si>
    <t>(株)エフエネ</t>
    <phoneticPr fontId="5"/>
  </si>
  <si>
    <t>こなんウルトラパワー(株)</t>
    <phoneticPr fontId="5"/>
  </si>
  <si>
    <t>(株)CHIBAむつざわエナジー</t>
    <phoneticPr fontId="5"/>
  </si>
  <si>
    <t>(株)関西空調</t>
    <phoneticPr fontId="5"/>
  </si>
  <si>
    <t>奥出雲電力(株)</t>
    <phoneticPr fontId="5"/>
  </si>
  <si>
    <t>レジル(株)</t>
    <phoneticPr fontId="5"/>
  </si>
  <si>
    <t>(株)成田香取エネルギー</t>
    <phoneticPr fontId="5"/>
  </si>
  <si>
    <t>(株)CWS</t>
    <phoneticPr fontId="5"/>
  </si>
  <si>
    <t>ふくしま新電力(株)</t>
    <phoneticPr fontId="5"/>
  </si>
  <si>
    <t>ティーダッシュ合同会社</t>
    <phoneticPr fontId="5"/>
  </si>
  <si>
    <t>(株)エネクスライフサービス</t>
    <phoneticPr fontId="5"/>
  </si>
  <si>
    <t>ネイチャーエナジー小国(株)</t>
    <phoneticPr fontId="5"/>
  </si>
  <si>
    <t>リエスパワーネクスト(株)</t>
    <phoneticPr fontId="5"/>
  </si>
  <si>
    <t>エネルギーパワー(株)</t>
    <phoneticPr fontId="5"/>
  </si>
  <si>
    <t>(株)グリムスパワー</t>
    <phoneticPr fontId="5"/>
  </si>
  <si>
    <t>自然電力(株)</t>
    <phoneticPr fontId="5"/>
  </si>
  <si>
    <t>本庄ガス(株)</t>
    <phoneticPr fontId="5"/>
  </si>
  <si>
    <t>青森県民エナジー(株)</t>
    <phoneticPr fontId="5"/>
  </si>
  <si>
    <t>国際航業(株)</t>
    <phoneticPr fontId="5"/>
  </si>
  <si>
    <t>ローカルでんき(株)</t>
    <phoneticPr fontId="5"/>
  </si>
  <si>
    <t>(株)明治産業</t>
    <phoneticPr fontId="5"/>
  </si>
  <si>
    <t>岡山電力(株)</t>
    <phoneticPr fontId="5"/>
  </si>
  <si>
    <t>ミライフ(株)</t>
    <phoneticPr fontId="5"/>
  </si>
  <si>
    <t>楽天モバイル(株)(旧：楽天エナジー(株))</t>
    <phoneticPr fontId="5"/>
  </si>
  <si>
    <t>うすきエネルギー(株)</t>
    <phoneticPr fontId="5"/>
  </si>
  <si>
    <t>森のエネルギー(株)</t>
    <phoneticPr fontId="5"/>
  </si>
  <si>
    <t>岐阜電力(株)</t>
    <phoneticPr fontId="5"/>
  </si>
  <si>
    <t>名南共同エネルギー(株)</t>
    <phoneticPr fontId="5"/>
  </si>
  <si>
    <t>Apaman Energy(株)</t>
    <phoneticPr fontId="5"/>
  </si>
  <si>
    <t>アストマックス・エネルギー(株)</t>
    <phoneticPr fontId="5"/>
  </si>
  <si>
    <t>ALL GREEN POWER(株)</t>
    <phoneticPr fontId="5"/>
  </si>
  <si>
    <t>福井電力(株)</t>
    <phoneticPr fontId="5"/>
  </si>
  <si>
    <t>(株)MKエネルギー</t>
    <phoneticPr fontId="5"/>
  </si>
  <si>
    <t>エネラボ(株)</t>
    <phoneticPr fontId="5"/>
  </si>
  <si>
    <t>スマートエナジー磐田(株)</t>
    <phoneticPr fontId="5"/>
  </si>
  <si>
    <t>そうまIグリッド合同会社</t>
    <phoneticPr fontId="5"/>
  </si>
  <si>
    <t>エネトレード(株)</t>
    <phoneticPr fontId="5"/>
  </si>
  <si>
    <t>ニシムラ(株)</t>
    <phoneticPr fontId="5"/>
  </si>
  <si>
    <t>(株)さくら新電力</t>
    <phoneticPr fontId="5"/>
  </si>
  <si>
    <t>(株)グローアップ</t>
    <phoneticPr fontId="5"/>
  </si>
  <si>
    <t>いこま市民パワー(株)</t>
    <phoneticPr fontId="5"/>
  </si>
  <si>
    <t>おもてなし山形(株)</t>
    <phoneticPr fontId="5"/>
  </si>
  <si>
    <t>長野都市ガス(株)</t>
    <phoneticPr fontId="5"/>
  </si>
  <si>
    <t>上田ガス(株)</t>
    <phoneticPr fontId="5"/>
  </si>
  <si>
    <t>日本瓦斯(株)</t>
    <phoneticPr fontId="5"/>
  </si>
  <si>
    <t>(株)シグナストラスト</t>
    <phoneticPr fontId="5"/>
  </si>
  <si>
    <t>ゲーテハウス(株)</t>
    <phoneticPr fontId="5"/>
  </si>
  <si>
    <t>JPエネルギー(株)</t>
    <phoneticPr fontId="5"/>
  </si>
  <si>
    <t>兵庫電力(株)</t>
    <phoneticPr fontId="5"/>
  </si>
  <si>
    <t>Cocoテラスたがわ(株)</t>
    <phoneticPr fontId="5"/>
  </si>
  <si>
    <t>東北電力エナジートレーディング(株)</t>
    <phoneticPr fontId="5"/>
  </si>
  <si>
    <t>(株)まち未来製作所</t>
    <phoneticPr fontId="5"/>
  </si>
  <si>
    <t>(株)どさんこパワー</t>
    <phoneticPr fontId="5"/>
  </si>
  <si>
    <t>トリニティエナジー(株)</t>
    <phoneticPr fontId="5"/>
  </si>
  <si>
    <t>(株)LIXIL TEPCO スマートパートナーズ</t>
    <phoneticPr fontId="5"/>
  </si>
  <si>
    <t>(株)NEXT ONE</t>
    <phoneticPr fontId="5"/>
  </si>
  <si>
    <t>(株)テラス(旧：(株)ネオ・コーポレーション)</t>
    <phoneticPr fontId="5"/>
  </si>
  <si>
    <t>つばさでんき(株)(旧：(株)アルファライズ)</t>
    <phoneticPr fontId="5"/>
  </si>
  <si>
    <t>おおすみ半島スマートエネルギー(株)</t>
    <phoneticPr fontId="5"/>
  </si>
  <si>
    <t>おきなわコープエナジー(株)</t>
    <phoneticPr fontId="5"/>
  </si>
  <si>
    <t>久慈地域エネルギー(株)</t>
    <phoneticPr fontId="5"/>
  </si>
  <si>
    <t>弘前ガス(株)</t>
    <phoneticPr fontId="5"/>
  </si>
  <si>
    <t>(株)フォーバルテレコム</t>
    <phoneticPr fontId="5"/>
  </si>
  <si>
    <t>(株)ストエネ</t>
    <phoneticPr fontId="5"/>
  </si>
  <si>
    <t>くるめエネルギー(株)</t>
    <phoneticPr fontId="5"/>
  </si>
  <si>
    <t>松阪新電力(株)</t>
    <phoneticPr fontId="5"/>
  </si>
  <si>
    <t>ヒューリックプロパティソリューション(株)</t>
    <phoneticPr fontId="5"/>
  </si>
  <si>
    <t>宮崎電力(株)</t>
    <phoneticPr fontId="5"/>
  </si>
  <si>
    <t>(株)CDエナジーダイレクト</t>
    <phoneticPr fontId="5"/>
  </si>
  <si>
    <t>Q.ENESTでんき(株)</t>
    <phoneticPr fontId="5"/>
  </si>
  <si>
    <t>(株)ぶんごおおのエナジー</t>
    <phoneticPr fontId="5"/>
  </si>
  <si>
    <t>ヴィジョナリーパワー(株)</t>
    <phoneticPr fontId="5"/>
  </si>
  <si>
    <t>有明エナジー(株)</t>
    <phoneticPr fontId="5"/>
  </si>
  <si>
    <t>厚木瓦斯(株)</t>
    <phoneticPr fontId="5"/>
  </si>
  <si>
    <t>(株)エネ・ビジョン</t>
    <phoneticPr fontId="5"/>
  </si>
  <si>
    <t>イワタニ三重(株)</t>
    <phoneticPr fontId="5"/>
  </si>
  <si>
    <t>(株)マルヰ</t>
    <phoneticPr fontId="5"/>
  </si>
  <si>
    <t>大多喜ガス(株)</t>
    <phoneticPr fontId="5"/>
  </si>
  <si>
    <t>鈴与電力(株)</t>
    <phoneticPr fontId="5"/>
  </si>
  <si>
    <t>コープ電力(株)</t>
    <phoneticPr fontId="5"/>
  </si>
  <si>
    <t>亀岡ふるさとエナジー(株)</t>
    <phoneticPr fontId="5"/>
  </si>
  <si>
    <t>(株)織戸組</t>
    <phoneticPr fontId="5"/>
  </si>
  <si>
    <t>ふかやeパワー(株)</t>
    <phoneticPr fontId="5"/>
  </si>
  <si>
    <t>(株)Link Life</t>
    <phoneticPr fontId="5"/>
  </si>
  <si>
    <t>(株)グローバルキャスト</t>
    <phoneticPr fontId="5"/>
  </si>
  <si>
    <t>日本エネルギー総合システム(株)</t>
    <phoneticPr fontId="5"/>
  </si>
  <si>
    <t>イワタニ東海(株)</t>
    <phoneticPr fontId="5"/>
  </si>
  <si>
    <t>(株)ところざわ未来電力</t>
    <phoneticPr fontId="5"/>
  </si>
  <si>
    <t>朝日ガスエナジー(株)</t>
    <phoneticPr fontId="5"/>
  </si>
  <si>
    <t>(株)エネファント</t>
    <phoneticPr fontId="5"/>
  </si>
  <si>
    <t>(株)エスエナジー</t>
    <phoneticPr fontId="5"/>
  </si>
  <si>
    <t>(株)フリクト電力(旧：(株)Mpower)</t>
    <phoneticPr fontId="5"/>
  </si>
  <si>
    <t>秩父新電力(株)</t>
    <phoneticPr fontId="5"/>
  </si>
  <si>
    <t>みよしエナジー(株)</t>
    <phoneticPr fontId="5"/>
  </si>
  <si>
    <t>綿半パートナーズ(株)</t>
    <phoneticPr fontId="5"/>
  </si>
  <si>
    <t>(株)karch</t>
    <phoneticPr fontId="5"/>
  </si>
  <si>
    <t>(株)かみでん里山公社</t>
    <phoneticPr fontId="5"/>
  </si>
  <si>
    <t>(株)三郷ひまわりエナジー</t>
    <phoneticPr fontId="5"/>
  </si>
  <si>
    <t>(株)球磨村森電力</t>
    <phoneticPr fontId="5"/>
  </si>
  <si>
    <t>くこくエネルギー(株)</t>
    <phoneticPr fontId="5"/>
  </si>
  <si>
    <t>(株)エコログ</t>
    <phoneticPr fontId="5"/>
  </si>
  <si>
    <t>飯田まちづくり電力(株)</t>
    <phoneticPr fontId="5"/>
  </si>
  <si>
    <t>イワタニ長野(株)</t>
    <phoneticPr fontId="5"/>
  </si>
  <si>
    <t>シェルジャパン(株)</t>
    <phoneticPr fontId="5"/>
  </si>
  <si>
    <t>石油資源開発(株)</t>
    <phoneticPr fontId="5"/>
  </si>
  <si>
    <t>越後天然ガス(株)</t>
    <phoneticPr fontId="5"/>
  </si>
  <si>
    <t>坂戸ガス(株)</t>
    <phoneticPr fontId="5"/>
  </si>
  <si>
    <t>(株)デベロップ</t>
    <phoneticPr fontId="5"/>
  </si>
  <si>
    <t>(株)テレ・マーカー</t>
    <phoneticPr fontId="5"/>
  </si>
  <si>
    <t>MGCエネルギー(株)</t>
    <phoneticPr fontId="5"/>
  </si>
  <si>
    <t>福島フェニックス電力(株)</t>
    <phoneticPr fontId="5"/>
  </si>
  <si>
    <t>(株)美作国電力</t>
    <phoneticPr fontId="5"/>
  </si>
  <si>
    <t>八幡商事(株)</t>
    <phoneticPr fontId="5"/>
  </si>
  <si>
    <t>おいでんエネルギー(株)</t>
    <phoneticPr fontId="5"/>
  </si>
  <si>
    <t>(株)イシオ</t>
    <phoneticPr fontId="5"/>
  </si>
  <si>
    <t>北陸電力ビズ・エナジーソリューション(株)</t>
    <phoneticPr fontId="5"/>
  </si>
  <si>
    <t>リニューアブルトレード(株)</t>
    <phoneticPr fontId="5"/>
  </si>
  <si>
    <t>ICT伊那みらいでんき(株)(旧:丸紅伊那みらいでんき(株))</t>
    <phoneticPr fontId="5"/>
  </si>
  <si>
    <t>富士山エナジー(株)</t>
    <phoneticPr fontId="5"/>
  </si>
  <si>
    <t>WSエナジー(株)</t>
    <phoneticPr fontId="5"/>
  </si>
  <si>
    <t>TERA Energy(株)</t>
    <phoneticPr fontId="5"/>
  </si>
  <si>
    <t>MCPD(株)</t>
    <phoneticPr fontId="5"/>
  </si>
  <si>
    <t>グリーンシティこばやし(株)</t>
    <phoneticPr fontId="5"/>
  </si>
  <si>
    <t>(株)吉田石油店</t>
    <phoneticPr fontId="5"/>
  </si>
  <si>
    <t>スマートエナジー熊本(株)</t>
    <phoneticPr fontId="5"/>
  </si>
  <si>
    <t>福山未来エナジー(株)</t>
    <phoneticPr fontId="5"/>
  </si>
  <si>
    <t>五島市民電力(株)</t>
    <phoneticPr fontId="5"/>
  </si>
  <si>
    <t>リストプロパティーズ(株)</t>
    <phoneticPr fontId="5"/>
  </si>
  <si>
    <t>(株)情熱電力</t>
    <phoneticPr fontId="5"/>
  </si>
  <si>
    <t>バンプーパワートレーディング合同会社</t>
    <phoneticPr fontId="5"/>
  </si>
  <si>
    <t>(株)センカク</t>
    <phoneticPr fontId="5"/>
  </si>
  <si>
    <t>(株)ミナサポ</t>
    <phoneticPr fontId="5"/>
  </si>
  <si>
    <t>唐津電力(株)</t>
    <phoneticPr fontId="5"/>
  </si>
  <si>
    <t>RE100電力(株)</t>
    <phoneticPr fontId="5"/>
  </si>
  <si>
    <t>日本エネルギーファーム(株)</t>
    <phoneticPr fontId="5"/>
  </si>
  <si>
    <t>(株)イーネットワーク</t>
    <phoneticPr fontId="5"/>
  </si>
  <si>
    <t>スマートエコエナジー(株)</t>
    <phoneticPr fontId="5"/>
  </si>
  <si>
    <t>(株)LENETS</t>
    <phoneticPr fontId="5"/>
  </si>
  <si>
    <t>アイエスジー(株)</t>
    <phoneticPr fontId="5"/>
  </si>
  <si>
    <t>(株)エネクル</t>
    <phoneticPr fontId="5"/>
  </si>
  <si>
    <t>フィンテックラボ協同組合</t>
    <phoneticPr fontId="5"/>
  </si>
  <si>
    <t>新電力新潟(株)</t>
    <phoneticPr fontId="5"/>
  </si>
  <si>
    <t>(株)タケエイでんき</t>
    <phoneticPr fontId="5"/>
  </si>
  <si>
    <t>気仙沼グリーンエナジー(株)</t>
    <phoneticPr fontId="5"/>
  </si>
  <si>
    <t>(株)ユーラスグリーンエナジー</t>
    <phoneticPr fontId="5"/>
  </si>
  <si>
    <t>酒田天然瓦斯(株)</t>
    <phoneticPr fontId="5"/>
  </si>
  <si>
    <t>東亜ガス(株)</t>
    <phoneticPr fontId="5"/>
  </si>
  <si>
    <t>(株)三河の山里コミュニティパワー</t>
    <phoneticPr fontId="5"/>
  </si>
  <si>
    <t>新潟スワンエナジー(株)</t>
    <phoneticPr fontId="5"/>
  </si>
  <si>
    <t>グリーンピープルズパワー(株)</t>
    <phoneticPr fontId="5"/>
  </si>
  <si>
    <t>(株)マルイファシリティーズ</t>
    <phoneticPr fontId="5"/>
  </si>
  <si>
    <t>(株)デンケン</t>
    <phoneticPr fontId="5"/>
  </si>
  <si>
    <t>(株)東名</t>
    <phoneticPr fontId="5"/>
  </si>
  <si>
    <t>NTTアノードエナジー(株)</t>
    <phoneticPr fontId="5"/>
  </si>
  <si>
    <t>スマート電気(株)</t>
    <phoneticPr fontId="5"/>
  </si>
  <si>
    <t>(株)唐津パワーホールディングス</t>
    <phoneticPr fontId="5"/>
  </si>
  <si>
    <t>(株)クリーンエネルギー総合研究所</t>
    <phoneticPr fontId="5"/>
  </si>
  <si>
    <t>(株)かづのパワー</t>
    <phoneticPr fontId="5"/>
  </si>
  <si>
    <t>UNIVERGY(株)</t>
    <phoneticPr fontId="5"/>
  </si>
  <si>
    <t>デジタルグリッド(株)</t>
    <phoneticPr fontId="5"/>
  </si>
  <si>
    <t>(株)西九州させぼパワーズ</t>
    <phoneticPr fontId="5"/>
  </si>
  <si>
    <t>たんたんエナジー(株)</t>
    <phoneticPr fontId="5"/>
  </si>
  <si>
    <t>(株)能勢・豊能まちづくり</t>
    <phoneticPr fontId="5"/>
  </si>
  <si>
    <t>(株)再エネ思考電力</t>
    <phoneticPr fontId="5"/>
  </si>
  <si>
    <t>(株)スマート</t>
    <phoneticPr fontId="5"/>
  </si>
  <si>
    <t>(株)ジャパネットサービスイノベーション</t>
    <phoneticPr fontId="5"/>
  </si>
  <si>
    <t>KBN(株)</t>
    <phoneticPr fontId="5"/>
  </si>
  <si>
    <t>(株)しおさい電力</t>
    <phoneticPr fontId="5"/>
  </si>
  <si>
    <t>会津エナジー(株)</t>
    <phoneticPr fontId="5"/>
  </si>
  <si>
    <t>うべ未来エネルギー(株)</t>
    <phoneticPr fontId="5"/>
  </si>
  <si>
    <t>永井自動車工業(株)</t>
    <phoneticPr fontId="5"/>
  </si>
  <si>
    <t>陸前高田しみんエネルギー(株)</t>
    <phoneticPr fontId="5"/>
  </si>
  <si>
    <t>(株)チャームドライフ</t>
    <phoneticPr fontId="5"/>
  </si>
  <si>
    <t>スターティア(株)</t>
    <phoneticPr fontId="5"/>
  </si>
  <si>
    <t>東広島スマートエネルギー(株)</t>
    <phoneticPr fontId="5"/>
  </si>
  <si>
    <t>旭化成(株)</t>
    <phoneticPr fontId="5"/>
  </si>
  <si>
    <t>京和ガス(株)</t>
    <phoneticPr fontId="5"/>
  </si>
  <si>
    <t>KMパワー(株)</t>
    <phoneticPr fontId="5"/>
  </si>
  <si>
    <t>(株)Okazaki</t>
    <phoneticPr fontId="5"/>
  </si>
  <si>
    <t>(株)エフオン</t>
    <phoneticPr fontId="5"/>
  </si>
  <si>
    <t>(株)岡崎さくら電力</t>
    <phoneticPr fontId="5"/>
  </si>
  <si>
    <t>旭マルヰ(株)(旧：旭マルヰガス(株))</t>
    <phoneticPr fontId="5"/>
  </si>
  <si>
    <t>ENEOSリニューアブル・エナジー・ソリューションズ(株)(旧：JREトレーディング(株))</t>
    <phoneticPr fontId="5"/>
  </si>
  <si>
    <t>Castleton Commodities Japan合同会社</t>
    <phoneticPr fontId="5"/>
  </si>
  <si>
    <t>神戸電力(株)</t>
    <phoneticPr fontId="5"/>
  </si>
  <si>
    <t>Valhall合同会社</t>
    <phoneticPr fontId="5"/>
  </si>
  <si>
    <t>エア・ウォーター・ライフソリューション(株)</t>
    <phoneticPr fontId="5"/>
  </si>
  <si>
    <t>生活協同組合ひろしま</t>
    <phoneticPr fontId="5"/>
  </si>
  <si>
    <t>(株)RenoLabo</t>
    <phoneticPr fontId="5"/>
  </si>
  <si>
    <t>アークエルテクノロジーズ(株)</t>
    <phoneticPr fontId="5"/>
  </si>
  <si>
    <t>エルメック(株)</t>
    <phoneticPr fontId="5"/>
  </si>
  <si>
    <t>(株)オズエナジー</t>
    <phoneticPr fontId="5"/>
  </si>
  <si>
    <t>レモンガス(株)</t>
    <phoneticPr fontId="5"/>
  </si>
  <si>
    <t>(株)日本海水</t>
    <phoneticPr fontId="5"/>
  </si>
  <si>
    <t>しろくま電力(株)</t>
    <phoneticPr fontId="5"/>
  </si>
  <si>
    <t>中小企業支援(株)</t>
    <phoneticPr fontId="5"/>
  </si>
  <si>
    <t>サントラベラーズサービス有限会社</t>
    <phoneticPr fontId="5"/>
  </si>
  <si>
    <t>八千代エンジニヤリング(株)</t>
    <phoneticPr fontId="5"/>
  </si>
  <si>
    <t>神楽電力(株)</t>
    <phoneticPr fontId="5"/>
  </si>
  <si>
    <t>ゆきぐに新電力(株)</t>
    <phoneticPr fontId="5"/>
  </si>
  <si>
    <t>(株)ながさきサステナエナジー</t>
    <phoneticPr fontId="5"/>
  </si>
  <si>
    <t>葛尾創生電力(株)</t>
    <phoneticPr fontId="5"/>
  </si>
  <si>
    <t>(株)EFでんき(旧：(株)ライフエナジー)</t>
    <phoneticPr fontId="5"/>
  </si>
  <si>
    <t>(株)グルーヴエナジー</t>
    <phoneticPr fontId="5"/>
  </si>
  <si>
    <t>高知ニューエナジー(株)</t>
    <phoneticPr fontId="5"/>
  </si>
  <si>
    <t>もみじ電力(株)</t>
    <phoneticPr fontId="5"/>
  </si>
  <si>
    <t>(株)縁人</t>
    <phoneticPr fontId="5"/>
  </si>
  <si>
    <t>T＆Tエナジー(株)</t>
    <phoneticPr fontId="5"/>
  </si>
  <si>
    <t>(株)ルーク</t>
    <phoneticPr fontId="5"/>
  </si>
  <si>
    <t>かけがわ報徳パワー(株)</t>
    <phoneticPr fontId="5"/>
  </si>
  <si>
    <t>SustainableEnergy(株)</t>
    <phoneticPr fontId="5"/>
  </si>
  <si>
    <t>穂の国とよはし電力(株)</t>
    <phoneticPr fontId="5"/>
  </si>
  <si>
    <t>イワタニセントラル北海道(株)</t>
    <phoneticPr fontId="5"/>
  </si>
  <si>
    <t>ホームタウンエナジー(株)</t>
    <phoneticPr fontId="5"/>
  </si>
  <si>
    <t>(株)彩の国でんき</t>
    <phoneticPr fontId="5"/>
  </si>
  <si>
    <t>(株)みやきエネルギー</t>
    <phoneticPr fontId="5"/>
  </si>
  <si>
    <t>(株)クリーンベンチャー21</t>
    <phoneticPr fontId="5"/>
  </si>
  <si>
    <t>三河商事(株)</t>
    <phoneticPr fontId="5"/>
  </si>
  <si>
    <t>沖縄新エネ開発(株)</t>
    <phoneticPr fontId="5"/>
  </si>
  <si>
    <t>(株)ほくだん</t>
    <phoneticPr fontId="5"/>
  </si>
  <si>
    <t>(株)エスコ</t>
    <phoneticPr fontId="5"/>
  </si>
  <si>
    <t>(株)Qvou</t>
    <phoneticPr fontId="5"/>
  </si>
  <si>
    <t>住友商事(株)</t>
    <phoneticPr fontId="5"/>
  </si>
  <si>
    <t>(株)丸の内電力</t>
    <phoneticPr fontId="5"/>
  </si>
  <si>
    <t>(株)中京電力</t>
    <phoneticPr fontId="5"/>
  </si>
  <si>
    <t>(株)クオリティプラス</t>
    <phoneticPr fontId="5"/>
  </si>
  <si>
    <t>Y.W.C.(株)</t>
    <phoneticPr fontId="5"/>
  </si>
  <si>
    <t>(株)MTエナジー</t>
    <phoneticPr fontId="5"/>
  </si>
  <si>
    <t>TGオクトパスエナジー(株)</t>
    <phoneticPr fontId="5"/>
  </si>
  <si>
    <t>東北電力フロンティア(株)</t>
    <phoneticPr fontId="5"/>
  </si>
  <si>
    <t>(株)ファラデー</t>
    <phoneticPr fontId="5"/>
  </si>
  <si>
    <t>三菱HCキャピタルエナジー(株)</t>
    <phoneticPr fontId="5"/>
  </si>
  <si>
    <t>(株)Meisin</t>
    <phoneticPr fontId="5"/>
  </si>
  <si>
    <t>大塚ビジネスサポート(株)</t>
    <phoneticPr fontId="5"/>
  </si>
  <si>
    <t>出雲ケーブルビジョン(株)</t>
    <phoneticPr fontId="5"/>
  </si>
  <si>
    <t>いずも縁結び電力(株)</t>
    <phoneticPr fontId="5"/>
  </si>
  <si>
    <t>恵那電力(株)</t>
    <phoneticPr fontId="5"/>
  </si>
  <si>
    <t>宇都宮ライトパワー(株)</t>
    <phoneticPr fontId="5"/>
  </si>
  <si>
    <t>帯広電力(株)</t>
    <phoneticPr fontId="5"/>
  </si>
  <si>
    <t>フジ物産(株)</t>
    <phoneticPr fontId="5"/>
  </si>
  <si>
    <t>金沢エナジー(株)</t>
    <phoneticPr fontId="5"/>
  </si>
  <si>
    <t>(株)なんとエナジー</t>
    <phoneticPr fontId="5"/>
  </si>
  <si>
    <t>(株)ボーダレス・ジャパン</t>
    <phoneticPr fontId="5"/>
  </si>
  <si>
    <t>(株)ワット</t>
    <phoneticPr fontId="5"/>
  </si>
  <si>
    <t>ジケイ・スペース(株)</t>
    <phoneticPr fontId="5"/>
  </si>
  <si>
    <t>広島ガス(株)</t>
    <phoneticPr fontId="5"/>
  </si>
  <si>
    <t>(株)IQg</t>
    <phoneticPr fontId="5"/>
  </si>
  <si>
    <t>最適でんき(株)（旧：エナジーサプライ(株)）</t>
    <phoneticPr fontId="5"/>
  </si>
  <si>
    <t>(株)FPS</t>
    <phoneticPr fontId="5"/>
  </si>
  <si>
    <t>大熊るるるん電力(株)</t>
    <phoneticPr fontId="5"/>
  </si>
  <si>
    <t>(株)レックス</t>
    <phoneticPr fontId="5"/>
  </si>
  <si>
    <t>おきたま新電力(株)</t>
    <phoneticPr fontId="5"/>
  </si>
  <si>
    <t>河原実業(株)</t>
    <phoneticPr fontId="5"/>
  </si>
  <si>
    <t>(株)stc</t>
    <phoneticPr fontId="5"/>
  </si>
  <si>
    <t>(株)工営エナジー</t>
    <phoneticPr fontId="5"/>
  </si>
  <si>
    <t>アースシグナルソリューションズ(株)</t>
    <phoneticPr fontId="5"/>
  </si>
  <si>
    <t>シントウエナジー(株)</t>
    <phoneticPr fontId="5"/>
  </si>
  <si>
    <t>那須野ヶ原みらい電力(株)</t>
    <phoneticPr fontId="5"/>
  </si>
  <si>
    <t>柏崎あい・あーるエナジー(株)</t>
    <phoneticPr fontId="5"/>
  </si>
  <si>
    <t>京セラ(株)</t>
    <phoneticPr fontId="5"/>
  </si>
  <si>
    <t>(株)鳥取みらい電力</t>
    <phoneticPr fontId="5"/>
  </si>
  <si>
    <t>鈴鹿グリーンエナジー(株)</t>
    <phoneticPr fontId="5"/>
  </si>
  <si>
    <t>一般社団法人東北自動車産業グリーンエネルギー普及協会</t>
    <phoneticPr fontId="5"/>
  </si>
  <si>
    <t>刈谷知立みらい電力(株)</t>
    <phoneticPr fontId="5"/>
  </si>
  <si>
    <t>(株)パワーエックス</t>
    <phoneticPr fontId="5"/>
  </si>
  <si>
    <t>いちのみや未来エネルギー(株)</t>
    <phoneticPr fontId="5"/>
  </si>
  <si>
    <t>岡谷酸素(株)</t>
    <phoneticPr fontId="5"/>
  </si>
  <si>
    <t>(株)絆</t>
    <phoneticPr fontId="5"/>
  </si>
  <si>
    <t>東北エネルギーサービス(株)</t>
    <phoneticPr fontId="5"/>
  </si>
  <si>
    <t>(株)いなしきエナジー</t>
    <phoneticPr fontId="5"/>
  </si>
  <si>
    <t>ながのスマートパワー(株)</t>
    <phoneticPr fontId="5"/>
  </si>
  <si>
    <t>(株)ホクレン油機サービス</t>
    <phoneticPr fontId="5"/>
  </si>
  <si>
    <t>(株)JR東日本商事</t>
    <phoneticPr fontId="5"/>
  </si>
  <si>
    <t>岡山ガス(株)</t>
    <phoneticPr fontId="5"/>
  </si>
  <si>
    <t>合同会社グリーンパワーリテイリング</t>
    <phoneticPr fontId="5"/>
  </si>
  <si>
    <t>川崎未来エナジー(株)</t>
    <phoneticPr fontId="5"/>
  </si>
  <si>
    <t>(株)いずみみらい</t>
    <phoneticPr fontId="5"/>
  </si>
  <si>
    <t>(株)アット東京</t>
    <phoneticPr fontId="5"/>
  </si>
  <si>
    <t>(株)つるエネルギー</t>
    <phoneticPr fontId="5"/>
  </si>
  <si>
    <t>川重商事(株)</t>
    <phoneticPr fontId="5"/>
  </si>
  <si>
    <t>(株)JERA Cross</t>
    <phoneticPr fontId="5"/>
  </si>
  <si>
    <t>飛騨高山電力(株)</t>
    <phoneticPr fontId="5"/>
  </si>
  <si>
    <t>(株)リボンエナジー</t>
    <phoneticPr fontId="5"/>
  </si>
  <si>
    <t>(株)大崎クリエーション</t>
    <phoneticPr fontId="5"/>
  </si>
  <si>
    <t>(株)UPX</t>
    <phoneticPr fontId="5"/>
  </si>
  <si>
    <t>Miraiつのエナジー(株)</t>
    <phoneticPr fontId="5"/>
  </si>
  <si>
    <t>山口グリーンエネルギー(株)</t>
    <phoneticPr fontId="5"/>
  </si>
  <si>
    <t>(株)はちまんたいジオパワー</t>
    <phoneticPr fontId="5"/>
  </si>
  <si>
    <t>(株)アイモバイル</t>
    <phoneticPr fontId="5"/>
  </si>
  <si>
    <t>(参考値)事業者全体</t>
    <phoneticPr fontId="5"/>
  </si>
  <si>
    <t>メニューF</t>
    <phoneticPr fontId="5"/>
  </si>
  <si>
    <t>メニューG</t>
    <phoneticPr fontId="5"/>
  </si>
  <si>
    <t>メニューH</t>
    <phoneticPr fontId="5"/>
  </si>
  <si>
    <t>メニューI</t>
    <phoneticPr fontId="5"/>
  </si>
  <si>
    <t>メニューJ</t>
    <phoneticPr fontId="5"/>
  </si>
  <si>
    <t>メニューK</t>
    <phoneticPr fontId="5"/>
  </si>
  <si>
    <t>メニューL</t>
    <phoneticPr fontId="5"/>
  </si>
  <si>
    <t>メニューM</t>
    <phoneticPr fontId="5"/>
  </si>
  <si>
    <t>メニューN</t>
    <phoneticPr fontId="5"/>
  </si>
  <si>
    <t>メニューO</t>
    <phoneticPr fontId="5"/>
  </si>
  <si>
    <t>メニューP</t>
    <phoneticPr fontId="5"/>
  </si>
  <si>
    <t>メニューQ</t>
    <phoneticPr fontId="5"/>
  </si>
  <si>
    <t>メニューR</t>
    <phoneticPr fontId="5"/>
  </si>
  <si>
    <t>選択肢なし</t>
    <rPh sb="0" eb="3">
      <t>センタクシ</t>
    </rPh>
    <phoneticPr fontId="5"/>
  </si>
  <si>
    <t>← 「Ｃ事業所」の場合、名称、所在地、事業所番号は、前年度算定資料から変更せずに
　　転記してください。
    　原則として名称、所在地を変更することはできません。
　　ただし、事業者として正式に事業所名を変更した場合は、
      「大規模事業者氏名等変更届出書（様式第2号）」を県に提出の上、
       変更後の名称等を記入してください。</t>
    <rPh sb="4" eb="7">
      <t>ジギョウショ</t>
    </rPh>
    <rPh sb="9" eb="11">
      <t>バアイ</t>
    </rPh>
    <phoneticPr fontId="6"/>
  </si>
  <si>
    <t>電話番号(任意)</t>
    <rPh sb="0" eb="2">
      <t>デンワ</t>
    </rPh>
    <rPh sb="2" eb="4">
      <t>バンゴウ</t>
    </rPh>
    <rPh sb="5" eb="7">
      <t>ニンイ</t>
    </rPh>
    <phoneticPr fontId="6"/>
  </si>
  <si>
    <t>使用量</t>
    <rPh sb="0" eb="3">
      <t>シヨウリョウ</t>
    </rPh>
    <phoneticPr fontId="5"/>
  </si>
  <si>
    <t>購買伝票等</t>
    <phoneticPr fontId="5"/>
  </si>
  <si>
    <t>②　算定対象から除く燃料使用量</t>
    <phoneticPr fontId="5"/>
  </si>
  <si>
    <t>②　算定対象から除く電気・熱・都市ガスの使用量</t>
    <rPh sb="10" eb="12">
      <t>デンキ</t>
    </rPh>
    <rPh sb="13" eb="14">
      <t>ネツ</t>
    </rPh>
    <rPh sb="15" eb="17">
      <t>トシ</t>
    </rPh>
    <rPh sb="20" eb="23">
      <t>シヨウリョウ</t>
    </rPh>
    <phoneticPr fontId="5"/>
  </si>
  <si>
    <t>③　算定対象から除く再生可能エネルギー由来の電気・熱</t>
    <rPh sb="10" eb="12">
      <t>サイセイ</t>
    </rPh>
    <rPh sb="12" eb="14">
      <t>カノウ</t>
    </rPh>
    <rPh sb="19" eb="21">
      <t>ユライ</t>
    </rPh>
    <rPh sb="22" eb="24">
      <t>デンキ</t>
    </rPh>
    <rPh sb="25" eb="26">
      <t>ネツ</t>
    </rPh>
    <phoneticPr fontId="5"/>
  </si>
  <si>
    <t>中間圧以上用</t>
    <rPh sb="0" eb="2">
      <t>チュウカン</t>
    </rPh>
    <rPh sb="2" eb="3">
      <t>アツ</t>
    </rPh>
    <rPh sb="3" eb="5">
      <t>イジョウ</t>
    </rPh>
    <rPh sb="5" eb="6">
      <t>ヨウ</t>
    </rPh>
    <phoneticPr fontId="5"/>
  </si>
  <si>
    <t>都市ガス中間圧以上用</t>
    <rPh sb="0" eb="2">
      <t>トシ</t>
    </rPh>
    <rPh sb="4" eb="6">
      <t>チュウカン</t>
    </rPh>
    <rPh sb="6" eb="7">
      <t>アツ</t>
    </rPh>
    <rPh sb="7" eb="9">
      <t>イジョウ</t>
    </rPh>
    <rPh sb="9" eb="10">
      <t>ヨウ</t>
    </rPh>
    <phoneticPr fontId="5"/>
  </si>
  <si>
    <t>第3計画期間の排出係数で算定した目標設定ガス排出量（基準排出量用）</t>
    <rPh sb="0" eb="1">
      <t>ダイ</t>
    </rPh>
    <rPh sb="2" eb="4">
      <t>ケイカク</t>
    </rPh>
    <rPh sb="4" eb="6">
      <t>キカン</t>
    </rPh>
    <rPh sb="7" eb="9">
      <t>ハイシュツ</t>
    </rPh>
    <rPh sb="9" eb="11">
      <t>ケイスウ</t>
    </rPh>
    <rPh sb="12" eb="14">
      <t>サンテイ</t>
    </rPh>
    <rPh sb="16" eb="18">
      <t>モクヒョウ</t>
    </rPh>
    <rPh sb="18" eb="20">
      <t>セッテイ</t>
    </rPh>
    <rPh sb="22" eb="24">
      <t>ハイシュツ</t>
    </rPh>
    <rPh sb="24" eb="25">
      <t>リョウ</t>
    </rPh>
    <rPh sb="26" eb="31">
      <t>キジュンハイシュツリョウ</t>
    </rPh>
    <rPh sb="31" eb="32">
      <t>ヨウ</t>
    </rPh>
    <phoneticPr fontId="5"/>
  </si>
  <si>
    <t>第3期排出係数</t>
    <rPh sb="0" eb="1">
      <t>ダイ</t>
    </rPh>
    <rPh sb="2" eb="3">
      <t>キ</t>
    </rPh>
    <rPh sb="3" eb="5">
      <t>ハイシュツ</t>
    </rPh>
    <rPh sb="5" eb="7">
      <t>ケイスウ</t>
    </rPh>
    <phoneticPr fontId="5"/>
  </si>
  <si>
    <t>第3係数CO2排出量</t>
    <rPh sb="0" eb="1">
      <t>ダイ</t>
    </rPh>
    <rPh sb="2" eb="4">
      <t>ケイスウ</t>
    </rPh>
    <rPh sb="7" eb="10">
      <t>ハイシュツリョウ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</si>
</sst>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00000"/>
    <numFmt numFmtId="177" formatCode="#"/>
    <numFmt numFmtId="178" formatCode="#,##0_ "/>
    <numFmt numFmtId="179" formatCode="#,##0;\-#,##0;#"/>
    <numFmt numFmtId="180" formatCode="#,##0.000_);[Red]\(#,##0.000\)"/>
    <numFmt numFmtId="181" formatCode="#,##0.00;\-#,##0.00;#.00"/>
    <numFmt numFmtId="182" formatCode="#,##0.000_ "/>
    <numFmt numFmtId="183" formatCode="#,##0.000;\-#,##0.000;#.000"/>
    <numFmt numFmtId="184" formatCode="#,##0.000;[Red]\-#,##0.000"/>
    <numFmt numFmtId="185" formatCode="#,##0.000;\-#,##0.000"/>
    <numFmt numFmtId="186" formatCode="[DBNum3]0"/>
    <numFmt numFmtId="187" formatCode="[$-411]ggge&quot;年&quot;m&quot;月&quot;d&quot;日&quot;;@"/>
    <numFmt numFmtId="188" formatCode="#,##0_ ;[Red]\-#,##0\ "/>
    <numFmt numFmtId="189" formatCode="#,##0.00_ "/>
    <numFmt numFmtId="190" formatCode="0.000_ "/>
    <numFmt numFmtId="191" formatCode="0.0_ "/>
    <numFmt numFmtId="192" formatCode="0.000000_ "/>
    <numFmt numFmtId="193" formatCode="0.00_ "/>
    <numFmt numFmtId="194" formatCode="0.00_);[Red]\(0.00\)"/>
    <numFmt numFmtId="195" formatCode="0.0000_ "/>
    <numFmt numFmtId="196" formatCode="#,##0.0_);[Red]\(#,##0.0\)"/>
    <numFmt numFmtId="197" formatCode="#,##0.0_ "/>
    <numFmt numFmtId="198" formatCode="#,##0.0000;[Red]\-#,##0.0000"/>
    <numFmt numFmtId="199" formatCode="#,##0.0000_ "/>
    <numFmt numFmtId="200" formatCode="#,##0_);[Red]\(#,##0\)"/>
    <numFmt numFmtId="201" formatCode="0.000_);[Red]\(0.000\)"/>
    <numFmt numFmtId="202" formatCode="#,##0.0_ ;[Red]\-#,##0.0\ "/>
    <numFmt numFmtId="203" formatCode="0.0#\ "/>
    <numFmt numFmtId="204" formatCode="0_ "/>
  </numFmts>
  <fonts count="5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1"/>
      <color indexed="8"/>
      <name val="ＭＳ Ｐゴシック"/>
      <family val="3"/>
      <charset val="128"/>
    </font>
    <font>
      <sz val="9"/>
      <color rgb="FFFF0000"/>
      <name val="ＭＳ 明朝"/>
      <family val="1"/>
      <charset val="128"/>
    </font>
    <font>
      <sz val="18"/>
      <color theme="3"/>
      <name val="游ゴシック Light"/>
      <family val="2"/>
      <charset val="128"/>
      <scheme val="major"/>
    </font>
    <font>
      <b/>
      <sz val="13"/>
      <color theme="3"/>
      <name val="游ゴシック"/>
      <family val="2"/>
      <charset val="128"/>
      <scheme val="minor"/>
    </font>
    <font>
      <sz val="6"/>
      <color indexed="8"/>
      <name val="ＭＳ 明朝"/>
      <family val="1"/>
      <charset val="128"/>
    </font>
    <font>
      <sz val="11"/>
      <color theme="1"/>
      <name val="游明朝"/>
      <family val="1"/>
      <charset val="128"/>
    </font>
    <font>
      <vertAlign val="subscript"/>
      <sz val="11"/>
      <color theme="1"/>
      <name val="游明朝"/>
      <family val="1"/>
      <charset val="128"/>
    </font>
    <font>
      <sz val="14"/>
      <color theme="1"/>
      <name val="游明朝"/>
      <family val="1"/>
      <charset val="128"/>
    </font>
    <font>
      <sz val="9"/>
      <color theme="1"/>
      <name val="游明朝"/>
      <family val="1"/>
      <charset val="128"/>
    </font>
    <font>
      <vertAlign val="superscript"/>
      <sz val="11"/>
      <color theme="1"/>
      <name val="游明朝"/>
      <family val="1"/>
      <charset val="128"/>
    </font>
    <font>
      <sz val="8"/>
      <color theme="1"/>
      <name val="游明朝"/>
      <family val="1"/>
      <charset val="128"/>
    </font>
    <font>
      <b/>
      <sz val="11"/>
      <color theme="1"/>
      <name val="游明朝"/>
      <family val="1"/>
      <charset val="128"/>
    </font>
    <font>
      <sz val="16"/>
      <color theme="1"/>
      <name val="游明朝"/>
      <family val="1"/>
      <charset val="128"/>
    </font>
    <font>
      <sz val="11"/>
      <color indexed="8"/>
      <name val="游明朝"/>
      <family val="1"/>
      <charset val="128"/>
    </font>
    <font>
      <sz val="11"/>
      <name val="游明朝"/>
      <family val="1"/>
      <charset val="128"/>
    </font>
    <font>
      <b/>
      <sz val="11"/>
      <color rgb="FFFF0000"/>
      <name val="游明朝"/>
      <family val="1"/>
      <charset val="128"/>
    </font>
    <font>
      <u/>
      <sz val="11"/>
      <color theme="10"/>
      <name val="游ゴシック"/>
      <family val="3"/>
      <charset val="128"/>
      <scheme val="minor"/>
    </font>
    <font>
      <sz val="10"/>
      <color theme="1"/>
      <name val="游明朝"/>
      <family val="1"/>
      <charset val="128"/>
    </font>
    <font>
      <b/>
      <sz val="9"/>
      <color indexed="81"/>
      <name val="ＭＳ Ｐ明朝"/>
      <family val="1"/>
      <charset val="128"/>
    </font>
    <font>
      <b/>
      <sz val="9"/>
      <color indexed="81"/>
      <name val="MS P ゴシック"/>
      <family val="3"/>
      <charset val="128"/>
    </font>
    <font>
      <sz val="6"/>
      <name val="ＭＳ Ｐゴシック"/>
      <family val="2"/>
      <charset val="128"/>
    </font>
    <font>
      <sz val="11"/>
      <color rgb="FF9C0006"/>
      <name val="ＭＳ Ｐゴシック"/>
      <family val="2"/>
      <charset val="128"/>
    </font>
    <font>
      <b/>
      <sz val="14"/>
      <name val="游明朝"/>
      <family val="1"/>
      <charset val="128"/>
    </font>
    <font>
      <sz val="16"/>
      <name val="游明朝"/>
      <family val="1"/>
      <charset val="128"/>
    </font>
    <font>
      <b/>
      <sz val="16"/>
      <name val="游明朝"/>
      <family val="1"/>
      <charset val="128"/>
    </font>
    <font>
      <b/>
      <sz val="14"/>
      <color theme="1"/>
      <name val="游明朝"/>
      <family val="1"/>
      <charset val="128"/>
    </font>
    <font>
      <sz val="20"/>
      <color theme="1"/>
      <name val="游明朝"/>
      <family val="1"/>
      <charset val="128"/>
    </font>
    <font>
      <sz val="14"/>
      <name val="游明朝"/>
      <family val="1"/>
      <charset val="128"/>
    </font>
    <font>
      <vertAlign val="superscript"/>
      <sz val="11"/>
      <color indexed="8"/>
      <name val="游明朝"/>
      <family val="1"/>
      <charset val="128"/>
    </font>
    <font>
      <vertAlign val="subscript"/>
      <sz val="11"/>
      <color indexed="8"/>
      <name val="游明朝"/>
      <family val="1"/>
      <charset val="128"/>
    </font>
    <font>
      <u/>
      <sz val="11"/>
      <color theme="10"/>
      <name val="游明朝"/>
      <family val="1"/>
      <charset val="128"/>
    </font>
    <font>
      <sz val="11"/>
      <color theme="0" tint="-0.14999847407452621"/>
      <name val="游明朝"/>
      <family val="1"/>
      <charset val="128"/>
    </font>
    <font>
      <sz val="10"/>
      <name val="游明朝"/>
      <family val="1"/>
      <charset val="128"/>
    </font>
    <font>
      <sz val="10"/>
      <color theme="0" tint="-0.14999847407452621"/>
      <name val="游明朝"/>
      <family val="1"/>
      <charset val="128"/>
    </font>
    <font>
      <sz val="8"/>
      <name val="游明朝"/>
      <family val="1"/>
      <charset val="128"/>
    </font>
    <font>
      <sz val="14"/>
      <color indexed="8"/>
      <name val="游明朝"/>
      <family val="1"/>
      <charset val="128"/>
    </font>
    <font>
      <vertAlign val="superscript"/>
      <sz val="11"/>
      <color theme="1"/>
      <name val="游ゴシック"/>
      <family val="3"/>
      <charset val="128"/>
      <scheme val="minor"/>
    </font>
    <font>
      <b/>
      <sz val="11"/>
      <color rgb="FF3F3F3F"/>
      <name val="ＭＳ Ｐゴシック"/>
      <family val="2"/>
      <charset val="128"/>
    </font>
    <font>
      <vertAlign val="subscript"/>
      <sz val="11"/>
      <color theme="1"/>
      <name val="游ゴシック"/>
      <family val="3"/>
      <charset val="128"/>
      <scheme val="minor"/>
    </font>
    <font>
      <sz val="6"/>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vertAlign val="superscript"/>
      <sz val="10"/>
      <color theme="1"/>
      <name val="游明朝"/>
      <family val="1"/>
      <charset val="128"/>
    </font>
    <font>
      <vertAlign val="subscript"/>
      <sz val="10"/>
      <color theme="1"/>
      <name val="游明朝"/>
      <family val="1"/>
      <charset val="128"/>
    </font>
    <font>
      <vertAlign val="subscript"/>
      <sz val="14"/>
      <color theme="1"/>
      <name val="游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499984740745262"/>
        <bgColor indexed="64"/>
      </patternFill>
    </fill>
    <fill>
      <patternFill patternType="solid">
        <fgColor rgb="FFD9D9D9"/>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diagonalUp="1">
      <left style="medium">
        <color indexed="64"/>
      </left>
      <right/>
      <top style="double">
        <color indexed="64"/>
      </top>
      <bottom style="thin">
        <color indexed="64"/>
      </bottom>
      <diagonal style="thin">
        <color indexed="64"/>
      </diagonal>
    </border>
    <border>
      <left style="medium">
        <color indexed="64"/>
      </left>
      <right/>
      <top style="double">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bottom/>
      <diagonal/>
    </border>
    <border>
      <left style="medium">
        <color indexed="64"/>
      </left>
      <right style="thin">
        <color indexed="64"/>
      </right>
      <top/>
      <bottom style="double">
        <color indexed="64"/>
      </bottom>
      <diagonal/>
    </border>
    <border>
      <left/>
      <right/>
      <top style="double">
        <color indexed="64"/>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medium">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double">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thin">
        <color indexed="64"/>
      </right>
      <top style="double">
        <color indexed="64"/>
      </top>
      <bottom/>
      <diagonal/>
    </border>
    <border diagonalUp="1">
      <left/>
      <right style="thin">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diagonalUp="1">
      <left style="medium">
        <color indexed="64"/>
      </left>
      <right/>
      <top style="thin">
        <color indexed="64"/>
      </top>
      <bottom style="double">
        <color indexed="64"/>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s>
  <cellStyleXfs count="15">
    <xf numFmtId="0" fontId="0" fillId="0" borderId="0">
      <alignment vertical="center"/>
    </xf>
    <xf numFmtId="0" fontId="3" fillId="0" borderId="0">
      <alignment vertical="center"/>
    </xf>
    <xf numFmtId="38"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140">
    <xf numFmtId="0" fontId="0" fillId="0" borderId="0" xfId="0">
      <alignment vertical="center"/>
    </xf>
    <xf numFmtId="188" fontId="16" fillId="0" borderId="113" xfId="0" applyNumberFormat="1" applyFont="1" applyBorder="1" applyAlignment="1" applyProtection="1">
      <alignment horizontal="right" vertical="center" shrinkToFit="1"/>
      <protection hidden="1"/>
    </xf>
    <xf numFmtId="0" fontId="4" fillId="0" borderId="0" xfId="0" applyFont="1" applyProtection="1">
      <alignment vertical="center"/>
      <protection hidden="1"/>
    </xf>
    <xf numFmtId="0" fontId="14" fillId="0" borderId="0" xfId="0" applyFont="1" applyProtection="1">
      <alignment vertical="center"/>
      <protection hidden="1"/>
    </xf>
    <xf numFmtId="0" fontId="14" fillId="0" borderId="0" xfId="1" applyFont="1" applyProtection="1">
      <alignment vertical="center"/>
      <protection hidden="1"/>
    </xf>
    <xf numFmtId="14" fontId="14" fillId="0" borderId="0" xfId="1" applyNumberFormat="1" applyFont="1" applyProtection="1">
      <alignment vertical="center"/>
      <protection hidden="1"/>
    </xf>
    <xf numFmtId="0" fontId="14" fillId="0" borderId="5" xfId="1" applyFont="1" applyBorder="1" applyAlignment="1" applyProtection="1">
      <alignment horizontal="center" vertical="center"/>
      <protection hidden="1"/>
    </xf>
    <xf numFmtId="0" fontId="14" fillId="0" borderId="6" xfId="1" applyFont="1" applyBorder="1" applyProtection="1">
      <alignment vertical="center"/>
      <protection hidden="1"/>
    </xf>
    <xf numFmtId="0" fontId="14" fillId="0" borderId="10" xfId="0" applyFont="1" applyBorder="1" applyAlignment="1" applyProtection="1">
      <alignment horizontal="center" vertical="center"/>
      <protection hidden="1"/>
    </xf>
    <xf numFmtId="0" fontId="14" fillId="0" borderId="17" xfId="0" applyFont="1" applyBorder="1" applyAlignment="1" applyProtection="1">
      <alignment horizontal="centerContinuous" vertical="center"/>
      <protection hidden="1"/>
    </xf>
    <xf numFmtId="0" fontId="14" fillId="0" borderId="18" xfId="1" applyFont="1" applyBorder="1" applyProtection="1">
      <alignment vertical="center"/>
      <protection hidden="1"/>
    </xf>
    <xf numFmtId="0" fontId="14" fillId="0" borderId="21"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7" xfId="1" applyFont="1" applyBorder="1" applyAlignment="1" applyProtection="1">
      <alignment horizontal="distributed" vertical="center" wrapText="1" indent="1"/>
      <protection hidden="1"/>
    </xf>
    <xf numFmtId="0" fontId="14" fillId="0" borderId="90" xfId="1" applyFont="1" applyBorder="1" applyAlignment="1" applyProtection="1">
      <alignment horizontal="center" vertical="center" textRotation="255"/>
      <protection hidden="1"/>
    </xf>
    <xf numFmtId="0" fontId="14" fillId="0" borderId="90" xfId="0" applyFont="1" applyBorder="1" applyAlignment="1" applyProtection="1">
      <alignment horizontal="center" vertical="center" textRotation="255"/>
      <protection hidden="1"/>
    </xf>
    <xf numFmtId="0" fontId="14" fillId="0" borderId="90" xfId="1" applyFont="1" applyBorder="1" applyAlignment="1" applyProtection="1">
      <alignment horizontal="distributed" vertical="center" indent="1"/>
      <protection hidden="1"/>
    </xf>
    <xf numFmtId="180" fontId="14" fillId="0" borderId="90" xfId="2" applyNumberFormat="1" applyFont="1" applyFill="1" applyBorder="1" applyAlignment="1" applyProtection="1">
      <alignment horizontal="center" vertical="center" shrinkToFit="1"/>
      <protection hidden="1"/>
    </xf>
    <xf numFmtId="0" fontId="16" fillId="0" borderId="90" xfId="0" quotePrefix="1" applyFont="1" applyBorder="1" applyAlignment="1" applyProtection="1">
      <alignment horizontal="center" vertical="center" shrinkToFit="1"/>
      <protection hidden="1"/>
    </xf>
    <xf numFmtId="178" fontId="16" fillId="0" borderId="90" xfId="1" quotePrefix="1" applyNumberFormat="1"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textRotation="255"/>
      <protection hidden="1"/>
    </xf>
    <xf numFmtId="0" fontId="14" fillId="0" borderId="5" xfId="1" applyFont="1" applyBorder="1" applyAlignment="1" applyProtection="1">
      <alignment horizontal="distributed" vertical="center" indent="1"/>
      <protection hidden="1"/>
    </xf>
    <xf numFmtId="180" fontId="14" fillId="0" borderId="5" xfId="2" applyNumberFormat="1" applyFont="1" applyFill="1" applyBorder="1" applyAlignment="1" applyProtection="1">
      <alignment horizontal="center" vertical="center" shrinkToFit="1"/>
      <protection hidden="1"/>
    </xf>
    <xf numFmtId="178" fontId="16" fillId="0" borderId="5" xfId="0" quotePrefix="1" applyNumberFormat="1" applyFont="1" applyBorder="1" applyAlignment="1" applyProtection="1">
      <alignment horizontal="center" vertical="center" shrinkToFit="1"/>
      <protection hidden="1"/>
    </xf>
    <xf numFmtId="0" fontId="16" fillId="0" borderId="5" xfId="0" quotePrefix="1" applyFont="1" applyBorder="1" applyAlignment="1" applyProtection="1">
      <alignment horizontal="center" vertical="center" shrinkToFit="1"/>
      <protection hidden="1"/>
    </xf>
    <xf numFmtId="178" fontId="16" fillId="0" borderId="5" xfId="1" quotePrefix="1" applyNumberFormat="1" applyFont="1" applyBorder="1" applyAlignment="1" applyProtection="1">
      <alignment horizontal="center" vertical="center" shrinkToFit="1"/>
      <protection hidden="1"/>
    </xf>
    <xf numFmtId="0" fontId="14" fillId="0" borderId="87" xfId="0" applyFont="1" applyBorder="1" applyAlignment="1" applyProtection="1">
      <alignment horizontal="center" vertical="center"/>
      <protection hidden="1"/>
    </xf>
    <xf numFmtId="0" fontId="14" fillId="0" borderId="86" xfId="0" applyFont="1" applyBorder="1" applyAlignment="1" applyProtection="1">
      <alignment horizontal="center" vertical="center"/>
      <protection hidden="1"/>
    </xf>
    <xf numFmtId="0" fontId="14" fillId="0" borderId="62"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0" borderId="64" xfId="0" applyFont="1" applyBorder="1" applyAlignment="1" applyProtection="1">
      <alignment horizontal="center" vertical="center"/>
      <protection hidden="1"/>
    </xf>
    <xf numFmtId="0" fontId="14" fillId="0" borderId="100" xfId="0" applyFont="1" applyBorder="1" applyAlignment="1" applyProtection="1">
      <alignment horizontal="centerContinuous" vertical="center" wrapText="1"/>
      <protection hidden="1"/>
    </xf>
    <xf numFmtId="0" fontId="14" fillId="0" borderId="23"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protection hidden="1"/>
    </xf>
    <xf numFmtId="0" fontId="14" fillId="0" borderId="96"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shrinkToFit="1"/>
      <protection hidden="1"/>
    </xf>
    <xf numFmtId="177" fontId="14" fillId="0" borderId="0" xfId="0" applyNumberFormat="1" applyFont="1" applyAlignment="1" applyProtection="1">
      <alignment horizontal="right" vertical="center"/>
      <protection hidden="1"/>
    </xf>
    <xf numFmtId="0" fontId="14" fillId="0" borderId="0" xfId="0" applyFont="1" applyAlignment="1" applyProtection="1">
      <alignment horizontal="center" vertical="center"/>
      <protection hidden="1"/>
    </xf>
    <xf numFmtId="178" fontId="16" fillId="6" borderId="1" xfId="0" applyNumberFormat="1" applyFont="1" applyFill="1" applyBorder="1" applyAlignment="1" applyProtection="1">
      <alignment vertical="center" shrinkToFit="1"/>
      <protection locked="0"/>
    </xf>
    <xf numFmtId="181" fontId="14" fillId="0" borderId="1" xfId="2" applyNumberFormat="1" applyFont="1" applyFill="1" applyBorder="1" applyAlignment="1" applyProtection="1">
      <alignment horizontal="center" vertical="center"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horizontal="center" vertical="center" textRotation="255"/>
      <protection hidden="1"/>
    </xf>
    <xf numFmtId="0" fontId="14" fillId="0" borderId="0" xfId="0" applyFont="1" applyAlignment="1" applyProtection="1">
      <alignment horizontal="distributed" vertical="center" indent="1"/>
      <protection hidden="1"/>
    </xf>
    <xf numFmtId="178" fontId="16" fillId="0" borderId="0" xfId="0" applyNumberFormat="1" applyFont="1" applyAlignment="1" applyProtection="1">
      <alignment vertical="center" shrinkToFit="1"/>
      <protection locked="0"/>
    </xf>
    <xf numFmtId="0" fontId="14" fillId="0" borderId="0" xfId="0" applyFont="1" applyAlignment="1" applyProtection="1">
      <alignment horizontal="center" vertical="center" shrinkToFit="1"/>
      <protection hidden="1"/>
    </xf>
    <xf numFmtId="0" fontId="14" fillId="0" borderId="60" xfId="0" applyFont="1" applyBorder="1" applyAlignment="1" applyProtection="1">
      <alignment horizontal="center" vertical="center"/>
      <protection hidden="1"/>
    </xf>
    <xf numFmtId="178" fontId="16" fillId="6" borderId="24" xfId="0" applyNumberFormat="1" applyFont="1" applyFill="1" applyBorder="1" applyAlignment="1" applyProtection="1">
      <alignment vertical="center" shrinkToFit="1"/>
      <protection locked="0"/>
    </xf>
    <xf numFmtId="178" fontId="16" fillId="6" borderId="33" xfId="0" applyNumberFormat="1" applyFont="1" applyFill="1" applyBorder="1" applyAlignment="1" applyProtection="1">
      <alignment vertical="center" shrinkToFit="1"/>
      <protection locked="0"/>
    </xf>
    <xf numFmtId="178" fontId="16" fillId="6" borderId="32" xfId="0" applyNumberFormat="1" applyFont="1" applyFill="1" applyBorder="1" applyAlignment="1" applyProtection="1">
      <alignment vertical="center" shrinkToFit="1"/>
      <protection locked="0"/>
    </xf>
    <xf numFmtId="0" fontId="14" fillId="0" borderId="55" xfId="0" applyFont="1" applyBorder="1" applyAlignment="1" applyProtection="1">
      <alignment horizontal="center" vertical="center"/>
      <protection hidden="1"/>
    </xf>
    <xf numFmtId="0" fontId="14" fillId="0" borderId="55" xfId="0" applyFont="1" applyBorder="1" applyAlignment="1" applyProtection="1">
      <alignment horizontal="center" vertical="center" shrinkToFit="1"/>
      <protection hidden="1"/>
    </xf>
    <xf numFmtId="0" fontId="14" fillId="0" borderId="0" xfId="0" applyFont="1">
      <alignment vertical="center"/>
    </xf>
    <xf numFmtId="0" fontId="14" fillId="0" borderId="32" xfId="0" applyFont="1" applyBorder="1" applyAlignment="1" applyProtection="1">
      <alignment horizontal="centerContinuous" vertical="center"/>
      <protection hidden="1"/>
    </xf>
    <xf numFmtId="0" fontId="14" fillId="4" borderId="55"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hidden="1"/>
    </xf>
    <xf numFmtId="0" fontId="14" fillId="4" borderId="60"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locked="0"/>
    </xf>
    <xf numFmtId="0" fontId="14" fillId="0" borderId="37" xfId="0" applyFont="1" applyBorder="1" applyAlignment="1" applyProtection="1">
      <alignment horizontal="center" vertical="center"/>
      <protection hidden="1"/>
    </xf>
    <xf numFmtId="0" fontId="14" fillId="0" borderId="68" xfId="0" applyFont="1" applyBorder="1" applyAlignment="1" applyProtection="1">
      <alignment horizontal="center" vertical="center"/>
      <protection hidden="1"/>
    </xf>
    <xf numFmtId="0" fontId="14" fillId="0" borderId="112" xfId="0" applyFont="1" applyBorder="1">
      <alignment vertical="center"/>
    </xf>
    <xf numFmtId="0" fontId="14" fillId="0" borderId="110" xfId="0" applyFont="1" applyBorder="1">
      <alignment vertical="center"/>
    </xf>
    <xf numFmtId="0" fontId="14" fillId="0" borderId="127" xfId="0" applyFont="1" applyBorder="1" applyAlignment="1">
      <alignment horizontal="center" vertical="center"/>
    </xf>
    <xf numFmtId="0" fontId="14" fillId="0" borderId="128" xfId="0" applyFont="1" applyBorder="1" applyAlignment="1">
      <alignment horizontal="center" vertical="center"/>
    </xf>
    <xf numFmtId="0" fontId="14" fillId="0" borderId="135"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22" xfId="0" applyFont="1" applyBorder="1" applyProtection="1">
      <alignment vertical="center"/>
      <protection hidden="1"/>
    </xf>
    <xf numFmtId="0" fontId="14" fillId="4" borderId="0" xfId="0" applyFont="1" applyFill="1" applyProtection="1">
      <alignment vertical="center"/>
      <protection hidden="1"/>
    </xf>
    <xf numFmtId="0" fontId="14" fillId="4" borderId="0" xfId="0" applyFont="1" applyFill="1" applyAlignment="1" applyProtection="1">
      <alignment horizontal="center" vertical="center"/>
      <protection hidden="1"/>
    </xf>
    <xf numFmtId="0" fontId="14" fillId="0" borderId="90" xfId="0" applyFont="1" applyBorder="1" applyProtection="1">
      <alignment vertical="center"/>
      <protection hidden="1"/>
    </xf>
    <xf numFmtId="0" fontId="21" fillId="0" borderId="0" xfId="0" applyFont="1" applyProtection="1">
      <alignment vertical="center"/>
      <protection hidden="1"/>
    </xf>
    <xf numFmtId="0" fontId="23" fillId="0" borderId="0" xfId="0" applyFont="1" applyAlignment="1" applyProtection="1">
      <alignment horizontal="left" vertical="center"/>
      <protection hidden="1"/>
    </xf>
    <xf numFmtId="0" fontId="24" fillId="4" borderId="0" xfId="0" applyFont="1" applyFill="1" applyProtection="1">
      <alignment vertical="center"/>
      <protection hidden="1"/>
    </xf>
    <xf numFmtId="0" fontId="19" fillId="4" borderId="0" xfId="0" applyFont="1" applyFill="1" applyProtection="1">
      <alignment vertical="center"/>
      <protection hidden="1"/>
    </xf>
    <xf numFmtId="0" fontId="21" fillId="4" borderId="0" xfId="0" applyFont="1" applyFill="1" applyProtection="1">
      <alignment vertical="center"/>
      <protection hidden="1"/>
    </xf>
    <xf numFmtId="0" fontId="32" fillId="0" borderId="0" xfId="0" applyFont="1" applyAlignment="1" applyProtection="1">
      <alignment horizontal="center" vertical="center"/>
      <protection hidden="1"/>
    </xf>
    <xf numFmtId="0" fontId="33" fillId="0" borderId="0" xfId="0" applyFont="1" applyAlignment="1" applyProtection="1">
      <alignment horizontal="center" vertical="center"/>
      <protection hidden="1"/>
    </xf>
    <xf numFmtId="0" fontId="35" fillId="0" borderId="0" xfId="0" applyFont="1" applyProtection="1">
      <alignment vertical="center"/>
      <protection hidden="1"/>
    </xf>
    <xf numFmtId="0" fontId="35" fillId="0" borderId="0" xfId="0" applyFont="1" applyAlignment="1" applyProtection="1">
      <alignment horizontal="centerContinuous" vertical="center"/>
      <protection hidden="1"/>
    </xf>
    <xf numFmtId="0" fontId="35" fillId="4" borderId="0" xfId="0" applyFont="1" applyFill="1" applyProtection="1">
      <alignment vertical="center"/>
      <protection hidden="1"/>
    </xf>
    <xf numFmtId="0" fontId="26" fillId="4" borderId="0" xfId="0" applyFont="1" applyFill="1" applyProtection="1">
      <alignment vertical="center"/>
      <protection hidden="1"/>
    </xf>
    <xf numFmtId="0" fontId="14" fillId="0" borderId="0" xfId="0" applyFont="1" applyAlignment="1" applyProtection="1">
      <alignment horizontal="right" vertical="center"/>
      <protection hidden="1"/>
    </xf>
    <xf numFmtId="0" fontId="14" fillId="0" borderId="5" xfId="0" applyFont="1" applyBorder="1" applyProtection="1">
      <alignment vertical="center"/>
      <protection hidden="1"/>
    </xf>
    <xf numFmtId="0" fontId="14" fillId="0" borderId="36" xfId="0" applyFont="1" applyBorder="1" applyProtection="1">
      <alignment vertical="center"/>
      <protection hidden="1"/>
    </xf>
    <xf numFmtId="0" fontId="14" fillId="0" borderId="34" xfId="0" applyFont="1" applyBorder="1" applyProtection="1">
      <alignment vertical="center"/>
      <protection hidden="1"/>
    </xf>
    <xf numFmtId="0" fontId="14" fillId="0" borderId="21" xfId="0" applyFont="1" applyBorder="1" applyProtection="1">
      <alignment vertical="center"/>
      <protection hidden="1"/>
    </xf>
    <xf numFmtId="0" fontId="14" fillId="0" borderId="25" xfId="0" applyFont="1" applyBorder="1" applyProtection="1">
      <alignment vertical="center"/>
      <protection hidden="1"/>
    </xf>
    <xf numFmtId="0" fontId="14" fillId="0" borderId="8" xfId="0" applyFont="1" applyBorder="1" applyProtection="1">
      <alignment vertical="center"/>
      <protection hidden="1"/>
    </xf>
    <xf numFmtId="0" fontId="14" fillId="4" borderId="0" xfId="0" applyFont="1" applyFill="1">
      <alignment vertical="center"/>
    </xf>
    <xf numFmtId="0" fontId="14" fillId="0" borderId="32" xfId="0" applyFont="1" applyBorder="1" applyAlignment="1" applyProtection="1">
      <alignment horizontal="distributed" vertical="center"/>
      <protection hidden="1"/>
    </xf>
    <xf numFmtId="0" fontId="14" fillId="7" borderId="1" xfId="0" applyFont="1" applyFill="1" applyBorder="1" applyAlignment="1" applyProtection="1">
      <alignment horizontal="center" vertical="center" shrinkToFit="1"/>
      <protection locked="0"/>
    </xf>
    <xf numFmtId="0" fontId="14" fillId="6" borderId="2"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hidden="1"/>
    </xf>
    <xf numFmtId="0" fontId="14" fillId="0" borderId="34" xfId="0" applyFont="1" applyBorder="1" applyAlignment="1" applyProtection="1">
      <alignment vertical="center" shrinkToFit="1"/>
      <protection hidden="1"/>
    </xf>
    <xf numFmtId="0" fontId="14" fillId="7" borderId="24" xfId="0" applyFont="1" applyFill="1" applyBorder="1" applyAlignment="1" applyProtection="1">
      <alignment horizontal="center" vertical="center" shrinkToFit="1"/>
      <protection locked="0"/>
    </xf>
    <xf numFmtId="0" fontId="14" fillId="6" borderId="23"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hidden="1"/>
    </xf>
    <xf numFmtId="0" fontId="14" fillId="0" borderId="25" xfId="0" applyFont="1" applyBorder="1" applyAlignment="1" applyProtection="1">
      <alignment vertical="center" shrinkToFit="1"/>
      <protection hidden="1"/>
    </xf>
    <xf numFmtId="0" fontId="14" fillId="0" borderId="121" xfId="0" applyFont="1" applyBorder="1" applyAlignment="1" applyProtection="1">
      <alignment horizontal="right" vertical="center"/>
      <protection hidden="1"/>
    </xf>
    <xf numFmtId="0" fontId="19" fillId="0" borderId="0" xfId="0" applyFont="1" applyAlignment="1" applyProtection="1">
      <alignment vertical="center" shrinkToFit="1"/>
      <protection hidden="1"/>
    </xf>
    <xf numFmtId="0" fontId="40" fillId="4" borderId="0" xfId="0" applyFont="1" applyFill="1" applyProtection="1">
      <alignment vertical="center"/>
      <protection hidden="1"/>
    </xf>
    <xf numFmtId="49" fontId="14" fillId="4" borderId="0" xfId="0" applyNumberFormat="1" applyFont="1" applyFill="1" applyProtection="1">
      <alignment vertical="center"/>
      <protection hidden="1"/>
    </xf>
    <xf numFmtId="49" fontId="40" fillId="4" borderId="0" xfId="0" applyNumberFormat="1" applyFont="1" applyFill="1" applyProtection="1">
      <alignment vertical="center"/>
      <protection hidden="1"/>
    </xf>
    <xf numFmtId="49" fontId="26" fillId="4" borderId="0" xfId="0" applyNumberFormat="1" applyFont="1" applyFill="1" applyProtection="1">
      <alignment vertical="center"/>
      <protection hidden="1"/>
    </xf>
    <xf numFmtId="49" fontId="41" fillId="4" borderId="0" xfId="0" applyNumberFormat="1" applyFont="1" applyFill="1" applyProtection="1">
      <alignment vertical="center"/>
      <protection hidden="1"/>
    </xf>
    <xf numFmtId="49" fontId="42" fillId="4" borderId="0" xfId="0" applyNumberFormat="1" applyFont="1" applyFill="1" applyProtection="1">
      <alignment vertical="center"/>
      <protection hidden="1"/>
    </xf>
    <xf numFmtId="0" fontId="14" fillId="6" borderId="56" xfId="0" applyFont="1" applyFill="1" applyBorder="1" applyProtection="1">
      <alignment vertical="center"/>
      <protection locked="0"/>
    </xf>
    <xf numFmtId="0" fontId="14" fillId="6" borderId="4" xfId="0" applyFont="1" applyFill="1" applyBorder="1" applyProtection="1">
      <alignment vertical="center"/>
      <protection locked="0"/>
    </xf>
    <xf numFmtId="0" fontId="14" fillId="6" borderId="38" xfId="0" applyFont="1" applyFill="1" applyBorder="1" applyProtection="1">
      <alignment vertical="center"/>
      <protection locked="0"/>
    </xf>
    <xf numFmtId="0" fontId="14" fillId="6" borderId="15" xfId="0" applyFont="1" applyFill="1" applyBorder="1" applyProtection="1">
      <alignment vertical="center"/>
      <protection locked="0"/>
    </xf>
    <xf numFmtId="0" fontId="14" fillId="6" borderId="0" xfId="0" applyFont="1" applyFill="1" applyProtection="1">
      <alignment vertical="center"/>
      <protection locked="0"/>
    </xf>
    <xf numFmtId="0" fontId="14" fillId="6" borderId="88" xfId="0" applyFont="1" applyFill="1" applyBorder="1" applyProtection="1">
      <alignment vertical="center"/>
      <protection locked="0"/>
    </xf>
    <xf numFmtId="0" fontId="14" fillId="6" borderId="42" xfId="0" applyFont="1" applyFill="1" applyBorder="1" applyProtection="1">
      <alignment vertical="center"/>
      <protection locked="0"/>
    </xf>
    <xf numFmtId="0" fontId="14" fillId="6" borderId="29" xfId="0" applyFont="1" applyFill="1" applyBorder="1" applyProtection="1">
      <alignment vertical="center"/>
      <protection locked="0"/>
    </xf>
    <xf numFmtId="0" fontId="14" fillId="6" borderId="30" xfId="0" applyFont="1" applyFill="1" applyBorder="1" applyProtection="1">
      <alignment vertical="center"/>
      <protection locked="0"/>
    </xf>
    <xf numFmtId="0" fontId="14" fillId="0" borderId="0" xfId="0" applyFont="1" applyAlignment="1" applyProtection="1">
      <protection hidden="1"/>
    </xf>
    <xf numFmtId="189" fontId="16" fillId="6" borderId="1" xfId="0" applyNumberFormat="1" applyFont="1" applyFill="1" applyBorder="1" applyAlignment="1" applyProtection="1">
      <alignment vertical="center" shrinkToFit="1"/>
      <protection locked="0"/>
    </xf>
    <xf numFmtId="189" fontId="16" fillId="6" borderId="33" xfId="0" applyNumberFormat="1" applyFont="1" applyFill="1" applyBorder="1" applyAlignment="1" applyProtection="1">
      <alignment vertical="center" shrinkToFit="1"/>
      <protection locked="0"/>
    </xf>
    <xf numFmtId="189" fontId="16" fillId="6" borderId="42" xfId="0" applyNumberFormat="1" applyFont="1" applyFill="1" applyBorder="1" applyAlignment="1" applyProtection="1">
      <alignment vertical="center" shrinkToFit="1"/>
      <protection locked="0"/>
    </xf>
    <xf numFmtId="189" fontId="16" fillId="6" borderId="2" xfId="0" applyNumberFormat="1" applyFont="1" applyFill="1" applyBorder="1" applyAlignment="1" applyProtection="1">
      <alignment vertical="center" shrinkToFit="1"/>
      <protection locked="0"/>
    </xf>
    <xf numFmtId="189" fontId="16" fillId="6" borderId="37" xfId="0" applyNumberFormat="1" applyFont="1" applyFill="1" applyBorder="1" applyAlignment="1" applyProtection="1">
      <alignment vertical="center" shrinkToFit="1"/>
      <protection locked="0"/>
    </xf>
    <xf numFmtId="189" fontId="16" fillId="6" borderId="56" xfId="0" applyNumberFormat="1" applyFont="1" applyFill="1" applyBorder="1" applyAlignment="1" applyProtection="1">
      <alignment vertical="center" shrinkToFit="1"/>
      <protection locked="0"/>
    </xf>
    <xf numFmtId="189" fontId="16" fillId="0" borderId="128" xfId="0" applyNumberFormat="1" applyFont="1" applyBorder="1" applyAlignment="1" applyProtection="1">
      <alignment vertical="center" shrinkToFit="1"/>
      <protection hidden="1"/>
    </xf>
    <xf numFmtId="189" fontId="14" fillId="0" borderId="134" xfId="0" applyNumberFormat="1" applyFont="1" applyBorder="1" applyAlignment="1" applyProtection="1">
      <alignment vertical="center" shrinkToFit="1"/>
      <protection hidden="1"/>
    </xf>
    <xf numFmtId="0" fontId="24" fillId="0" borderId="0" xfId="0" applyFont="1" applyAlignment="1" applyProtection="1">
      <protection hidden="1"/>
    </xf>
    <xf numFmtId="0" fontId="17" fillId="0" borderId="0" xfId="0" applyFont="1" applyAlignment="1" applyProtection="1">
      <alignment horizontal="right" vertical="center"/>
      <protection hidden="1"/>
    </xf>
    <xf numFmtId="0" fontId="14" fillId="2" borderId="0" xfId="0" applyFont="1" applyFill="1">
      <alignment vertical="center"/>
    </xf>
    <xf numFmtId="0" fontId="22" fillId="0" borderId="0" xfId="0" applyFont="1" applyProtection="1">
      <alignment vertical="center"/>
      <protection hidden="1"/>
    </xf>
    <xf numFmtId="0" fontId="22" fillId="0" borderId="0" xfId="0" applyFont="1" applyAlignment="1" applyProtection="1">
      <alignment horizontal="center" vertical="center" textRotation="255"/>
      <protection hidden="1"/>
    </xf>
    <xf numFmtId="0" fontId="43" fillId="0" borderId="0" xfId="0" applyFont="1" applyAlignment="1" applyProtection="1">
      <alignment horizontal="distributed" vertical="center" wrapText="1" indent="1"/>
      <protection hidden="1"/>
    </xf>
    <xf numFmtId="178" fontId="44" fillId="0" borderId="0" xfId="0" applyNumberFormat="1" applyFont="1" applyAlignment="1" applyProtection="1">
      <alignment vertical="center" shrinkToFit="1"/>
      <protection locked="0"/>
    </xf>
    <xf numFmtId="0" fontId="14" fillId="0" borderId="73" xfId="0" applyFont="1" applyBorder="1" applyProtection="1">
      <alignment vertical="center"/>
      <protection hidden="1"/>
    </xf>
    <xf numFmtId="0" fontId="14" fillId="0" borderId="2" xfId="1" applyFont="1" applyBorder="1" applyAlignment="1" applyProtection="1">
      <alignment horizontal="center" vertical="center" shrinkToFit="1"/>
      <protection hidden="1"/>
    </xf>
    <xf numFmtId="0" fontId="14" fillId="0" borderId="0" xfId="1" applyFont="1" applyAlignment="1" applyProtection="1">
      <alignment horizontal="center" vertical="center" shrinkToFit="1"/>
      <protection hidden="1"/>
    </xf>
    <xf numFmtId="178" fontId="16" fillId="0" borderId="90" xfId="0" quotePrefix="1" applyNumberFormat="1" applyFont="1" applyBorder="1" applyAlignment="1" applyProtection="1">
      <alignment horizontal="center" vertical="center" shrinkToFit="1"/>
      <protection hidden="1"/>
    </xf>
    <xf numFmtId="0" fontId="14" fillId="0" borderId="94" xfId="0" applyFont="1" applyBorder="1" applyAlignment="1" applyProtection="1">
      <alignment horizontal="center" vertical="center" wrapText="1"/>
      <protection hidden="1"/>
    </xf>
    <xf numFmtId="0" fontId="16" fillId="0" borderId="0" xfId="1" applyFont="1" applyAlignment="1" applyProtection="1">
      <alignment horizontal="right" vertical="center"/>
      <protection hidden="1"/>
    </xf>
    <xf numFmtId="49" fontId="0" fillId="0" borderId="0" xfId="0" applyNumberFormat="1">
      <alignment vertical="center"/>
    </xf>
    <xf numFmtId="0" fontId="0" fillId="0" borderId="0" xfId="0" applyProtection="1">
      <alignment vertical="center"/>
      <protection locked="0"/>
    </xf>
    <xf numFmtId="0" fontId="0" fillId="0" borderId="0" xfId="0" applyProtection="1">
      <alignment vertical="center"/>
      <protection hidden="1"/>
    </xf>
    <xf numFmtId="189" fontId="16" fillId="6" borderId="24" xfId="0" applyNumberFormat="1" applyFont="1" applyFill="1" applyBorder="1" applyAlignment="1" applyProtection="1">
      <alignment vertical="center" shrinkToFit="1"/>
      <protection locked="0"/>
    </xf>
    <xf numFmtId="189" fontId="16" fillId="6" borderId="23" xfId="0" applyNumberFormat="1" applyFont="1" applyFill="1" applyBorder="1" applyAlignment="1" applyProtection="1">
      <alignment vertical="center" shrinkToFit="1"/>
      <protection locked="0"/>
    </xf>
    <xf numFmtId="0" fontId="14" fillId="0" borderId="9"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24" xfId="0" applyFont="1" applyBorder="1" applyAlignment="1" applyProtection="1">
      <alignment horizontal="center" vertical="center" wrapText="1"/>
      <protection hidden="1"/>
    </xf>
    <xf numFmtId="0" fontId="0" fillId="0" borderId="1" xfId="0" applyBorder="1">
      <alignment vertical="center"/>
    </xf>
    <xf numFmtId="0" fontId="16" fillId="0" borderId="5" xfId="0" applyFont="1" applyBorder="1" applyAlignment="1" applyProtection="1">
      <alignment vertical="center" shrinkToFit="1"/>
      <protection hidden="1"/>
    </xf>
    <xf numFmtId="0" fontId="14" fillId="0" borderId="32" xfId="0" applyFont="1" applyBorder="1" applyAlignment="1" applyProtection="1">
      <alignment horizontal="center" vertical="center" wrapText="1"/>
      <protection hidden="1"/>
    </xf>
    <xf numFmtId="0" fontId="0" fillId="0" borderId="145" xfId="0" applyBorder="1">
      <alignment vertical="center"/>
    </xf>
    <xf numFmtId="0" fontId="0" fillId="0" borderId="146" xfId="0" applyBorder="1">
      <alignment vertical="center"/>
    </xf>
    <xf numFmtId="190" fontId="0" fillId="0" borderId="146" xfId="0" applyNumberFormat="1" applyBorder="1">
      <alignment vertical="center"/>
    </xf>
    <xf numFmtId="191" fontId="0" fillId="0" borderId="146" xfId="0" applyNumberFormat="1" applyBorder="1">
      <alignment vertical="center"/>
    </xf>
    <xf numFmtId="0" fontId="0" fillId="0" borderId="147" xfId="0" applyBorder="1">
      <alignment vertical="center"/>
    </xf>
    <xf numFmtId="0" fontId="0" fillId="0" borderId="148" xfId="0" applyBorder="1">
      <alignment vertical="center"/>
    </xf>
    <xf numFmtId="0" fontId="0" fillId="0" borderId="149" xfId="0" applyBorder="1">
      <alignment vertical="center"/>
    </xf>
    <xf numFmtId="0" fontId="0" fillId="0" borderId="153" xfId="0" applyBorder="1">
      <alignment vertical="center"/>
    </xf>
    <xf numFmtId="0" fontId="0" fillId="0" borderId="154" xfId="0" applyBorder="1">
      <alignment vertical="center"/>
    </xf>
    <xf numFmtId="0" fontId="0" fillId="0" borderId="157" xfId="0" applyBorder="1">
      <alignment vertical="center"/>
    </xf>
    <xf numFmtId="0" fontId="0" fillId="0" borderId="155" xfId="0" applyBorder="1">
      <alignment vertical="center"/>
    </xf>
    <xf numFmtId="0" fontId="0" fillId="3" borderId="153" xfId="0" applyFill="1" applyBorder="1">
      <alignment vertical="center"/>
    </xf>
    <xf numFmtId="0" fontId="0" fillId="3" borderId="146" xfId="0" applyFill="1" applyBorder="1">
      <alignment vertical="center"/>
    </xf>
    <xf numFmtId="0" fontId="0" fillId="3" borderId="155" xfId="0" applyFill="1" applyBorder="1">
      <alignment vertical="center"/>
    </xf>
    <xf numFmtId="0" fontId="0" fillId="3" borderId="156" xfId="0" applyFill="1" applyBorder="1">
      <alignment vertical="center"/>
    </xf>
    <xf numFmtId="0" fontId="0" fillId="10" borderId="95" xfId="0" applyFill="1" applyBorder="1" applyAlignment="1">
      <alignment horizontal="center" vertical="center"/>
    </xf>
    <xf numFmtId="0" fontId="0" fillId="10" borderId="1" xfId="0" applyFill="1" applyBorder="1" applyAlignment="1">
      <alignment horizontal="center" vertical="center"/>
    </xf>
    <xf numFmtId="0" fontId="0" fillId="10" borderId="57" xfId="0" applyFill="1" applyBorder="1" applyAlignment="1">
      <alignment horizontal="center" vertical="center"/>
    </xf>
    <xf numFmtId="0" fontId="0" fillId="7" borderId="95" xfId="0" applyFill="1" applyBorder="1" applyAlignment="1">
      <alignment horizontal="center" vertical="center"/>
    </xf>
    <xf numFmtId="0" fontId="0" fillId="7" borderId="1" xfId="0" applyFill="1" applyBorder="1" applyAlignment="1">
      <alignment horizontal="center" vertical="center"/>
    </xf>
    <xf numFmtId="0" fontId="0" fillId="7" borderId="57" xfId="0" applyFill="1" applyBorder="1" applyAlignment="1">
      <alignment horizontal="center" vertical="center"/>
    </xf>
    <xf numFmtId="0" fontId="0" fillId="6" borderId="1" xfId="0" applyFill="1" applyBorder="1">
      <alignment vertical="center"/>
    </xf>
    <xf numFmtId="0" fontId="0" fillId="6" borderId="1" xfId="0" applyFill="1" applyBorder="1" applyAlignment="1">
      <alignment vertical="center" wrapText="1"/>
    </xf>
    <xf numFmtId="0" fontId="0" fillId="7" borderId="1" xfId="0" applyFill="1" applyBorder="1">
      <alignment vertical="center"/>
    </xf>
    <xf numFmtId="0" fontId="0" fillId="0" borderId="97" xfId="0" applyBorder="1">
      <alignment vertical="center"/>
    </xf>
    <xf numFmtId="194" fontId="0" fillId="0" borderId="153" xfId="0" applyNumberFormat="1" applyBorder="1">
      <alignment vertical="center"/>
    </xf>
    <xf numFmtId="194" fontId="0" fillId="0" borderId="153" xfId="0" applyNumberFormat="1" applyBorder="1" applyAlignment="1">
      <alignment horizontal="center" vertical="center"/>
    </xf>
    <xf numFmtId="0" fontId="0" fillId="2" borderId="153" xfId="0" applyFill="1" applyBorder="1">
      <alignment vertical="center"/>
    </xf>
    <xf numFmtId="191" fontId="0" fillId="2" borderId="146" xfId="0" applyNumberFormat="1" applyFill="1" applyBorder="1">
      <alignment vertical="center"/>
    </xf>
    <xf numFmtId="0" fontId="0" fillId="2" borderId="146" xfId="0" applyFill="1" applyBorder="1">
      <alignment vertical="center"/>
    </xf>
    <xf numFmtId="193" fontId="0" fillId="2" borderId="146" xfId="0" applyNumberFormat="1" applyFill="1" applyBorder="1">
      <alignment vertical="center"/>
    </xf>
    <xf numFmtId="0" fontId="0" fillId="0" borderId="146" xfId="0" applyBorder="1" applyAlignment="1">
      <alignment vertical="center" shrinkToFit="1"/>
    </xf>
    <xf numFmtId="0" fontId="0" fillId="0" borderId="145" xfId="0" applyBorder="1" applyAlignment="1">
      <alignment vertical="center" shrinkToFit="1"/>
    </xf>
    <xf numFmtId="0" fontId="0" fillId="0" borderId="147" xfId="0" applyBorder="1" applyAlignment="1">
      <alignment vertical="center" shrinkToFit="1"/>
    </xf>
    <xf numFmtId="0" fontId="0" fillId="0" borderId="156" xfId="0" applyBorder="1">
      <alignment vertical="center"/>
    </xf>
    <xf numFmtId="190" fontId="0" fillId="0" borderId="156" xfId="0" applyNumberFormat="1" applyBorder="1">
      <alignment vertical="center"/>
    </xf>
    <xf numFmtId="193" fontId="0" fillId="2" borderId="156" xfId="0" applyNumberFormat="1" applyFill="1" applyBorder="1">
      <alignment vertical="center"/>
    </xf>
    <xf numFmtId="0" fontId="0" fillId="2" borderId="156" xfId="0" applyFill="1" applyBorder="1">
      <alignment vertical="center"/>
    </xf>
    <xf numFmtId="0" fontId="0" fillId="0" borderId="152" xfId="0" applyBorder="1">
      <alignment vertical="center"/>
    </xf>
    <xf numFmtId="0" fontId="0" fillId="0" borderId="160" xfId="0" applyBorder="1">
      <alignment vertical="center"/>
    </xf>
    <xf numFmtId="0" fontId="14" fillId="0" borderId="0" xfId="0" applyFont="1" applyAlignment="1">
      <alignment vertical="center" shrinkToFit="1"/>
    </xf>
    <xf numFmtId="0" fontId="14" fillId="0" borderId="4" xfId="1" applyFont="1" applyBorder="1" applyAlignment="1" applyProtection="1">
      <alignment horizontal="center" vertical="center"/>
      <protection hidden="1"/>
    </xf>
    <xf numFmtId="189" fontId="16" fillId="0" borderId="129" xfId="0" applyNumberFormat="1" applyFont="1" applyBorder="1" applyAlignment="1">
      <alignment vertical="center" shrinkToFit="1"/>
    </xf>
    <xf numFmtId="189" fontId="16" fillId="0" borderId="59" xfId="0" applyNumberFormat="1" applyFont="1" applyBorder="1" applyAlignment="1">
      <alignment vertical="center" shrinkToFit="1"/>
    </xf>
    <xf numFmtId="189" fontId="16" fillId="0" borderId="130" xfId="0" applyNumberFormat="1" applyFont="1" applyBorder="1" applyAlignment="1">
      <alignment vertical="center" shrinkToFit="1"/>
    </xf>
    <xf numFmtId="189" fontId="16" fillId="0" borderId="34" xfId="0" applyNumberFormat="1" applyFont="1" applyBorder="1" applyAlignment="1">
      <alignment vertical="center" shrinkToFit="1"/>
    </xf>
    <xf numFmtId="189" fontId="16" fillId="0" borderId="144" xfId="0" applyNumberFormat="1" applyFont="1" applyBorder="1" applyAlignment="1">
      <alignment vertical="center" shrinkToFit="1"/>
    </xf>
    <xf numFmtId="189" fontId="16" fillId="0" borderId="25" xfId="0" applyNumberFormat="1" applyFont="1" applyBorder="1" applyAlignment="1">
      <alignment vertical="center" shrinkToFit="1"/>
    </xf>
    <xf numFmtId="189" fontId="16" fillId="0" borderId="131" xfId="0" applyNumberFormat="1" applyFont="1" applyBorder="1" applyAlignment="1">
      <alignment vertical="center" shrinkToFit="1"/>
    </xf>
    <xf numFmtId="189" fontId="16" fillId="0" borderId="73" xfId="0" applyNumberFormat="1" applyFont="1" applyBorder="1" applyAlignment="1">
      <alignment vertical="center" shrinkToFit="1"/>
    </xf>
    <xf numFmtId="0" fontId="0" fillId="8" borderId="145" xfId="0" applyFill="1" applyBorder="1">
      <alignment vertical="center"/>
    </xf>
    <xf numFmtId="0" fontId="0" fillId="8" borderId="146" xfId="0" applyFill="1" applyBorder="1">
      <alignment vertical="center"/>
    </xf>
    <xf numFmtId="0" fontId="0" fillId="8" borderId="147" xfId="0" applyFill="1" applyBorder="1">
      <alignment vertical="center"/>
    </xf>
    <xf numFmtId="0" fontId="0" fillId="0" borderId="158" xfId="0" applyBorder="1">
      <alignment vertical="center"/>
    </xf>
    <xf numFmtId="0" fontId="0" fillId="0" borderId="1" xfId="0" applyBorder="1" applyAlignment="1">
      <alignment horizontal="center" vertical="center"/>
    </xf>
    <xf numFmtId="0" fontId="14" fillId="0" borderId="12" xfId="0" applyFont="1" applyBorder="1" applyAlignment="1" applyProtection="1">
      <alignment horizontal="center" vertical="center"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56" xfId="0" applyFont="1" applyBorder="1" applyAlignment="1" applyProtection="1">
      <alignment horizontal="center" vertical="center" wrapText="1"/>
      <protection hidden="1"/>
    </xf>
    <xf numFmtId="0" fontId="0" fillId="0" borderId="38" xfId="0" applyBorder="1">
      <alignment vertical="center"/>
    </xf>
    <xf numFmtId="0" fontId="0" fillId="0" borderId="159" xfId="0" applyBorder="1">
      <alignment vertical="center"/>
    </xf>
    <xf numFmtId="0" fontId="0" fillId="0" borderId="150" xfId="0" applyBorder="1">
      <alignment vertical="center"/>
    </xf>
    <xf numFmtId="0" fontId="0" fillId="0" borderId="151" xfId="0" applyBorder="1">
      <alignment vertical="center"/>
    </xf>
    <xf numFmtId="0" fontId="0" fillId="0" borderId="1" xfId="0" applyBorder="1" applyAlignment="1">
      <alignment horizontal="center" vertical="center" wrapText="1"/>
    </xf>
    <xf numFmtId="176" fontId="14" fillId="0" borderId="1" xfId="0" applyNumberFormat="1" applyFont="1" applyBorder="1" applyAlignment="1" applyProtection="1">
      <alignment horizontal="center" vertical="center"/>
      <protection hidden="1"/>
    </xf>
    <xf numFmtId="0" fontId="0" fillId="2" borderId="1" xfId="0" applyFill="1" applyBorder="1" applyAlignment="1">
      <alignment horizontal="center" vertical="center"/>
    </xf>
    <xf numFmtId="0" fontId="0" fillId="2" borderId="37" xfId="0" applyFill="1" applyBorder="1">
      <alignment vertical="center"/>
    </xf>
    <xf numFmtId="195" fontId="49" fillId="0" borderId="147" xfId="0" applyNumberFormat="1" applyFont="1" applyBorder="1" applyAlignment="1">
      <alignment horizontal="center" vertical="center"/>
    </xf>
    <xf numFmtId="49" fontId="49" fillId="0" borderId="147" xfId="0" applyNumberFormat="1" applyFont="1" applyBorder="1" applyAlignment="1">
      <alignment horizontal="center" vertical="center"/>
    </xf>
    <xf numFmtId="0" fontId="49" fillId="0" borderId="147" xfId="0" applyFont="1" applyBorder="1" applyAlignment="1">
      <alignment horizontal="left" vertical="center" shrinkToFit="1"/>
    </xf>
    <xf numFmtId="0" fontId="0" fillId="8" borderId="1" xfId="0" applyFill="1" applyBorder="1" applyAlignment="1">
      <alignment horizontal="center" vertical="center"/>
    </xf>
    <xf numFmtId="0" fontId="0" fillId="0" borderId="0" xfId="0" applyAlignment="1">
      <alignment horizontal="center" vertical="center"/>
    </xf>
    <xf numFmtId="198" fontId="49" fillId="0" borderId="147" xfId="7" applyNumberFormat="1" applyFont="1" applyBorder="1" applyAlignment="1">
      <alignment horizontal="right" vertical="center" shrinkToFit="1"/>
    </xf>
    <xf numFmtId="3" fontId="0" fillId="0" borderId="147" xfId="0" applyNumberFormat="1" applyBorder="1">
      <alignment vertical="center"/>
    </xf>
    <xf numFmtId="0" fontId="0" fillId="0" borderId="33" xfId="0" applyBorder="1">
      <alignment vertical="center"/>
    </xf>
    <xf numFmtId="0" fontId="14" fillId="0" borderId="96" xfId="0" applyFont="1" applyBorder="1" applyAlignment="1" applyProtection="1">
      <alignment horizontal="center" vertical="center"/>
      <protection hidden="1"/>
    </xf>
    <xf numFmtId="0" fontId="14" fillId="0" borderId="53" xfId="0" applyFont="1" applyBorder="1" applyAlignment="1">
      <alignment vertical="center" shrinkToFit="1"/>
    </xf>
    <xf numFmtId="0" fontId="14" fillId="0" borderId="3" xfId="0" applyFont="1" applyBorder="1" applyAlignment="1">
      <alignment vertical="center" shrinkToFit="1"/>
    </xf>
    <xf numFmtId="0" fontId="14" fillId="0" borderId="86" xfId="0" applyFont="1" applyBorder="1" applyAlignment="1">
      <alignment vertical="center" shrinkToFit="1"/>
    </xf>
    <xf numFmtId="0" fontId="0" fillId="8" borderId="159" xfId="0" applyFill="1" applyBorder="1">
      <alignment vertical="center"/>
    </xf>
    <xf numFmtId="0" fontId="14" fillId="0" borderId="1" xfId="0" applyFont="1" applyBorder="1" applyAlignment="1" applyProtection="1">
      <alignment horizontal="center" vertical="center"/>
      <protection hidden="1"/>
    </xf>
    <xf numFmtId="0" fontId="14" fillId="0" borderId="33" xfId="0"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wrapText="1" indent="1"/>
      <protection hidden="1"/>
    </xf>
    <xf numFmtId="0" fontId="26" fillId="4" borderId="0" xfId="0" applyFont="1" applyFill="1" applyAlignment="1" applyProtection="1">
      <alignment horizontal="center" vertical="center"/>
      <protection hidden="1"/>
    </xf>
    <xf numFmtId="0" fontId="26" fillId="0" borderId="32" xfId="0" applyFont="1" applyBorder="1" applyAlignment="1" applyProtection="1">
      <alignment horizontal="centerContinuous" vertical="center"/>
      <protection hidden="1"/>
    </xf>
    <xf numFmtId="0" fontId="26" fillId="0" borderId="68" xfId="0" applyFont="1" applyBorder="1" applyAlignment="1" applyProtection="1">
      <alignment horizontal="center" vertical="center"/>
      <protection hidden="1"/>
    </xf>
    <xf numFmtId="0" fontId="14" fillId="2" borderId="1" xfId="0" applyFont="1" applyFill="1" applyBorder="1">
      <alignment vertical="center"/>
    </xf>
    <xf numFmtId="0" fontId="4" fillId="4" borderId="36" xfId="0" applyFont="1" applyFill="1" applyBorder="1" applyAlignment="1" applyProtection="1">
      <alignment horizontal="center" vertical="center"/>
      <protection hidden="1"/>
    </xf>
    <xf numFmtId="0" fontId="4" fillId="4" borderId="0" xfId="0" applyFont="1" applyFill="1" applyProtection="1">
      <alignment vertical="center"/>
      <protection hidden="1"/>
    </xf>
    <xf numFmtId="0" fontId="14" fillId="4" borderId="119" xfId="0" applyFont="1" applyFill="1" applyBorder="1">
      <alignment vertical="center"/>
    </xf>
    <xf numFmtId="176" fontId="14" fillId="4" borderId="0" xfId="0" applyNumberFormat="1" applyFont="1" applyFill="1" applyAlignment="1" applyProtection="1">
      <alignment horizontal="center" vertical="center" shrinkToFit="1"/>
      <protection hidden="1"/>
    </xf>
    <xf numFmtId="177" fontId="14" fillId="4" borderId="0" xfId="0" applyNumberFormat="1" applyFont="1" applyFill="1" applyAlignment="1" applyProtection="1">
      <alignment horizontal="right" vertical="center"/>
      <protection hidden="1"/>
    </xf>
    <xf numFmtId="0" fontId="14" fillId="4" borderId="0" xfId="0" applyFont="1" applyFill="1" applyAlignment="1" applyProtection="1">
      <alignment horizontal="right" vertical="center" shrinkToFit="1"/>
      <protection hidden="1"/>
    </xf>
    <xf numFmtId="0" fontId="14" fillId="4" borderId="0" xfId="0" applyFont="1" applyFill="1" applyAlignment="1" applyProtection="1">
      <alignment horizontal="right" vertical="center"/>
      <protection hidden="1"/>
    </xf>
    <xf numFmtId="200" fontId="14" fillId="4" borderId="42" xfId="2" applyNumberFormat="1" applyFont="1" applyFill="1" applyBorder="1" applyAlignment="1" applyProtection="1">
      <alignment horizontal="right" vertical="center" shrinkToFit="1"/>
      <protection hidden="1"/>
    </xf>
    <xf numFmtId="200" fontId="14" fillId="4" borderId="2" xfId="2" applyNumberFormat="1" applyFont="1" applyFill="1" applyBorder="1" applyAlignment="1" applyProtection="1">
      <alignment horizontal="right" vertical="center" shrinkToFit="1"/>
      <protection hidden="1"/>
    </xf>
    <xf numFmtId="200" fontId="14" fillId="4" borderId="62" xfId="2" applyNumberFormat="1" applyFont="1" applyFill="1" applyBorder="1" applyAlignment="1" applyProtection="1">
      <alignment horizontal="right" vertical="center" shrinkToFit="1"/>
      <protection hidden="1"/>
    </xf>
    <xf numFmtId="200" fontId="14" fillId="4" borderId="54" xfId="2" applyNumberFormat="1" applyFont="1" applyFill="1" applyBorder="1" applyAlignment="1" applyProtection="1">
      <alignment horizontal="right" vertical="center" shrinkToFit="1"/>
      <protection hidden="1"/>
    </xf>
    <xf numFmtId="200" fontId="14" fillId="4" borderId="23" xfId="2" applyNumberFormat="1" applyFont="1" applyFill="1" applyBorder="1" applyAlignment="1" applyProtection="1">
      <alignment horizontal="right" vertical="center" shrinkToFit="1"/>
      <protection hidden="1"/>
    </xf>
    <xf numFmtId="0" fontId="14" fillId="4" borderId="31" xfId="0" applyFont="1" applyFill="1" applyBorder="1" applyAlignment="1" applyProtection="1">
      <alignment horizontal="center" vertical="center" wrapText="1"/>
      <protection hidden="1"/>
    </xf>
    <xf numFmtId="0" fontId="14" fillId="4" borderId="3" xfId="0" applyFont="1" applyFill="1" applyBorder="1" applyAlignment="1" applyProtection="1">
      <alignment horizontal="center" vertical="center" wrapText="1"/>
      <protection hidden="1"/>
    </xf>
    <xf numFmtId="0" fontId="14" fillId="4" borderId="86" xfId="0" applyFont="1" applyFill="1" applyBorder="1" applyAlignment="1" applyProtection="1">
      <alignment horizontal="center" vertical="center" wrapText="1"/>
      <protection hidden="1"/>
    </xf>
    <xf numFmtId="0" fontId="14" fillId="4" borderId="161"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wrapText="1"/>
      <protection hidden="1"/>
    </xf>
    <xf numFmtId="0" fontId="14" fillId="4" borderId="53" xfId="0" applyFont="1" applyFill="1" applyBorder="1" applyAlignment="1" applyProtection="1">
      <alignment horizontal="center" vertical="center" wrapText="1"/>
      <protection hidden="1"/>
    </xf>
    <xf numFmtId="0" fontId="14" fillId="4" borderId="22" xfId="0" applyFont="1" applyFill="1" applyBorder="1" applyAlignment="1" applyProtection="1">
      <alignment horizontal="center" vertical="center" wrapText="1"/>
      <protection hidden="1"/>
    </xf>
    <xf numFmtId="0" fontId="14" fillId="0" borderId="31" xfId="0" applyFont="1" applyBorder="1" applyAlignment="1" applyProtection="1">
      <alignment horizontal="left" vertical="center" wrapText="1"/>
      <protection hidden="1"/>
    </xf>
    <xf numFmtId="0" fontId="14" fillId="0" borderId="94" xfId="0" applyFont="1" applyBorder="1" applyAlignment="1" applyProtection="1">
      <alignment horizontal="left" vertical="center" wrapText="1" indent="1"/>
      <protection hidden="1"/>
    </xf>
    <xf numFmtId="0" fontId="14" fillId="0" borderId="3" xfId="0" applyFont="1" applyBorder="1" applyAlignment="1" applyProtection="1">
      <alignment horizontal="left" vertical="center" wrapText="1"/>
      <protection hidden="1"/>
    </xf>
    <xf numFmtId="0" fontId="14" fillId="0" borderId="57" xfId="0" applyFont="1" applyBorder="1" applyAlignment="1" applyProtection="1">
      <alignment horizontal="left" vertical="center" wrapText="1" indent="1"/>
      <protection hidden="1"/>
    </xf>
    <xf numFmtId="0" fontId="14" fillId="0" borderId="138" xfId="0" applyFont="1" applyBorder="1" applyAlignment="1" applyProtection="1">
      <alignment horizontal="left" vertical="center" wrapText="1"/>
      <protection hidden="1"/>
    </xf>
    <xf numFmtId="0" fontId="14" fillId="0" borderId="86" xfId="0" applyFont="1" applyBorder="1" applyAlignment="1" applyProtection="1">
      <alignment horizontal="left" vertical="center" wrapText="1"/>
      <protection hidden="1"/>
    </xf>
    <xf numFmtId="0" fontId="14" fillId="0" borderId="161" xfId="0" applyFont="1" applyBorder="1" applyAlignment="1" applyProtection="1">
      <alignment horizontal="left" vertical="center" wrapText="1"/>
      <protection hidden="1"/>
    </xf>
    <xf numFmtId="0" fontId="14" fillId="0" borderId="140" xfId="0" applyFont="1" applyBorder="1" applyAlignment="1" applyProtection="1">
      <alignment horizontal="center" vertical="center" wrapText="1"/>
      <protection hidden="1"/>
    </xf>
    <xf numFmtId="0" fontId="14" fillId="0" borderId="38" xfId="0" applyFont="1" applyBorder="1" applyAlignment="1" applyProtection="1">
      <alignment horizontal="left" vertical="center" wrapText="1"/>
      <protection hidden="1"/>
    </xf>
    <xf numFmtId="0" fontId="14" fillId="0" borderId="139" xfId="0" applyFont="1" applyBorder="1" applyAlignment="1" applyProtection="1">
      <alignment horizontal="center" vertical="center" wrapText="1"/>
      <protection hidden="1"/>
    </xf>
    <xf numFmtId="0" fontId="14" fillId="0" borderId="138" xfId="0" applyFont="1" applyBorder="1" applyAlignment="1" applyProtection="1">
      <alignment horizontal="center" vertical="center" wrapText="1"/>
      <protection hidden="1"/>
    </xf>
    <xf numFmtId="0" fontId="14" fillId="0" borderId="141" xfId="0" applyFont="1" applyBorder="1" applyAlignment="1" applyProtection="1">
      <alignment horizontal="center" vertical="center" wrapText="1"/>
      <protection hidden="1"/>
    </xf>
    <xf numFmtId="0" fontId="14" fillId="0" borderId="53" xfId="0" applyFont="1" applyBorder="1" applyAlignment="1" applyProtection="1">
      <alignment horizontal="left" vertical="center" wrapText="1"/>
      <protection hidden="1"/>
    </xf>
    <xf numFmtId="0" fontId="14" fillId="0" borderId="143" xfId="0" applyFont="1" applyBorder="1" applyAlignment="1" applyProtection="1">
      <alignment horizontal="center" vertical="center" wrapText="1"/>
      <protection hidden="1"/>
    </xf>
    <xf numFmtId="0" fontId="14" fillId="0" borderId="137" xfId="0" applyFont="1" applyBorder="1" applyAlignment="1" applyProtection="1">
      <alignment horizontal="center" vertical="center" wrapText="1"/>
      <protection hidden="1"/>
    </xf>
    <xf numFmtId="0" fontId="14" fillId="2" borderId="60" xfId="0" applyFont="1" applyFill="1" applyBorder="1">
      <alignment vertical="center"/>
    </xf>
    <xf numFmtId="194" fontId="14" fillId="0" borderId="42" xfId="2" applyNumberFormat="1" applyFont="1" applyFill="1" applyBorder="1" applyAlignment="1" applyProtection="1">
      <alignment horizontal="right" vertical="center" shrinkToFit="1"/>
      <protection hidden="1"/>
    </xf>
    <xf numFmtId="194" fontId="14" fillId="0" borderId="2" xfId="2" applyNumberFormat="1" applyFont="1" applyFill="1" applyBorder="1" applyAlignment="1" applyProtection="1">
      <alignment horizontal="right" vertical="center" shrinkToFit="1"/>
      <protection hidden="1"/>
    </xf>
    <xf numFmtId="194" fontId="14" fillId="0" borderId="54" xfId="2" applyNumberFormat="1" applyFont="1" applyFill="1" applyBorder="1" applyAlignment="1" applyProtection="1">
      <alignment horizontal="right" vertical="center" shrinkToFit="1"/>
      <protection hidden="1"/>
    </xf>
    <xf numFmtId="194" fontId="14" fillId="0" borderId="1" xfId="2" applyNumberFormat="1" applyFont="1" applyFill="1" applyBorder="1" applyAlignment="1" applyProtection="1">
      <alignment horizontal="right" vertical="center" shrinkToFit="1"/>
      <protection hidden="1"/>
    </xf>
    <xf numFmtId="194" fontId="14" fillId="0" borderId="60" xfId="2" applyNumberFormat="1" applyFont="1" applyFill="1" applyBorder="1" applyAlignment="1" applyProtection="1">
      <alignment horizontal="right" vertical="center" shrinkToFit="1"/>
      <protection hidden="1"/>
    </xf>
    <xf numFmtId="194" fontId="14" fillId="0" borderId="72" xfId="2" applyNumberFormat="1" applyFont="1" applyFill="1" applyBorder="1" applyAlignment="1" applyProtection="1">
      <alignment horizontal="right" vertical="center" shrinkToFit="1"/>
      <protection hidden="1"/>
    </xf>
    <xf numFmtId="194" fontId="14" fillId="0" borderId="67" xfId="2" applyNumberFormat="1" applyFont="1" applyFill="1" applyBorder="1" applyAlignment="1" applyProtection="1">
      <alignment horizontal="right" vertical="center" shrinkToFit="1"/>
      <protection hidden="1"/>
    </xf>
    <xf numFmtId="194" fontId="14" fillId="0" borderId="91" xfId="2" applyNumberFormat="1" applyFont="1" applyFill="1" applyBorder="1" applyAlignment="1" applyProtection="1">
      <alignment horizontal="right" vertical="center" shrinkToFit="1"/>
      <protection hidden="1"/>
    </xf>
    <xf numFmtId="200" fontId="14" fillId="6" borderId="33" xfId="0" applyNumberFormat="1" applyFont="1" applyFill="1" applyBorder="1" applyAlignment="1" applyProtection="1">
      <alignment vertical="center" shrinkToFit="1"/>
      <protection locked="0"/>
    </xf>
    <xf numFmtId="200" fontId="14" fillId="6" borderId="1" xfId="0" applyNumberFormat="1" applyFont="1" applyFill="1" applyBorder="1" applyAlignment="1" applyProtection="1">
      <alignment vertical="center" shrinkToFit="1"/>
      <protection locked="0"/>
    </xf>
    <xf numFmtId="200" fontId="14" fillId="6" borderId="68" xfId="0" applyNumberFormat="1" applyFont="1" applyFill="1" applyBorder="1" applyAlignment="1" applyProtection="1">
      <alignment vertical="center" shrinkToFit="1"/>
      <protection locked="0"/>
    </xf>
    <xf numFmtId="200" fontId="14" fillId="6" borderId="55" xfId="0" applyNumberFormat="1" applyFont="1" applyFill="1" applyBorder="1" applyAlignment="1" applyProtection="1">
      <alignment vertical="center" shrinkToFit="1"/>
      <protection locked="0"/>
    </xf>
    <xf numFmtId="200" fontId="14" fillId="6" borderId="24" xfId="0" applyNumberFormat="1" applyFont="1" applyFill="1" applyBorder="1" applyAlignment="1" applyProtection="1">
      <alignment vertical="center" shrinkToFit="1"/>
      <protection locked="0"/>
    </xf>
    <xf numFmtId="178" fontId="14" fillId="0" borderId="31" xfId="1" applyNumberFormat="1" applyFont="1" applyBorder="1" applyAlignment="1" applyProtection="1">
      <alignment horizontal="right" vertical="center"/>
      <protection hidden="1"/>
    </xf>
    <xf numFmtId="178" fontId="14" fillId="0" borderId="3" xfId="1" applyNumberFormat="1" applyFont="1" applyBorder="1" applyAlignment="1" applyProtection="1">
      <alignment horizontal="right" vertical="center"/>
      <protection hidden="1"/>
    </xf>
    <xf numFmtId="178" fontId="14" fillId="0" borderId="86" xfId="1" applyNumberFormat="1" applyFont="1" applyBorder="1" applyAlignment="1" applyProtection="1">
      <alignment horizontal="right" vertical="center"/>
      <protection hidden="1"/>
    </xf>
    <xf numFmtId="178" fontId="14" fillId="0" borderId="53" xfId="1" applyNumberFormat="1" applyFont="1" applyBorder="1" applyAlignment="1" applyProtection="1">
      <alignment horizontal="right" vertical="center"/>
      <protection hidden="1"/>
    </xf>
    <xf numFmtId="178" fontId="16" fillId="0" borderId="107" xfId="1" applyNumberFormat="1" applyFont="1" applyBorder="1" applyAlignment="1" applyProtection="1">
      <alignment horizontal="right" vertical="center"/>
      <protection hidden="1"/>
    </xf>
    <xf numFmtId="178" fontId="16" fillId="0" borderId="58" xfId="1" applyNumberFormat="1" applyFont="1" applyBorder="1" applyAlignment="1" applyProtection="1">
      <alignment horizontal="right" vertical="center"/>
      <protection hidden="1"/>
    </xf>
    <xf numFmtId="178" fontId="16" fillId="0" borderId="87" xfId="1" applyNumberFormat="1" applyFont="1" applyBorder="1" applyAlignment="1" applyProtection="1">
      <alignment horizontal="right" vertical="center"/>
      <protection hidden="1"/>
    </xf>
    <xf numFmtId="178" fontId="16" fillId="0" borderId="80" xfId="1" applyNumberFormat="1" applyFont="1" applyBorder="1" applyAlignment="1" applyProtection="1">
      <alignment horizontal="right" vertical="center"/>
      <protection hidden="1"/>
    </xf>
    <xf numFmtId="178" fontId="16" fillId="0" borderId="94" xfId="1" applyNumberFormat="1" applyFont="1" applyBorder="1" applyAlignment="1" applyProtection="1">
      <alignment horizontal="right" vertical="center"/>
      <protection hidden="1"/>
    </xf>
    <xf numFmtId="178" fontId="16" fillId="0" borderId="1" xfId="1" applyNumberFormat="1" applyFont="1" applyBorder="1" applyAlignment="1" applyProtection="1">
      <alignment horizontal="right" vertical="center"/>
      <protection hidden="1"/>
    </xf>
    <xf numFmtId="178" fontId="16" fillId="0" borderId="57" xfId="1" applyNumberFormat="1" applyFont="1" applyBorder="1" applyAlignment="1" applyProtection="1">
      <alignment horizontal="right" vertical="center"/>
      <protection hidden="1"/>
    </xf>
    <xf numFmtId="178" fontId="16" fillId="0" borderId="69" xfId="1" applyNumberFormat="1" applyFont="1" applyBorder="1" applyAlignment="1" applyProtection="1">
      <alignment horizontal="right" vertical="center"/>
      <protection hidden="1"/>
    </xf>
    <xf numFmtId="178" fontId="16" fillId="0" borderId="78" xfId="1" applyNumberFormat="1" applyFont="1" applyBorder="1" applyAlignment="1" applyProtection="1">
      <alignment horizontal="right" vertical="center"/>
      <protection hidden="1"/>
    </xf>
    <xf numFmtId="178" fontId="16" fillId="0" borderId="85" xfId="1" applyNumberFormat="1" applyFont="1" applyBorder="1" applyAlignment="1" applyProtection="1">
      <alignment horizontal="right" vertical="center"/>
      <protection hidden="1"/>
    </xf>
    <xf numFmtId="178" fontId="16" fillId="0" borderId="103" xfId="1" quotePrefix="1" applyNumberFormat="1" applyFont="1" applyBorder="1" applyAlignment="1" applyProtection="1">
      <alignment horizontal="right" vertical="center"/>
      <protection hidden="1"/>
    </xf>
    <xf numFmtId="178" fontId="16" fillId="0" borderId="105" xfId="1" quotePrefix="1" applyNumberFormat="1" applyFont="1" applyBorder="1" applyAlignment="1" applyProtection="1">
      <alignment horizontal="right" vertical="center"/>
      <protection hidden="1"/>
    </xf>
    <xf numFmtId="0" fontId="16" fillId="0" borderId="94" xfId="1" applyFont="1" applyBorder="1" applyProtection="1">
      <alignment vertical="center"/>
      <protection hidden="1"/>
    </xf>
    <xf numFmtId="0" fontId="16" fillId="0" borderId="57" xfId="1" applyFont="1" applyBorder="1" applyProtection="1">
      <alignment vertical="center"/>
      <protection hidden="1"/>
    </xf>
    <xf numFmtId="0" fontId="16" fillId="0" borderId="96" xfId="1" applyFont="1" applyBorder="1" applyProtection="1">
      <alignment vertical="center"/>
      <protection hidden="1"/>
    </xf>
    <xf numFmtId="0" fontId="14" fillId="0" borderId="0" xfId="0" applyFont="1" applyAlignment="1" applyProtection="1">
      <alignment horizontal="distributed" vertical="center" wrapText="1" indent="1"/>
      <protection hidden="1"/>
    </xf>
    <xf numFmtId="0" fontId="14" fillId="0" borderId="24" xfId="0" applyFont="1" applyBorder="1" applyAlignment="1" applyProtection="1">
      <alignment horizontal="distributed" vertical="center" indent="1"/>
      <protection hidden="1"/>
    </xf>
    <xf numFmtId="0" fontId="14" fillId="0" borderId="32"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indent="1"/>
      <protection locked="0"/>
    </xf>
    <xf numFmtId="0" fontId="14" fillId="0" borderId="55"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wrapText="1" shrinkToFit="1"/>
      <protection hidden="1"/>
    </xf>
    <xf numFmtId="0" fontId="14" fillId="4" borderId="0" xfId="0" applyFont="1" applyFill="1" applyAlignment="1" applyProtection="1">
      <alignment vertical="center" shrinkToFit="1"/>
      <protection hidden="1"/>
    </xf>
    <xf numFmtId="0" fontId="14" fillId="4" borderId="0" xfId="0" quotePrefix="1" applyFont="1" applyFill="1" applyAlignment="1" applyProtection="1">
      <alignment vertical="center" shrinkToFit="1"/>
      <protection hidden="1"/>
    </xf>
    <xf numFmtId="0" fontId="14" fillId="4" borderId="42" xfId="0" applyFont="1" applyFill="1" applyBorder="1" applyAlignment="1" applyProtection="1">
      <alignment vertical="center" shrinkToFit="1"/>
      <protection hidden="1"/>
    </xf>
    <xf numFmtId="0" fontId="14" fillId="4" borderId="2" xfId="0" applyFont="1" applyFill="1" applyBorder="1" applyAlignment="1" applyProtection="1">
      <alignment vertical="center" shrinkToFit="1"/>
      <protection hidden="1"/>
    </xf>
    <xf numFmtId="0" fontId="14" fillId="4" borderId="23" xfId="0" applyFont="1" applyFill="1" applyBorder="1" applyAlignment="1" applyProtection="1">
      <alignment vertical="center" shrinkToFit="1"/>
      <protection hidden="1"/>
    </xf>
    <xf numFmtId="0" fontId="14" fillId="4" borderId="31" xfId="0" quotePrefix="1" applyFont="1" applyFill="1" applyBorder="1" applyAlignment="1" applyProtection="1">
      <alignment vertical="center" shrinkToFit="1"/>
      <protection hidden="1"/>
    </xf>
    <xf numFmtId="0" fontId="14" fillId="4" borderId="3" xfId="0" quotePrefix="1" applyFont="1" applyFill="1" applyBorder="1" applyAlignment="1" applyProtection="1">
      <alignment vertical="center" shrinkToFit="1"/>
      <protection hidden="1"/>
    </xf>
    <xf numFmtId="0" fontId="14" fillId="4" borderId="22" xfId="0" quotePrefix="1" applyFont="1" applyFill="1" applyBorder="1" applyAlignment="1" applyProtection="1">
      <alignment vertical="center" shrinkToFit="1"/>
      <protection hidden="1"/>
    </xf>
    <xf numFmtId="4" fontId="16" fillId="0" borderId="33" xfId="2" applyNumberFormat="1" applyFont="1" applyFill="1" applyBorder="1" applyAlignment="1" applyProtection="1">
      <alignment horizontal="center" vertical="center" shrinkToFit="1"/>
      <protection hidden="1"/>
    </xf>
    <xf numFmtId="4" fontId="16" fillId="0" borderId="1" xfId="2" applyNumberFormat="1" applyFont="1" applyFill="1" applyBorder="1" applyAlignment="1" applyProtection="1">
      <alignment horizontal="center" vertical="center" shrinkToFit="1"/>
      <protection hidden="1"/>
    </xf>
    <xf numFmtId="181" fontId="16" fillId="0" borderId="1" xfId="2" applyNumberFormat="1" applyFont="1" applyFill="1" applyBorder="1" applyAlignment="1" applyProtection="1">
      <alignment horizontal="center" vertical="center" shrinkToFit="1"/>
      <protection hidden="1"/>
    </xf>
    <xf numFmtId="182" fontId="16" fillId="0" borderId="1" xfId="2" applyNumberFormat="1" applyFont="1" applyFill="1" applyBorder="1" applyAlignment="1" applyProtection="1">
      <alignment horizontal="center" vertical="center" shrinkToFit="1"/>
      <protection hidden="1"/>
    </xf>
    <xf numFmtId="183" fontId="16" fillId="0" borderId="1" xfId="2" applyNumberFormat="1" applyFont="1" applyFill="1" applyBorder="1" applyAlignment="1" applyProtection="1">
      <alignment horizontal="center" vertical="center" shrinkToFit="1"/>
      <protection hidden="1"/>
    </xf>
    <xf numFmtId="179" fontId="16" fillId="0" borderId="1" xfId="2" applyNumberFormat="1" applyFont="1" applyFill="1" applyBorder="1" applyAlignment="1" applyProtection="1">
      <alignment horizontal="center" vertical="center" shrinkToFit="1"/>
      <protection hidden="1"/>
    </xf>
    <xf numFmtId="0" fontId="16" fillId="0" borderId="1" xfId="0" applyFont="1" applyBorder="1" applyAlignment="1" applyProtection="1">
      <alignment horizontal="center" vertical="center" shrinkToFit="1"/>
      <protection hidden="1"/>
    </xf>
    <xf numFmtId="0" fontId="16" fillId="0" borderId="24" xfId="0" applyFont="1" applyBorder="1" applyAlignment="1" applyProtection="1">
      <alignment horizontal="center" vertical="center" shrinkToFit="1"/>
      <protection hidden="1"/>
    </xf>
    <xf numFmtId="0" fontId="16" fillId="0" borderId="32" xfId="0" applyFont="1" applyBorder="1" applyAlignment="1" applyProtection="1">
      <alignment horizontal="center" vertical="center" shrinkToFit="1"/>
      <protection hidden="1"/>
    </xf>
    <xf numFmtId="184" fontId="16" fillId="0" borderId="1" xfId="0" applyNumberFormat="1" applyFont="1" applyBorder="1" applyAlignment="1" applyProtection="1">
      <alignment horizontal="center" vertical="center" shrinkToFit="1"/>
      <protection hidden="1"/>
    </xf>
    <xf numFmtId="185" fontId="16" fillId="0" borderId="1" xfId="0" applyNumberFormat="1" applyFont="1" applyBorder="1" applyAlignment="1" applyProtection="1">
      <alignment horizontal="center" vertical="center" shrinkToFit="1"/>
      <protection hidden="1"/>
    </xf>
    <xf numFmtId="0" fontId="16" fillId="6" borderId="1" xfId="0" applyFont="1" applyFill="1" applyBorder="1" applyAlignment="1" applyProtection="1">
      <alignment horizontal="center" vertical="center" shrinkToFit="1"/>
      <protection locked="0"/>
    </xf>
    <xf numFmtId="190" fontId="16" fillId="0" borderId="1" xfId="0" quotePrefix="1" applyNumberFormat="1" applyFont="1" applyBorder="1" applyAlignment="1" applyProtection="1">
      <alignment horizontal="center" vertical="center" shrinkToFit="1"/>
      <protection hidden="1"/>
    </xf>
    <xf numFmtId="178" fontId="14" fillId="4" borderId="55"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locked="0"/>
    </xf>
    <xf numFmtId="201" fontId="16" fillId="6" borderId="55" xfId="0" applyNumberFormat="1" applyFont="1" applyFill="1" applyBorder="1" applyAlignment="1" applyProtection="1">
      <alignment vertical="center" shrinkToFit="1"/>
      <protection locked="0"/>
    </xf>
    <xf numFmtId="201" fontId="16" fillId="6" borderId="1" xfId="0" applyNumberFormat="1" applyFont="1" applyFill="1" applyBorder="1" applyAlignment="1" applyProtection="1">
      <alignment vertical="center" shrinkToFit="1"/>
      <protection locked="0"/>
    </xf>
    <xf numFmtId="201" fontId="14" fillId="0" borderId="60" xfId="0" applyNumberFormat="1" applyFont="1" applyBorder="1" applyAlignment="1" applyProtection="1">
      <alignment vertical="center" shrinkToFit="1"/>
      <protection hidden="1"/>
    </xf>
    <xf numFmtId="0" fontId="14" fillId="0" borderId="118" xfId="0" applyFont="1" applyBorder="1">
      <alignment vertical="center"/>
    </xf>
    <xf numFmtId="0" fontId="14" fillId="0" borderId="119" xfId="0" applyFont="1" applyBorder="1">
      <alignment vertical="center"/>
    </xf>
    <xf numFmtId="0" fontId="14" fillId="0" borderId="120" xfId="0" applyFont="1" applyBorder="1">
      <alignment vertical="center"/>
    </xf>
    <xf numFmtId="0" fontId="17" fillId="0" borderId="68" xfId="0" applyFont="1" applyBorder="1" applyAlignment="1">
      <alignment horizontal="center" vertical="center" wrapText="1"/>
    </xf>
    <xf numFmtId="0" fontId="0" fillId="6" borderId="37" xfId="0" applyFill="1" applyBorder="1">
      <alignment vertical="center"/>
    </xf>
    <xf numFmtId="0" fontId="0" fillId="7" borderId="33" xfId="0" applyFill="1" applyBorder="1">
      <alignment vertical="center"/>
    </xf>
    <xf numFmtId="0" fontId="4" fillId="2" borderId="36" xfId="0" applyFont="1" applyFill="1" applyBorder="1" applyAlignment="1" applyProtection="1">
      <alignment horizontal="center" vertical="center"/>
      <protection hidden="1"/>
    </xf>
    <xf numFmtId="0" fontId="4" fillId="2" borderId="0" xfId="0" applyFont="1" applyFill="1" applyProtection="1">
      <alignment vertical="center"/>
      <protection hidden="1"/>
    </xf>
    <xf numFmtId="0" fontId="14" fillId="2" borderId="119" xfId="0" applyFont="1" applyFill="1" applyBorder="1">
      <alignment vertical="center"/>
    </xf>
    <xf numFmtId="0" fontId="0" fillId="0" borderId="60" xfId="0" applyBorder="1">
      <alignment vertical="center"/>
    </xf>
    <xf numFmtId="0" fontId="0" fillId="0" borderId="0" xfId="0" applyAlignment="1">
      <alignment vertical="center" wrapText="1"/>
    </xf>
    <xf numFmtId="0" fontId="0" fillId="0" borderId="1" xfId="0" applyBorder="1" applyAlignment="1">
      <alignment vertical="center" wrapText="1"/>
    </xf>
    <xf numFmtId="188" fontId="16" fillId="0" borderId="29" xfId="2" applyNumberFormat="1" applyFont="1" applyFill="1" applyBorder="1" applyAlignment="1" applyProtection="1">
      <alignment horizontal="right" vertical="center" shrinkToFit="1"/>
      <protection hidden="1"/>
    </xf>
    <xf numFmtId="188" fontId="14" fillId="0" borderId="30" xfId="0" applyNumberFormat="1" applyFont="1" applyBorder="1" applyAlignment="1" applyProtection="1">
      <alignment horizontal="left" vertical="center" shrinkToFit="1"/>
      <protection hidden="1"/>
    </xf>
    <xf numFmtId="188" fontId="16" fillId="0" borderId="33" xfId="0" applyNumberFormat="1" applyFont="1" applyBorder="1" applyAlignment="1" applyProtection="1">
      <alignment horizontal="right" vertical="center" shrinkToFit="1"/>
      <protection hidden="1"/>
    </xf>
    <xf numFmtId="188" fontId="16" fillId="0" borderId="34" xfId="0" applyNumberFormat="1" applyFont="1" applyBorder="1" applyAlignment="1" applyProtection="1">
      <alignment horizontal="right" vertical="center" shrinkToFit="1"/>
      <protection hidden="1"/>
    </xf>
    <xf numFmtId="188" fontId="14" fillId="0" borderId="3" xfId="0" applyNumberFormat="1" applyFont="1" applyBorder="1" applyAlignment="1" applyProtection="1">
      <alignment horizontal="left" vertical="center" shrinkToFit="1"/>
      <protection hidden="1"/>
    </xf>
    <xf numFmtId="188" fontId="14" fillId="0" borderId="38" xfId="0" applyNumberFormat="1" applyFont="1" applyBorder="1" applyAlignment="1" applyProtection="1">
      <alignment horizontal="left" vertical="center" shrinkToFit="1"/>
      <protection hidden="1"/>
    </xf>
    <xf numFmtId="188" fontId="16" fillId="0" borderId="58" xfId="2" applyNumberFormat="1" applyFont="1" applyFill="1" applyBorder="1" applyAlignment="1" applyProtection="1">
      <alignment horizontal="right" vertical="center" shrinkToFit="1"/>
      <protection hidden="1"/>
    </xf>
    <xf numFmtId="188" fontId="14" fillId="0" borderId="3" xfId="0" applyNumberFormat="1" applyFont="1" applyBorder="1" applyAlignment="1" applyProtection="1">
      <alignment vertical="center" shrinkToFit="1"/>
      <protection hidden="1"/>
    </xf>
    <xf numFmtId="188" fontId="16" fillId="0" borderId="62" xfId="0" quotePrefix="1" applyNumberFormat="1" applyFont="1" applyBorder="1" applyAlignment="1" applyProtection="1">
      <alignment horizontal="right" vertical="center" shrinkToFit="1"/>
      <protection hidden="1"/>
    </xf>
    <xf numFmtId="188" fontId="16" fillId="0" borderId="68" xfId="1" quotePrefix="1" applyNumberFormat="1" applyFont="1" applyBorder="1" applyAlignment="1" applyProtection="1">
      <alignment horizontal="right" vertical="center" shrinkToFit="1"/>
      <protection hidden="1"/>
    </xf>
    <xf numFmtId="188" fontId="16" fillId="0" borderId="69"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horizontal="right" vertical="center" shrinkToFit="1"/>
      <protection hidden="1"/>
    </xf>
    <xf numFmtId="188" fontId="14" fillId="0" borderId="53" xfId="0" applyNumberFormat="1" applyFont="1" applyBorder="1" applyAlignment="1" applyProtection="1">
      <alignment horizontal="left" vertical="center" shrinkToFit="1"/>
      <protection hidden="1"/>
    </xf>
    <xf numFmtId="188" fontId="16" fillId="0" borderId="55" xfId="0" applyNumberFormat="1" applyFont="1" applyBorder="1" applyAlignment="1" applyProtection="1">
      <alignment horizontal="right" vertical="center" shrinkToFit="1"/>
      <protection hidden="1"/>
    </xf>
    <xf numFmtId="188" fontId="16" fillId="0" borderId="52" xfId="0" applyNumberFormat="1" applyFont="1" applyBorder="1" applyAlignment="1" applyProtection="1">
      <alignment horizontal="right" vertical="center" shrinkToFit="1"/>
      <protection hidden="1"/>
    </xf>
    <xf numFmtId="188" fontId="16" fillId="0" borderId="36" xfId="2" applyNumberFormat="1" applyFont="1" applyFill="1" applyBorder="1" applyAlignment="1" applyProtection="1">
      <alignment horizontal="right" vertical="center" shrinkToFit="1"/>
      <protection hidden="1"/>
    </xf>
    <xf numFmtId="188" fontId="16" fillId="0" borderId="60" xfId="0" applyNumberFormat="1" applyFont="1" applyBorder="1" applyAlignment="1" applyProtection="1">
      <alignment horizontal="right" vertical="center" shrinkToFit="1"/>
      <protection hidden="1"/>
    </xf>
    <xf numFmtId="188" fontId="16" fillId="0" borderId="61" xfId="0" applyNumberFormat="1" applyFont="1" applyBorder="1" applyAlignment="1" applyProtection="1">
      <alignment horizontal="right" vertical="center" shrinkToFit="1"/>
      <protection hidden="1"/>
    </xf>
    <xf numFmtId="188" fontId="14" fillId="0" borderId="60" xfId="0" applyNumberFormat="1" applyFont="1" applyBorder="1" applyAlignment="1" applyProtection="1">
      <alignment horizontal="right" vertical="center" shrinkToFit="1"/>
      <protection hidden="1"/>
    </xf>
    <xf numFmtId="188" fontId="16" fillId="0" borderId="57" xfId="0" applyNumberFormat="1" applyFont="1" applyBorder="1" applyAlignment="1" applyProtection="1">
      <alignment horizontal="right" vertical="center" shrinkToFit="1"/>
      <protection hidden="1"/>
    </xf>
    <xf numFmtId="188" fontId="16" fillId="0" borderId="45" xfId="0" quotePrefix="1" applyNumberFormat="1" applyFont="1" applyBorder="1" applyAlignment="1" applyProtection="1">
      <alignment horizontal="right" vertical="center" shrinkToFit="1"/>
      <protection hidden="1"/>
    </xf>
    <xf numFmtId="188" fontId="16" fillId="0" borderId="44" xfId="1" quotePrefix="1" applyNumberFormat="1" applyFont="1" applyBorder="1" applyAlignment="1" applyProtection="1">
      <alignment horizontal="right" vertical="center" shrinkToFit="1"/>
      <protection hidden="1"/>
    </xf>
    <xf numFmtId="188" fontId="16" fillId="0" borderId="59" xfId="0" applyNumberFormat="1" applyFont="1" applyBorder="1" applyAlignment="1" applyProtection="1">
      <alignment horizontal="right" vertical="center" shrinkToFit="1"/>
      <protection hidden="1"/>
    </xf>
    <xf numFmtId="188" fontId="16" fillId="0" borderId="60" xfId="0" applyNumberFormat="1" applyFont="1" applyBorder="1" applyAlignment="1" applyProtection="1">
      <alignment horizontal="center" vertical="center" shrinkToFit="1"/>
      <protection hidden="1"/>
    </xf>
    <xf numFmtId="188" fontId="16" fillId="0" borderId="61" xfId="0" applyNumberFormat="1" applyFont="1" applyBorder="1" applyAlignment="1" applyProtection="1">
      <alignment horizontal="center" vertical="center" shrinkToFit="1"/>
      <protection hidden="1"/>
    </xf>
    <xf numFmtId="188" fontId="16" fillId="0" borderId="60" xfId="0" applyNumberFormat="1" applyFont="1" applyBorder="1" applyAlignment="1" applyProtection="1">
      <alignment vertical="center" shrinkToFit="1"/>
      <protection hidden="1"/>
    </xf>
    <xf numFmtId="188" fontId="16" fillId="0" borderId="45" xfId="0" quotePrefix="1" applyNumberFormat="1" applyFont="1" applyBorder="1" applyAlignment="1" applyProtection="1">
      <alignment vertical="center" shrinkToFit="1"/>
      <protection hidden="1"/>
    </xf>
    <xf numFmtId="188" fontId="16" fillId="0" borderId="68" xfId="1" quotePrefix="1" applyNumberFormat="1" applyFont="1" applyBorder="1" applyAlignment="1" applyProtection="1">
      <alignment vertical="center" shrinkToFit="1"/>
      <protection hidden="1"/>
    </xf>
    <xf numFmtId="188" fontId="16" fillId="0" borderId="68" xfId="0" quotePrefix="1" applyNumberFormat="1" applyFont="1" applyBorder="1" applyAlignment="1" applyProtection="1">
      <alignment vertical="center" shrinkToFit="1"/>
      <protection hidden="1"/>
    </xf>
    <xf numFmtId="188" fontId="16" fillId="0" borderId="69" xfId="0" quotePrefix="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vertical="center" shrinkToFit="1"/>
      <protection hidden="1"/>
    </xf>
    <xf numFmtId="188" fontId="16" fillId="0" borderId="34" xfId="0" applyNumberFormat="1" applyFont="1" applyBorder="1" applyProtection="1">
      <alignment vertical="center"/>
      <protection hidden="1"/>
    </xf>
    <xf numFmtId="188" fontId="16" fillId="0" borderId="58" xfId="2" applyNumberFormat="1" applyFont="1" applyFill="1" applyBorder="1" applyAlignment="1" applyProtection="1">
      <alignment vertical="center" shrinkToFit="1"/>
      <protection hidden="1"/>
    </xf>
    <xf numFmtId="188" fontId="16" fillId="0" borderId="59" xfId="0" applyNumberFormat="1" applyFont="1" applyBorder="1" applyProtection="1">
      <alignment vertical="center"/>
      <protection hidden="1"/>
    </xf>
    <xf numFmtId="188" fontId="14" fillId="0" borderId="70" xfId="0" applyNumberFormat="1" applyFont="1" applyBorder="1" applyAlignment="1" applyProtection="1">
      <alignment vertical="center" shrinkToFit="1"/>
      <protection hidden="1"/>
    </xf>
    <xf numFmtId="188" fontId="21" fillId="0" borderId="72" xfId="0" applyNumberFormat="1" applyFont="1" applyBorder="1" applyAlignment="1" applyProtection="1">
      <alignment horizontal="right" vertical="center" indent="1" shrinkToFit="1"/>
      <protection hidden="1"/>
    </xf>
    <xf numFmtId="188" fontId="14" fillId="0" borderId="72" xfId="0" applyNumberFormat="1" applyFont="1" applyBorder="1" applyAlignment="1" applyProtection="1">
      <alignment vertical="center" shrinkToFit="1"/>
      <protection hidden="1"/>
    </xf>
    <xf numFmtId="188" fontId="16" fillId="0" borderId="78" xfId="0" applyNumberFormat="1" applyFont="1" applyBorder="1" applyAlignment="1" applyProtection="1">
      <alignment horizontal="right" vertical="center" shrinkToFit="1"/>
      <protection hidden="1"/>
    </xf>
    <xf numFmtId="188" fontId="14" fillId="0" borderId="41" xfId="0" applyNumberFormat="1" applyFont="1" applyBorder="1" applyAlignment="1" applyProtection="1">
      <alignment vertical="center" shrinkToFit="1"/>
      <protection hidden="1"/>
    </xf>
    <xf numFmtId="188" fontId="21" fillId="0" borderId="60" xfId="0" applyNumberFormat="1" applyFont="1" applyBorder="1" applyAlignment="1" applyProtection="1">
      <alignment horizontal="right" vertical="center" indent="1" shrinkToFit="1"/>
      <protection hidden="1"/>
    </xf>
    <xf numFmtId="188" fontId="14" fillId="0" borderId="60" xfId="0" applyNumberFormat="1" applyFont="1" applyBorder="1" applyAlignment="1" applyProtection="1">
      <alignment vertical="center" shrinkToFit="1"/>
      <protection hidden="1"/>
    </xf>
    <xf numFmtId="188" fontId="14" fillId="0" borderId="83" xfId="0" applyNumberFormat="1" applyFont="1" applyBorder="1" applyAlignment="1" applyProtection="1">
      <alignment vertical="center" shrinkToFit="1"/>
      <protection hidden="1"/>
    </xf>
    <xf numFmtId="188" fontId="21" fillId="0" borderId="84" xfId="0" applyNumberFormat="1" applyFont="1" applyBorder="1" applyAlignment="1" applyProtection="1">
      <alignment horizontal="right" vertical="center" indent="1" shrinkToFit="1"/>
      <protection hidden="1"/>
    </xf>
    <xf numFmtId="188" fontId="14" fillId="0" borderId="84" xfId="0" applyNumberFormat="1" applyFont="1" applyBorder="1" applyAlignment="1" applyProtection="1">
      <alignment vertical="center" shrinkToFit="1"/>
      <protection hidden="1"/>
    </xf>
    <xf numFmtId="188" fontId="16" fillId="0" borderId="76" xfId="0" quotePrefix="1" applyNumberFormat="1" applyFont="1" applyBorder="1" applyAlignment="1" applyProtection="1">
      <alignment horizontal="right" vertical="center" shrinkToFit="1"/>
      <protection hidden="1"/>
    </xf>
    <xf numFmtId="188" fontId="16" fillId="0" borderId="72" xfId="0" applyNumberFormat="1" applyFont="1" applyBorder="1" applyAlignment="1" applyProtection="1">
      <alignment horizontal="right" vertical="center" shrinkToFit="1"/>
      <protection hidden="1"/>
    </xf>
    <xf numFmtId="188" fontId="16" fillId="0" borderId="67"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vertical="center" shrinkToFit="1"/>
      <protection hidden="1"/>
    </xf>
    <xf numFmtId="188" fontId="16" fillId="0" borderId="72" xfId="0" applyNumberFormat="1" applyFont="1" applyBorder="1" applyAlignment="1" applyProtection="1">
      <alignment horizontal="center" vertical="center" shrinkToFit="1"/>
      <protection hidden="1"/>
    </xf>
    <xf numFmtId="188" fontId="16" fillId="0" borderId="29" xfId="2" applyNumberFormat="1" applyFont="1" applyFill="1" applyBorder="1" applyAlignment="1" applyProtection="1">
      <alignment vertical="center" shrinkToFit="1"/>
      <protection hidden="1"/>
    </xf>
    <xf numFmtId="188" fontId="16" fillId="0" borderId="67" xfId="0" quotePrefix="1" applyNumberFormat="1" applyFont="1" applyBorder="1" applyAlignment="1" applyProtection="1">
      <alignment horizontal="center" vertical="center" shrinkToFit="1"/>
      <protection hidden="1"/>
    </xf>
    <xf numFmtId="188" fontId="16" fillId="0" borderId="43" xfId="0" quotePrefix="1" applyNumberFormat="1" applyFont="1" applyBorder="1" applyAlignment="1" applyProtection="1">
      <alignment horizontal="right" vertical="center" shrinkToFit="1"/>
      <protection hidden="1"/>
    </xf>
    <xf numFmtId="188" fontId="16" fillId="0" borderId="20" xfId="0" quotePrefix="1" applyNumberFormat="1" applyFont="1" applyBorder="1" applyAlignment="1" applyProtection="1">
      <alignment horizontal="right" vertical="center" shrinkToFit="1"/>
      <protection hidden="1"/>
    </xf>
    <xf numFmtId="188" fontId="21" fillId="0" borderId="60" xfId="1" applyNumberFormat="1" applyFont="1" applyBorder="1" applyAlignment="1" applyProtection="1">
      <alignment horizontal="right" vertical="center" indent="1" shrinkToFit="1"/>
      <protection hidden="1"/>
    </xf>
    <xf numFmtId="188" fontId="14" fillId="0" borderId="60" xfId="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horizontal="right" vertical="center" shrinkToFit="1"/>
      <protection hidden="1"/>
    </xf>
    <xf numFmtId="188" fontId="16" fillId="0" borderId="67" xfId="0" applyNumberFormat="1" applyFont="1" applyBorder="1" applyAlignment="1" applyProtection="1">
      <alignment horizontal="right" vertical="center" shrinkToFit="1"/>
      <protection hidden="1"/>
    </xf>
    <xf numFmtId="0" fontId="14" fillId="7" borderId="33" xfId="0" applyFont="1" applyFill="1" applyBorder="1" applyAlignment="1" applyProtection="1">
      <alignment vertical="center" shrinkToFit="1"/>
      <protection locked="0"/>
    </xf>
    <xf numFmtId="0" fontId="14" fillId="11" borderId="33" xfId="0" applyFont="1" applyFill="1" applyBorder="1" applyAlignment="1" applyProtection="1">
      <alignment vertical="center" shrinkToFit="1"/>
      <protection locked="0"/>
    </xf>
    <xf numFmtId="0" fontId="14" fillId="11" borderId="55" xfId="0" applyFont="1" applyFill="1" applyBorder="1" applyAlignment="1" applyProtection="1">
      <alignment vertical="center" shrinkToFit="1"/>
      <protection locked="0"/>
    </xf>
    <xf numFmtId="0" fontId="14" fillId="11" borderId="1" xfId="0" applyFont="1" applyFill="1" applyBorder="1" applyAlignment="1" applyProtection="1">
      <alignment vertical="center" shrinkToFit="1"/>
      <protection locked="0"/>
    </xf>
    <xf numFmtId="0" fontId="14" fillId="11" borderId="24" xfId="0" applyFont="1" applyFill="1" applyBorder="1" applyAlignment="1" applyProtection="1">
      <alignment vertical="center" shrinkToFit="1"/>
      <protection locked="0"/>
    </xf>
    <xf numFmtId="0" fontId="14" fillId="7" borderId="24" xfId="0" applyFont="1" applyFill="1" applyBorder="1" applyAlignment="1" applyProtection="1">
      <alignment vertical="center" shrinkToFit="1"/>
      <protection locked="0"/>
    </xf>
    <xf numFmtId="0" fontId="14" fillId="7" borderId="33" xfId="0" applyFont="1" applyFill="1" applyBorder="1" applyAlignment="1" applyProtection="1">
      <alignment horizontal="left" vertical="center" wrapText="1" indent="1"/>
      <protection locked="0" hidden="1"/>
    </xf>
    <xf numFmtId="0" fontId="14" fillId="7" borderId="68" xfId="0" applyFont="1" applyFill="1" applyBorder="1" applyAlignment="1" applyProtection="1">
      <alignment horizontal="left" vertical="center" wrapText="1" indent="1"/>
      <protection locked="0" hidden="1"/>
    </xf>
    <xf numFmtId="0" fontId="14" fillId="7" borderId="24" xfId="0" applyFont="1" applyFill="1" applyBorder="1" applyAlignment="1" applyProtection="1">
      <alignment horizontal="left" vertical="center" wrapText="1" indent="1"/>
      <protection locked="0" hidden="1"/>
    </xf>
    <xf numFmtId="194" fontId="14" fillId="6" borderId="2" xfId="2" applyNumberFormat="1" applyFont="1" applyFill="1" applyBorder="1" applyAlignment="1" applyProtection="1">
      <alignment horizontal="right" vertical="center" shrinkToFit="1"/>
      <protection locked="0" hidden="1"/>
    </xf>
    <xf numFmtId="194" fontId="14" fillId="6" borderId="62" xfId="2" applyNumberFormat="1" applyFont="1" applyFill="1" applyBorder="1" applyAlignment="1" applyProtection="1">
      <alignment horizontal="right" vertical="center" shrinkToFit="1"/>
      <protection locked="0" hidden="1"/>
    </xf>
    <xf numFmtId="194" fontId="14" fillId="6" borderId="1" xfId="2" applyNumberFormat="1" applyFont="1" applyFill="1" applyBorder="1" applyAlignment="1" applyProtection="1">
      <alignment horizontal="right" vertical="center" shrinkToFit="1"/>
      <protection locked="0" hidden="1"/>
    </xf>
    <xf numFmtId="194" fontId="14" fillId="6" borderId="68" xfId="2" applyNumberFormat="1" applyFont="1" applyFill="1" applyBorder="1" applyAlignment="1" applyProtection="1">
      <alignment horizontal="right" vertical="center" shrinkToFit="1"/>
      <protection locked="0" hidden="1"/>
    </xf>
    <xf numFmtId="194" fontId="14" fillId="6" borderId="23" xfId="2" applyNumberFormat="1" applyFont="1" applyFill="1" applyBorder="1" applyAlignment="1" applyProtection="1">
      <alignment horizontal="right" vertical="center" shrinkToFit="1"/>
      <protection locked="0" hidden="1"/>
    </xf>
    <xf numFmtId="0" fontId="14" fillId="7" borderId="33" xfId="0" applyFont="1" applyFill="1" applyBorder="1" applyAlignment="1" applyProtection="1">
      <alignment horizontal="distributed" vertical="center" wrapText="1" indent="1"/>
      <protection locked="0" hidden="1"/>
    </xf>
    <xf numFmtId="0" fontId="14" fillId="7" borderId="24" xfId="0" applyFont="1" applyFill="1" applyBorder="1" applyAlignment="1" applyProtection="1">
      <alignment horizontal="distributed" vertical="center" wrapText="1" indent="1"/>
      <protection locked="0" hidden="1"/>
    </xf>
    <xf numFmtId="0" fontId="14" fillId="0" borderId="0" xfId="0" quotePrefix="1" applyFont="1">
      <alignment vertical="center"/>
    </xf>
    <xf numFmtId="202" fontId="14" fillId="0" borderId="0" xfId="0" applyNumberFormat="1" applyFont="1">
      <alignment vertical="center"/>
    </xf>
    <xf numFmtId="202" fontId="14" fillId="0" borderId="110" xfId="0" applyNumberFormat="1" applyFont="1" applyBorder="1">
      <alignment vertical="center"/>
    </xf>
    <xf numFmtId="178" fontId="14" fillId="6" borderId="1" xfId="0" applyNumberFormat="1" applyFont="1" applyFill="1" applyBorder="1" applyAlignment="1" applyProtection="1">
      <alignment horizontal="center" vertical="center" shrinkToFit="1"/>
      <protection locked="0"/>
    </xf>
    <xf numFmtId="0" fontId="14" fillId="0" borderId="22" xfId="0" applyFont="1" applyBorder="1" applyAlignment="1" applyProtection="1">
      <alignment horizontal="left" vertical="center" wrapText="1"/>
      <protection hidden="1"/>
    </xf>
    <xf numFmtId="188" fontId="16" fillId="0" borderId="96" xfId="0" applyNumberFormat="1" applyFont="1" applyBorder="1" applyAlignment="1" applyProtection="1">
      <alignment horizontal="right" vertical="center" shrinkToFit="1"/>
      <protection hidden="1"/>
    </xf>
    <xf numFmtId="188" fontId="16" fillId="0" borderId="94" xfId="0" applyNumberFormat="1" applyFont="1" applyBorder="1" applyAlignment="1" applyProtection="1">
      <alignment horizontal="right" vertical="center" shrinkToFit="1"/>
      <protection hidden="1"/>
    </xf>
    <xf numFmtId="188" fontId="16" fillId="0" borderId="85" xfId="0" applyNumberFormat="1" applyFont="1" applyBorder="1" applyAlignment="1" applyProtection="1">
      <alignment horizontal="right" vertical="center" shrinkToFit="1"/>
      <protection hidden="1"/>
    </xf>
    <xf numFmtId="188" fontId="16" fillId="0" borderId="69" xfId="0" applyNumberFormat="1" applyFont="1" applyBorder="1" applyAlignment="1" applyProtection="1">
      <alignment horizontal="right" vertical="center" shrinkToFit="1"/>
      <protection hidden="1"/>
    </xf>
    <xf numFmtId="188" fontId="16" fillId="0" borderId="115" xfId="0" applyNumberFormat="1" applyFont="1" applyBorder="1" applyAlignment="1" applyProtection="1">
      <alignment horizontal="right" vertical="center" shrinkToFit="1"/>
      <protection hidden="1"/>
    </xf>
    <xf numFmtId="202" fontId="14" fillId="4" borderId="33" xfId="0" applyNumberFormat="1" applyFont="1" applyFill="1" applyBorder="1" applyAlignment="1">
      <alignment vertical="center" shrinkToFit="1"/>
    </xf>
    <xf numFmtId="202" fontId="14" fillId="4" borderId="1" xfId="0" applyNumberFormat="1" applyFont="1" applyFill="1" applyBorder="1" applyAlignment="1">
      <alignment vertical="center" shrinkToFit="1"/>
    </xf>
    <xf numFmtId="202" fontId="14" fillId="4" borderId="35" xfId="0" applyNumberFormat="1" applyFont="1" applyFill="1" applyBorder="1" applyAlignment="1">
      <alignment vertical="center" shrinkToFit="1"/>
    </xf>
    <xf numFmtId="202" fontId="14" fillId="4" borderId="2" xfId="0" applyNumberFormat="1" applyFont="1" applyFill="1" applyBorder="1" applyAlignment="1">
      <alignment vertical="center" shrinkToFit="1"/>
    </xf>
    <xf numFmtId="202" fontId="14" fillId="4" borderId="56" xfId="0" applyNumberFormat="1" applyFont="1" applyFill="1" applyBorder="1" applyAlignment="1">
      <alignment vertical="center" shrinkToFit="1"/>
    </xf>
    <xf numFmtId="189" fontId="16" fillId="0" borderId="99" xfId="0" applyNumberFormat="1" applyFont="1" applyBorder="1" applyAlignment="1" applyProtection="1">
      <alignment vertical="center" shrinkToFit="1"/>
      <protection hidden="1"/>
    </xf>
    <xf numFmtId="188" fontId="16" fillId="0" borderId="50" xfId="0" applyNumberFormat="1" applyFont="1" applyBorder="1" applyAlignment="1" applyProtection="1">
      <alignment horizontal="right" vertical="center" shrinkToFit="1"/>
      <protection hidden="1"/>
    </xf>
    <xf numFmtId="188" fontId="16" fillId="0" borderId="1" xfId="0" applyNumberFormat="1" applyFont="1" applyBorder="1" applyAlignment="1" applyProtection="1">
      <alignment horizontal="right" vertical="center" shrinkToFit="1"/>
      <protection hidden="1"/>
    </xf>
    <xf numFmtId="188" fontId="16" fillId="0" borderId="166" xfId="0" applyNumberFormat="1" applyFont="1" applyBorder="1" applyAlignment="1" applyProtection="1">
      <alignment horizontal="right" vertical="center" shrinkToFit="1"/>
      <protection hidden="1"/>
    </xf>
    <xf numFmtId="178" fontId="16" fillId="0" borderId="12" xfId="1" applyNumberFormat="1" applyFont="1" applyBorder="1" applyAlignment="1" applyProtection="1">
      <alignment horizontal="right" vertical="center"/>
      <protection hidden="1"/>
    </xf>
    <xf numFmtId="178" fontId="16" fillId="0" borderId="50" xfId="1" applyNumberFormat="1" applyFont="1" applyBorder="1" applyAlignment="1" applyProtection="1">
      <alignment horizontal="right" vertical="center"/>
      <protection hidden="1"/>
    </xf>
    <xf numFmtId="0" fontId="14" fillId="0" borderId="22" xfId="0" applyFont="1" applyBorder="1" applyAlignment="1">
      <alignment vertical="center" shrinkToFit="1"/>
    </xf>
    <xf numFmtId="202" fontId="14" fillId="4" borderId="24" xfId="0" applyNumberFormat="1" applyFont="1" applyFill="1" applyBorder="1" applyAlignment="1">
      <alignment vertical="center" shrinkToFit="1"/>
    </xf>
    <xf numFmtId="188" fontId="16" fillId="0" borderId="57" xfId="0" quotePrefix="1" applyNumberFormat="1" applyFont="1" applyBorder="1" applyAlignment="1" applyProtection="1">
      <alignment vertical="center" shrinkToFit="1"/>
      <protection hidden="1"/>
    </xf>
    <xf numFmtId="178" fontId="16" fillId="0" borderId="23" xfId="1" applyNumberFormat="1" applyFont="1" applyBorder="1" applyAlignment="1" applyProtection="1">
      <alignment vertical="center" shrinkToFit="1"/>
      <protection hidden="1"/>
    </xf>
    <xf numFmtId="178" fontId="16" fillId="0" borderId="26" xfId="1" applyNumberFormat="1" applyFont="1" applyBorder="1" applyProtection="1">
      <alignment vertical="center"/>
      <protection hidden="1"/>
    </xf>
    <xf numFmtId="178" fontId="16" fillId="0" borderId="2" xfId="1" applyNumberFormat="1" applyFont="1" applyBorder="1" applyProtection="1">
      <alignment vertical="center"/>
      <protection hidden="1"/>
    </xf>
    <xf numFmtId="0" fontId="14" fillId="7" borderId="43" xfId="0" applyFont="1" applyFill="1" applyBorder="1" applyAlignment="1" applyProtection="1">
      <alignment vertical="center" shrinkToFit="1"/>
      <protection locked="0"/>
    </xf>
    <xf numFmtId="202" fontId="14" fillId="6" borderId="33" xfId="0" applyNumberFormat="1" applyFont="1" applyFill="1" applyBorder="1" applyAlignment="1" applyProtection="1">
      <alignment vertical="center" shrinkToFit="1"/>
      <protection locked="0"/>
    </xf>
    <xf numFmtId="202" fontId="14" fillId="6" borderId="1" xfId="0" applyNumberFormat="1" applyFont="1" applyFill="1" applyBorder="1" applyAlignment="1" applyProtection="1">
      <alignment vertical="center" shrinkToFit="1"/>
      <protection locked="0"/>
    </xf>
    <xf numFmtId="202" fontId="14" fillId="6" borderId="37" xfId="0" applyNumberFormat="1" applyFont="1" applyFill="1" applyBorder="1" applyAlignment="1" applyProtection="1">
      <alignment vertical="center" shrinkToFit="1"/>
      <protection locked="0"/>
    </xf>
    <xf numFmtId="202" fontId="14" fillId="6" borderId="24" xfId="0" applyNumberFormat="1" applyFont="1" applyFill="1" applyBorder="1" applyAlignment="1" applyProtection="1">
      <alignment vertical="center" shrinkToFit="1"/>
      <protection locked="0"/>
    </xf>
    <xf numFmtId="197" fontId="14" fillId="6" borderId="33" xfId="0" applyNumberFormat="1" applyFont="1" applyFill="1" applyBorder="1" applyAlignment="1" applyProtection="1">
      <alignment vertical="center" shrinkToFit="1"/>
      <protection locked="0"/>
    </xf>
    <xf numFmtId="197" fontId="14" fillId="6" borderId="1" xfId="0" applyNumberFormat="1" applyFont="1" applyFill="1" applyBorder="1" applyAlignment="1" applyProtection="1">
      <alignment vertical="center" shrinkToFit="1"/>
      <protection locked="0"/>
    </xf>
    <xf numFmtId="197" fontId="14" fillId="6" borderId="37" xfId="0" applyNumberFormat="1" applyFont="1" applyFill="1" applyBorder="1" applyAlignment="1" applyProtection="1">
      <alignment vertical="center" shrinkToFit="1"/>
      <protection locked="0"/>
    </xf>
    <xf numFmtId="0" fontId="14" fillId="6" borderId="33" xfId="0" applyFont="1" applyFill="1" applyBorder="1" applyAlignment="1" applyProtection="1">
      <alignment vertical="center" shrinkToFit="1"/>
      <protection locked="0"/>
    </xf>
    <xf numFmtId="0" fontId="14" fillId="6" borderId="1" xfId="0" applyFont="1" applyFill="1" applyBorder="1" applyAlignment="1" applyProtection="1">
      <alignment vertical="center" shrinkToFit="1"/>
      <protection locked="0"/>
    </xf>
    <xf numFmtId="0" fontId="14" fillId="6" borderId="24" xfId="0" applyFont="1" applyFill="1" applyBorder="1" applyAlignment="1" applyProtection="1">
      <alignment vertical="center" shrinkToFit="1"/>
      <protection locked="0"/>
    </xf>
    <xf numFmtId="0" fontId="24" fillId="4" borderId="15" xfId="0" applyFont="1" applyFill="1" applyBorder="1" applyAlignment="1">
      <alignment horizontal="left" vertical="center" wrapText="1"/>
    </xf>
    <xf numFmtId="0" fontId="24" fillId="4" borderId="0" xfId="0" applyFont="1" applyFill="1" applyAlignment="1" applyProtection="1">
      <alignment horizontal="left" vertical="center" wrapText="1"/>
      <protection locked="0"/>
    </xf>
    <xf numFmtId="0" fontId="14" fillId="4" borderId="0" xfId="0" applyFont="1" applyFill="1" applyProtection="1">
      <alignment vertical="center"/>
      <protection locked="0"/>
    </xf>
    <xf numFmtId="0" fontId="24" fillId="4" borderId="0" xfId="0" applyFont="1" applyFill="1">
      <alignment vertical="center"/>
    </xf>
    <xf numFmtId="0" fontId="14" fillId="4" borderId="121" xfId="0" applyFont="1" applyFill="1" applyBorder="1">
      <alignment vertical="center"/>
    </xf>
    <xf numFmtId="191" fontId="14" fillId="4" borderId="0" xfId="0" applyNumberFormat="1" applyFont="1" applyFill="1">
      <alignment vertical="center"/>
    </xf>
    <xf numFmtId="0" fontId="14" fillId="4" borderId="1" xfId="0" applyFont="1" applyFill="1" applyBorder="1">
      <alignment vertical="center"/>
    </xf>
    <xf numFmtId="191" fontId="14" fillId="4" borderId="1" xfId="0" applyNumberFormat="1" applyFont="1" applyFill="1" applyBorder="1">
      <alignment vertical="center"/>
    </xf>
    <xf numFmtId="193" fontId="14" fillId="4" borderId="1" xfId="0" applyNumberFormat="1" applyFont="1" applyFill="1" applyBorder="1">
      <alignment vertical="center"/>
    </xf>
    <xf numFmtId="0" fontId="14" fillId="4" borderId="0" xfId="0" applyFont="1" applyFill="1" applyAlignment="1">
      <alignment vertical="center" shrinkToFit="1"/>
    </xf>
    <xf numFmtId="0" fontId="14" fillId="4" borderId="1" xfId="0" applyFont="1" applyFill="1" applyBorder="1" applyAlignment="1">
      <alignment vertical="center" wrapText="1"/>
    </xf>
    <xf numFmtId="0" fontId="14" fillId="4" borderId="36" xfId="0" applyFont="1" applyFill="1" applyBorder="1">
      <alignment vertical="center"/>
    </xf>
    <xf numFmtId="0" fontId="14" fillId="4" borderId="0" xfId="0" applyFont="1" applyFill="1" applyAlignment="1">
      <alignment vertical="center" wrapText="1"/>
    </xf>
    <xf numFmtId="202" fontId="14" fillId="4" borderId="0" xfId="0" applyNumberFormat="1" applyFont="1" applyFill="1">
      <alignment vertical="center"/>
    </xf>
    <xf numFmtId="0" fontId="14" fillId="4" borderId="0" xfId="1" applyFont="1" applyFill="1" applyProtection="1">
      <alignment vertical="center"/>
      <protection hidden="1"/>
    </xf>
    <xf numFmtId="178" fontId="16" fillId="4" borderId="0" xfId="0" quotePrefix="1" applyNumberFormat="1" applyFont="1" applyFill="1" applyAlignment="1" applyProtection="1">
      <alignment horizontal="center" vertical="center" shrinkToFit="1"/>
      <protection hidden="1"/>
    </xf>
    <xf numFmtId="0" fontId="14" fillId="4" borderId="1" xfId="0" applyFont="1" applyFill="1" applyBorder="1" applyProtection="1">
      <alignment vertical="center"/>
      <protection hidden="1"/>
    </xf>
    <xf numFmtId="188" fontId="16" fillId="0" borderId="170" xfId="0" quotePrefix="1" applyNumberFormat="1" applyFont="1" applyBorder="1" applyAlignment="1" applyProtection="1">
      <alignment horizontal="right" vertical="center" shrinkToFit="1"/>
      <protection hidden="1"/>
    </xf>
    <xf numFmtId="0" fontId="14" fillId="4" borderId="0" xfId="1" applyFont="1" applyFill="1" applyAlignment="1" applyProtection="1">
      <alignment vertical="center" wrapText="1"/>
      <protection hidden="1"/>
    </xf>
    <xf numFmtId="0" fontId="14" fillId="6" borderId="95" xfId="0" applyFont="1" applyFill="1" applyBorder="1" applyAlignment="1" applyProtection="1">
      <alignment vertical="center" shrinkToFit="1"/>
      <protection locked="0"/>
    </xf>
    <xf numFmtId="0" fontId="14" fillId="6" borderId="98" xfId="0" applyFont="1" applyFill="1" applyBorder="1" applyAlignment="1" applyProtection="1">
      <alignment vertical="center" shrinkToFit="1"/>
      <protection locked="0"/>
    </xf>
    <xf numFmtId="0" fontId="14" fillId="6" borderId="104" xfId="0" applyFont="1" applyFill="1" applyBorder="1" applyAlignment="1" applyProtection="1">
      <alignment vertical="center" shrinkToFit="1"/>
      <protection locked="0"/>
    </xf>
    <xf numFmtId="49" fontId="14" fillId="6" borderId="114" xfId="0" applyNumberFormat="1" applyFont="1" applyFill="1" applyBorder="1" applyAlignment="1" applyProtection="1">
      <alignment horizontal="left" vertical="center" shrinkToFit="1"/>
      <protection locked="0"/>
    </xf>
    <xf numFmtId="49" fontId="14" fillId="6" borderId="95" xfId="0" applyNumberFormat="1" applyFont="1" applyFill="1" applyBorder="1" applyAlignment="1" applyProtection="1">
      <alignment horizontal="left" vertical="center" shrinkToFit="1"/>
      <protection locked="0"/>
    </xf>
    <xf numFmtId="49" fontId="14" fillId="6" borderId="104" xfId="0" applyNumberFormat="1" applyFont="1" applyFill="1" applyBorder="1" applyAlignment="1" applyProtection="1">
      <alignment horizontal="left" vertical="center" shrinkToFit="1"/>
      <protection locked="0"/>
    </xf>
    <xf numFmtId="49" fontId="14" fillId="6" borderId="98" xfId="0" applyNumberFormat="1" applyFont="1" applyFill="1" applyBorder="1" applyAlignment="1" applyProtection="1">
      <alignment horizontal="left" vertical="center" shrinkToFit="1"/>
      <protection locked="0"/>
    </xf>
    <xf numFmtId="0" fontId="14" fillId="6" borderId="42" xfId="0" applyFont="1" applyFill="1" applyBorder="1" applyAlignment="1" applyProtection="1">
      <alignment vertical="center" shrinkToFit="1"/>
      <protection locked="0"/>
    </xf>
    <xf numFmtId="0" fontId="14" fillId="0" borderId="37"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6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2" xfId="0" applyFont="1" applyBorder="1" applyAlignment="1" applyProtection="1">
      <alignment horizontal="centerContinuous" vertical="center"/>
      <protection hidden="1"/>
    </xf>
    <xf numFmtId="204" fontId="0" fillId="0" borderId="0" xfId="0" applyNumberFormat="1">
      <alignment vertical="center"/>
    </xf>
    <xf numFmtId="193" fontId="0" fillId="0" borderId="0" xfId="0" applyNumberFormat="1">
      <alignment vertical="center"/>
    </xf>
    <xf numFmtId="0" fontId="26" fillId="0" borderId="7" xfId="0" applyFont="1" applyBorder="1" applyAlignment="1" applyProtection="1">
      <alignment horizontal="centerContinuous" vertical="center"/>
      <protection hidden="1"/>
    </xf>
    <xf numFmtId="203" fontId="14" fillId="7" borderId="1" xfId="0" applyNumberFormat="1" applyFont="1" applyFill="1" applyBorder="1" applyAlignment="1" applyProtection="1">
      <alignment vertical="center" shrinkToFit="1"/>
      <protection locked="0"/>
    </xf>
    <xf numFmtId="203" fontId="14" fillId="7" borderId="35" xfId="0" applyNumberFormat="1" applyFont="1" applyFill="1" applyBorder="1" applyAlignment="1" applyProtection="1">
      <alignment vertical="center" shrinkToFit="1"/>
      <protection locked="0"/>
    </xf>
    <xf numFmtId="0" fontId="14" fillId="7" borderId="42" xfId="0" applyFont="1" applyFill="1" applyBorder="1" applyAlignment="1" applyProtection="1">
      <alignment vertical="center" shrinkToFit="1"/>
      <protection locked="0"/>
    </xf>
    <xf numFmtId="0" fontId="14" fillId="7" borderId="23" xfId="0" applyFont="1" applyFill="1" applyBorder="1" applyAlignment="1" applyProtection="1">
      <alignment vertical="center" shrinkToFit="1"/>
      <protection locked="0"/>
    </xf>
    <xf numFmtId="0" fontId="26" fillId="0" borderId="87" xfId="0" applyFont="1" applyBorder="1" applyAlignment="1">
      <alignment horizontal="center" vertical="center" wrapText="1"/>
    </xf>
    <xf numFmtId="203" fontId="14" fillId="7" borderId="24" xfId="0" applyNumberFormat="1" applyFont="1" applyFill="1" applyBorder="1" applyAlignment="1" applyProtection="1">
      <alignment vertical="center" shrinkToFit="1"/>
      <protection locked="0"/>
    </xf>
    <xf numFmtId="0" fontId="14" fillId="0" borderId="7" xfId="0" applyFont="1" applyBorder="1" applyAlignment="1" applyProtection="1">
      <alignment horizontal="centerContinuous" vertical="center"/>
      <protection hidden="1"/>
    </xf>
    <xf numFmtId="203" fontId="14" fillId="7" borderId="42" xfId="0" applyNumberFormat="1" applyFont="1" applyFill="1" applyBorder="1" applyAlignment="1" applyProtection="1">
      <alignment vertical="center" shrinkToFit="1"/>
      <protection locked="0"/>
    </xf>
    <xf numFmtId="203" fontId="14" fillId="7" borderId="19" xfId="0" applyNumberFormat="1" applyFont="1" applyFill="1" applyBorder="1" applyAlignment="1" applyProtection="1">
      <alignment vertical="center" shrinkToFit="1"/>
      <protection locked="0"/>
    </xf>
    <xf numFmtId="188" fontId="16" fillId="0" borderId="55" xfId="0" applyNumberFormat="1" applyFont="1" applyBorder="1" applyAlignment="1" applyProtection="1">
      <alignment vertical="center" shrinkToFit="1"/>
      <protection hidden="1"/>
    </xf>
    <xf numFmtId="188" fontId="16" fillId="0" borderId="55" xfId="1" applyNumberFormat="1" applyFont="1" applyBorder="1" applyAlignment="1" applyProtection="1">
      <alignment vertical="center" shrinkToFit="1"/>
      <protection hidden="1"/>
    </xf>
    <xf numFmtId="188" fontId="16" fillId="0" borderId="1" xfId="0" applyNumberFormat="1" applyFont="1" applyBorder="1" applyAlignment="1" applyProtection="1">
      <alignment vertical="center" shrinkToFit="1"/>
      <protection hidden="1"/>
    </xf>
    <xf numFmtId="188" fontId="16" fillId="0" borderId="1" xfId="1" applyNumberFormat="1" applyFont="1" applyBorder="1" applyAlignment="1" applyProtection="1">
      <alignment vertical="center" shrinkToFit="1"/>
      <protection hidden="1"/>
    </xf>
    <xf numFmtId="188" fontId="16" fillId="0" borderId="68" xfId="0" applyNumberFormat="1" applyFont="1" applyBorder="1" applyAlignment="1" applyProtection="1">
      <alignment vertical="center" shrinkToFit="1"/>
      <protection hidden="1"/>
    </xf>
    <xf numFmtId="0" fontId="14" fillId="12" borderId="8" xfId="0" applyFont="1" applyFill="1" applyBorder="1" applyProtection="1">
      <alignment vertical="center"/>
      <protection hidden="1"/>
    </xf>
    <xf numFmtId="0" fontId="14" fillId="12" borderId="0" xfId="0" applyFont="1" applyFill="1" applyProtection="1">
      <alignment vertical="center"/>
      <protection hidden="1"/>
    </xf>
    <xf numFmtId="0" fontId="14" fillId="0" borderId="0" xfId="0" applyFont="1" applyAlignment="1" applyProtection="1">
      <alignment vertical="center"/>
      <protection hidden="1"/>
    </xf>
    <xf numFmtId="49" fontId="14" fillId="6" borderId="116" xfId="0" applyNumberFormat="1" applyFont="1" applyFill="1" applyBorder="1" applyAlignment="1" applyProtection="1">
      <alignment horizontal="left" vertical="center" shrinkToFit="1"/>
      <protection locked="0"/>
    </xf>
    <xf numFmtId="0" fontId="14" fillId="7" borderId="55" xfId="0" applyFont="1" applyFill="1" applyBorder="1" applyAlignment="1" applyProtection="1">
      <alignment vertical="center" shrinkToFit="1"/>
      <protection locked="0"/>
    </xf>
    <xf numFmtId="196" fontId="14" fillId="6" borderId="55" xfId="0" applyNumberFormat="1" applyFont="1" applyFill="1" applyBorder="1" applyAlignment="1" applyProtection="1">
      <alignment vertical="center" shrinkToFit="1"/>
      <protection locked="0"/>
    </xf>
    <xf numFmtId="203" fontId="14" fillId="7" borderId="54" xfId="0" applyNumberFormat="1" applyFont="1" applyFill="1" applyBorder="1" applyAlignment="1" applyProtection="1">
      <alignment vertical="center" shrinkToFit="1"/>
      <protection locked="0"/>
    </xf>
    <xf numFmtId="191" fontId="14" fillId="4" borderId="54" xfId="0" applyNumberFormat="1" applyFont="1" applyFill="1" applyBorder="1" applyAlignment="1">
      <alignment vertical="center" shrinkToFit="1"/>
    </xf>
    <xf numFmtId="0" fontId="14" fillId="7" borderId="1" xfId="0" applyFont="1" applyFill="1" applyBorder="1" applyAlignment="1" applyProtection="1">
      <alignment vertical="center" shrinkToFit="1"/>
      <protection locked="0"/>
    </xf>
    <xf numFmtId="196" fontId="14" fillId="6" borderId="1" xfId="0" applyNumberFormat="1" applyFont="1" applyFill="1" applyBorder="1" applyAlignment="1" applyProtection="1">
      <alignment vertical="center" shrinkToFit="1"/>
      <protection locked="0"/>
    </xf>
    <xf numFmtId="191" fontId="14" fillId="4" borderId="2" xfId="0" applyNumberFormat="1" applyFont="1" applyFill="1" applyBorder="1" applyAlignment="1">
      <alignment vertical="center" shrinkToFit="1"/>
    </xf>
    <xf numFmtId="0" fontId="14" fillId="6" borderId="55" xfId="0" applyFont="1" applyFill="1" applyBorder="1" applyAlignment="1" applyProtection="1">
      <alignment vertical="center" shrinkToFit="1"/>
      <protection locked="0"/>
    </xf>
    <xf numFmtId="191" fontId="14" fillId="4" borderId="23" xfId="0" applyNumberFormat="1" applyFont="1" applyFill="1" applyBorder="1" applyAlignment="1">
      <alignment vertical="center" shrinkToFit="1"/>
    </xf>
    <xf numFmtId="0" fontId="14" fillId="4" borderId="1" xfId="0" applyFont="1" applyFill="1" applyBorder="1" applyAlignment="1">
      <alignment vertical="center" wrapText="1"/>
    </xf>
    <xf numFmtId="0" fontId="14" fillId="4" borderId="1" xfId="0" applyFont="1" applyFill="1" applyBorder="1">
      <alignment vertical="center"/>
    </xf>
    <xf numFmtId="0" fontId="14" fillId="4" borderId="1" xfId="0" applyFont="1" applyFill="1" applyBorder="1">
      <alignment vertical="center"/>
    </xf>
    <xf numFmtId="0" fontId="14" fillId="4" borderId="1" xfId="0" applyFont="1" applyFill="1" applyBorder="1">
      <alignment vertical="center"/>
    </xf>
    <xf numFmtId="0" fontId="14" fillId="4" borderId="0" xfId="0" applyFont="1" applyFill="1" applyBorder="1">
      <alignment vertical="center"/>
    </xf>
    <xf numFmtId="0" fontId="14" fillId="4" borderId="35" xfId="0" applyFont="1" applyFill="1" applyBorder="1">
      <alignment vertical="center"/>
    </xf>
    <xf numFmtId="0" fontId="14" fillId="4" borderId="35" xfId="0" applyFont="1" applyFill="1" applyBorder="1" applyAlignment="1">
      <alignment vertical="center" wrapText="1"/>
    </xf>
    <xf numFmtId="0" fontId="0" fillId="3" borderId="1" xfId="0" applyFill="1" applyBorder="1" applyAlignment="1">
      <alignment horizontal="center" vertical="center"/>
    </xf>
    <xf numFmtId="0" fontId="0" fillId="0" borderId="1" xfId="0" applyFont="1" applyBorder="1">
      <alignment vertical="center"/>
    </xf>
    <xf numFmtId="0" fontId="0" fillId="3" borderId="1" xfId="0" applyFill="1" applyBorder="1">
      <alignment vertical="center"/>
    </xf>
    <xf numFmtId="0" fontId="0" fillId="3" borderId="1" xfId="0" applyFont="1" applyFill="1" applyBorder="1" applyAlignment="1">
      <alignment horizontal="center" vertical="center"/>
    </xf>
    <xf numFmtId="0" fontId="14" fillId="4" borderId="1" xfId="0" applyFont="1" applyFill="1" applyBorder="1">
      <alignment vertical="center"/>
    </xf>
    <xf numFmtId="0" fontId="26" fillId="0" borderId="68"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4" borderId="1" xfId="0" applyFont="1" applyFill="1" applyBorder="1">
      <alignment vertical="center"/>
    </xf>
    <xf numFmtId="0" fontId="14" fillId="4" borderId="1" xfId="0" applyFont="1" applyFill="1" applyBorder="1">
      <alignment vertical="center"/>
    </xf>
    <xf numFmtId="0" fontId="14" fillId="4" borderId="1" xfId="1" applyFont="1" applyFill="1" applyBorder="1" applyProtection="1">
      <alignment vertical="center"/>
      <protection hidden="1"/>
    </xf>
    <xf numFmtId="0" fontId="14" fillId="4" borderId="1" xfId="1" applyFont="1" applyFill="1" applyBorder="1" applyAlignment="1" applyProtection="1">
      <alignment vertical="center" wrapText="1"/>
      <protection hidden="1"/>
    </xf>
    <xf numFmtId="0" fontId="14" fillId="4" borderId="1" xfId="0" applyFont="1" applyFill="1" applyBorder="1">
      <alignment vertical="center"/>
    </xf>
    <xf numFmtId="0" fontId="0" fillId="0" borderId="1" xfId="0" applyBorder="1" applyAlignment="1">
      <alignment vertical="center" shrinkToFit="1"/>
    </xf>
    <xf numFmtId="192" fontId="0" fillId="0" borderId="1" xfId="0" applyNumberFormat="1" applyBorder="1">
      <alignment vertical="center"/>
    </xf>
    <xf numFmtId="49" fontId="49" fillId="0" borderId="1" xfId="0" quotePrefix="1" applyNumberFormat="1" applyFont="1" applyBorder="1" applyAlignment="1">
      <alignment horizontal="center" vertical="center"/>
    </xf>
    <xf numFmtId="0" fontId="49" fillId="0" borderId="1" xfId="0" applyFont="1" applyBorder="1" applyAlignment="1">
      <alignment vertical="center" shrinkToFit="1"/>
    </xf>
    <xf numFmtId="0" fontId="49" fillId="0" borderId="1" xfId="0" applyFont="1" applyBorder="1" applyAlignment="1">
      <alignment horizontal="left" vertical="center" shrinkToFit="1"/>
    </xf>
    <xf numFmtId="198" fontId="49" fillId="0" borderId="1" xfId="7" applyNumberFormat="1" applyFont="1" applyBorder="1" applyAlignment="1">
      <alignment horizontal="right" vertical="center" shrinkToFit="1"/>
    </xf>
    <xf numFmtId="49" fontId="49" fillId="0" borderId="1" xfId="0" applyNumberFormat="1" applyFont="1" applyBorder="1" applyAlignment="1">
      <alignment horizontal="center" vertical="center"/>
    </xf>
    <xf numFmtId="195" fontId="49" fillId="0" borderId="1" xfId="0" applyNumberFormat="1" applyFont="1" applyBorder="1" applyAlignment="1">
      <alignment horizontal="right" vertical="center"/>
    </xf>
    <xf numFmtId="0" fontId="50" fillId="0" borderId="1" xfId="0" applyFont="1" applyBorder="1" applyAlignment="1">
      <alignment horizontal="center" vertical="center" shrinkToFit="1"/>
    </xf>
    <xf numFmtId="198" fontId="0" fillId="0" borderId="1" xfId="7" applyNumberFormat="1" applyFont="1" applyBorder="1" applyAlignment="1">
      <alignment horizontal="right" vertical="center" shrinkToFit="1"/>
    </xf>
    <xf numFmtId="198" fontId="49" fillId="0" borderId="1" xfId="7" applyNumberFormat="1" applyFont="1" applyBorder="1" applyAlignment="1">
      <alignment horizontal="right" vertical="center"/>
    </xf>
    <xf numFmtId="195" fontId="49" fillId="0" borderId="1" xfId="0" applyNumberFormat="1" applyFont="1" applyBorder="1" applyAlignment="1">
      <alignment horizontal="center" vertical="center"/>
    </xf>
    <xf numFmtId="3" fontId="0" fillId="0" borderId="1" xfId="0" applyNumberFormat="1" applyBorder="1">
      <alignment vertical="center"/>
    </xf>
    <xf numFmtId="199" fontId="0" fillId="0" borderId="1" xfId="0" applyNumberFormat="1" applyBorder="1">
      <alignment vertical="center"/>
    </xf>
    <xf numFmtId="0" fontId="0" fillId="7" borderId="37" xfId="0" applyFill="1" applyBorder="1" applyAlignment="1">
      <alignment vertical="center" wrapText="1"/>
    </xf>
    <xf numFmtId="0" fontId="0" fillId="0" borderId="99" xfId="0" applyBorder="1">
      <alignment vertical="center"/>
    </xf>
    <xf numFmtId="178" fontId="16" fillId="0" borderId="1" xfId="0" applyNumberFormat="1" applyFont="1" applyBorder="1" applyAlignment="1" applyProtection="1">
      <alignment vertical="center" shrinkToFit="1"/>
    </xf>
    <xf numFmtId="0" fontId="14" fillId="6" borderId="2" xfId="0" applyFont="1" applyFill="1" applyBorder="1" applyAlignment="1" applyProtection="1">
      <alignment vertical="center" shrinkToFit="1"/>
      <protection locked="0"/>
    </xf>
    <xf numFmtId="0" fontId="14" fillId="6" borderId="23" xfId="0" applyFont="1" applyFill="1" applyBorder="1" applyAlignment="1" applyProtection="1">
      <alignment vertical="center" shrinkToFit="1"/>
      <protection locked="0"/>
    </xf>
    <xf numFmtId="0" fontId="14" fillId="0" borderId="37" xfId="0" applyFont="1" applyBorder="1" applyAlignment="1">
      <alignment horizontal="center" vertical="center" shrinkToFit="1"/>
    </xf>
    <xf numFmtId="196" fontId="14" fillId="0" borderId="54" xfId="0" applyNumberFormat="1" applyFont="1" applyBorder="1" applyAlignment="1">
      <alignment vertical="center" shrinkToFit="1"/>
    </xf>
    <xf numFmtId="197" fontId="14" fillId="4" borderId="54" xfId="0" applyNumberFormat="1" applyFont="1" applyFill="1" applyBorder="1" applyAlignment="1">
      <alignment vertical="center" shrinkToFit="1"/>
    </xf>
    <xf numFmtId="203" fontId="14" fillId="9" borderId="55" xfId="0" applyNumberFormat="1" applyFont="1" applyFill="1" applyBorder="1" applyAlignment="1">
      <alignment vertical="center" shrinkToFit="1"/>
    </xf>
    <xf numFmtId="197" fontId="14" fillId="0" borderId="54" xfId="0" applyNumberFormat="1" applyFont="1" applyBorder="1" applyAlignment="1">
      <alignment vertical="center" shrinkToFit="1"/>
    </xf>
    <xf numFmtId="195" fontId="14" fillId="9" borderId="55" xfId="0" applyNumberFormat="1" applyFont="1" applyFill="1" applyBorder="1" applyAlignment="1">
      <alignment vertical="center" shrinkToFit="1"/>
    </xf>
    <xf numFmtId="197" fontId="14" fillId="0" borderId="78" xfId="0" applyNumberFormat="1" applyFont="1" applyBorder="1" applyAlignment="1">
      <alignment vertical="center" shrinkToFit="1"/>
    </xf>
    <xf numFmtId="196" fontId="14" fillId="0" borderId="1" xfId="0" applyNumberFormat="1" applyFont="1" applyBorder="1" applyAlignment="1">
      <alignment vertical="center" shrinkToFit="1"/>
    </xf>
    <xf numFmtId="197" fontId="14" fillId="4" borderId="2" xfId="0" applyNumberFormat="1" applyFont="1" applyFill="1" applyBorder="1" applyAlignment="1">
      <alignment vertical="center" shrinkToFit="1"/>
    </xf>
    <xf numFmtId="203" fontId="14" fillId="9" borderId="1" xfId="0" applyNumberFormat="1" applyFont="1" applyFill="1" applyBorder="1" applyAlignment="1">
      <alignment vertical="center" shrinkToFit="1"/>
    </xf>
    <xf numFmtId="197" fontId="14" fillId="0" borderId="2" xfId="0" applyNumberFormat="1" applyFont="1" applyBorder="1" applyAlignment="1">
      <alignment vertical="center" shrinkToFit="1"/>
    </xf>
    <xf numFmtId="195" fontId="14" fillId="9" borderId="1" xfId="0" applyNumberFormat="1" applyFont="1" applyFill="1" applyBorder="1" applyAlignment="1">
      <alignment vertical="center" shrinkToFit="1"/>
    </xf>
    <xf numFmtId="197" fontId="14" fillId="0" borderId="57" xfId="0" applyNumberFormat="1" applyFont="1" applyBorder="1" applyAlignment="1">
      <alignment vertical="center" shrinkToFit="1"/>
    </xf>
    <xf numFmtId="196" fontId="14" fillId="0" borderId="55" xfId="0" applyNumberFormat="1" applyFont="1" applyBorder="1" applyAlignment="1">
      <alignment vertical="center" shrinkToFit="1"/>
    </xf>
    <xf numFmtId="196" fontId="14" fillId="0" borderId="24" xfId="0" applyNumberFormat="1" applyFont="1" applyBorder="1" applyAlignment="1">
      <alignment vertical="center" shrinkToFit="1"/>
    </xf>
    <xf numFmtId="197" fontId="14" fillId="4" borderId="23" xfId="0" applyNumberFormat="1" applyFont="1" applyFill="1" applyBorder="1" applyAlignment="1">
      <alignment vertical="center" shrinkToFit="1"/>
    </xf>
    <xf numFmtId="203" fontId="14" fillId="9" borderId="24" xfId="0" applyNumberFormat="1" applyFont="1" applyFill="1" applyBorder="1" applyAlignment="1">
      <alignment vertical="center" shrinkToFit="1"/>
    </xf>
    <xf numFmtId="197" fontId="14" fillId="0" borderId="23" xfId="0" applyNumberFormat="1" applyFont="1" applyBorder="1" applyAlignment="1">
      <alignment vertical="center" shrinkToFit="1"/>
    </xf>
    <xf numFmtId="195" fontId="14" fillId="9" borderId="24" xfId="0" applyNumberFormat="1" applyFont="1" applyFill="1" applyBorder="1" applyAlignment="1">
      <alignment vertical="center" shrinkToFit="1"/>
    </xf>
    <xf numFmtId="197" fontId="14" fillId="0" borderId="96" xfId="0" applyNumberFormat="1" applyFont="1" applyBorder="1" applyAlignment="1">
      <alignment vertical="center" shrinkToFit="1"/>
    </xf>
    <xf numFmtId="202" fontId="14" fillId="0" borderId="50" xfId="0" applyNumberFormat="1" applyFont="1" applyBorder="1" applyAlignment="1">
      <alignment vertical="center" shrinkToFit="1"/>
    </xf>
    <xf numFmtId="202" fontId="14" fillId="4" borderId="55" xfId="0" applyNumberFormat="1" applyFont="1" applyFill="1" applyBorder="1" applyAlignment="1">
      <alignment vertical="center" shrinkToFit="1"/>
    </xf>
    <xf numFmtId="202" fontId="14" fillId="0" borderId="33" xfId="0" applyNumberFormat="1" applyFont="1" applyBorder="1" applyAlignment="1">
      <alignment vertical="center" shrinkToFit="1"/>
    </xf>
    <xf numFmtId="202" fontId="14" fillId="0" borderId="113" xfId="0" applyNumberFormat="1" applyFont="1" applyBorder="1" applyAlignment="1">
      <alignment vertical="center" shrinkToFit="1"/>
    </xf>
    <xf numFmtId="202" fontId="14" fillId="0" borderId="1" xfId="0" applyNumberFormat="1" applyFont="1" applyBorder="1" applyAlignment="1">
      <alignment vertical="center" shrinkToFit="1"/>
    </xf>
    <xf numFmtId="202" fontId="14" fillId="0" borderId="57" xfId="0" applyNumberFormat="1" applyFont="1" applyBorder="1" applyAlignment="1">
      <alignment vertical="center" shrinkToFit="1"/>
    </xf>
    <xf numFmtId="202" fontId="14" fillId="0" borderId="37" xfId="0" applyNumberFormat="1" applyFont="1" applyBorder="1" applyAlignment="1">
      <alignment vertical="center" shrinkToFit="1"/>
    </xf>
    <xf numFmtId="202" fontId="14" fillId="0" borderId="85" xfId="0" applyNumberFormat="1" applyFont="1" applyBorder="1" applyAlignment="1">
      <alignment vertical="center" shrinkToFit="1"/>
    </xf>
    <xf numFmtId="202" fontId="14" fillId="4" borderId="42" xfId="0" applyNumberFormat="1" applyFont="1" applyFill="1" applyBorder="1" applyAlignment="1">
      <alignment vertical="center" shrinkToFit="1"/>
    </xf>
    <xf numFmtId="202" fontId="14" fillId="0" borderId="24" xfId="0" applyNumberFormat="1" applyFont="1" applyBorder="1" applyAlignment="1">
      <alignment vertical="center" shrinkToFit="1"/>
    </xf>
    <xf numFmtId="202" fontId="14" fillId="4" borderId="19" xfId="0" applyNumberFormat="1" applyFont="1" applyFill="1" applyBorder="1" applyAlignment="1">
      <alignment vertical="center" shrinkToFit="1"/>
    </xf>
    <xf numFmtId="202" fontId="14" fillId="0" borderId="96" xfId="0" applyNumberFormat="1" applyFont="1" applyBorder="1" applyAlignment="1">
      <alignment vertical="center" shrinkToFit="1"/>
    </xf>
    <xf numFmtId="0" fontId="14" fillId="6" borderId="37" xfId="0" applyFont="1" applyFill="1" applyBorder="1" applyAlignment="1" applyProtection="1">
      <alignment vertical="center" shrinkToFit="1"/>
      <protection locked="0"/>
    </xf>
    <xf numFmtId="197" fontId="14" fillId="0" borderId="42" xfId="0" applyNumberFormat="1" applyFont="1" applyBorder="1" applyAlignment="1">
      <alignment vertical="center" shrinkToFit="1"/>
    </xf>
    <xf numFmtId="197" fontId="14" fillId="2" borderId="42" xfId="0" applyNumberFormat="1" applyFont="1" applyFill="1" applyBorder="1" applyAlignment="1">
      <alignment vertical="center" shrinkToFit="1"/>
    </xf>
    <xf numFmtId="0" fontId="14" fillId="2" borderId="42" xfId="0" applyFont="1" applyFill="1" applyBorder="1" applyAlignment="1">
      <alignment vertical="center" shrinkToFit="1"/>
    </xf>
    <xf numFmtId="197" fontId="14" fillId="0" borderId="33" xfId="0" applyNumberFormat="1" applyFont="1" applyBorder="1" applyAlignment="1">
      <alignment vertical="center" shrinkToFit="1"/>
    </xf>
    <xf numFmtId="197" fontId="14" fillId="0" borderId="19" xfId="0" applyNumberFormat="1" applyFont="1" applyBorder="1" applyAlignment="1">
      <alignment vertical="center" shrinkToFit="1"/>
    </xf>
    <xf numFmtId="197" fontId="14" fillId="2" borderId="23" xfId="0" applyNumberFormat="1" applyFont="1" applyFill="1" applyBorder="1" applyAlignment="1">
      <alignment vertical="center" shrinkToFit="1"/>
    </xf>
    <xf numFmtId="0" fontId="14" fillId="2" borderId="23" xfId="0" applyFont="1" applyFill="1" applyBorder="1" applyAlignment="1">
      <alignment vertical="center" shrinkToFit="1"/>
    </xf>
    <xf numFmtId="197" fontId="14" fillId="0" borderId="24" xfId="0" applyNumberFormat="1" applyFont="1" applyBorder="1" applyAlignment="1">
      <alignment vertical="center" shrinkToFit="1"/>
    </xf>
    <xf numFmtId="0" fontId="14" fillId="0" borderId="1" xfId="0" applyFont="1" applyBorder="1" applyAlignment="1">
      <alignment horizontal="center" vertical="center" shrinkToFit="1"/>
    </xf>
    <xf numFmtId="189" fontId="14" fillId="7" borderId="1" xfId="0" applyNumberFormat="1" applyFont="1" applyFill="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189" fontId="14" fillId="7" borderId="24" xfId="0" applyNumberFormat="1" applyFont="1" applyFill="1" applyBorder="1" applyAlignment="1" applyProtection="1">
      <alignment horizontal="center" vertical="center" shrinkToFit="1"/>
      <protection locked="0"/>
    </xf>
    <xf numFmtId="0" fontId="14" fillId="0" borderId="128" xfId="0" applyFont="1" applyBorder="1" applyAlignment="1" applyProtection="1">
      <alignment horizontal="center" vertical="center" shrinkToFit="1"/>
      <protection hidden="1"/>
    </xf>
    <xf numFmtId="0" fontId="14" fillId="7" borderId="114" xfId="0" applyFont="1" applyFill="1" applyBorder="1" applyAlignment="1" applyProtection="1">
      <alignment vertical="center" shrinkToFit="1"/>
      <protection locked="0"/>
    </xf>
    <xf numFmtId="193" fontId="14" fillId="9" borderId="1" xfId="0" applyNumberFormat="1" applyFont="1" applyFill="1" applyBorder="1" applyAlignment="1">
      <alignment vertical="center" shrinkToFit="1"/>
    </xf>
    <xf numFmtId="193" fontId="14" fillId="6" borderId="1" xfId="0" applyNumberFormat="1" applyFont="1" applyFill="1" applyBorder="1" applyAlignment="1" applyProtection="1">
      <alignment vertical="center" shrinkToFit="1"/>
      <protection locked="0"/>
    </xf>
    <xf numFmtId="193" fontId="14" fillId="11" borderId="33" xfId="0" applyNumberFormat="1" applyFont="1" applyFill="1" applyBorder="1" applyAlignment="1">
      <alignment vertical="center" shrinkToFit="1"/>
    </xf>
    <xf numFmtId="193" fontId="14" fillId="11" borderId="33" xfId="0" applyNumberFormat="1" applyFont="1" applyFill="1" applyBorder="1" applyAlignment="1" applyProtection="1">
      <alignment vertical="center" shrinkToFit="1"/>
      <protection locked="0"/>
    </xf>
    <xf numFmtId="0" fontId="14" fillId="7" borderId="98" xfId="0" applyFont="1" applyFill="1" applyBorder="1" applyAlignment="1" applyProtection="1">
      <alignment vertical="center" shrinkToFit="1"/>
      <protection locked="0"/>
    </xf>
    <xf numFmtId="193" fontId="14" fillId="9" borderId="24" xfId="0" applyNumberFormat="1" applyFont="1" applyFill="1" applyBorder="1" applyAlignment="1">
      <alignment vertical="center" shrinkToFit="1"/>
    </xf>
    <xf numFmtId="193" fontId="14" fillId="6" borderId="24" xfId="0" applyNumberFormat="1" applyFont="1" applyFill="1" applyBorder="1" applyAlignment="1" applyProtection="1">
      <alignment vertical="center" shrinkToFit="1"/>
      <protection locked="0"/>
    </xf>
    <xf numFmtId="193" fontId="14" fillId="11" borderId="43" xfId="0" applyNumberFormat="1" applyFont="1" applyFill="1" applyBorder="1" applyAlignment="1" applyProtection="1">
      <alignment vertical="center" shrinkToFit="1"/>
      <protection locked="0"/>
    </xf>
    <xf numFmtId="0" fontId="14" fillId="0" borderId="33" xfId="0" applyFont="1" applyBorder="1" applyAlignment="1">
      <alignment vertical="center" shrinkToFit="1"/>
    </xf>
    <xf numFmtId="0" fontId="14" fillId="11" borderId="68" xfId="0" applyFont="1" applyFill="1" applyBorder="1" applyAlignment="1" applyProtection="1">
      <alignment vertical="center" shrinkToFit="1"/>
      <protection locked="0"/>
    </xf>
    <xf numFmtId="0" fontId="14" fillId="0" borderId="24" xfId="0" applyFont="1" applyBorder="1" applyAlignment="1">
      <alignment vertical="center" shrinkToFit="1"/>
    </xf>
    <xf numFmtId="200" fontId="14" fillId="6" borderId="55" xfId="1" applyNumberFormat="1" applyFont="1" applyFill="1" applyBorder="1" applyAlignment="1" applyProtection="1">
      <alignment vertical="center" shrinkToFit="1"/>
      <protection locked="0" hidden="1"/>
    </xf>
    <xf numFmtId="200" fontId="14" fillId="6" borderId="1" xfId="1" applyNumberFormat="1" applyFont="1" applyFill="1" applyBorder="1" applyAlignment="1" applyProtection="1">
      <alignment vertical="center" shrinkToFit="1"/>
      <protection locked="0" hidden="1"/>
    </xf>
    <xf numFmtId="200" fontId="14" fillId="6" borderId="68" xfId="1" applyNumberFormat="1" applyFont="1" applyFill="1" applyBorder="1" applyAlignment="1" applyProtection="1">
      <alignment vertical="center" shrinkToFit="1"/>
      <protection locked="0" hidden="1"/>
    </xf>
    <xf numFmtId="0" fontId="14" fillId="0" borderId="24" xfId="0" applyFont="1" applyBorder="1" applyAlignment="1" applyProtection="1">
      <alignment horizontal="center" vertical="center" wrapText="1"/>
      <protection hidden="1"/>
    </xf>
    <xf numFmtId="178" fontId="14" fillId="6" borderId="32" xfId="0" applyNumberFormat="1" applyFont="1" applyFill="1" applyBorder="1" applyAlignment="1" applyProtection="1">
      <alignment vertical="center" shrinkToFit="1"/>
      <protection locked="0"/>
    </xf>
    <xf numFmtId="178" fontId="14" fillId="6" borderId="1" xfId="0" applyNumberFormat="1" applyFont="1" applyFill="1" applyBorder="1" applyAlignment="1" applyProtection="1">
      <alignment vertical="center" shrinkToFit="1"/>
      <protection locked="0"/>
    </xf>
    <xf numFmtId="178" fontId="14" fillId="6" borderId="24" xfId="0" applyNumberFormat="1" applyFont="1" applyFill="1" applyBorder="1" applyAlignment="1" applyProtection="1">
      <alignment vertical="center" shrinkToFit="1"/>
      <protection locked="0"/>
    </xf>
    <xf numFmtId="178" fontId="14" fillId="6" borderId="94" xfId="0" applyNumberFormat="1" applyFont="1" applyFill="1" applyBorder="1" applyAlignment="1" applyProtection="1">
      <alignment vertical="center" shrinkToFit="1"/>
      <protection locked="0"/>
    </xf>
    <xf numFmtId="178" fontId="14" fillId="6" borderId="57" xfId="0" applyNumberFormat="1" applyFont="1" applyFill="1" applyBorder="1" applyAlignment="1" applyProtection="1">
      <alignment vertical="center" shrinkToFit="1"/>
      <protection locked="0"/>
    </xf>
    <xf numFmtId="178" fontId="14" fillId="6" borderId="96" xfId="0" applyNumberFormat="1" applyFont="1" applyFill="1" applyBorder="1" applyAlignment="1" applyProtection="1">
      <alignment vertical="center" shrinkToFit="1"/>
      <protection locked="0"/>
    </xf>
    <xf numFmtId="0" fontId="14" fillId="7" borderId="93" xfId="0" applyFont="1" applyFill="1" applyBorder="1" applyAlignment="1" applyProtection="1">
      <alignment vertical="center" shrinkToFit="1"/>
      <protection locked="0"/>
    </xf>
    <xf numFmtId="0" fontId="14" fillId="7" borderId="32" xfId="0" applyFont="1" applyFill="1" applyBorder="1" applyAlignment="1" applyProtection="1">
      <alignment vertical="center" shrinkToFit="1"/>
      <protection locked="0"/>
    </xf>
    <xf numFmtId="0" fontId="14" fillId="0" borderId="32" xfId="0" applyFont="1" applyBorder="1" applyAlignment="1">
      <alignment vertical="center" shrinkToFit="1"/>
    </xf>
    <xf numFmtId="0" fontId="14" fillId="7" borderId="95" xfId="0" applyFont="1" applyFill="1" applyBorder="1" applyAlignment="1" applyProtection="1">
      <alignment vertical="center" shrinkToFit="1"/>
      <protection locked="0"/>
    </xf>
    <xf numFmtId="0" fontId="14" fillId="0" borderId="1" xfId="0" applyFont="1" applyBorder="1" applyAlignment="1">
      <alignment vertical="center" shrinkToFit="1"/>
    </xf>
    <xf numFmtId="0" fontId="14" fillId="4" borderId="1" xfId="0" applyFont="1" applyFill="1" applyBorder="1">
      <alignment vertical="center"/>
    </xf>
    <xf numFmtId="0" fontId="14" fillId="4" borderId="1" xfId="0" applyFont="1" applyFill="1" applyBorder="1">
      <alignment vertical="center"/>
    </xf>
    <xf numFmtId="0" fontId="14" fillId="4" borderId="1" xfId="0" applyFont="1" applyFill="1" applyBorder="1">
      <alignment vertical="center"/>
    </xf>
    <xf numFmtId="0" fontId="0" fillId="9" borderId="156" xfId="0" applyNumberFormat="1" applyFill="1" applyBorder="1">
      <alignment vertical="center"/>
    </xf>
    <xf numFmtId="0" fontId="14" fillId="4" borderId="1" xfId="0" applyFont="1" applyFill="1" applyBorder="1">
      <alignment vertical="center"/>
    </xf>
    <xf numFmtId="0" fontId="14" fillId="0" borderId="23" xfId="0" applyFont="1" applyBorder="1" applyAlignment="1" applyProtection="1">
      <alignment horizontal="distributed" vertical="center" indent="1"/>
      <protection hidden="1"/>
    </xf>
    <xf numFmtId="0" fontId="14" fillId="0" borderId="21" xfId="0" applyFont="1" applyBorder="1" applyAlignment="1" applyProtection="1">
      <alignment horizontal="distributed" vertical="center" indent="1"/>
      <protection hidden="1"/>
    </xf>
    <xf numFmtId="0" fontId="14" fillId="0" borderId="22" xfId="0" applyFont="1" applyBorder="1" applyAlignment="1" applyProtection="1">
      <alignment horizontal="distributed" vertical="center" indent="1"/>
      <protection hidden="1"/>
    </xf>
    <xf numFmtId="0" fontId="14" fillId="0" borderId="121" xfId="0" applyFont="1" applyBorder="1" applyAlignment="1" applyProtection="1">
      <alignment horizontal="distributed" vertical="center" indent="1"/>
      <protection hidden="1"/>
    </xf>
    <xf numFmtId="0" fontId="14" fillId="0" borderId="92" xfId="0" applyFont="1" applyBorder="1" applyAlignment="1" applyProtection="1">
      <alignment horizontal="distributed" vertical="center" indent="1"/>
      <protection hidden="1"/>
    </xf>
    <xf numFmtId="178" fontId="16" fillId="0" borderId="2" xfId="0" applyNumberFormat="1" applyFont="1" applyBorder="1" applyAlignment="1" applyProtection="1">
      <alignment horizontal="right" vertical="center" indent="4"/>
      <protection hidden="1"/>
    </xf>
    <xf numFmtId="178" fontId="16" fillId="0" borderId="36" xfId="0" applyNumberFormat="1" applyFont="1" applyBorder="1" applyAlignment="1" applyProtection="1">
      <alignment horizontal="right" vertical="center" indent="4"/>
      <protection hidden="1"/>
    </xf>
    <xf numFmtId="178" fontId="16" fillId="0" borderId="23" xfId="0" applyNumberFormat="1" applyFont="1" applyBorder="1" applyAlignment="1" applyProtection="1">
      <alignment horizontal="right" vertical="center" indent="4"/>
      <protection hidden="1"/>
    </xf>
    <xf numFmtId="178" fontId="16" fillId="0" borderId="21" xfId="0" applyNumberFormat="1" applyFont="1" applyBorder="1" applyAlignment="1" applyProtection="1">
      <alignment horizontal="right" vertical="center" indent="4"/>
      <protection hidden="1"/>
    </xf>
    <xf numFmtId="0" fontId="14" fillId="0" borderId="26" xfId="0" applyFont="1" applyBorder="1" applyAlignment="1" applyProtection="1">
      <alignment horizontal="distributed" vertical="center"/>
      <protection hidden="1"/>
    </xf>
    <xf numFmtId="0" fontId="14" fillId="0" borderId="28" xfId="0" applyFont="1" applyBorder="1" applyAlignment="1" applyProtection="1">
      <alignment horizontal="distributed" vertical="center"/>
      <protection hidden="1"/>
    </xf>
    <xf numFmtId="0" fontId="14" fillId="0" borderId="125" xfId="0" applyFont="1" applyBorder="1" applyAlignment="1" applyProtection="1">
      <alignment horizontal="distributed" vertical="center"/>
      <protection hidden="1"/>
    </xf>
    <xf numFmtId="0" fontId="14" fillId="0" borderId="8" xfId="0" applyFont="1" applyBorder="1" applyAlignment="1" applyProtection="1">
      <alignment horizontal="distributed" vertical="center"/>
      <protection hidden="1"/>
    </xf>
    <xf numFmtId="0" fontId="14" fillId="0" borderId="13" xfId="0" applyFont="1" applyBorder="1" applyAlignment="1" applyProtection="1">
      <alignment horizontal="distributed" vertical="center"/>
      <protection hidden="1"/>
    </xf>
    <xf numFmtId="0" fontId="14" fillId="0" borderId="126" xfId="0" applyFont="1" applyBorder="1" applyAlignment="1" applyProtection="1">
      <alignment horizontal="distributed" vertical="center"/>
      <protection hidden="1"/>
    </xf>
    <xf numFmtId="0" fontId="14" fillId="0" borderId="29" xfId="0" applyFont="1" applyBorder="1" applyAlignment="1" applyProtection="1">
      <alignment horizontal="distributed" vertical="center"/>
      <protection hidden="1"/>
    </xf>
    <xf numFmtId="0" fontId="14" fillId="0" borderId="30" xfId="0" applyFont="1" applyBorder="1" applyAlignment="1" applyProtection="1">
      <alignment horizontal="distributed" vertical="center"/>
      <protection hidden="1"/>
    </xf>
    <xf numFmtId="0" fontId="14" fillId="0" borderId="26" xfId="0" applyFont="1" applyBorder="1" applyAlignment="1" applyProtection="1">
      <alignment horizontal="distributed" vertical="center" indent="1"/>
      <protection hidden="1"/>
    </xf>
    <xf numFmtId="0" fontId="14" fillId="0" borderId="27" xfId="0" applyFont="1" applyBorder="1" applyAlignment="1" applyProtection="1">
      <alignment horizontal="distributed" vertical="center" indent="1"/>
      <protection hidden="1"/>
    </xf>
    <xf numFmtId="0" fontId="14" fillId="0" borderId="31" xfId="0" applyFont="1" applyBorder="1" applyAlignment="1" applyProtection="1">
      <alignment horizontal="distributed" vertical="center" indent="1"/>
      <protection hidden="1"/>
    </xf>
    <xf numFmtId="0" fontId="14" fillId="6" borderId="26" xfId="0" applyFont="1" applyFill="1" applyBorder="1" applyAlignment="1" applyProtection="1">
      <alignment horizontal="left" vertical="center" indent="1" shrinkToFit="1"/>
      <protection locked="0"/>
    </xf>
    <xf numFmtId="0" fontId="14" fillId="6" borderId="27" xfId="0" applyFont="1" applyFill="1" applyBorder="1" applyAlignment="1" applyProtection="1">
      <alignment horizontal="left" vertical="center" indent="1" shrinkToFit="1"/>
      <protection locked="0"/>
    </xf>
    <xf numFmtId="0" fontId="14" fillId="6" borderId="28" xfId="0" applyFont="1" applyFill="1" applyBorder="1" applyAlignment="1" applyProtection="1">
      <alignment horizontal="left" vertical="center" indent="1" shrinkToFit="1"/>
      <protection locked="0"/>
    </xf>
    <xf numFmtId="0" fontId="14" fillId="0" borderId="2" xfId="0" applyFont="1" applyBorder="1" applyAlignment="1" applyProtection="1">
      <alignment horizontal="distributed" vertical="center" indent="1"/>
      <protection hidden="1"/>
    </xf>
    <xf numFmtId="0" fontId="14" fillId="0" borderId="36" xfId="0" applyFont="1" applyBorder="1" applyAlignment="1" applyProtection="1">
      <alignment horizontal="distributed" vertical="center" indent="1"/>
      <protection hidden="1"/>
    </xf>
    <xf numFmtId="0" fontId="14" fillId="0" borderId="3" xfId="0" applyFont="1" applyBorder="1" applyAlignment="1" applyProtection="1">
      <alignment horizontal="distributed" vertical="center" indent="1"/>
      <protection hidden="1"/>
    </xf>
    <xf numFmtId="0" fontId="14" fillId="6" borderId="2" xfId="0" applyFont="1" applyFill="1" applyBorder="1" applyAlignment="1" applyProtection="1">
      <alignment horizontal="left" vertical="center" indent="1" shrinkToFit="1"/>
      <protection locked="0"/>
    </xf>
    <xf numFmtId="0" fontId="14" fillId="6" borderId="36" xfId="0" applyFont="1" applyFill="1" applyBorder="1" applyAlignment="1" applyProtection="1">
      <alignment horizontal="left" vertical="center" indent="1" shrinkToFit="1"/>
      <protection locked="0"/>
    </xf>
    <xf numFmtId="0" fontId="14" fillId="6" borderId="34" xfId="0" applyFont="1" applyFill="1" applyBorder="1" applyAlignment="1" applyProtection="1">
      <alignment horizontal="left" vertical="center" indent="1" shrinkToFit="1"/>
      <protection locked="0"/>
    </xf>
    <xf numFmtId="0" fontId="14" fillId="0" borderId="108" xfId="0" applyFont="1" applyBorder="1" applyAlignment="1" applyProtection="1">
      <alignment horizontal="distributed" vertical="center"/>
      <protection hidden="1"/>
    </xf>
    <xf numFmtId="0" fontId="14" fillId="0" borderId="4" xfId="0" applyFont="1" applyBorder="1" applyAlignment="1" applyProtection="1">
      <alignment horizontal="distributed" vertical="center"/>
      <protection hidden="1"/>
    </xf>
    <xf numFmtId="0" fontId="14" fillId="0" borderId="38" xfId="0" applyFont="1" applyBorder="1" applyAlignment="1" applyProtection="1">
      <alignment horizontal="distributed" vertical="center"/>
      <protection hidden="1"/>
    </xf>
    <xf numFmtId="0" fontId="14" fillId="0" borderId="121" xfId="0" applyFont="1" applyBorder="1" applyAlignment="1" applyProtection="1">
      <alignment horizontal="distributed" vertical="center"/>
      <protection hidden="1"/>
    </xf>
    <xf numFmtId="0" fontId="14" fillId="0" borderId="0" xfId="0" applyFont="1" applyAlignment="1" applyProtection="1">
      <alignment horizontal="distributed" vertical="center"/>
      <protection hidden="1"/>
    </xf>
    <xf numFmtId="0" fontId="14" fillId="0" borderId="88" xfId="0" applyFont="1" applyBorder="1" applyAlignment="1" applyProtection="1">
      <alignment horizontal="distributed" vertical="center"/>
      <protection hidden="1"/>
    </xf>
    <xf numFmtId="0" fontId="14" fillId="0" borderId="92" xfId="0" applyFont="1" applyBorder="1" applyAlignment="1" applyProtection="1">
      <alignment horizontal="distributed" vertical="center"/>
      <protection hidden="1"/>
    </xf>
    <xf numFmtId="0" fontId="14" fillId="0" borderId="5" xfId="0" applyFont="1" applyBorder="1" applyAlignment="1" applyProtection="1">
      <alignment horizontal="distributed" vertical="center"/>
      <protection hidden="1"/>
    </xf>
    <xf numFmtId="0" fontId="14" fillId="0" borderId="77" xfId="0" applyFont="1" applyBorder="1" applyAlignment="1" applyProtection="1">
      <alignment horizontal="distributed" vertical="center"/>
      <protection hidden="1"/>
    </xf>
    <xf numFmtId="0" fontId="14" fillId="0" borderId="101" xfId="0" applyFont="1" applyBorder="1" applyAlignment="1" applyProtection="1">
      <alignment horizontal="left" vertical="center"/>
      <protection hidden="1"/>
    </xf>
    <xf numFmtId="0" fontId="14" fillId="0" borderId="2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4" fillId="6" borderId="23" xfId="0" applyFont="1" applyFill="1" applyBorder="1" applyAlignment="1" applyProtection="1">
      <alignment vertical="center" shrinkToFit="1"/>
      <protection locked="0"/>
    </xf>
    <xf numFmtId="0" fontId="14" fillId="6" borderId="22" xfId="0" applyFont="1" applyFill="1" applyBorder="1" applyAlignment="1" applyProtection="1">
      <alignment vertical="center" shrinkToFit="1"/>
      <protection locked="0"/>
    </xf>
    <xf numFmtId="0" fontId="14" fillId="6" borderId="25" xfId="0" applyFont="1" applyFill="1" applyBorder="1" applyAlignment="1" applyProtection="1">
      <alignment vertical="center" shrinkToFit="1"/>
      <protection locked="0"/>
    </xf>
    <xf numFmtId="0" fontId="14" fillId="0" borderId="0" xfId="0" applyFont="1" applyAlignment="1" applyProtection="1">
      <alignment vertical="center" shrinkToFit="1"/>
      <protection hidden="1"/>
    </xf>
    <xf numFmtId="0" fontId="14" fillId="0" borderId="58" xfId="0" applyFont="1" applyBorder="1" applyAlignment="1" applyProtection="1">
      <alignment horizontal="left" vertical="center"/>
      <protection hidden="1"/>
    </xf>
    <xf numFmtId="0" fontId="14" fillId="0" borderId="36" xfId="0" applyFont="1" applyBorder="1" applyAlignment="1" applyProtection="1">
      <alignment horizontal="left" vertical="center"/>
      <protection hidden="1"/>
    </xf>
    <xf numFmtId="0" fontId="14" fillId="0" borderId="3" xfId="0" applyFont="1" applyBorder="1" applyAlignment="1" applyProtection="1">
      <alignment horizontal="left" vertical="center"/>
      <protection hidden="1"/>
    </xf>
    <xf numFmtId="0" fontId="14" fillId="6" borderId="2" xfId="0" applyFont="1" applyFill="1" applyBorder="1" applyAlignment="1" applyProtection="1">
      <alignment vertical="center" shrinkToFit="1"/>
      <protection locked="0"/>
    </xf>
    <xf numFmtId="0" fontId="14" fillId="6" borderId="3" xfId="0" applyFont="1" applyFill="1" applyBorder="1" applyAlignment="1" applyProtection="1">
      <alignment vertical="center" shrinkToFit="1"/>
      <protection locked="0"/>
    </xf>
    <xf numFmtId="0" fontId="14" fillId="6" borderId="34" xfId="0" applyFont="1" applyFill="1" applyBorder="1" applyAlignment="1" applyProtection="1">
      <alignment vertical="center" shrinkToFit="1"/>
      <protection locked="0"/>
    </xf>
    <xf numFmtId="0" fontId="14" fillId="6" borderId="101"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58" xfId="0" applyFont="1" applyBorder="1" applyAlignment="1" applyProtection="1">
      <alignment horizontal="distributed" vertical="center" indent="1"/>
      <protection hidden="1"/>
    </xf>
    <xf numFmtId="0" fontId="14" fillId="6" borderId="58"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49" fontId="14" fillId="6" borderId="2" xfId="0" applyNumberFormat="1" applyFont="1" applyFill="1" applyBorder="1" applyAlignment="1" applyProtection="1">
      <alignment horizontal="left" vertical="center" indent="1" shrinkToFit="1"/>
      <protection locked="0"/>
    </xf>
    <xf numFmtId="49" fontId="14" fillId="6" borderId="36" xfId="0" applyNumberFormat="1" applyFont="1" applyFill="1" applyBorder="1" applyAlignment="1" applyProtection="1">
      <alignment horizontal="left" vertical="center" indent="1" shrinkToFit="1"/>
      <protection locked="0"/>
    </xf>
    <xf numFmtId="49" fontId="14" fillId="6" borderId="34" xfId="0" applyNumberFormat="1" applyFont="1" applyFill="1" applyBorder="1" applyAlignment="1" applyProtection="1">
      <alignment horizontal="left" vertical="center" indent="1" shrinkToFit="1"/>
      <protection locked="0"/>
    </xf>
    <xf numFmtId="0" fontId="14" fillId="0" borderId="23" xfId="0" applyFont="1" applyBorder="1" applyAlignment="1" applyProtection="1">
      <alignment horizontal="distributed" vertical="center" wrapText="1" indent="1"/>
      <protection hidden="1"/>
    </xf>
    <xf numFmtId="49" fontId="39" fillId="6" borderId="23" xfId="3" applyNumberFormat="1" applyFont="1" applyFill="1" applyBorder="1" applyAlignment="1" applyProtection="1">
      <alignment horizontal="left" vertical="center" indent="1" shrinkToFit="1"/>
      <protection locked="0"/>
    </xf>
    <xf numFmtId="49" fontId="14" fillId="6" borderId="21" xfId="0" applyNumberFormat="1" applyFont="1" applyFill="1" applyBorder="1" applyAlignment="1" applyProtection="1">
      <alignment horizontal="left" vertical="center" indent="1" shrinkToFit="1"/>
      <protection locked="0"/>
    </xf>
    <xf numFmtId="49" fontId="14" fillId="6" borderId="25" xfId="0" applyNumberFormat="1" applyFont="1" applyFill="1" applyBorder="1" applyAlignment="1" applyProtection="1">
      <alignment horizontal="left" vertical="center" indent="1" shrinkToFit="1"/>
      <protection locked="0"/>
    </xf>
    <xf numFmtId="0" fontId="14" fillId="0" borderId="107" xfId="0" applyFont="1" applyBorder="1" applyAlignment="1" applyProtection="1">
      <alignment horizontal="distributed" vertical="center"/>
      <protection hidden="1"/>
    </xf>
    <xf numFmtId="0" fontId="14" fillId="0" borderId="27" xfId="0" applyFont="1" applyBorder="1" applyAlignment="1" applyProtection="1">
      <alignment horizontal="distributed" vertical="center"/>
      <protection hidden="1"/>
    </xf>
    <xf numFmtId="0" fontId="14" fillId="0" borderId="31" xfId="0" applyFont="1" applyBorder="1" applyAlignment="1" applyProtection="1">
      <alignment horizontal="distributed" vertical="center"/>
      <protection hidden="1"/>
    </xf>
    <xf numFmtId="178" fontId="36" fillId="0" borderId="2" xfId="0" applyNumberFormat="1" applyFont="1" applyBorder="1" applyAlignment="1" applyProtection="1">
      <alignment horizontal="right" vertical="center" indent="4"/>
      <protection hidden="1"/>
    </xf>
    <xf numFmtId="178" fontId="36" fillId="0" borderId="36" xfId="0" applyNumberFormat="1" applyFont="1" applyBorder="1" applyAlignment="1" applyProtection="1">
      <alignment horizontal="right" vertical="center" indent="4"/>
      <protection hidden="1"/>
    </xf>
    <xf numFmtId="0" fontId="14" fillId="0" borderId="108" xfId="0" applyFont="1" applyBorder="1" applyAlignment="1" applyProtection="1">
      <alignment horizontal="distributed" vertical="center" indent="1"/>
      <protection hidden="1"/>
    </xf>
    <xf numFmtId="0" fontId="14" fillId="0" borderId="4" xfId="0" applyFont="1" applyBorder="1" applyAlignment="1" applyProtection="1">
      <alignment horizontal="distributed" vertical="center" indent="1"/>
      <protection hidden="1"/>
    </xf>
    <xf numFmtId="0" fontId="14" fillId="0" borderId="38" xfId="0" applyFont="1" applyBorder="1" applyAlignment="1" applyProtection="1">
      <alignment horizontal="distributed" vertical="center" indent="1"/>
      <protection hidden="1"/>
    </xf>
    <xf numFmtId="0" fontId="21" fillId="0" borderId="0" xfId="0" applyFont="1" applyAlignment="1" applyProtection="1">
      <alignment horizontal="center"/>
      <protection hidden="1"/>
    </xf>
    <xf numFmtId="0" fontId="16" fillId="0" borderId="0" xfId="0" applyFont="1" applyAlignment="1" applyProtection="1">
      <alignment horizontal="center" vertical="top"/>
      <protection hidden="1"/>
    </xf>
    <xf numFmtId="187" fontId="14" fillId="6" borderId="2" xfId="0" applyNumberFormat="1" applyFont="1" applyFill="1" applyBorder="1" applyAlignment="1" applyProtection="1">
      <alignment horizontal="center" vertical="center" shrinkToFit="1"/>
      <protection locked="0"/>
    </xf>
    <xf numFmtId="187" fontId="14" fillId="6" borderId="36" xfId="0" applyNumberFormat="1" applyFont="1" applyFill="1" applyBorder="1" applyAlignment="1" applyProtection="1">
      <alignment horizontal="center" vertical="center" shrinkToFit="1"/>
      <protection locked="0"/>
    </xf>
    <xf numFmtId="187" fontId="14" fillId="6" borderId="3" xfId="0" applyNumberFormat="1" applyFont="1" applyFill="1" applyBorder="1" applyAlignment="1" applyProtection="1">
      <alignment horizontal="center" vertical="center" shrinkToFit="1"/>
      <protection locked="0"/>
    </xf>
    <xf numFmtId="0" fontId="14" fillId="0" borderId="107" xfId="0" applyFont="1" applyBorder="1" applyAlignment="1" applyProtection="1">
      <alignment horizontal="distributed" vertical="center" indent="1"/>
      <protection hidden="1"/>
    </xf>
    <xf numFmtId="0" fontId="14" fillId="6" borderId="26" xfId="0" applyFont="1" applyFill="1" applyBorder="1" applyAlignment="1" applyProtection="1">
      <alignment horizontal="left" vertical="center" shrinkToFit="1"/>
      <protection locked="0"/>
    </xf>
    <xf numFmtId="0" fontId="14" fillId="6" borderId="27" xfId="0" applyFont="1" applyFill="1" applyBorder="1" applyAlignment="1" applyProtection="1">
      <alignment horizontal="left" vertical="center" shrinkToFit="1"/>
      <protection locked="0"/>
    </xf>
    <xf numFmtId="0" fontId="14" fillId="6" borderId="28" xfId="0" applyFont="1" applyFill="1" applyBorder="1" applyAlignment="1" applyProtection="1">
      <alignment horizontal="left" vertical="center" shrinkToFit="1"/>
      <protection locked="0"/>
    </xf>
    <xf numFmtId="0" fontId="14" fillId="6" borderId="42" xfId="0" applyFont="1" applyFill="1" applyBorder="1" applyAlignment="1" applyProtection="1">
      <alignment horizontal="left" vertical="center" shrinkToFit="1"/>
      <protection locked="0"/>
    </xf>
    <xf numFmtId="0" fontId="14" fillId="6" borderId="29" xfId="0" applyFont="1" applyFill="1" applyBorder="1" applyAlignment="1" applyProtection="1">
      <alignment horizontal="left" vertical="center" shrinkToFit="1"/>
      <protection locked="0"/>
    </xf>
    <xf numFmtId="0" fontId="14" fillId="6" borderId="59" xfId="0" applyFont="1" applyFill="1" applyBorder="1" applyAlignment="1" applyProtection="1">
      <alignment horizontal="left" vertical="center" shrinkToFit="1"/>
      <protection locked="0"/>
    </xf>
    <xf numFmtId="176" fontId="16" fillId="6" borderId="2" xfId="0" applyNumberFormat="1" applyFont="1" applyFill="1" applyBorder="1" applyAlignment="1" applyProtection="1">
      <alignment horizontal="center" vertical="center" shrinkToFit="1"/>
      <protection locked="0"/>
    </xf>
    <xf numFmtId="176" fontId="16" fillId="6" borderId="36" xfId="0" applyNumberFormat="1" applyFont="1" applyFill="1" applyBorder="1" applyAlignment="1" applyProtection="1">
      <alignment horizontal="center" vertical="center" shrinkToFit="1"/>
      <protection locked="0"/>
    </xf>
    <xf numFmtId="176" fontId="16" fillId="6" borderId="34" xfId="0" applyNumberFormat="1" applyFont="1" applyFill="1" applyBorder="1" applyAlignment="1" applyProtection="1">
      <alignment horizontal="center" vertical="center" shrinkToFit="1"/>
      <protection locked="0"/>
    </xf>
    <xf numFmtId="0" fontId="24" fillId="4" borderId="0" xfId="0" applyFont="1" applyFill="1" applyAlignment="1" applyProtection="1">
      <alignment horizontal="left" vertical="center" wrapText="1"/>
      <protection hidden="1"/>
    </xf>
    <xf numFmtId="189" fontId="36" fillId="0" borderId="2" xfId="0" applyNumberFormat="1" applyFont="1" applyBorder="1" applyAlignment="1" applyProtection="1">
      <alignment horizontal="right" vertical="center" indent="4"/>
      <protection hidden="1"/>
    </xf>
    <xf numFmtId="189" fontId="23" fillId="0" borderId="36" xfId="0" applyNumberFormat="1" applyFont="1" applyBorder="1" applyAlignment="1" applyProtection="1">
      <alignment horizontal="right" vertical="center" indent="4"/>
      <protection hidden="1"/>
    </xf>
    <xf numFmtId="0" fontId="23" fillId="0" borderId="123" xfId="0" applyFont="1" applyBorder="1" applyAlignment="1" applyProtection="1">
      <alignment horizontal="center" vertical="center"/>
      <protection hidden="1"/>
    </xf>
    <xf numFmtId="0" fontId="23" fillId="0" borderId="119" xfId="0" applyFont="1" applyBorder="1" applyAlignment="1" applyProtection="1">
      <alignment horizontal="center" vertical="center"/>
      <protection hidden="1"/>
    </xf>
    <xf numFmtId="0" fontId="23" fillId="0" borderId="124" xfId="0" applyFont="1" applyBorder="1" applyAlignment="1" applyProtection="1">
      <alignment horizontal="center" vertical="center"/>
      <protection hidden="1"/>
    </xf>
    <xf numFmtId="186" fontId="31" fillId="7" borderId="2" xfId="0" applyNumberFormat="1" applyFont="1" applyFill="1" applyBorder="1" applyAlignment="1" applyProtection="1">
      <alignment horizontal="center" vertical="center"/>
      <protection locked="0"/>
    </xf>
    <xf numFmtId="186" fontId="31" fillId="7" borderId="3" xfId="0" applyNumberFormat="1" applyFont="1" applyFill="1" applyBorder="1" applyAlignment="1" applyProtection="1">
      <alignment horizontal="center" vertical="center"/>
      <protection locked="0"/>
    </xf>
    <xf numFmtId="0" fontId="14" fillId="0" borderId="2" xfId="0" applyFont="1" applyBorder="1" applyAlignment="1" applyProtection="1">
      <alignment horizontal="distributed" vertical="center"/>
      <protection hidden="1"/>
    </xf>
    <xf numFmtId="0" fontId="14" fillId="0" borderId="3" xfId="0" applyFont="1" applyBorder="1" applyAlignment="1" applyProtection="1">
      <alignment horizontal="distributed" vertical="center"/>
      <protection hidden="1"/>
    </xf>
    <xf numFmtId="0" fontId="20" fillId="7" borderId="2" xfId="0" applyFont="1" applyFill="1" applyBorder="1" applyAlignment="1" applyProtection="1">
      <alignment horizontal="distributed" vertical="center"/>
      <protection locked="0"/>
    </xf>
    <xf numFmtId="0" fontId="20" fillId="7" borderId="3" xfId="0" applyFont="1" applyFill="1" applyBorder="1" applyAlignment="1" applyProtection="1">
      <alignment horizontal="distributed" vertical="center"/>
      <protection locked="0"/>
    </xf>
    <xf numFmtId="0" fontId="14" fillId="0" borderId="2" xfId="0" applyFont="1" applyBorder="1" applyAlignment="1" applyProtection="1">
      <alignment horizontal="distributed" vertical="center" shrinkToFit="1"/>
      <protection hidden="1"/>
    </xf>
    <xf numFmtId="0" fontId="14" fillId="0" borderId="3" xfId="0" applyFont="1" applyBorder="1" applyAlignment="1" applyProtection="1">
      <alignment horizontal="distributed" vertical="center" shrinkToFit="1"/>
      <protection hidden="1"/>
    </xf>
    <xf numFmtId="186" fontId="34" fillId="7" borderId="2" xfId="0" applyNumberFormat="1" applyFont="1" applyFill="1" applyBorder="1" applyAlignment="1" applyProtection="1">
      <alignment horizontal="distributed" vertical="center"/>
      <protection locked="0"/>
    </xf>
    <xf numFmtId="186" fontId="34" fillId="7" borderId="3" xfId="0" applyNumberFormat="1" applyFont="1" applyFill="1" applyBorder="1" applyAlignment="1" applyProtection="1">
      <alignment horizontal="distributed" vertical="center"/>
      <protection locked="0"/>
    </xf>
    <xf numFmtId="0" fontId="14" fillId="0" borderId="0" xfId="0" applyFont="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176" fontId="14" fillId="0" borderId="2" xfId="0" applyNumberFormat="1" applyFont="1" applyBorder="1" applyAlignment="1" applyProtection="1">
      <alignment horizontal="center" vertical="center"/>
      <protection hidden="1"/>
    </xf>
    <xf numFmtId="176" fontId="14" fillId="0" borderId="3" xfId="0" applyNumberFormat="1"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49" fontId="22" fillId="5" borderId="2" xfId="0" applyNumberFormat="1" applyFont="1" applyFill="1" applyBorder="1" applyAlignment="1" applyProtection="1">
      <alignment horizontal="left" vertical="center" shrinkToFit="1"/>
      <protection locked="0"/>
    </xf>
    <xf numFmtId="49" fontId="22" fillId="5" borderId="36" xfId="0" applyNumberFormat="1" applyFont="1" applyFill="1" applyBorder="1" applyAlignment="1" applyProtection="1">
      <alignment horizontal="left" vertical="center" shrinkToFit="1"/>
      <protection locked="0"/>
    </xf>
    <xf numFmtId="49" fontId="22" fillId="5" borderId="3" xfId="0" applyNumberFormat="1" applyFont="1" applyFill="1" applyBorder="1" applyAlignment="1" applyProtection="1">
      <alignment horizontal="left" vertical="center" shrinkToFit="1"/>
      <protection locked="0"/>
    </xf>
    <xf numFmtId="49" fontId="22" fillId="7" borderId="2" xfId="0" applyNumberFormat="1" applyFont="1" applyFill="1" applyBorder="1" applyAlignment="1" applyProtection="1">
      <alignment horizontal="left" vertical="center" shrinkToFit="1"/>
      <protection locked="0"/>
    </xf>
    <xf numFmtId="49" fontId="22" fillId="7" borderId="36" xfId="0" applyNumberFormat="1" applyFont="1" applyFill="1" applyBorder="1" applyAlignment="1" applyProtection="1">
      <alignment horizontal="left" vertical="center" shrinkToFit="1"/>
      <protection locked="0"/>
    </xf>
    <xf numFmtId="49" fontId="22" fillId="7" borderId="3" xfId="0" applyNumberFormat="1" applyFont="1" applyFill="1" applyBorder="1" applyAlignment="1" applyProtection="1">
      <alignment horizontal="left" vertical="center" shrinkToFit="1"/>
      <protection locked="0"/>
    </xf>
    <xf numFmtId="0" fontId="14" fillId="0" borderId="1" xfId="0" applyFont="1" applyBorder="1" applyAlignment="1" applyProtection="1">
      <alignment horizontal="center" vertical="center"/>
      <protection hidden="1"/>
    </xf>
    <xf numFmtId="0" fontId="14" fillId="0" borderId="2" xfId="0" applyFont="1" applyBorder="1" applyAlignment="1" applyProtection="1">
      <alignment horizontal="center" vertical="center" shrinkToFit="1"/>
      <protection hidden="1"/>
    </xf>
    <xf numFmtId="0" fontId="14" fillId="0" borderId="36" xfId="0" applyFont="1" applyBorder="1" applyAlignment="1" applyProtection="1">
      <alignment horizontal="center" vertical="center" shrinkToFit="1"/>
      <protection hidden="1"/>
    </xf>
    <xf numFmtId="49" fontId="22" fillId="5" borderId="1" xfId="0" applyNumberFormat="1" applyFont="1" applyFill="1" applyBorder="1" applyAlignment="1" applyProtection="1">
      <alignment horizontal="left" vertical="center" shrinkToFit="1"/>
      <protection locked="0"/>
    </xf>
    <xf numFmtId="0" fontId="14" fillId="0" borderId="32"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wrapText="1"/>
      <protection hidden="1"/>
    </xf>
    <xf numFmtId="0" fontId="14" fillId="0" borderId="164" xfId="0" applyFont="1" applyBorder="1" applyAlignment="1" applyProtection="1">
      <alignment horizontal="center" vertical="center"/>
      <protection hidden="1"/>
    </xf>
    <xf numFmtId="0" fontId="14" fillId="0" borderId="165" xfId="0" applyFont="1" applyBorder="1" applyAlignment="1" applyProtection="1">
      <alignment horizontal="center" vertical="center"/>
      <protection hidden="1"/>
    </xf>
    <xf numFmtId="0" fontId="14" fillId="0" borderId="164" xfId="0" applyFont="1" applyBorder="1" applyAlignment="1" applyProtection="1">
      <alignment horizontal="center" vertical="center" shrinkToFit="1"/>
      <protection hidden="1"/>
    </xf>
    <xf numFmtId="0" fontId="14" fillId="0" borderId="165" xfId="0"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protection hidden="1"/>
    </xf>
    <xf numFmtId="0" fontId="14" fillId="0" borderId="18"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43" xfId="0" applyFont="1" applyBorder="1" applyAlignment="1" applyProtection="1">
      <alignment horizontal="center" vertical="center"/>
      <protection hidden="1"/>
    </xf>
    <xf numFmtId="0" fontId="14" fillId="0" borderId="12"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43" xfId="0" applyFont="1" applyBorder="1" applyAlignment="1" applyProtection="1">
      <alignment horizontal="center" vertical="center" wrapText="1"/>
      <protection hidden="1"/>
    </xf>
    <xf numFmtId="0" fontId="23" fillId="0" borderId="4" xfId="0" applyFont="1" applyBorder="1" applyAlignment="1" applyProtection="1">
      <alignment horizontal="center" vertical="center"/>
      <protection hidden="1"/>
    </xf>
    <xf numFmtId="0" fontId="14" fillId="6" borderId="125" xfId="0" applyFont="1" applyFill="1" applyBorder="1" applyAlignment="1" applyProtection="1">
      <alignment horizontal="left" vertical="center" shrinkToFit="1"/>
      <protection locked="0"/>
    </xf>
    <xf numFmtId="0" fontId="14" fillId="6" borderId="8" xfId="0" applyFont="1" applyFill="1" applyBorder="1" applyAlignment="1" applyProtection="1">
      <alignment horizontal="left" vertical="center" shrinkToFit="1"/>
      <protection locked="0"/>
    </xf>
    <xf numFmtId="0" fontId="14" fillId="6" borderId="9" xfId="0" applyFont="1" applyFill="1" applyBorder="1" applyAlignment="1" applyProtection="1">
      <alignment horizontal="left" vertical="center" shrinkToFit="1"/>
      <protection locked="0"/>
    </xf>
    <xf numFmtId="0" fontId="14" fillId="6" borderId="121" xfId="0" applyFont="1" applyFill="1" applyBorder="1" applyAlignment="1" applyProtection="1">
      <alignment horizontal="left" vertical="center" shrinkToFit="1"/>
      <protection locked="0"/>
    </xf>
    <xf numFmtId="0" fontId="14" fillId="6" borderId="0" xfId="0" applyFont="1" applyFill="1" applyAlignment="1" applyProtection="1">
      <alignment horizontal="left" vertical="center" shrinkToFit="1"/>
      <protection locked="0"/>
    </xf>
    <xf numFmtId="0" fontId="14" fillId="6" borderId="16" xfId="0" applyFont="1" applyFill="1" applyBorder="1" applyAlignment="1" applyProtection="1">
      <alignment horizontal="left" vertical="center" shrinkToFit="1"/>
      <protection locked="0"/>
    </xf>
    <xf numFmtId="0" fontId="14" fillId="6" borderId="92" xfId="0" applyFont="1" applyFill="1" applyBorder="1" applyAlignment="1" applyProtection="1">
      <alignment horizontal="left" vertical="center" shrinkToFit="1"/>
      <protection locked="0"/>
    </xf>
    <xf numFmtId="0" fontId="14" fillId="6" borderId="5" xfId="0" applyFont="1" applyFill="1" applyBorder="1" applyAlignment="1" applyProtection="1">
      <alignment horizontal="left" vertical="center" shrinkToFit="1"/>
      <protection locked="0"/>
    </xf>
    <xf numFmtId="0" fontId="14" fillId="6" borderId="20" xfId="0" applyFont="1" applyFill="1" applyBorder="1" applyAlignment="1" applyProtection="1">
      <alignment horizontal="left" vertical="center" shrinkToFit="1"/>
      <protection locked="0"/>
    </xf>
    <xf numFmtId="0" fontId="14" fillId="0" borderId="132" xfId="0" applyFont="1" applyBorder="1" applyAlignment="1" applyProtection="1">
      <alignment horizontal="center" vertical="center" shrinkToFit="1"/>
      <protection hidden="1"/>
    </xf>
    <xf numFmtId="0" fontId="14" fillId="0" borderId="133" xfId="0" applyFont="1" applyBorder="1" applyAlignment="1" applyProtection="1">
      <alignment horizontal="center" vertical="center" shrinkToFit="1"/>
      <protection hidden="1"/>
    </xf>
    <xf numFmtId="0" fontId="14" fillId="4" borderId="1" xfId="0" applyFont="1" applyFill="1" applyBorder="1">
      <alignment vertical="center"/>
    </xf>
    <xf numFmtId="0" fontId="14" fillId="4" borderId="1" xfId="0" applyFont="1" applyFill="1" applyBorder="1" applyAlignment="1">
      <alignment vertical="center" wrapText="1"/>
    </xf>
    <xf numFmtId="0" fontId="14"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0" xfId="0" applyFont="1" applyProtection="1">
      <alignment vertical="center"/>
      <protection hidden="1"/>
    </xf>
    <xf numFmtId="0" fontId="14" fillId="0" borderId="93" xfId="0" applyFont="1" applyBorder="1" applyAlignment="1" applyProtection="1">
      <alignment horizontal="center" vertical="center" wrapText="1"/>
      <protection hidden="1"/>
    </xf>
    <xf numFmtId="0" fontId="14" fillId="0" borderId="104"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32"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69" xfId="0" applyFont="1" applyBorder="1" applyAlignment="1">
      <alignment horizontal="center" vertical="center"/>
    </xf>
    <xf numFmtId="0" fontId="14" fillId="0" borderId="44" xfId="0" applyFont="1" applyBorder="1" applyAlignment="1" applyProtection="1">
      <alignment horizontal="center" vertical="center"/>
      <protection hidden="1"/>
    </xf>
    <xf numFmtId="0" fontId="14" fillId="0" borderId="68" xfId="0" applyFont="1" applyBorder="1" applyAlignment="1">
      <alignment horizontal="center" vertical="center"/>
    </xf>
    <xf numFmtId="0" fontId="14" fillId="0" borderId="12" xfId="0" applyFont="1" applyBorder="1" applyAlignment="1">
      <alignment horizontal="center" vertical="center" wrapText="1"/>
    </xf>
    <xf numFmtId="0" fontId="14" fillId="0" borderId="44" xfId="0" applyFont="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13" xfId="0" applyFont="1" applyFill="1" applyBorder="1" applyAlignment="1" applyProtection="1">
      <alignment horizontal="center" vertical="center" wrapText="1"/>
      <protection hidden="1"/>
    </xf>
    <xf numFmtId="0" fontId="14" fillId="4" borderId="45" xfId="0" applyFont="1" applyFill="1" applyBorder="1" applyAlignment="1" applyProtection="1">
      <alignment horizontal="center" vertical="center" wrapText="1"/>
      <protection hidden="1"/>
    </xf>
    <xf numFmtId="0" fontId="14" fillId="4" borderId="142" xfId="0" applyFont="1" applyFill="1" applyBorder="1" applyAlignment="1" applyProtection="1">
      <alignment horizontal="center" vertical="center" wrapText="1"/>
      <protection hidden="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26" fillId="0" borderId="94" xfId="0" applyFont="1" applyBorder="1" applyAlignment="1">
      <alignment horizontal="center" vertical="center" wrapText="1"/>
    </xf>
    <xf numFmtId="0" fontId="26" fillId="0" borderId="69" xfId="0" applyFont="1" applyBorder="1" applyAlignment="1">
      <alignment horizontal="center" vertical="center"/>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0" fontId="14" fillId="4" borderId="37" xfId="0" applyFont="1" applyFill="1" applyBorder="1">
      <alignment vertical="center"/>
    </xf>
    <xf numFmtId="0" fontId="14" fillId="4" borderId="33" xfId="0" applyFont="1" applyFill="1" applyBorder="1">
      <alignment vertical="center"/>
    </xf>
    <xf numFmtId="0" fontId="8" fillId="0" borderId="4" xfId="0" applyFont="1" applyBorder="1" applyAlignment="1" applyProtection="1">
      <alignment horizontal="center" vertical="center"/>
      <protection hidden="1"/>
    </xf>
    <xf numFmtId="0" fontId="26" fillId="0" borderId="107"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93" xfId="0" applyFont="1" applyBorder="1" applyAlignment="1" applyProtection="1">
      <alignment horizontal="center" vertical="center" wrapText="1"/>
      <protection hidden="1"/>
    </xf>
    <xf numFmtId="0" fontId="26" fillId="0" borderId="117"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68"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68" xfId="0" applyFont="1" applyBorder="1" applyAlignment="1">
      <alignment horizontal="center" vertical="center" wrapText="1"/>
    </xf>
    <xf numFmtId="0" fontId="26" fillId="4" borderId="7" xfId="0" applyFont="1" applyFill="1" applyBorder="1" applyAlignment="1" applyProtection="1">
      <alignment horizontal="center" vertical="center" wrapText="1"/>
      <protection hidden="1"/>
    </xf>
    <xf numFmtId="0" fontId="26" fillId="4" borderId="13" xfId="0" applyFont="1" applyFill="1" applyBorder="1" applyAlignment="1" applyProtection="1">
      <alignment horizontal="center" vertical="center" wrapText="1"/>
      <protection hidden="1"/>
    </xf>
    <xf numFmtId="0" fontId="26" fillId="4" borderId="45" xfId="0" applyFont="1" applyFill="1" applyBorder="1" applyAlignment="1" applyProtection="1">
      <alignment horizontal="center" vertical="center" wrapText="1"/>
      <protection hidden="1"/>
    </xf>
    <xf numFmtId="0" fontId="26" fillId="4" borderId="142" xfId="0" applyFont="1" applyFill="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45" xfId="0" applyFont="1" applyBorder="1" applyAlignment="1" applyProtection="1">
      <alignment horizontal="center" vertical="center"/>
      <protection hidden="1"/>
    </xf>
    <xf numFmtId="0" fontId="26" fillId="0" borderId="68" xfId="0" applyFont="1" applyBorder="1" applyAlignment="1">
      <alignment horizontal="center" vertical="center"/>
    </xf>
    <xf numFmtId="0" fontId="14" fillId="0" borderId="44" xfId="0" applyFont="1" applyBorder="1" applyAlignment="1" applyProtection="1">
      <alignment horizontal="center" vertical="center" wrapText="1"/>
      <protection hidden="1"/>
    </xf>
    <xf numFmtId="202" fontId="14" fillId="0" borderId="94" xfId="0" applyNumberFormat="1" applyFont="1" applyBorder="1" applyAlignment="1">
      <alignment horizontal="center" vertical="center" wrapText="1"/>
    </xf>
    <xf numFmtId="202" fontId="14" fillId="0" borderId="69" xfId="0" applyNumberFormat="1" applyFont="1" applyBorder="1" applyAlignment="1">
      <alignment horizontal="center" vertical="center"/>
    </xf>
    <xf numFmtId="0" fontId="26" fillId="2" borderId="7" xfId="0" applyFont="1" applyFill="1" applyBorder="1" applyAlignment="1" applyProtection="1">
      <alignment horizontal="center" vertical="center" wrapText="1"/>
      <protection hidden="1"/>
    </xf>
    <xf numFmtId="0" fontId="26" fillId="2" borderId="13" xfId="0" applyFont="1" applyFill="1" applyBorder="1" applyAlignment="1" applyProtection="1">
      <alignment horizontal="center" vertical="center" wrapText="1"/>
      <protection hidden="1"/>
    </xf>
    <xf numFmtId="0" fontId="26" fillId="2" borderId="45" xfId="0" applyFont="1" applyFill="1" applyBorder="1" applyAlignment="1" applyProtection="1">
      <alignment horizontal="center" vertical="center" wrapText="1"/>
      <protection hidden="1"/>
    </xf>
    <xf numFmtId="0" fontId="26" fillId="2" borderId="142" xfId="0" applyFont="1" applyFill="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45" xfId="0" applyFont="1" applyBorder="1" applyAlignment="1" applyProtection="1">
      <alignment horizontal="center" vertical="center"/>
      <protection hidden="1"/>
    </xf>
    <xf numFmtId="0" fontId="14" fillId="0" borderId="117"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4" borderId="37" xfId="0" applyFont="1" applyFill="1" applyBorder="1" applyAlignment="1">
      <alignment vertical="center" wrapText="1"/>
    </xf>
    <xf numFmtId="0" fontId="14" fillId="4" borderId="33" xfId="0" applyFont="1" applyFill="1" applyBorder="1" applyAlignment="1">
      <alignment vertical="center" wrapText="1"/>
    </xf>
    <xf numFmtId="0" fontId="14" fillId="4" borderId="15" xfId="0" applyFont="1" applyFill="1" applyBorder="1" applyAlignment="1">
      <alignment vertical="center" wrapText="1"/>
    </xf>
    <xf numFmtId="0" fontId="14" fillId="4" borderId="37"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2" borderId="1" xfId="0" applyFont="1" applyFill="1" applyBorder="1">
      <alignment vertical="center"/>
    </xf>
    <xf numFmtId="0" fontId="22" fillId="4" borderId="1" xfId="0" applyFont="1" applyFill="1" applyBorder="1" applyAlignment="1" applyProtection="1">
      <alignment horizontal="center" vertical="center" wrapText="1"/>
      <protection hidden="1"/>
    </xf>
    <xf numFmtId="0" fontId="22" fillId="0" borderId="12" xfId="0"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protection hidden="1"/>
    </xf>
    <xf numFmtId="0" fontId="22" fillId="0" borderId="43" xfId="0" applyFont="1" applyBorder="1" applyAlignment="1" applyProtection="1">
      <alignment horizontal="center" vertical="center" wrapText="1"/>
      <protection hidden="1"/>
    </xf>
    <xf numFmtId="0" fontId="22" fillId="4" borderId="12" xfId="0" applyFont="1" applyFill="1" applyBorder="1" applyAlignment="1" applyProtection="1">
      <alignment horizontal="center" vertical="center" wrapText="1"/>
      <protection hidden="1"/>
    </xf>
    <xf numFmtId="0" fontId="22" fillId="4" borderId="35" xfId="0" applyFont="1" applyFill="1" applyBorder="1" applyAlignment="1" applyProtection="1">
      <alignment horizontal="center" vertical="center" wrapText="1"/>
      <protection hidden="1"/>
    </xf>
    <xf numFmtId="0" fontId="22" fillId="4" borderId="43" xfId="0" applyFont="1" applyFill="1" applyBorder="1" applyAlignment="1" applyProtection="1">
      <alignment horizontal="center" vertical="center" wrapText="1"/>
      <protection hidden="1"/>
    </xf>
    <xf numFmtId="0" fontId="22" fillId="0" borderId="136" xfId="0" applyFont="1" applyBorder="1" applyAlignment="1" applyProtection="1">
      <alignment horizontal="center" vertical="center" wrapText="1"/>
      <protection hidden="1"/>
    </xf>
    <xf numFmtId="0" fontId="22" fillId="0" borderId="97" xfId="0" applyFont="1" applyBorder="1" applyAlignment="1" applyProtection="1">
      <alignment horizontal="center" vertical="center" wrapText="1"/>
      <protection hidden="1"/>
    </xf>
    <xf numFmtId="0" fontId="22" fillId="0" borderId="115"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textRotation="255"/>
      <protection hidden="1"/>
    </xf>
    <xf numFmtId="0" fontId="22" fillId="0" borderId="18" xfId="0" applyFont="1" applyBorder="1" applyAlignment="1" applyProtection="1">
      <alignment horizontal="center" vertical="center" textRotation="255"/>
      <protection hidden="1"/>
    </xf>
    <xf numFmtId="0" fontId="14" fillId="0" borderId="42" xfId="0" applyFont="1" applyBorder="1" applyAlignment="1" applyProtection="1">
      <alignment horizontal="distributed" vertical="center" indent="1"/>
      <protection hidden="1"/>
    </xf>
    <xf numFmtId="0" fontId="14" fillId="0" borderId="30" xfId="0" applyFont="1" applyBorder="1" applyAlignment="1" applyProtection="1">
      <alignment horizontal="distributed" vertical="center" indent="1"/>
      <protection hidden="1"/>
    </xf>
    <xf numFmtId="0" fontId="14" fillId="0" borderId="12" xfId="0" applyFont="1" applyBorder="1" applyAlignment="1" applyProtection="1">
      <alignment horizontal="distributed" vertical="center" wrapText="1" indent="1"/>
      <protection hidden="1"/>
    </xf>
    <xf numFmtId="0" fontId="14" fillId="0" borderId="35" xfId="0" applyFont="1" applyBorder="1" applyAlignment="1" applyProtection="1">
      <alignment horizontal="distributed" vertical="center" wrapText="1" indent="1"/>
      <protection hidden="1"/>
    </xf>
    <xf numFmtId="0" fontId="14" fillId="0" borderId="44" xfId="0" applyFont="1" applyBorder="1" applyAlignment="1" applyProtection="1">
      <alignment horizontal="distributed" vertical="center" wrapText="1" indent="1"/>
      <protection hidden="1"/>
    </xf>
    <xf numFmtId="0" fontId="14" fillId="6" borderId="62" xfId="0" applyFont="1" applyFill="1" applyBorder="1" applyAlignment="1" applyProtection="1">
      <alignment horizontal="distributed" vertical="center" indent="1"/>
      <protection locked="0" hidden="1"/>
    </xf>
    <xf numFmtId="0" fontId="14" fillId="6" borderId="86" xfId="0" applyFont="1" applyFill="1" applyBorder="1" applyAlignment="1" applyProtection="1">
      <alignment horizontal="distributed" vertical="center" indent="1"/>
      <protection locked="0" hidden="1"/>
    </xf>
    <xf numFmtId="0" fontId="14" fillId="0" borderId="33" xfId="0" applyFont="1" applyBorder="1" applyAlignment="1" applyProtection="1">
      <alignment horizontal="distributed" vertical="center" wrapText="1" indent="1"/>
      <protection hidden="1"/>
    </xf>
    <xf numFmtId="0" fontId="14" fillId="0" borderId="24" xfId="0" applyFont="1" applyBorder="1" applyAlignment="1" applyProtection="1">
      <alignment horizontal="distributed" vertical="center" wrapText="1" indent="1"/>
      <protection hidden="1"/>
    </xf>
    <xf numFmtId="0" fontId="14" fillId="0" borderId="50" xfId="1" applyFont="1" applyBorder="1" applyProtection="1">
      <alignment vertical="center"/>
      <protection hidden="1"/>
    </xf>
    <xf numFmtId="0" fontId="14" fillId="0" borderId="35" xfId="1" applyFont="1" applyBorder="1" applyProtection="1">
      <alignment vertical="center"/>
      <protection hidden="1"/>
    </xf>
    <xf numFmtId="0" fontId="14" fillId="0" borderId="44" xfId="1" applyFont="1" applyBorder="1" applyProtection="1">
      <alignment vertical="center"/>
      <protection hidden="1"/>
    </xf>
    <xf numFmtId="0" fontId="14" fillId="0" borderId="2" xfId="1" applyFont="1" applyBorder="1" applyAlignment="1" applyProtection="1">
      <alignment horizontal="distributed" vertical="center" indent="1"/>
      <protection hidden="1"/>
    </xf>
    <xf numFmtId="0" fontId="14" fillId="0" borderId="3" xfId="1" applyFont="1" applyBorder="1" applyAlignment="1" applyProtection="1">
      <alignment horizontal="distributed" vertical="center" indent="1"/>
      <protection hidden="1"/>
    </xf>
    <xf numFmtId="0" fontId="14" fillId="0" borderId="54" xfId="1" applyFont="1" applyBorder="1" applyAlignment="1" applyProtection="1">
      <alignment horizontal="distributed" vertical="center" indent="1"/>
      <protection hidden="1"/>
    </xf>
    <xf numFmtId="0" fontId="14" fillId="0" borderId="53" xfId="1" applyFont="1" applyBorder="1" applyAlignment="1" applyProtection="1">
      <alignment horizontal="distributed" vertical="center" indent="1"/>
      <protection hidden="1"/>
    </xf>
    <xf numFmtId="0" fontId="22" fillId="0" borderId="93" xfId="0" applyFont="1" applyBorder="1" applyAlignment="1" applyProtection="1">
      <alignment horizontal="center" vertical="center"/>
      <protection hidden="1"/>
    </xf>
    <xf numFmtId="0" fontId="22" fillId="0" borderId="95" xfId="0" applyFont="1" applyBorder="1" applyAlignment="1" applyProtection="1">
      <alignment horizontal="center" vertical="center"/>
      <protection hidden="1"/>
    </xf>
    <xf numFmtId="0" fontId="22" fillId="0" borderId="98" xfId="0" applyFont="1" applyBorder="1" applyAlignment="1" applyProtection="1">
      <alignment horizontal="center" vertical="center"/>
      <protection hidden="1"/>
    </xf>
    <xf numFmtId="0" fontId="23" fillId="0" borderId="32"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wrapText="1"/>
      <protection hidden="1"/>
    </xf>
    <xf numFmtId="176" fontId="14" fillId="0" borderId="2" xfId="0" applyNumberFormat="1" applyFont="1" applyBorder="1" applyAlignment="1" applyProtection="1">
      <alignment horizontal="center" vertical="center" shrinkToFit="1"/>
      <protection hidden="1"/>
    </xf>
    <xf numFmtId="176" fontId="14" fillId="0" borderId="3" xfId="0" applyNumberFormat="1"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protection hidden="1"/>
    </xf>
    <xf numFmtId="0" fontId="14" fillId="0" borderId="2" xfId="0" applyFont="1" applyBorder="1">
      <alignment vertical="center"/>
    </xf>
    <xf numFmtId="0" fontId="14" fillId="0" borderId="3" xfId="0" applyFont="1" applyBorder="1">
      <alignment vertical="center"/>
    </xf>
    <xf numFmtId="0" fontId="14" fillId="6" borderId="2" xfId="0" applyFont="1" applyFill="1" applyBorder="1" applyAlignment="1" applyProtection="1">
      <alignment horizontal="distributed" vertical="center" indent="1"/>
      <protection locked="0" hidden="1"/>
    </xf>
    <xf numFmtId="0" fontId="14" fillId="6" borderId="3" xfId="0" applyFont="1" applyFill="1" applyBorder="1" applyAlignment="1" applyProtection="1">
      <alignment horizontal="distributed" vertical="center" indent="1"/>
      <protection locked="0" hidden="1"/>
    </xf>
    <xf numFmtId="0" fontId="14" fillId="0" borderId="0" xfId="0" applyFont="1" applyAlignment="1" applyProtection="1">
      <alignment horizontal="right" vertical="center"/>
      <protection hidden="1"/>
    </xf>
    <xf numFmtId="0" fontId="14" fillId="0" borderId="1" xfId="0" applyFont="1" applyBorder="1" applyAlignment="1" applyProtection="1">
      <alignment horizontal="distributed" vertical="center" indent="1"/>
      <protection hidden="1"/>
    </xf>
    <xf numFmtId="0" fontId="14" fillId="6" borderId="2" xfId="1" applyFont="1" applyFill="1" applyBorder="1" applyAlignment="1" applyProtection="1">
      <alignment horizontal="distributed" vertical="center" indent="1"/>
      <protection locked="0" hidden="1"/>
    </xf>
    <xf numFmtId="0" fontId="14" fillId="6" borderId="3" xfId="1" applyFont="1" applyFill="1" applyBorder="1" applyAlignment="1" applyProtection="1">
      <alignment horizontal="distributed" vertical="center" indent="1"/>
      <protection locked="0" hidden="1"/>
    </xf>
    <xf numFmtId="0" fontId="14" fillId="6" borderId="62" xfId="1" applyFont="1" applyFill="1" applyBorder="1" applyAlignment="1" applyProtection="1">
      <alignment horizontal="distributed" vertical="center" indent="1"/>
      <protection locked="0" hidden="1"/>
    </xf>
    <xf numFmtId="0" fontId="14" fillId="6" borderId="86" xfId="1" applyFont="1" applyFill="1" applyBorder="1" applyAlignment="1" applyProtection="1">
      <alignment horizontal="distributed" vertical="center" indent="1"/>
      <protection locked="0" hidden="1"/>
    </xf>
    <xf numFmtId="0" fontId="14" fillId="0" borderId="55" xfId="0" applyFont="1" applyBorder="1" applyAlignment="1" applyProtection="1">
      <alignment horizontal="distributed" vertical="center" indent="1"/>
      <protection hidden="1"/>
    </xf>
    <xf numFmtId="0" fontId="14" fillId="6" borderId="24" xfId="0" applyFont="1" applyFill="1" applyBorder="1" applyAlignment="1" applyProtection="1">
      <alignment horizontal="distributed" vertical="center" indent="1"/>
      <protection locked="0" hidden="1"/>
    </xf>
    <xf numFmtId="0" fontId="16" fillId="0" borderId="5" xfId="0" applyFont="1" applyBorder="1" applyAlignment="1" applyProtection="1">
      <alignment vertical="center" shrinkToFit="1"/>
      <protection hidden="1"/>
    </xf>
    <xf numFmtId="0" fontId="14" fillId="0" borderId="8"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protection hidden="1"/>
    </xf>
    <xf numFmtId="0" fontId="14" fillId="0" borderId="34" xfId="0" applyFont="1" applyBorder="1" applyAlignment="1" applyProtection="1">
      <alignment horizontal="distributed" vertical="center" indent="1"/>
      <protection hidden="1"/>
    </xf>
    <xf numFmtId="0" fontId="14" fillId="0" borderId="6" xfId="1" applyFont="1" applyBorder="1" applyAlignment="1" applyProtection="1">
      <alignment horizontal="center" vertical="center" textRotation="255"/>
      <protection hidden="1"/>
    </xf>
    <xf numFmtId="0" fontId="14" fillId="0" borderId="14" xfId="1" applyFont="1" applyBorder="1" applyAlignment="1" applyProtection="1">
      <alignment horizontal="center" vertical="center" textRotation="255"/>
      <protection hidden="1"/>
    </xf>
    <xf numFmtId="0" fontId="14" fillId="0" borderId="89" xfId="1" applyFont="1" applyBorder="1" applyAlignment="1" applyProtection="1">
      <alignment horizontal="center" vertical="center" textRotation="255"/>
      <protection hidden="1"/>
    </xf>
    <xf numFmtId="14" fontId="14" fillId="0" borderId="12" xfId="0" applyNumberFormat="1" applyFont="1" applyBorder="1" applyAlignment="1" applyProtection="1">
      <alignment horizontal="center" vertical="center" textRotation="255"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28"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textRotation="255"/>
      <protection hidden="1"/>
    </xf>
    <xf numFmtId="0" fontId="14" fillId="0" borderId="35" xfId="0" applyFont="1" applyBorder="1" applyAlignment="1" applyProtection="1">
      <alignment horizontal="center" vertical="center" textRotation="255"/>
      <protection hidden="1"/>
    </xf>
    <xf numFmtId="0" fontId="14" fillId="0" borderId="44" xfId="0" applyFont="1" applyBorder="1" applyAlignment="1" applyProtection="1">
      <alignment horizontal="center" vertical="center" textRotation="255"/>
      <protection hidden="1"/>
    </xf>
    <xf numFmtId="0" fontId="14" fillId="0" borderId="2" xfId="0" applyFont="1" applyBorder="1" applyAlignment="1" applyProtection="1">
      <alignment horizontal="left" vertical="center" wrapText="1" indent="1"/>
      <protection hidden="1"/>
    </xf>
    <xf numFmtId="0" fontId="14" fillId="0" borderId="34" xfId="0" applyFont="1" applyBorder="1" applyAlignment="1" applyProtection="1">
      <alignment horizontal="left" vertical="center" wrapText="1" indent="1"/>
      <protection hidden="1"/>
    </xf>
    <xf numFmtId="0" fontId="14" fillId="0" borderId="2" xfId="1" applyFont="1" applyBorder="1" applyAlignment="1" applyProtection="1">
      <alignment horizontal="distributed" vertical="center" wrapText="1" indent="1"/>
      <protection hidden="1"/>
    </xf>
    <xf numFmtId="0" fontId="14" fillId="0" borderId="34" xfId="1" applyFont="1" applyBorder="1" applyAlignment="1" applyProtection="1">
      <alignment horizontal="distributed" vertical="center" wrapText="1" indent="1"/>
      <protection hidden="1"/>
    </xf>
    <xf numFmtId="0" fontId="14" fillId="0" borderId="50" xfId="1" applyFont="1" applyBorder="1" applyAlignment="1" applyProtection="1">
      <alignment vertical="center" textRotation="255" wrapText="1"/>
      <protection hidden="1"/>
    </xf>
    <xf numFmtId="0" fontId="14" fillId="0" borderId="35" xfId="1" applyFont="1" applyBorder="1" applyAlignment="1" applyProtection="1">
      <alignment vertical="center" textRotation="255" wrapText="1"/>
      <protection hidden="1"/>
    </xf>
    <xf numFmtId="0" fontId="14" fillId="0" borderId="44" xfId="1" applyFont="1" applyBorder="1" applyAlignment="1" applyProtection="1">
      <alignment vertical="center" textRotation="255" wrapText="1"/>
      <protection hidden="1"/>
    </xf>
    <xf numFmtId="0" fontId="14" fillId="0" borderId="50" xfId="0" applyFont="1" applyBorder="1" applyAlignment="1" applyProtection="1">
      <alignment horizontal="distributed" vertical="center" textRotation="255"/>
      <protection hidden="1"/>
    </xf>
    <xf numFmtId="0" fontId="14" fillId="0" borderId="35" xfId="0" applyFont="1" applyBorder="1" applyAlignment="1" applyProtection="1">
      <alignment horizontal="distributed" vertical="center" textRotation="255"/>
      <protection hidden="1"/>
    </xf>
    <xf numFmtId="0" fontId="14" fillId="0" borderId="33" xfId="0" applyFont="1" applyBorder="1" applyAlignment="1" applyProtection="1">
      <alignment horizontal="distributed" vertical="center" textRotation="255"/>
      <protection hidden="1"/>
    </xf>
    <xf numFmtId="0" fontId="14" fillId="0" borderId="37" xfId="0" applyFont="1" applyBorder="1" applyAlignment="1" applyProtection="1">
      <alignment horizontal="distributed" vertical="center" indent="1"/>
      <protection hidden="1"/>
    </xf>
    <xf numFmtId="0" fontId="14" fillId="0" borderId="33" xfId="0" applyFont="1" applyBorder="1" applyAlignment="1" applyProtection="1">
      <alignment horizontal="distributed" vertical="center" indent="1"/>
      <protection hidden="1"/>
    </xf>
    <xf numFmtId="0" fontId="14" fillId="0" borderId="0" xfId="0" applyFont="1">
      <alignment vertical="center"/>
    </xf>
    <xf numFmtId="0" fontId="14" fillId="0" borderId="62" xfId="1" applyFont="1" applyBorder="1" applyAlignment="1" applyProtection="1">
      <alignment horizontal="distributed" vertical="center" indent="1"/>
      <protection hidden="1"/>
    </xf>
    <xf numFmtId="0" fontId="14" fillId="0" borderId="63" xfId="1" applyFont="1" applyBorder="1" applyAlignment="1" applyProtection="1">
      <alignment horizontal="distributed" vertical="center" indent="1"/>
      <protection hidden="1"/>
    </xf>
    <xf numFmtId="0" fontId="14" fillId="0" borderId="64" xfId="1" applyFont="1" applyBorder="1" applyAlignment="1" applyProtection="1">
      <alignment horizontal="distributed" vertical="center" indent="1"/>
      <protection hidden="1"/>
    </xf>
    <xf numFmtId="0" fontId="14" fillId="0" borderId="56" xfId="0" applyFont="1" applyBorder="1" applyAlignment="1" applyProtection="1">
      <alignment horizontal="distributed" vertical="center" wrapText="1"/>
      <protection hidden="1"/>
    </xf>
    <xf numFmtId="0" fontId="14" fillId="0" borderId="4" xfId="0" applyFont="1" applyBorder="1" applyAlignment="1" applyProtection="1">
      <alignment horizontal="distributed" vertical="center" wrapText="1"/>
      <protection hidden="1"/>
    </xf>
    <xf numFmtId="0" fontId="14" fillId="0" borderId="73" xfId="0" applyFont="1" applyBorder="1" applyAlignment="1" applyProtection="1">
      <alignment horizontal="distributed" vertical="center" wrapText="1"/>
      <protection hidden="1"/>
    </xf>
    <xf numFmtId="0" fontId="14" fillId="0" borderId="37"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textRotation="255"/>
      <protection hidden="1"/>
    </xf>
    <xf numFmtId="0" fontId="14" fillId="0" borderId="37" xfId="1" applyFont="1" applyBorder="1" applyAlignment="1" applyProtection="1">
      <alignment horizontal="distributed" vertical="center" wrapText="1" indent="1"/>
      <protection hidden="1"/>
    </xf>
    <xf numFmtId="0" fontId="14" fillId="0" borderId="33" xfId="1"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indent="1"/>
      <protection hidden="1"/>
    </xf>
    <xf numFmtId="0" fontId="14" fillId="0" borderId="46" xfId="0" applyFont="1" applyBorder="1" applyAlignment="1" applyProtection="1">
      <alignment horizontal="distributed" vertical="center" indent="1"/>
      <protection hidden="1"/>
    </xf>
    <xf numFmtId="0" fontId="14" fillId="0" borderId="47" xfId="0" applyFont="1" applyBorder="1" applyAlignment="1" applyProtection="1">
      <alignment horizontal="distributed" vertical="center" indent="1"/>
      <protection hidden="1"/>
    </xf>
    <xf numFmtId="177" fontId="14" fillId="0" borderId="2" xfId="1" applyNumberFormat="1" applyFont="1" applyBorder="1" applyAlignment="1" applyProtection="1">
      <alignment horizontal="left" vertical="center" shrinkToFit="1"/>
      <protection hidden="1"/>
    </xf>
    <xf numFmtId="177" fontId="14" fillId="0" borderId="34" xfId="1" applyNumberFormat="1" applyFont="1" applyBorder="1" applyAlignment="1" applyProtection="1">
      <alignment horizontal="left" vertical="center" shrinkToFit="1"/>
      <protection hidden="1"/>
    </xf>
    <xf numFmtId="0" fontId="14" fillId="0" borderId="62" xfId="0" applyFont="1" applyBorder="1" applyAlignment="1" applyProtection="1">
      <alignment horizontal="distributed" vertical="center" indent="1"/>
      <protection hidden="1"/>
    </xf>
    <xf numFmtId="0" fontId="14" fillId="0" borderId="63" xfId="0" applyFont="1" applyBorder="1" applyAlignment="1" applyProtection="1">
      <alignment horizontal="distributed" vertical="center" indent="1"/>
      <protection hidden="1"/>
    </xf>
    <xf numFmtId="0" fontId="14" fillId="0" borderId="64" xfId="0" applyFont="1" applyBorder="1" applyAlignment="1" applyProtection="1">
      <alignment horizontal="distributed" vertical="center" indent="1"/>
      <protection hidden="1"/>
    </xf>
    <xf numFmtId="188" fontId="14" fillId="0" borderId="65" xfId="2" applyNumberFormat="1" applyFont="1" applyFill="1" applyBorder="1" applyAlignment="1" applyProtection="1">
      <alignment horizontal="center" vertical="center" shrinkToFit="1"/>
      <protection hidden="1"/>
    </xf>
    <xf numFmtId="188" fontId="14" fillId="0" borderId="66" xfId="2" applyNumberFormat="1" applyFont="1" applyFill="1" applyBorder="1" applyAlignment="1" applyProtection="1">
      <alignment horizontal="center" vertical="center" shrinkToFit="1"/>
      <protection hidden="1"/>
    </xf>
    <xf numFmtId="188" fontId="14" fillId="0" borderId="48" xfId="2" applyNumberFormat="1" applyFont="1" applyFill="1" applyBorder="1" applyAlignment="1" applyProtection="1">
      <alignment horizontal="center" vertical="center" shrinkToFit="1"/>
      <protection hidden="1"/>
    </xf>
    <xf numFmtId="188" fontId="14" fillId="0" borderId="49" xfId="2" applyNumberFormat="1" applyFont="1" applyFill="1" applyBorder="1" applyAlignment="1" applyProtection="1">
      <alignment horizontal="center" vertical="center" shrinkToFit="1"/>
      <protection hidden="1"/>
    </xf>
    <xf numFmtId="0" fontId="14" fillId="0" borderId="54" xfId="0" applyFont="1" applyBorder="1" applyAlignment="1" applyProtection="1">
      <alignment horizontal="distributed" vertical="center" indent="1"/>
      <protection hidden="1"/>
    </xf>
    <xf numFmtId="0" fontId="14" fillId="0" borderId="52" xfId="0" applyFont="1" applyBorder="1" applyAlignment="1" applyProtection="1">
      <alignment horizontal="distributed" vertical="center" indent="1"/>
      <protection hidden="1"/>
    </xf>
    <xf numFmtId="0" fontId="14" fillId="0" borderId="2" xfId="0" applyFont="1" applyBorder="1" applyAlignment="1" applyProtection="1">
      <alignment horizontal="distributed" vertical="center" wrapText="1" indent="1"/>
      <protection hidden="1"/>
    </xf>
    <xf numFmtId="0" fontId="14" fillId="0" borderId="34" xfId="0" applyFont="1" applyBorder="1" applyAlignment="1" applyProtection="1">
      <alignment horizontal="distributed" vertical="center" wrapText="1" indent="1"/>
      <protection hidden="1"/>
    </xf>
    <xf numFmtId="0" fontId="14" fillId="0" borderId="56" xfId="1" applyFont="1" applyBorder="1" applyAlignment="1" applyProtection="1">
      <alignment horizontal="distributed" vertical="center" textRotation="255" wrapText="1"/>
      <protection hidden="1"/>
    </xf>
    <xf numFmtId="0" fontId="14" fillId="0" borderId="15" xfId="1" applyFont="1" applyBorder="1" applyAlignment="1" applyProtection="1">
      <alignment horizontal="distributed" vertical="center" textRotation="255" wrapText="1"/>
      <protection hidden="1"/>
    </xf>
    <xf numFmtId="0" fontId="14" fillId="0" borderId="42" xfId="1" applyFont="1" applyBorder="1" applyAlignment="1" applyProtection="1">
      <alignment horizontal="distributed" vertical="center" textRotation="255" wrapText="1"/>
      <protection hidden="1"/>
    </xf>
    <xf numFmtId="0" fontId="14" fillId="0" borderId="14" xfId="0" applyFont="1" applyBorder="1" applyAlignment="1" applyProtection="1">
      <alignment horizontal="center" vertical="center"/>
      <protection hidden="1"/>
    </xf>
    <xf numFmtId="0" fontId="14" fillId="0" borderId="13"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88" xfId="0" applyFont="1" applyBorder="1" applyAlignment="1" applyProtection="1">
      <alignment horizontal="center" vertical="center" wrapText="1"/>
      <protection hidden="1"/>
    </xf>
    <xf numFmtId="0" fontId="14" fillId="0" borderId="77"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58"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01"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51" xfId="1" applyFont="1" applyBorder="1" applyAlignment="1" applyProtection="1">
      <alignment horizontal="distributed" vertical="center" indent="1"/>
      <protection hidden="1"/>
    </xf>
    <xf numFmtId="0" fontId="14" fillId="0" borderId="52" xfId="1" applyFont="1" applyBorder="1" applyAlignment="1" applyProtection="1">
      <alignment horizontal="distributed" vertical="center" indent="1"/>
      <protection hidden="1"/>
    </xf>
    <xf numFmtId="188" fontId="14" fillId="0" borderId="79" xfId="0" applyNumberFormat="1" applyFont="1" applyBorder="1" applyAlignment="1" applyProtection="1">
      <alignment horizontal="right" vertical="center" indent="1" shrinkToFit="1"/>
      <protection hidden="1"/>
    </xf>
    <xf numFmtId="188" fontId="14" fillId="0" borderId="71" xfId="1" applyNumberFormat="1" applyFont="1" applyBorder="1" applyAlignment="1" applyProtection="1">
      <alignment horizontal="right" vertical="center" indent="1" shrinkToFit="1"/>
      <protection hidden="1"/>
    </xf>
    <xf numFmtId="0" fontId="14" fillId="0" borderId="36" xfId="1" applyFont="1" applyBorder="1" applyAlignment="1" applyProtection="1">
      <alignment horizontal="distributed" vertical="center" indent="1"/>
      <protection hidden="1"/>
    </xf>
    <xf numFmtId="0" fontId="14" fillId="0" borderId="34" xfId="1" applyFont="1" applyBorder="1" applyAlignment="1" applyProtection="1">
      <alignment horizontal="distributed" vertical="center" indent="1"/>
      <protection hidden="1"/>
    </xf>
    <xf numFmtId="188" fontId="14" fillId="0" borderId="39" xfId="0" applyNumberFormat="1" applyFont="1" applyBorder="1" applyAlignment="1" applyProtection="1">
      <alignment horizontal="right" vertical="center" indent="1" shrinkToFit="1"/>
      <protection hidden="1"/>
    </xf>
    <xf numFmtId="188" fontId="14" fillId="0" borderId="40" xfId="0" applyNumberFormat="1" applyFont="1" applyBorder="1" applyAlignment="1" applyProtection="1">
      <alignment horizontal="right" vertical="center" indent="1" shrinkToFit="1"/>
      <protection hidden="1"/>
    </xf>
    <xf numFmtId="0" fontId="14" fillId="0" borderId="6" xfId="1" applyFont="1" applyBorder="1" applyAlignment="1" applyProtection="1">
      <alignment vertical="center" textRotation="255"/>
      <protection hidden="1"/>
    </xf>
    <xf numFmtId="0" fontId="14" fillId="0" borderId="14" xfId="1" applyFont="1" applyBorder="1" applyAlignment="1" applyProtection="1">
      <alignment vertical="center" textRotation="255"/>
      <protection hidden="1"/>
    </xf>
    <xf numFmtId="0" fontId="14" fillId="0" borderId="18" xfId="1" applyFont="1" applyBorder="1" applyAlignment="1" applyProtection="1">
      <alignment vertical="center" textRotation="255"/>
      <protection hidden="1"/>
    </xf>
    <xf numFmtId="0" fontId="14" fillId="0" borderId="19" xfId="1" applyFont="1" applyBorder="1" applyAlignment="1" applyProtection="1">
      <alignment horizontal="distributed" vertical="center" indent="1"/>
      <protection hidden="1"/>
    </xf>
    <xf numFmtId="0" fontId="14" fillId="0" borderId="5" xfId="1" applyFont="1" applyBorder="1" applyAlignment="1" applyProtection="1">
      <alignment horizontal="distributed" vertical="center" indent="1"/>
      <protection hidden="1"/>
    </xf>
    <xf numFmtId="0" fontId="14" fillId="0" borderId="20" xfId="1" applyFont="1" applyBorder="1" applyAlignment="1" applyProtection="1">
      <alignment horizontal="distributed" vertical="center" indent="1"/>
      <protection hidden="1"/>
    </xf>
    <xf numFmtId="188" fontId="14" fillId="0" borderId="169" xfId="0" applyNumberFormat="1" applyFont="1" applyBorder="1" applyAlignment="1" applyProtection="1">
      <alignment vertical="center" shrinkToFit="1"/>
      <protection hidden="1"/>
    </xf>
    <xf numFmtId="188" fontId="14" fillId="0" borderId="162" xfId="1" applyNumberFormat="1" applyFont="1" applyBorder="1" applyAlignment="1" applyProtection="1">
      <alignment vertical="center" shrinkToFit="1"/>
      <protection hidden="1"/>
    </xf>
    <xf numFmtId="0" fontId="14" fillId="0" borderId="56" xfId="1" applyFont="1" applyBorder="1" applyAlignment="1" applyProtection="1">
      <alignment horizontal="distributed" vertical="center" indent="1"/>
      <protection hidden="1"/>
    </xf>
    <xf numFmtId="0" fontId="14" fillId="0" borderId="4" xfId="1" applyFont="1" applyBorder="1" applyAlignment="1" applyProtection="1">
      <alignment horizontal="distributed" vertical="center" indent="1"/>
      <protection hidden="1"/>
    </xf>
    <xf numFmtId="0" fontId="14" fillId="0" borderId="73" xfId="1" applyFont="1" applyBorder="1" applyAlignment="1" applyProtection="1">
      <alignment horizontal="distributed" vertical="center" indent="1"/>
      <protection hidden="1"/>
    </xf>
    <xf numFmtId="0" fontId="14" fillId="0" borderId="4" xfId="1" applyFont="1" applyBorder="1" applyAlignment="1" applyProtection="1">
      <alignment horizontal="distributed" vertical="center" wrapText="1" indent="1"/>
      <protection hidden="1"/>
    </xf>
    <xf numFmtId="188" fontId="14" fillId="0" borderId="81" xfId="0" applyNumberFormat="1" applyFont="1" applyBorder="1" applyAlignment="1" applyProtection="1">
      <alignment horizontal="right" vertical="center" indent="1" shrinkToFit="1"/>
      <protection hidden="1"/>
    </xf>
    <xf numFmtId="188" fontId="14" fillId="0" borderId="82" xfId="0" applyNumberFormat="1" applyFont="1" applyBorder="1" applyAlignment="1" applyProtection="1">
      <alignment horizontal="right" vertical="center" indent="1" shrinkToFit="1"/>
      <protection hidden="1"/>
    </xf>
    <xf numFmtId="0" fontId="14" fillId="0" borderId="93" xfId="0" applyFont="1" applyBorder="1" applyAlignment="1" applyProtection="1">
      <alignment horizontal="center" vertical="center" textRotation="255"/>
      <protection hidden="1"/>
    </xf>
    <xf numFmtId="0" fontId="14" fillId="0" borderId="95" xfId="0" applyFont="1" applyBorder="1" applyAlignment="1" applyProtection="1">
      <alignment horizontal="center" vertical="center" textRotation="255"/>
      <protection hidden="1"/>
    </xf>
    <xf numFmtId="0" fontId="14" fillId="0" borderId="98" xfId="0" applyFont="1" applyBorder="1" applyAlignment="1" applyProtection="1">
      <alignment horizontal="center" vertical="center" textRotation="255"/>
      <protection hidden="1"/>
    </xf>
    <xf numFmtId="0" fontId="14" fillId="0" borderId="32" xfId="0" applyFont="1" applyBorder="1" applyAlignment="1" applyProtection="1">
      <alignment horizontal="distributed" vertical="center" indent="1"/>
      <protection hidden="1"/>
    </xf>
    <xf numFmtId="0" fontId="14" fillId="0" borderId="94" xfId="0" applyFont="1" applyBorder="1" applyAlignment="1" applyProtection="1">
      <alignment horizontal="distributed" vertical="center" indent="1"/>
      <protection hidden="1"/>
    </xf>
    <xf numFmtId="0" fontId="14" fillId="0" borderId="57" xfId="0" applyFont="1" applyBorder="1" applyAlignment="1" applyProtection="1">
      <alignment horizontal="distributed" vertical="center" indent="1"/>
      <protection hidden="1"/>
    </xf>
    <xf numFmtId="0" fontId="14" fillId="0" borderId="1" xfId="1" applyFont="1" applyBorder="1" applyAlignment="1" applyProtection="1">
      <alignment horizontal="distributed" vertical="center" wrapText="1" indent="1"/>
      <protection hidden="1"/>
    </xf>
    <xf numFmtId="0" fontId="14" fillId="0" borderId="57" xfId="1"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wrapText="1" indent="1"/>
      <protection hidden="1"/>
    </xf>
    <xf numFmtId="0" fontId="16" fillId="0" borderId="58" xfId="1" applyFont="1" applyBorder="1" applyProtection="1">
      <alignment vertical="center"/>
      <protection hidden="1"/>
    </xf>
    <xf numFmtId="0" fontId="16" fillId="0" borderId="36" xfId="1" applyFont="1" applyBorder="1" applyProtection="1">
      <alignment vertical="center"/>
      <protection hidden="1"/>
    </xf>
    <xf numFmtId="0" fontId="16" fillId="0" borderId="101" xfId="1" applyFont="1" applyBorder="1" applyProtection="1">
      <alignment vertical="center"/>
      <protection hidden="1"/>
    </xf>
    <xf numFmtId="0" fontId="16" fillId="0" borderId="21" xfId="1" applyFont="1" applyBorder="1" applyProtection="1">
      <alignment vertical="center"/>
      <protection hidden="1"/>
    </xf>
    <xf numFmtId="0" fontId="14" fillId="0" borderId="103" xfId="0" applyFont="1" applyBorder="1" applyAlignment="1" applyProtection="1">
      <alignment horizontal="distributed" vertical="center" wrapText="1" indent="1"/>
      <protection hidden="1"/>
    </xf>
    <xf numFmtId="0" fontId="14" fillId="0" borderId="105" xfId="0" applyFont="1" applyBorder="1" applyAlignment="1" applyProtection="1">
      <alignment horizontal="distributed" vertical="center" wrapText="1" indent="1"/>
      <protection hidden="1"/>
    </xf>
    <xf numFmtId="178" fontId="14" fillId="0" borderId="109" xfId="1" applyNumberFormat="1" applyFont="1" applyBorder="1" applyAlignment="1" applyProtection="1">
      <alignment horizontal="right" vertical="center"/>
      <protection hidden="1"/>
    </xf>
    <xf numFmtId="178" fontId="14" fillId="0" borderId="106" xfId="1" applyNumberFormat="1" applyFont="1" applyBorder="1" applyAlignment="1" applyProtection="1">
      <alignment horizontal="right" vertical="center"/>
      <protection hidden="1"/>
    </xf>
    <xf numFmtId="0" fontId="16" fillId="0" borderId="93" xfId="1" applyFont="1" applyBorder="1" applyProtection="1">
      <alignment vertical="center"/>
      <protection hidden="1"/>
    </xf>
    <xf numFmtId="0" fontId="16" fillId="0" borderId="32" xfId="1" applyFont="1" applyBorder="1" applyProtection="1">
      <alignment vertical="center"/>
      <protection hidden="1"/>
    </xf>
    <xf numFmtId="0" fontId="14" fillId="0" borderId="68" xfId="1" applyFont="1" applyBorder="1" applyAlignment="1" applyProtection="1">
      <alignment horizontal="distributed" vertical="center" wrapText="1" indent="1"/>
      <protection hidden="1"/>
    </xf>
    <xf numFmtId="0" fontId="14" fillId="0" borderId="69" xfId="1" applyFont="1" applyBorder="1" applyAlignment="1" applyProtection="1">
      <alignment horizontal="distributed" vertical="center" wrapText="1" indent="1"/>
      <protection hidden="1"/>
    </xf>
    <xf numFmtId="0" fontId="14" fillId="0" borderId="78" xfId="0" applyFont="1" applyBorder="1" applyAlignment="1" applyProtection="1">
      <alignment horizontal="distributed" vertical="center" indent="1"/>
      <protection hidden="1"/>
    </xf>
    <xf numFmtId="0" fontId="14" fillId="0" borderId="68" xfId="0" applyFont="1" applyBorder="1" applyAlignment="1" applyProtection="1">
      <alignment horizontal="distributed" vertical="center" indent="1"/>
      <protection hidden="1"/>
    </xf>
    <xf numFmtId="0" fontId="14" fillId="0" borderId="69" xfId="0" applyFont="1" applyBorder="1" applyAlignment="1" applyProtection="1">
      <alignment horizontal="distributed" vertical="center" indent="1"/>
      <protection hidden="1"/>
    </xf>
    <xf numFmtId="0" fontId="14" fillId="0" borderId="55" xfId="1" applyFont="1" applyBorder="1" applyProtection="1">
      <alignment vertical="center"/>
      <protection hidden="1"/>
    </xf>
    <xf numFmtId="0" fontId="14" fillId="0" borderId="1" xfId="1" applyFont="1" applyBorder="1" applyProtection="1">
      <alignment vertical="center"/>
      <protection hidden="1"/>
    </xf>
    <xf numFmtId="0" fontId="14" fillId="0" borderId="37" xfId="1" applyFont="1" applyBorder="1" applyProtection="1">
      <alignment vertical="center"/>
      <protection hidden="1"/>
    </xf>
    <xf numFmtId="0" fontId="14" fillId="0" borderId="68" xfId="1" applyFont="1" applyBorder="1" applyProtection="1">
      <alignment vertical="center"/>
      <protection hidden="1"/>
    </xf>
    <xf numFmtId="0" fontId="14" fillId="0" borderId="55" xfId="1" applyFont="1" applyBorder="1" applyAlignment="1" applyProtection="1">
      <alignment horizontal="distributed" vertical="center" wrapText="1" indent="1"/>
      <protection hidden="1"/>
    </xf>
    <xf numFmtId="0" fontId="14" fillId="0" borderId="78" xfId="1" applyFont="1" applyBorder="1" applyAlignment="1" applyProtection="1">
      <alignment horizontal="distributed" vertical="center" wrapText="1" indent="1"/>
      <protection hidden="1"/>
    </xf>
    <xf numFmtId="0" fontId="16" fillId="0" borderId="95" xfId="1" applyFont="1" applyBorder="1" applyProtection="1">
      <alignment vertical="center"/>
      <protection hidden="1"/>
    </xf>
    <xf numFmtId="0" fontId="16" fillId="0" borderId="1" xfId="1" applyFont="1" applyBorder="1" applyProtection="1">
      <alignment vertical="center"/>
      <protection hidden="1"/>
    </xf>
    <xf numFmtId="188" fontId="14" fillId="0" borderId="168" xfId="2" applyNumberFormat="1" applyFont="1" applyFill="1" applyBorder="1" applyAlignment="1" applyProtection="1">
      <alignment horizontal="center" vertical="center" shrinkToFit="1"/>
      <protection hidden="1"/>
    </xf>
    <xf numFmtId="188" fontId="14" fillId="0" borderId="66" xfId="1" applyNumberFormat="1" applyFont="1" applyBorder="1" applyAlignment="1" applyProtection="1">
      <alignment horizontal="center" vertical="center" shrinkToFit="1"/>
      <protection hidden="1"/>
    </xf>
    <xf numFmtId="0" fontId="14" fillId="0" borderId="0" xfId="0" applyFont="1" applyAlignment="1" applyProtection="1">
      <alignment horizontal="center" vertical="center" wrapText="1"/>
      <protection hidden="1"/>
    </xf>
    <xf numFmtId="0" fontId="14" fillId="0" borderId="167" xfId="0" applyFont="1" applyBorder="1" applyAlignment="1" applyProtection="1">
      <alignment horizontal="center" vertical="center" wrapText="1"/>
      <protection hidden="1"/>
    </xf>
    <xf numFmtId="0" fontId="14" fillId="0" borderId="50" xfId="1" applyFont="1" applyBorder="1" applyAlignment="1" applyProtection="1">
      <alignment vertical="center" textRotation="255"/>
      <protection hidden="1"/>
    </xf>
    <xf numFmtId="0" fontId="14" fillId="0" borderId="35" xfId="1" applyFont="1" applyBorder="1" applyAlignment="1" applyProtection="1">
      <alignment vertical="center" textRotation="255"/>
      <protection hidden="1"/>
    </xf>
    <xf numFmtId="0" fontId="14" fillId="0" borderId="7" xfId="0" applyFont="1" applyBorder="1" applyAlignment="1" applyProtection="1">
      <alignment horizontal="distributed" vertical="center" wrapText="1" indent="1"/>
      <protection hidden="1"/>
    </xf>
    <xf numFmtId="0" fontId="14" fillId="0" borderId="13" xfId="0" applyFont="1" applyBorder="1" applyAlignment="1" applyProtection="1">
      <alignment horizontal="distributed" vertical="center" wrapText="1" indent="1"/>
      <protection hidden="1"/>
    </xf>
    <xf numFmtId="0" fontId="14" fillId="0" borderId="15" xfId="0" applyFont="1" applyBorder="1" applyAlignment="1" applyProtection="1">
      <alignment horizontal="distributed" vertical="center" wrapText="1" indent="1"/>
      <protection hidden="1"/>
    </xf>
    <xf numFmtId="0" fontId="14" fillId="0" borderId="88" xfId="0"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wrapText="1" indent="1"/>
      <protection hidden="1"/>
    </xf>
    <xf numFmtId="0" fontId="14" fillId="0" borderId="142" xfId="0" applyFont="1" applyBorder="1" applyAlignment="1" applyProtection="1">
      <alignment horizontal="distributed" vertical="center" wrapText="1" indent="1"/>
      <protection hidden="1"/>
    </xf>
    <xf numFmtId="188" fontId="14" fillId="0" borderId="163" xfId="2" applyNumberFormat="1" applyFont="1" applyFill="1" applyBorder="1" applyAlignment="1" applyProtection="1">
      <alignment horizontal="center" vertical="center" shrinkToFit="1"/>
      <protection hidden="1"/>
    </xf>
    <xf numFmtId="188" fontId="14" fillId="0" borderId="60" xfId="1" applyNumberFormat="1" applyFont="1" applyBorder="1" applyAlignment="1" applyProtection="1">
      <alignment horizontal="center" vertical="center" shrinkToFit="1"/>
      <protection hidden="1"/>
    </xf>
    <xf numFmtId="0" fontId="14" fillId="0" borderId="55" xfId="1" applyFont="1" applyBorder="1" applyAlignment="1" applyProtection="1">
      <alignment horizontal="distributed" vertical="center" textRotation="255" wrapText="1"/>
      <protection hidden="1"/>
    </xf>
    <xf numFmtId="0" fontId="14" fillId="0" borderId="1" xfId="1" applyFont="1" applyBorder="1" applyAlignment="1" applyProtection="1">
      <alignment horizontal="distributed" vertical="center" textRotation="255" wrapText="1"/>
      <protection hidden="1"/>
    </xf>
    <xf numFmtId="0" fontId="14" fillId="0" borderId="35" xfId="0" applyFont="1" applyBorder="1" applyAlignment="1" applyProtection="1">
      <alignment horizontal="center" vertical="center" wrapText="1"/>
      <protection hidden="1"/>
    </xf>
    <xf numFmtId="0" fontId="14" fillId="4" borderId="1" xfId="0" applyFont="1" applyFill="1" applyBorder="1" applyProtection="1">
      <alignment vertical="center"/>
      <protection hidden="1"/>
    </xf>
    <xf numFmtId="0" fontId="17" fillId="4" borderId="7" xfId="0" applyFont="1" applyFill="1" applyBorder="1" applyAlignment="1" applyProtection="1">
      <alignment horizontal="center" vertical="center" wrapText="1"/>
      <protection hidden="1"/>
    </xf>
    <xf numFmtId="0" fontId="17" fillId="4" borderId="13"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17" fillId="4" borderId="88" xfId="0" applyFont="1" applyFill="1" applyBorder="1" applyAlignment="1" applyProtection="1">
      <alignment horizontal="center" vertical="center" wrapText="1"/>
      <protection hidden="1"/>
    </xf>
    <xf numFmtId="0" fontId="17" fillId="4" borderId="19" xfId="0" applyFont="1" applyFill="1" applyBorder="1" applyAlignment="1" applyProtection="1">
      <alignment horizontal="center" vertical="center" wrapText="1"/>
      <protection hidden="1"/>
    </xf>
    <xf numFmtId="0" fontId="17" fillId="4" borderId="77" xfId="0" applyFont="1" applyFill="1" applyBorder="1" applyAlignment="1" applyProtection="1">
      <alignment horizontal="center" vertical="center" wrapText="1"/>
      <protection hidden="1"/>
    </xf>
    <xf numFmtId="0" fontId="14" fillId="0" borderId="18" xfId="0" applyFont="1" applyBorder="1" applyAlignment="1" applyProtection="1">
      <alignment horizontal="distributed" vertical="center" indent="1"/>
      <protection hidden="1"/>
    </xf>
    <xf numFmtId="0" fontId="14" fillId="0" borderId="43" xfId="0" applyFont="1" applyBorder="1" applyAlignment="1" applyProtection="1">
      <alignment horizontal="distributed" vertical="center" indent="1"/>
      <protection hidden="1"/>
    </xf>
    <xf numFmtId="0" fontId="14" fillId="0" borderId="102" xfId="0" applyFont="1" applyBorder="1" applyAlignment="1" applyProtection="1">
      <alignment horizontal="center" vertical="center"/>
      <protection hidden="1"/>
    </xf>
    <xf numFmtId="0" fontId="14" fillId="6" borderId="1" xfId="0" applyFont="1" applyFill="1" applyBorder="1" applyAlignment="1" applyProtection="1">
      <alignment horizontal="center" vertical="center" shrinkToFit="1"/>
      <protection locked="0"/>
    </xf>
    <xf numFmtId="0" fontId="14" fillId="0" borderId="60" xfId="0" applyFont="1" applyBorder="1" applyAlignment="1" applyProtection="1">
      <alignment horizontal="distributed" vertical="center" shrinkToFit="1"/>
      <protection hidden="1"/>
    </xf>
    <xf numFmtId="0" fontId="14" fillId="0" borderId="35" xfId="0" applyFont="1" applyBorder="1" applyAlignment="1" applyProtection="1">
      <alignment horizontal="distributed" vertical="center" indent="1"/>
      <protection hidden="1"/>
    </xf>
    <xf numFmtId="0" fontId="14" fillId="6" borderId="1" xfId="0" applyFont="1" applyFill="1" applyBorder="1" applyAlignment="1" applyProtection="1">
      <alignment horizontal="left" vertical="center" indent="1" shrinkToFit="1"/>
      <protection locked="0"/>
    </xf>
    <xf numFmtId="0" fontId="14" fillId="0" borderId="56" xfId="0" applyFont="1" applyBorder="1" applyAlignment="1" applyProtection="1">
      <alignment horizontal="distributed" vertical="center" indent="1"/>
      <protection hidden="1"/>
    </xf>
    <xf numFmtId="0" fontId="14" fillId="0" borderId="84" xfId="0" applyFont="1" applyBorder="1" applyAlignment="1" applyProtection="1">
      <alignment horizontal="center" vertical="center"/>
      <protection hidden="1"/>
    </xf>
    <xf numFmtId="0" fontId="14" fillId="0" borderId="116" xfId="0" applyFont="1" applyBorder="1" applyAlignment="1" applyProtection="1">
      <alignment horizontal="center" vertical="center" textRotation="255"/>
      <protection hidden="1"/>
    </xf>
    <xf numFmtId="0" fontId="14" fillId="0" borderId="117" xfId="0" applyFont="1" applyBorder="1" applyAlignment="1" applyProtection="1">
      <alignment horizontal="center" vertical="center" textRotation="255"/>
      <protection hidden="1"/>
    </xf>
    <xf numFmtId="0" fontId="14" fillId="0" borderId="67" xfId="0" applyFont="1" applyBorder="1" applyAlignment="1" applyProtection="1">
      <alignment horizontal="center" vertical="center"/>
      <protection hidden="1"/>
    </xf>
    <xf numFmtId="0" fontId="14" fillId="0" borderId="86" xfId="0" applyFont="1" applyBorder="1" applyAlignment="1" applyProtection="1">
      <alignment horizontal="distributed" vertical="center" indent="1"/>
      <protection hidden="1"/>
    </xf>
    <xf numFmtId="0" fontId="14" fillId="0" borderId="94" xfId="0" applyFont="1" applyBorder="1" applyAlignment="1" applyProtection="1">
      <alignment horizontal="center" vertical="center" wrapText="1"/>
      <protection hidden="1"/>
    </xf>
    <xf numFmtId="0" fontId="14" fillId="0" borderId="57"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textRotation="255"/>
      <protection hidden="1"/>
    </xf>
    <xf numFmtId="0" fontId="14" fillId="0" borderId="14" xfId="0" applyFont="1" applyBorder="1" applyAlignment="1" applyProtection="1">
      <alignment horizontal="center" vertical="center" textRotation="255"/>
      <protection hidden="1"/>
    </xf>
    <xf numFmtId="0" fontId="14" fillId="0" borderId="93" xfId="0" applyFont="1" applyBorder="1" applyAlignment="1" applyProtection="1">
      <alignment horizontal="center" vertical="center"/>
      <protection hidden="1"/>
    </xf>
    <xf numFmtId="0" fontId="14" fillId="0" borderId="95" xfId="0" applyFont="1" applyBorder="1" applyAlignment="1" applyProtection="1">
      <alignment horizontal="center" vertical="center"/>
      <protection hidden="1"/>
    </xf>
    <xf numFmtId="0" fontId="14" fillId="0" borderId="98" xfId="0" applyFont="1" applyBorder="1" applyAlignment="1" applyProtection="1">
      <alignment horizontal="center" vertical="center"/>
      <protection hidden="1"/>
    </xf>
    <xf numFmtId="0" fontId="14" fillId="0" borderId="1"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6" xfId="0" applyFont="1" applyBorder="1" applyAlignment="1" applyProtection="1">
      <alignment horizontal="distributed" vertical="center" wrapText="1" indent="1"/>
      <protection hidden="1"/>
    </xf>
    <xf numFmtId="0" fontId="14" fillId="0" borderId="3" xfId="0" applyFont="1" applyBorder="1" applyAlignment="1" applyProtection="1">
      <alignment horizontal="distributed" vertical="center" wrapText="1" indent="1"/>
      <protection hidden="1"/>
    </xf>
    <xf numFmtId="0" fontId="14" fillId="0" borderId="19" xfId="0" applyFont="1" applyBorder="1" applyAlignment="1" applyProtection="1">
      <alignment horizontal="distributed" vertical="center" indent="1"/>
      <protection hidden="1"/>
    </xf>
    <xf numFmtId="0" fontId="19" fillId="0" borderId="37" xfId="0" applyFont="1" applyBorder="1" applyAlignment="1" applyProtection="1">
      <alignment horizontal="distributed" vertical="center" wrapText="1" indent="1"/>
      <protection hidden="1"/>
    </xf>
    <xf numFmtId="0" fontId="19" fillId="0" borderId="35" xfId="0" applyFont="1" applyBorder="1" applyAlignment="1" applyProtection="1">
      <alignment horizontal="distributed" vertical="center" wrapText="1" indent="1"/>
      <protection hidden="1"/>
    </xf>
    <xf numFmtId="0" fontId="19" fillId="0" borderId="33" xfId="0" applyFont="1" applyBorder="1" applyAlignment="1" applyProtection="1">
      <alignment horizontal="distributed" vertical="center" wrapText="1" indent="1"/>
      <protection hidden="1"/>
    </xf>
    <xf numFmtId="0" fontId="14" fillId="0" borderId="18" xfId="0" applyFont="1" applyBorder="1" applyAlignment="1" applyProtection="1">
      <alignment horizontal="center" vertical="center" textRotation="255"/>
      <protection hidden="1"/>
    </xf>
    <xf numFmtId="56" fontId="14" fillId="0" borderId="33" xfId="0" applyNumberFormat="1" applyFont="1" applyBorder="1" applyAlignment="1" applyProtection="1">
      <alignment horizontal="distributed" vertical="center" wrapText="1" indent="1"/>
      <protection hidden="1"/>
    </xf>
    <xf numFmtId="56" fontId="14" fillId="0" borderId="1" xfId="0" applyNumberFormat="1" applyFont="1" applyBorder="1" applyAlignment="1" applyProtection="1">
      <alignment horizontal="distributed" vertical="center" wrapText="1" indent="1"/>
      <protection hidden="1"/>
    </xf>
    <xf numFmtId="0" fontId="26" fillId="0" borderId="1" xfId="0" applyFont="1" applyBorder="1" applyAlignment="1" applyProtection="1">
      <alignment horizontal="distributed" vertical="center" wrapText="1" indent="1"/>
      <protection hidden="1"/>
    </xf>
    <xf numFmtId="0" fontId="26" fillId="0" borderId="2" xfId="0" applyFont="1" applyBorder="1" applyAlignment="1" applyProtection="1">
      <alignment horizontal="distributed" vertical="center" indent="1"/>
      <protection hidden="1"/>
    </xf>
    <xf numFmtId="0" fontId="26" fillId="0" borderId="3" xfId="0" applyFont="1" applyBorder="1" applyAlignment="1" applyProtection="1">
      <alignment horizontal="distributed" vertical="center" indent="1"/>
      <protection hidden="1"/>
    </xf>
    <xf numFmtId="0" fontId="14" fillId="0" borderId="74" xfId="1" applyFont="1" applyBorder="1" applyAlignment="1" applyProtection="1">
      <alignment horizontal="distributed" vertical="center" indent="1"/>
      <protection hidden="1"/>
    </xf>
    <xf numFmtId="0" fontId="14" fillId="0" borderId="75" xfId="1" applyFont="1" applyBorder="1" applyAlignment="1" applyProtection="1">
      <alignment horizontal="distributed" vertical="center" indent="1"/>
      <protection hidden="1"/>
    </xf>
    <xf numFmtId="0" fontId="14" fillId="0" borderId="76" xfId="1" applyFont="1" applyBorder="1" applyAlignment="1" applyProtection="1">
      <alignment horizontal="distributed" vertical="center" indent="1"/>
      <protection hidden="1"/>
    </xf>
    <xf numFmtId="188" fontId="16" fillId="0" borderId="111" xfId="0" applyNumberFormat="1" applyFont="1" applyBorder="1" applyAlignment="1" applyProtection="1">
      <alignment horizontal="right" vertical="center" shrinkToFit="1"/>
      <protection hidden="1"/>
    </xf>
    <xf numFmtId="188" fontId="16" fillId="0" borderId="106" xfId="1" applyNumberFormat="1" applyFont="1" applyBorder="1" applyAlignment="1" applyProtection="1">
      <alignment horizontal="right" vertical="center" shrinkToFit="1"/>
      <protection hidden="1"/>
    </xf>
    <xf numFmtId="0" fontId="14" fillId="0" borderId="44" xfId="1" applyFont="1" applyBorder="1" applyAlignment="1" applyProtection="1">
      <alignment vertical="center" textRotation="255"/>
      <protection hidden="1"/>
    </xf>
    <xf numFmtId="188" fontId="16" fillId="0" borderId="65" xfId="2" applyNumberFormat="1" applyFont="1" applyFill="1" applyBorder="1" applyAlignment="1" applyProtection="1">
      <alignment horizontal="right" vertical="center" shrinkToFit="1"/>
      <protection hidden="1"/>
    </xf>
    <xf numFmtId="188" fontId="16" fillId="0" borderId="66" xfId="1" applyNumberFormat="1" applyFont="1" applyBorder="1" applyAlignment="1" applyProtection="1">
      <alignment horizontal="right" vertical="center" shrinkToFit="1"/>
      <protection hidden="1"/>
    </xf>
    <xf numFmtId="188" fontId="14" fillId="0" borderId="65" xfId="2" applyNumberFormat="1" applyFont="1" applyFill="1" applyBorder="1" applyAlignment="1" applyProtection="1">
      <alignment horizontal="right" vertical="center" shrinkToFit="1"/>
      <protection hidden="1"/>
    </xf>
    <xf numFmtId="188" fontId="14" fillId="0" borderId="66" xfId="2" applyNumberFormat="1" applyFont="1" applyFill="1" applyBorder="1" applyAlignment="1" applyProtection="1">
      <alignment horizontal="right" vertical="center" shrinkToFit="1"/>
      <protection hidden="1"/>
    </xf>
    <xf numFmtId="0" fontId="14" fillId="0" borderId="56" xfId="0" applyFont="1" applyBorder="1" applyAlignment="1" applyProtection="1">
      <alignment horizontal="distributed" vertical="center" wrapText="1" indent="1"/>
      <protection hidden="1"/>
    </xf>
    <xf numFmtId="0" fontId="14" fillId="0" borderId="4" xfId="0" applyFont="1" applyBorder="1" applyAlignment="1" applyProtection="1">
      <alignment horizontal="distributed" vertical="center" wrapText="1" indent="1"/>
      <protection hidden="1"/>
    </xf>
    <xf numFmtId="0" fontId="14" fillId="0" borderId="73"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indent="3"/>
      <protection hidden="1"/>
    </xf>
    <xf numFmtId="0" fontId="14" fillId="0" borderId="35" xfId="0" applyFont="1" applyBorder="1" applyAlignment="1" applyProtection="1">
      <alignment horizontal="distributed" vertical="center" indent="3"/>
      <protection hidden="1"/>
    </xf>
    <xf numFmtId="0" fontId="14" fillId="0" borderId="33" xfId="0" applyFont="1" applyBorder="1" applyAlignment="1" applyProtection="1">
      <alignment horizontal="distributed" vertical="center" indent="3"/>
      <protection hidden="1"/>
    </xf>
    <xf numFmtId="0" fontId="0" fillId="0" borderId="85" xfId="0" applyBorder="1">
      <alignment vertical="center"/>
    </xf>
    <xf numFmtId="0" fontId="0" fillId="0" borderId="97" xfId="0" applyBorder="1">
      <alignment vertical="center"/>
    </xf>
    <xf numFmtId="0" fontId="0" fillId="0" borderId="113" xfId="0" applyBorder="1">
      <alignment vertical="center"/>
    </xf>
    <xf numFmtId="0" fontId="0" fillId="10" borderId="93" xfId="0" applyFill="1" applyBorder="1" applyAlignment="1">
      <alignment horizontal="center" vertical="center"/>
    </xf>
    <xf numFmtId="0" fontId="0" fillId="10" borderId="32" xfId="0" applyFill="1" applyBorder="1" applyAlignment="1">
      <alignment horizontal="center" vertical="center"/>
    </xf>
    <xf numFmtId="0" fontId="0" fillId="10" borderId="94" xfId="0" applyFill="1" applyBorder="1" applyAlignment="1">
      <alignment horizontal="center" vertical="center"/>
    </xf>
    <xf numFmtId="0" fontId="0" fillId="7" borderId="107" xfId="0" applyFill="1" applyBorder="1" applyAlignment="1">
      <alignment horizontal="center" vertical="center"/>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0" fillId="10" borderId="95" xfId="0" applyFill="1" applyBorder="1" applyAlignment="1">
      <alignment horizontal="center" vertical="center"/>
    </xf>
    <xf numFmtId="0" fontId="0" fillId="10" borderId="1" xfId="0" applyFill="1" applyBorder="1" applyAlignment="1">
      <alignment horizontal="center" vertical="center"/>
    </xf>
    <xf numFmtId="0" fontId="0" fillId="10" borderId="57" xfId="0" applyFill="1" applyBorder="1" applyAlignment="1">
      <alignment horizontal="center" vertical="center"/>
    </xf>
    <xf numFmtId="0" fontId="0" fillId="7" borderId="1" xfId="0" applyFill="1" applyBorder="1" applyAlignment="1">
      <alignment horizontal="center" vertical="center"/>
    </xf>
    <xf numFmtId="0" fontId="0" fillId="7" borderId="57" xfId="0" applyFill="1" applyBorder="1" applyAlignment="1">
      <alignment horizontal="center" vertical="center"/>
    </xf>
    <xf numFmtId="0" fontId="0" fillId="8" borderId="1" xfId="0" applyFill="1" applyBorder="1" applyAlignment="1">
      <alignment vertical="center" wrapText="1"/>
    </xf>
    <xf numFmtId="0" fontId="0" fillId="8" borderId="1" xfId="0" applyFill="1" applyBorder="1">
      <alignment vertical="center"/>
    </xf>
    <xf numFmtId="0" fontId="51" fillId="0" borderId="0" xfId="0" applyFont="1" applyAlignment="1">
      <alignment vertical="center" wrapText="1"/>
    </xf>
    <xf numFmtId="0" fontId="51" fillId="0" borderId="88" xfId="0" applyFont="1" applyBorder="1"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0" fillId="8" borderId="1" xfId="0" applyFill="1" applyBorder="1" applyAlignment="1">
      <alignment horizontal="center" vertical="center"/>
    </xf>
    <xf numFmtId="0" fontId="0" fillId="2" borderId="37"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7" xfId="0" applyFill="1" applyBorder="1">
      <alignment vertical="center"/>
    </xf>
    <xf numFmtId="0" fontId="0" fillId="2" borderId="33" xfId="0" applyFill="1" applyBorder="1">
      <alignment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cellXfs>
  <cellStyles count="15">
    <cellStyle name="ハイパーリンク" xfId="3" builtinId="8"/>
    <cellStyle name="桁区切り" xfId="7" builtinId="6"/>
    <cellStyle name="桁区切り 2" xfId="2" xr:uid="{00000000-0005-0000-0000-000002000000}"/>
    <cellStyle name="桁区切り 2 2" xfId="6" xr:uid="{00000000-0005-0000-0000-000003000000}"/>
    <cellStyle name="桁区切り 2 3" xfId="11" xr:uid="{00000000-0005-0000-0000-000004000000}"/>
    <cellStyle name="桁区切り 3" xfId="5" xr:uid="{00000000-0005-0000-0000-000005000000}"/>
    <cellStyle name="桁区切り 3 2" xfId="13" xr:uid="{00000000-0005-0000-0000-000006000000}"/>
    <cellStyle name="桁区切り 4" xfId="9" xr:uid="{00000000-0005-0000-0000-000007000000}"/>
    <cellStyle name="桁区切り 5" xfId="14" xr:uid="{00000000-0005-0000-0000-000008000000}"/>
    <cellStyle name="標準" xfId="0" builtinId="0"/>
    <cellStyle name="標準 2" xfId="1" xr:uid="{00000000-0005-0000-0000-00000A000000}"/>
    <cellStyle name="標準 3" xfId="4" xr:uid="{00000000-0005-0000-0000-00000B000000}"/>
    <cellStyle name="標準 3 2" xfId="12" xr:uid="{00000000-0005-0000-0000-00000C000000}"/>
    <cellStyle name="標準 4" xfId="8" xr:uid="{00000000-0005-0000-0000-00000D000000}"/>
    <cellStyle name="標準 5" xfId="10" xr:uid="{00000000-0005-0000-0000-00000E000000}"/>
  </cellStyles>
  <dxfs count="47">
    <dxf>
      <fill>
        <patternFill>
          <bgColor rgb="FFFFCC66"/>
        </patternFill>
      </fill>
    </dxf>
    <dxf>
      <fill>
        <patternFill>
          <bgColor theme="0" tint="-0.499984740745262"/>
        </patternFill>
      </fill>
    </dxf>
    <dxf>
      <fill>
        <patternFill>
          <bgColor rgb="FFCCFFFF"/>
        </patternFill>
      </fill>
    </dxf>
    <dxf>
      <fill>
        <patternFill>
          <bgColor theme="0" tint="-0.499984740745262"/>
        </patternFill>
      </fill>
    </dxf>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CC66"/>
        </patternFill>
      </fill>
    </dxf>
    <dxf>
      <fill>
        <patternFill>
          <bgColor theme="0" tint="-0.499984740745262"/>
        </patternFill>
      </fill>
    </dxf>
    <dxf>
      <fill>
        <patternFill>
          <bgColor rgb="FFFFCC66"/>
        </patternFill>
      </fill>
    </dxf>
    <dxf>
      <fill>
        <patternFill>
          <bgColor theme="0" tint="-0.499984740745262"/>
        </patternFill>
      </fill>
    </dxf>
    <dxf>
      <font>
        <color rgb="FFFF0000"/>
      </font>
    </dxf>
    <dxf>
      <font>
        <color rgb="FFFF0000"/>
      </font>
    </dxf>
    <dxf>
      <fill>
        <patternFill patternType="none">
          <bgColor auto="1"/>
        </patternFill>
      </fill>
    </dxf>
    <dxf>
      <fill>
        <patternFill>
          <bgColor rgb="FFFFFF99"/>
        </patternFill>
      </fill>
    </dxf>
    <dxf>
      <font>
        <color rgb="FFFF0000"/>
      </font>
    </dxf>
    <dxf>
      <fill>
        <patternFill>
          <bgColor rgb="FFFFCC66"/>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CC66"/>
      <color rgb="FFD9D9D9"/>
      <color rgb="FFFFFF99"/>
      <color rgb="FF66CCFF"/>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483576</xdr:colOff>
      <xdr:row>34</xdr:row>
      <xdr:rowOff>51289</xdr:rowOff>
    </xdr:from>
    <xdr:to>
      <xdr:col>8</xdr:col>
      <xdr:colOff>293077</xdr:colOff>
      <xdr:row>35</xdr:row>
      <xdr:rowOff>285750</xdr:rowOff>
    </xdr:to>
    <xdr:sp macro="" textlink="">
      <xdr:nvSpPr>
        <xdr:cNvPr id="6" name="テキスト ボックス 5">
          <a:extLst>
            <a:ext uri="{FF2B5EF4-FFF2-40B4-BE49-F238E27FC236}">
              <a16:creationId xmlns:a16="http://schemas.microsoft.com/office/drawing/2014/main" id="{C402A74D-8BBC-6D9A-2C66-D53FF12567D9}"/>
            </a:ext>
          </a:extLst>
        </xdr:cNvPr>
        <xdr:cNvSpPr txBox="1"/>
      </xdr:nvSpPr>
      <xdr:spPr>
        <a:xfrm>
          <a:off x="5385288" y="11056327"/>
          <a:ext cx="4623289" cy="586154"/>
        </a:xfrm>
        <a:prstGeom prst="rect">
          <a:avLst/>
        </a:prstGeom>
        <a:solidFill>
          <a:srgbClr val="FFFF00"/>
        </a:solidFill>
        <a:ln w="190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行が足りない場合は４６行目以降に記入してください。</a:t>
          </a:r>
        </a:p>
        <a:p>
          <a:r>
            <a:rPr kumimoji="1" lang="ja-JP" altLang="en-US" sz="1100" b="1">
              <a:solidFill>
                <a:srgbClr val="FF0000"/>
              </a:solidFill>
            </a:rPr>
            <a:t>その場合、ページレイアウトタブて印刷範囲を調整してくたざい。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238125</xdr:colOff>
      <xdr:row>0</xdr:row>
      <xdr:rowOff>190501</xdr:rowOff>
    </xdr:from>
    <xdr:to>
      <xdr:col>82</xdr:col>
      <xdr:colOff>642937</xdr:colOff>
      <xdr:row>4</xdr:row>
      <xdr:rowOff>595313</xdr:rowOff>
    </xdr:to>
    <xdr:sp macro="" textlink="">
      <xdr:nvSpPr>
        <xdr:cNvPr id="3" name="テキスト ボックス 2">
          <a:extLst>
            <a:ext uri="{FF2B5EF4-FFF2-40B4-BE49-F238E27FC236}">
              <a16:creationId xmlns:a16="http://schemas.microsoft.com/office/drawing/2014/main" id="{1B43E203-78D1-412E-ADDD-FF4B16043041}"/>
            </a:ext>
          </a:extLst>
        </xdr:cNvPr>
        <xdr:cNvSpPr txBox="1"/>
      </xdr:nvSpPr>
      <xdr:spPr>
        <a:xfrm>
          <a:off x="28455938" y="190501"/>
          <a:ext cx="7310437" cy="135731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294410</xdr:colOff>
      <xdr:row>0</xdr:row>
      <xdr:rowOff>103908</xdr:rowOff>
    </xdr:from>
    <xdr:to>
      <xdr:col>80</xdr:col>
      <xdr:colOff>677574</xdr:colOff>
      <xdr:row>5</xdr:row>
      <xdr:rowOff>58447</xdr:rowOff>
    </xdr:to>
    <xdr:sp macro="" textlink="">
      <xdr:nvSpPr>
        <xdr:cNvPr id="3" name="テキスト ボックス 2">
          <a:extLst>
            <a:ext uri="{FF2B5EF4-FFF2-40B4-BE49-F238E27FC236}">
              <a16:creationId xmlns:a16="http://schemas.microsoft.com/office/drawing/2014/main" id="{E8FDC731-32BE-46FE-9DC3-A3E189E8F2C0}"/>
            </a:ext>
          </a:extLst>
        </xdr:cNvPr>
        <xdr:cNvSpPr txBox="1"/>
      </xdr:nvSpPr>
      <xdr:spPr>
        <a:xfrm>
          <a:off x="28124728" y="103908"/>
          <a:ext cx="7310437" cy="1357312"/>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57150</xdr:colOff>
      <xdr:row>0</xdr:row>
      <xdr:rowOff>123825</xdr:rowOff>
    </xdr:from>
    <xdr:to>
      <xdr:col>27</xdr:col>
      <xdr:colOff>509587</xdr:colOff>
      <xdr:row>4</xdr:row>
      <xdr:rowOff>400050</xdr:rowOff>
    </xdr:to>
    <xdr:sp macro="" textlink="">
      <xdr:nvSpPr>
        <xdr:cNvPr id="3" name="テキスト ボックス 2">
          <a:extLst>
            <a:ext uri="{FF2B5EF4-FFF2-40B4-BE49-F238E27FC236}">
              <a16:creationId xmlns:a16="http://schemas.microsoft.com/office/drawing/2014/main" id="{EDF6C252-5A52-474A-8160-17CE8A55A98C}"/>
            </a:ext>
          </a:extLst>
        </xdr:cNvPr>
        <xdr:cNvSpPr txBox="1"/>
      </xdr:nvSpPr>
      <xdr:spPr>
        <a:xfrm>
          <a:off x="9563100" y="123825"/>
          <a:ext cx="7310437" cy="1200150"/>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mn-ea"/>
              <a:ea typeface="+mn-ea"/>
            </a:rPr>
            <a:t>自動入力されるセルを上書きした場合、セルの背景色が橙色になります。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元に入っていた関数が上書きされるため、自動入力ができなくなります。</a:t>
          </a:r>
          <a:br>
            <a:rPr kumimoji="1" lang="en-US" altLang="ja-JP" sz="1600" b="1">
              <a:solidFill>
                <a:srgbClr val="FF0000"/>
              </a:solidFill>
              <a:latin typeface="+mn-ea"/>
              <a:ea typeface="+mn-ea"/>
            </a:rPr>
          </a:br>
          <a:r>
            <a:rPr kumimoji="1" lang="ja-JP" altLang="en-US" sz="1600" b="1">
              <a:solidFill>
                <a:srgbClr val="FF0000"/>
              </a:solidFill>
              <a:latin typeface="+mn-ea"/>
              <a:ea typeface="+mn-ea"/>
            </a:rPr>
            <a:t>元に戻す場合は御連絡ください。</a:t>
          </a:r>
          <a:endParaRPr kumimoji="1" lang="ja-JP" altLang="en-US" sz="11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332129</xdr:colOff>
      <xdr:row>87</xdr:row>
      <xdr:rowOff>197304</xdr:rowOff>
    </xdr:from>
    <xdr:to>
      <xdr:col>20</xdr:col>
      <xdr:colOff>398462</xdr:colOff>
      <xdr:row>90</xdr:row>
      <xdr:rowOff>50347</xdr:rowOff>
    </xdr:to>
    <xdr:sp macro="" textlink="">
      <xdr:nvSpPr>
        <xdr:cNvPr id="2" name="テキスト ボックス 1">
          <a:extLst>
            <a:ext uri="{FF2B5EF4-FFF2-40B4-BE49-F238E27FC236}">
              <a16:creationId xmlns:a16="http://schemas.microsoft.com/office/drawing/2014/main" id="{B7C86D20-C004-4904-92E3-ECD6E71B72A8}"/>
            </a:ext>
          </a:extLst>
        </xdr:cNvPr>
        <xdr:cNvSpPr txBox="1"/>
      </xdr:nvSpPr>
      <xdr:spPr>
        <a:xfrm>
          <a:off x="12390779" y="25514754"/>
          <a:ext cx="5552733" cy="624568"/>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ハイドロフルオロカーボンの排出がある場合は、ガスの種類、地球温暖化係数を入力してください。</a:t>
          </a:r>
        </a:p>
      </xdr:txBody>
    </xdr:sp>
    <xdr:clientData/>
  </xdr:twoCellAnchor>
  <xdr:twoCellAnchor>
    <xdr:from>
      <xdr:col>11</xdr:col>
      <xdr:colOff>95250</xdr:colOff>
      <xdr:row>88</xdr:row>
      <xdr:rowOff>0</xdr:rowOff>
    </xdr:from>
    <xdr:to>
      <xdr:col>11</xdr:col>
      <xdr:colOff>309562</xdr:colOff>
      <xdr:row>90</xdr:row>
      <xdr:rowOff>0</xdr:rowOff>
    </xdr:to>
    <xdr:sp macro="" textlink="">
      <xdr:nvSpPr>
        <xdr:cNvPr id="3" name="右中かっこ 2">
          <a:extLst>
            <a:ext uri="{FF2B5EF4-FFF2-40B4-BE49-F238E27FC236}">
              <a16:creationId xmlns:a16="http://schemas.microsoft.com/office/drawing/2014/main" id="{03DD4136-DD72-4B55-834C-9D9892D969E9}"/>
            </a:ext>
          </a:extLst>
        </xdr:cNvPr>
        <xdr:cNvSpPr/>
      </xdr:nvSpPr>
      <xdr:spPr>
        <a:xfrm>
          <a:off x="12153900" y="25574625"/>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332129</xdr:colOff>
      <xdr:row>90</xdr:row>
      <xdr:rowOff>204107</xdr:rowOff>
    </xdr:from>
    <xdr:to>
      <xdr:col>20</xdr:col>
      <xdr:colOff>428624</xdr:colOff>
      <xdr:row>93</xdr:row>
      <xdr:rowOff>57151</xdr:rowOff>
    </xdr:to>
    <xdr:sp macro="" textlink="">
      <xdr:nvSpPr>
        <xdr:cNvPr id="4" name="テキスト ボックス 3">
          <a:extLst>
            <a:ext uri="{FF2B5EF4-FFF2-40B4-BE49-F238E27FC236}">
              <a16:creationId xmlns:a16="http://schemas.microsoft.com/office/drawing/2014/main" id="{A246DAF9-23A9-4348-88AD-CA183D806C59}"/>
            </a:ext>
          </a:extLst>
        </xdr:cNvPr>
        <xdr:cNvSpPr txBox="1"/>
      </xdr:nvSpPr>
      <xdr:spPr>
        <a:xfrm>
          <a:off x="12390779" y="26293082"/>
          <a:ext cx="5582895" cy="624569"/>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パーフルオロカーボンの排出がある場合は、ガスの種類、地球温暖化係数を入力してください。</a:t>
          </a:r>
        </a:p>
      </xdr:txBody>
    </xdr:sp>
    <xdr:clientData/>
  </xdr:twoCellAnchor>
  <xdr:twoCellAnchor>
    <xdr:from>
      <xdr:col>11</xdr:col>
      <xdr:colOff>92868</xdr:colOff>
      <xdr:row>90</xdr:row>
      <xdr:rowOff>259556</xdr:rowOff>
    </xdr:from>
    <xdr:to>
      <xdr:col>11</xdr:col>
      <xdr:colOff>307180</xdr:colOff>
      <xdr:row>92</xdr:row>
      <xdr:rowOff>259556</xdr:rowOff>
    </xdr:to>
    <xdr:sp macro="" textlink="">
      <xdr:nvSpPr>
        <xdr:cNvPr id="5" name="右中かっこ 4">
          <a:extLst>
            <a:ext uri="{FF2B5EF4-FFF2-40B4-BE49-F238E27FC236}">
              <a16:creationId xmlns:a16="http://schemas.microsoft.com/office/drawing/2014/main" id="{E5F0FD18-7F47-4B1C-8988-EED9FF078677}"/>
            </a:ext>
          </a:extLst>
        </xdr:cNvPr>
        <xdr:cNvSpPr/>
      </xdr:nvSpPr>
      <xdr:spPr>
        <a:xfrm>
          <a:off x="12151518" y="26348531"/>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332129</xdr:colOff>
      <xdr:row>81</xdr:row>
      <xdr:rowOff>71438</xdr:rowOff>
    </xdr:from>
    <xdr:to>
      <xdr:col>20</xdr:col>
      <xdr:colOff>392906</xdr:colOff>
      <xdr:row>84</xdr:row>
      <xdr:rowOff>133350</xdr:rowOff>
    </xdr:to>
    <xdr:sp macro="" textlink="">
      <xdr:nvSpPr>
        <xdr:cNvPr id="6" name="テキスト ボックス 5">
          <a:extLst>
            <a:ext uri="{FF2B5EF4-FFF2-40B4-BE49-F238E27FC236}">
              <a16:creationId xmlns:a16="http://schemas.microsoft.com/office/drawing/2014/main" id="{7C85942F-FDDF-47D9-9503-1DC0BF0DFA14}"/>
            </a:ext>
          </a:extLst>
        </xdr:cNvPr>
        <xdr:cNvSpPr txBox="1"/>
      </xdr:nvSpPr>
      <xdr:spPr>
        <a:xfrm>
          <a:off x="10638179" y="24826913"/>
          <a:ext cx="4175577" cy="833437"/>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その他の排出活動がある場合や、</a:t>
          </a:r>
          <a:endParaRPr lang="ja-JP" altLang="en-US" sz="1100" b="1" i="0" u="none" strike="noStrike" baseline="0">
            <a:solidFill>
              <a:srgbClr val="FF0000"/>
            </a:solidFill>
            <a:latin typeface="+mn-lt"/>
            <a:ea typeface="+mn-ea"/>
            <a:cs typeface="+mn-cs"/>
          </a:endParaRPr>
        </a:p>
        <a:p>
          <a:r>
            <a:rPr lang="ja-JP" altLang="en-US" sz="1100" b="1" i="0" u="none" strike="noStrike" baseline="0">
              <a:solidFill>
                <a:srgbClr val="FF0000"/>
              </a:solidFill>
              <a:latin typeface="+mn-lt"/>
              <a:ea typeface="+mn-ea"/>
              <a:cs typeface="+mn-cs"/>
            </a:rPr>
            <a:t> </a:t>
          </a:r>
          <a:r>
            <a:rPr lang="ja-JP" altLang="en-US" sz="1100" b="1" i="0" u="none" strike="noStrike" baseline="0">
              <a:solidFill>
                <a:srgbClr val="FF0000"/>
              </a:solidFill>
              <a:latin typeface="+mn-ea"/>
              <a:ea typeface="+mn-ea"/>
              <a:cs typeface="+mn-cs"/>
            </a:rPr>
            <a:t>実測等に基づく方法で別途算定した排出係数を使用する</a:t>
          </a:r>
          <a:r>
            <a:rPr kumimoji="1" lang="ja-JP" altLang="en-US" sz="1100" b="1">
              <a:solidFill>
                <a:srgbClr val="FF0000"/>
              </a:solidFill>
              <a:latin typeface="+mn-ea"/>
              <a:ea typeface="+mn-ea"/>
            </a:rPr>
            <a:t>場合には、ここに入力してください。</a:t>
          </a:r>
          <a:endParaRPr kumimoji="1" lang="en-US" altLang="ja-JP" sz="1100" b="1">
            <a:solidFill>
              <a:srgbClr val="FF0000"/>
            </a:solidFill>
            <a:latin typeface="+mn-ea"/>
            <a:ea typeface="+mn-ea"/>
          </a:endParaRPr>
        </a:p>
        <a:p>
          <a:endParaRPr kumimoji="1" lang="ja-JP" altLang="en-US" sz="1100" b="1">
            <a:solidFill>
              <a:srgbClr val="FF0000"/>
            </a:solidFill>
            <a:latin typeface="+mn-ea"/>
            <a:ea typeface="+mn-ea"/>
          </a:endParaRPr>
        </a:p>
      </xdr:txBody>
    </xdr:sp>
    <xdr:clientData/>
  </xdr:twoCellAnchor>
  <xdr:twoCellAnchor>
    <xdr:from>
      <xdr:col>11</xdr:col>
      <xdr:colOff>57150</xdr:colOff>
      <xdr:row>81</xdr:row>
      <xdr:rowOff>45244</xdr:rowOff>
    </xdr:from>
    <xdr:to>
      <xdr:col>11</xdr:col>
      <xdr:colOff>238125</xdr:colOff>
      <xdr:row>84</xdr:row>
      <xdr:rowOff>23812</xdr:rowOff>
    </xdr:to>
    <xdr:sp macro="" textlink="">
      <xdr:nvSpPr>
        <xdr:cNvPr id="7" name="右中かっこ 6">
          <a:extLst>
            <a:ext uri="{FF2B5EF4-FFF2-40B4-BE49-F238E27FC236}">
              <a16:creationId xmlns:a16="http://schemas.microsoft.com/office/drawing/2014/main" id="{CA7D0287-2515-4C32-A3D8-7AB0E2F00E0F}"/>
            </a:ext>
          </a:extLst>
        </xdr:cNvPr>
        <xdr:cNvSpPr/>
      </xdr:nvSpPr>
      <xdr:spPr>
        <a:xfrm>
          <a:off x="12115800" y="23476744"/>
          <a:ext cx="180975" cy="750093"/>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52"/>
  <sheetViews>
    <sheetView showGridLines="0" tabSelected="1" zoomScaleNormal="100" zoomScaleSheetLayoutView="100" workbookViewId="0"/>
  </sheetViews>
  <sheetFormatPr defaultColWidth="5.625" defaultRowHeight="18"/>
  <cols>
    <col min="1" max="15" width="5.625" style="88"/>
    <col min="16" max="17" width="5.625" style="88" customWidth="1"/>
    <col min="18" max="18" width="11" style="88" customWidth="1"/>
    <col min="19" max="27" width="5.625" style="88"/>
    <col min="28" max="28" width="18.875" style="88" customWidth="1"/>
    <col min="29" max="16384" width="5.625" style="88"/>
  </cols>
  <sheetData>
    <row r="1" spans="1:28" s="67" customFormat="1" ht="19.5" thickTop="1" thickBot="1">
      <c r="A1" s="3" t="s">
        <v>307</v>
      </c>
      <c r="B1" s="3"/>
      <c r="C1" s="3"/>
      <c r="D1" s="3"/>
      <c r="E1" s="3"/>
      <c r="F1" s="3"/>
      <c r="G1" s="742"/>
      <c r="H1" s="742"/>
      <c r="I1" s="742"/>
      <c r="J1" s="742"/>
      <c r="K1" s="66"/>
      <c r="L1" s="729" t="s">
        <v>293</v>
      </c>
      <c r="M1" s="730"/>
      <c r="N1" s="730"/>
      <c r="O1" s="730"/>
      <c r="P1" s="731"/>
      <c r="X1" s="68"/>
    </row>
    <row r="2" spans="1:28" s="67" customFormat="1" ht="18" customHeight="1" thickTop="1">
      <c r="A2" s="3"/>
      <c r="B2" s="3"/>
      <c r="C2" s="3"/>
      <c r="D2" s="3"/>
      <c r="E2" s="3"/>
      <c r="F2" s="3"/>
      <c r="G2" s="742"/>
      <c r="H2" s="742"/>
      <c r="I2" s="742"/>
      <c r="J2" s="742"/>
      <c r="K2" s="3"/>
      <c r="L2" s="3"/>
      <c r="M2" s="3"/>
      <c r="N2" s="3"/>
      <c r="O2" s="3"/>
      <c r="P2" s="69"/>
    </row>
    <row r="3" spans="1:28" s="74" customFormat="1" ht="25.5">
      <c r="A3" s="70"/>
      <c r="B3" s="71" t="s">
        <v>238</v>
      </c>
      <c r="C3" s="732" t="s">
        <v>619</v>
      </c>
      <c r="D3" s="733"/>
      <c r="E3" s="3" t="s">
        <v>91</v>
      </c>
      <c r="F3" s="70"/>
      <c r="G3" s="513"/>
      <c r="H3" s="513"/>
      <c r="I3" s="513"/>
      <c r="J3" s="70"/>
      <c r="K3" s="70"/>
      <c r="L3" s="734" t="s">
        <v>239</v>
      </c>
      <c r="M3" s="735"/>
      <c r="N3" s="736"/>
      <c r="O3" s="737"/>
      <c r="P3" s="70"/>
      <c r="Q3" s="72" t="str">
        <f>IF($N$4="B","← Ｂ事業所の場合検証欄は入力しないでください。",IF(AND($N$4="C",$N$3=""),"← Ｃ事業所の場合第三者機関の検証実施状況を選択してください。",""))</f>
        <v/>
      </c>
      <c r="R3" s="73"/>
    </row>
    <row r="4" spans="1:28" s="74" customFormat="1" ht="25.5">
      <c r="A4" s="75"/>
      <c r="B4" s="75"/>
      <c r="C4" s="76"/>
      <c r="D4" s="76"/>
      <c r="E4" s="70"/>
      <c r="F4" s="70"/>
      <c r="G4" s="70"/>
      <c r="H4" s="70"/>
      <c r="I4" s="70"/>
      <c r="J4" s="70"/>
      <c r="K4" s="70"/>
      <c r="L4" s="738" t="s">
        <v>240</v>
      </c>
      <c r="M4" s="739"/>
      <c r="N4" s="740"/>
      <c r="O4" s="741"/>
      <c r="P4" s="70"/>
      <c r="Q4" s="72" t="str">
        <f>IF($N$4="","← 事業所の種別を選択してください。","")</f>
        <v>← 事業所の種別を選択してください。</v>
      </c>
      <c r="R4" s="73"/>
    </row>
    <row r="5" spans="1:28" s="79" customFormat="1" ht="32.1" customHeight="1">
      <c r="A5" s="77"/>
      <c r="B5" s="78"/>
      <c r="C5" s="711" t="s">
        <v>296</v>
      </c>
      <c r="D5" s="711"/>
      <c r="E5" s="711"/>
      <c r="F5" s="711"/>
      <c r="G5" s="711"/>
      <c r="H5" s="711"/>
      <c r="I5" s="711"/>
      <c r="J5" s="711"/>
      <c r="K5" s="711"/>
      <c r="L5" s="711"/>
      <c r="M5" s="711"/>
      <c r="N5" s="78"/>
      <c r="O5" s="77"/>
      <c r="P5" s="77"/>
      <c r="X5" s="74"/>
    </row>
    <row r="6" spans="1:28" s="79" customFormat="1" ht="32.1" customHeight="1">
      <c r="A6" s="77"/>
      <c r="B6" s="78"/>
      <c r="C6" s="712" t="s">
        <v>241</v>
      </c>
      <c r="D6" s="712"/>
      <c r="E6" s="712"/>
      <c r="F6" s="712"/>
      <c r="G6" s="712"/>
      <c r="H6" s="712"/>
      <c r="I6" s="712"/>
      <c r="J6" s="712"/>
      <c r="K6" s="712"/>
      <c r="L6" s="712"/>
      <c r="M6" s="712"/>
      <c r="N6" s="78"/>
      <c r="O6" s="77"/>
      <c r="P6" s="77"/>
      <c r="R6" s="80"/>
    </row>
    <row r="7" spans="1:28" s="67" customFormat="1" ht="13.5" customHeight="1">
      <c r="A7" s="3"/>
      <c r="B7" s="3"/>
      <c r="C7" s="3"/>
      <c r="D7" s="3"/>
      <c r="E7" s="3"/>
      <c r="F7" s="3"/>
      <c r="G7" s="3"/>
      <c r="H7" s="3"/>
      <c r="I7" s="3"/>
      <c r="J7" s="3"/>
      <c r="K7" s="3"/>
      <c r="L7" s="3"/>
      <c r="M7" s="3"/>
      <c r="N7" s="3"/>
      <c r="O7" s="3"/>
      <c r="P7" s="3"/>
      <c r="R7" s="80"/>
    </row>
    <row r="8" spans="1:28" s="67" customFormat="1" ht="18.75" customHeight="1">
      <c r="A8" s="3"/>
      <c r="B8" s="3"/>
      <c r="C8" s="3"/>
      <c r="D8" s="3"/>
      <c r="E8" s="3"/>
      <c r="F8" s="3"/>
      <c r="G8" s="3"/>
      <c r="H8" s="3"/>
      <c r="I8" s="3"/>
      <c r="J8" s="3"/>
      <c r="K8" s="81" t="s">
        <v>242</v>
      </c>
      <c r="L8" s="713"/>
      <c r="M8" s="714"/>
      <c r="N8" s="714"/>
      <c r="O8" s="715"/>
      <c r="P8" s="3"/>
      <c r="Q8" s="72" t="str">
        <f>IF($L$8="","← 提出日を入力してください。","")</f>
        <v>← 提出日を入力してください。</v>
      </c>
    </row>
    <row r="9" spans="1:28" s="67" customFormat="1" ht="9" customHeight="1">
      <c r="A9" s="3"/>
      <c r="B9" s="3"/>
      <c r="C9" s="3"/>
      <c r="D9" s="3"/>
      <c r="E9" s="3"/>
      <c r="F9" s="3"/>
      <c r="G9" s="3"/>
      <c r="H9" s="3"/>
      <c r="I9" s="3"/>
      <c r="J9" s="3"/>
      <c r="K9" s="3"/>
      <c r="L9" s="3"/>
      <c r="M9" s="3"/>
      <c r="N9" s="3"/>
      <c r="O9" s="3"/>
      <c r="P9" s="3"/>
    </row>
    <row r="10" spans="1:28" s="67" customFormat="1" ht="14.25" customHeight="1" thickBot="1">
      <c r="A10" s="82" t="s">
        <v>243</v>
      </c>
      <c r="B10" s="3"/>
      <c r="C10" s="3"/>
      <c r="D10" s="3"/>
      <c r="E10" s="3"/>
      <c r="F10" s="3"/>
      <c r="G10" s="3"/>
      <c r="H10" s="3"/>
      <c r="I10" s="3"/>
      <c r="J10" s="3"/>
      <c r="K10" s="3"/>
      <c r="L10" s="3"/>
      <c r="M10" s="3"/>
      <c r="N10" s="3"/>
      <c r="O10" s="3"/>
      <c r="P10" s="3"/>
    </row>
    <row r="11" spans="1:28" s="67" customFormat="1" ht="39.950000000000003" customHeight="1">
      <c r="A11" s="716" t="s">
        <v>244</v>
      </c>
      <c r="B11" s="658"/>
      <c r="C11" s="659"/>
      <c r="D11" s="717"/>
      <c r="E11" s="718"/>
      <c r="F11" s="718"/>
      <c r="G11" s="718"/>
      <c r="H11" s="718"/>
      <c r="I11" s="718"/>
      <c r="J11" s="718"/>
      <c r="K11" s="718"/>
      <c r="L11" s="718"/>
      <c r="M11" s="718"/>
      <c r="N11" s="718"/>
      <c r="O11" s="719"/>
      <c r="P11" s="3"/>
      <c r="Q11" s="726" t="s">
        <v>2073</v>
      </c>
      <c r="R11" s="726"/>
      <c r="S11" s="726"/>
      <c r="T11" s="726"/>
      <c r="U11" s="726"/>
      <c r="V11" s="726"/>
      <c r="W11" s="726"/>
      <c r="X11" s="726"/>
      <c r="Y11" s="726"/>
      <c r="Z11" s="726"/>
      <c r="AA11" s="726"/>
      <c r="AB11" s="726"/>
    </row>
    <row r="12" spans="1:28" s="67" customFormat="1" ht="23.45" customHeight="1">
      <c r="A12" s="693" t="s">
        <v>245</v>
      </c>
      <c r="B12" s="664"/>
      <c r="C12" s="665"/>
      <c r="D12" s="720"/>
      <c r="E12" s="721"/>
      <c r="F12" s="721"/>
      <c r="G12" s="721"/>
      <c r="H12" s="721"/>
      <c r="I12" s="721"/>
      <c r="J12" s="721"/>
      <c r="K12" s="721"/>
      <c r="L12" s="721"/>
      <c r="M12" s="721"/>
      <c r="N12" s="721"/>
      <c r="O12" s="722"/>
      <c r="P12" s="3"/>
      <c r="Q12" s="726"/>
      <c r="R12" s="726"/>
      <c r="S12" s="726"/>
      <c r="T12" s="726"/>
      <c r="U12" s="726"/>
      <c r="V12" s="726"/>
      <c r="W12" s="726"/>
      <c r="X12" s="726"/>
      <c r="Y12" s="726"/>
      <c r="Z12" s="726"/>
      <c r="AA12" s="726"/>
      <c r="AB12" s="726"/>
    </row>
    <row r="13" spans="1:28" s="67" customFormat="1" ht="23.45" customHeight="1">
      <c r="A13" s="693" t="s">
        <v>0</v>
      </c>
      <c r="B13" s="664"/>
      <c r="C13" s="665"/>
      <c r="D13" s="723"/>
      <c r="E13" s="724"/>
      <c r="F13" s="724"/>
      <c r="G13" s="724"/>
      <c r="H13" s="724"/>
      <c r="I13" s="724"/>
      <c r="J13" s="724"/>
      <c r="K13" s="724"/>
      <c r="L13" s="724"/>
      <c r="M13" s="724"/>
      <c r="N13" s="724"/>
      <c r="O13" s="725"/>
      <c r="P13" s="3"/>
      <c r="Q13" s="726"/>
      <c r="R13" s="726"/>
      <c r="S13" s="726"/>
      <c r="T13" s="726"/>
      <c r="U13" s="726"/>
      <c r="V13" s="726"/>
      <c r="W13" s="726"/>
      <c r="X13" s="726"/>
      <c r="Y13" s="726"/>
      <c r="Z13" s="726"/>
      <c r="AA13" s="726"/>
      <c r="AB13" s="726"/>
    </row>
    <row r="14" spans="1:28" s="67" customFormat="1" ht="23.45" customHeight="1">
      <c r="A14" s="693" t="s">
        <v>246</v>
      </c>
      <c r="B14" s="664"/>
      <c r="C14" s="664"/>
      <c r="D14" s="664"/>
      <c r="E14" s="664"/>
      <c r="F14" s="665"/>
      <c r="G14" s="727" t="str">
        <f>IF(床面積!R6=0,"",床面積!R6)</f>
        <v/>
      </c>
      <c r="H14" s="728"/>
      <c r="I14" s="728"/>
      <c r="J14" s="728"/>
      <c r="K14" s="728"/>
      <c r="L14" s="728"/>
      <c r="M14" s="728"/>
      <c r="N14" s="83" t="s">
        <v>300</v>
      </c>
      <c r="O14" s="84"/>
      <c r="P14" s="3"/>
      <c r="Q14" s="726"/>
      <c r="R14" s="726"/>
      <c r="S14" s="726"/>
      <c r="T14" s="726"/>
      <c r="U14" s="726"/>
      <c r="V14" s="726"/>
      <c r="W14" s="726"/>
      <c r="X14" s="726"/>
      <c r="Y14" s="726"/>
      <c r="Z14" s="726"/>
      <c r="AA14" s="726"/>
      <c r="AB14" s="726"/>
    </row>
    <row r="15" spans="1:28" s="67" customFormat="1" ht="23.45" customHeight="1">
      <c r="A15" s="693" t="s">
        <v>247</v>
      </c>
      <c r="B15" s="664"/>
      <c r="C15" s="664"/>
      <c r="D15" s="664"/>
      <c r="E15" s="664"/>
      <c r="F15" s="665"/>
      <c r="G15" s="645" t="str">
        <f>IF(エネルギーと目標設定ガス!H102="","",エネルギーと目標設定ガス!H102)</f>
        <v/>
      </c>
      <c r="H15" s="646"/>
      <c r="I15" s="646"/>
      <c r="J15" s="646"/>
      <c r="K15" s="646"/>
      <c r="L15" s="646"/>
      <c r="M15" s="646"/>
      <c r="N15" s="83" t="s">
        <v>248</v>
      </c>
      <c r="O15" s="84"/>
      <c r="P15" s="3"/>
    </row>
    <row r="16" spans="1:28" s="67" customFormat="1" ht="23.45" customHeight="1">
      <c r="A16" s="693" t="s">
        <v>294</v>
      </c>
      <c r="B16" s="664"/>
      <c r="C16" s="664"/>
      <c r="D16" s="664"/>
      <c r="E16" s="664"/>
      <c r="F16" s="665"/>
      <c r="G16" s="706" t="str">
        <f>IF(エネルギーと目標設定ガス!H103="","",エネルギーと目標設定ガス!H103)</f>
        <v/>
      </c>
      <c r="H16" s="707"/>
      <c r="I16" s="707"/>
      <c r="J16" s="707"/>
      <c r="K16" s="707"/>
      <c r="L16" s="707"/>
      <c r="M16" s="707"/>
      <c r="N16" s="83" t="s">
        <v>248</v>
      </c>
      <c r="O16" s="84"/>
      <c r="P16" s="3"/>
    </row>
    <row r="17" spans="1:28" s="67" customFormat="1" ht="23.45" customHeight="1">
      <c r="A17" s="693" t="s">
        <v>331</v>
      </c>
      <c r="B17" s="664"/>
      <c r="C17" s="664"/>
      <c r="D17" s="664"/>
      <c r="E17" s="664"/>
      <c r="F17" s="665"/>
      <c r="G17" s="645" t="str">
        <f>IF(エネルギーと目標設定ガス!H104="","",エネルギーと目標設定ガス!H104)</f>
        <v/>
      </c>
      <c r="H17" s="646"/>
      <c r="I17" s="646"/>
      <c r="J17" s="646"/>
      <c r="K17" s="646"/>
      <c r="L17" s="646"/>
      <c r="M17" s="646"/>
      <c r="N17" s="83" t="s">
        <v>301</v>
      </c>
      <c r="O17" s="84"/>
      <c r="P17" s="3"/>
    </row>
    <row r="18" spans="1:28" s="67" customFormat="1" ht="23.45" customHeight="1">
      <c r="A18" s="708" t="s">
        <v>295</v>
      </c>
      <c r="B18" s="709"/>
      <c r="C18" s="709"/>
      <c r="D18" s="709"/>
      <c r="E18" s="709"/>
      <c r="F18" s="710"/>
      <c r="G18" s="645" t="str">
        <f>IF(その他ガス!$K$97="","",その他ガス!$K$97)</f>
        <v/>
      </c>
      <c r="H18" s="646"/>
      <c r="I18" s="646"/>
      <c r="J18" s="646"/>
      <c r="K18" s="646"/>
      <c r="L18" s="646"/>
      <c r="M18" s="646"/>
      <c r="N18" s="83" t="s">
        <v>301</v>
      </c>
      <c r="O18" s="131"/>
      <c r="P18" s="3"/>
    </row>
    <row r="19" spans="1:28" s="67" customFormat="1" ht="23.45" customHeight="1">
      <c r="A19" s="643"/>
      <c r="B19" s="663" t="s">
        <v>356</v>
      </c>
      <c r="C19" s="664"/>
      <c r="D19" s="664"/>
      <c r="E19" s="664"/>
      <c r="F19" s="665"/>
      <c r="G19" s="645" t="str">
        <f>IF(その他ガス!K85="","",その他ガス!K85)</f>
        <v/>
      </c>
      <c r="H19" s="646"/>
      <c r="I19" s="646"/>
      <c r="J19" s="646"/>
      <c r="K19" s="646"/>
      <c r="L19" s="646"/>
      <c r="M19" s="646"/>
      <c r="N19" s="83" t="s">
        <v>301</v>
      </c>
      <c r="O19" s="131"/>
      <c r="P19" s="3"/>
    </row>
    <row r="20" spans="1:28" s="67" customFormat="1" ht="23.45" customHeight="1" thickBot="1">
      <c r="A20" s="644"/>
      <c r="B20" s="640" t="s">
        <v>332</v>
      </c>
      <c r="C20" s="641"/>
      <c r="D20" s="641"/>
      <c r="E20" s="641"/>
      <c r="F20" s="642"/>
      <c r="G20" s="647" t="str">
        <f>IF(その他ガス!K96="","",その他ガス!K96)</f>
        <v/>
      </c>
      <c r="H20" s="648"/>
      <c r="I20" s="648"/>
      <c r="J20" s="648"/>
      <c r="K20" s="648"/>
      <c r="L20" s="648"/>
      <c r="M20" s="648"/>
      <c r="N20" s="85" t="s">
        <v>301</v>
      </c>
      <c r="O20" s="86"/>
      <c r="P20" s="3"/>
    </row>
    <row r="21" spans="1:28" s="67" customFormat="1" ht="9.75" customHeight="1">
      <c r="A21" s="87"/>
      <c r="B21" s="3"/>
      <c r="C21" s="3"/>
      <c r="D21" s="3"/>
      <c r="E21" s="3"/>
      <c r="F21" s="3"/>
      <c r="G21" s="3"/>
      <c r="H21" s="3"/>
      <c r="I21" s="3"/>
      <c r="J21" s="3"/>
      <c r="K21" s="3"/>
      <c r="L21" s="3"/>
      <c r="M21" s="3"/>
      <c r="N21" s="3"/>
      <c r="O21" s="3"/>
      <c r="P21" s="3"/>
      <c r="AB21" s="88"/>
    </row>
    <row r="22" spans="1:28" s="67" customFormat="1" ht="14.25" customHeight="1" thickBot="1">
      <c r="A22" s="82" t="s">
        <v>249</v>
      </c>
      <c r="B22" s="3"/>
      <c r="C22" s="3"/>
      <c r="D22" s="3"/>
      <c r="E22" s="3"/>
      <c r="F22" s="3"/>
      <c r="G22" s="3"/>
      <c r="H22" s="3"/>
      <c r="I22" s="3"/>
      <c r="J22" s="3"/>
      <c r="K22" s="3"/>
      <c r="L22" s="3"/>
      <c r="M22" s="3"/>
      <c r="N22" s="3"/>
      <c r="O22" s="3"/>
      <c r="P22" s="3"/>
      <c r="AB22" s="88"/>
    </row>
    <row r="23" spans="1:28" s="67" customFormat="1" ht="23.45" customHeight="1">
      <c r="A23" s="651" t="s">
        <v>250</v>
      </c>
      <c r="B23" s="652"/>
      <c r="C23" s="653"/>
      <c r="D23" s="657" t="s">
        <v>251</v>
      </c>
      <c r="E23" s="658"/>
      <c r="F23" s="659"/>
      <c r="G23" s="660"/>
      <c r="H23" s="661"/>
      <c r="I23" s="661"/>
      <c r="J23" s="661"/>
      <c r="K23" s="661"/>
      <c r="L23" s="661"/>
      <c r="M23" s="661"/>
      <c r="N23" s="661"/>
      <c r="O23" s="662"/>
      <c r="P23" s="3"/>
      <c r="AB23" s="88"/>
    </row>
    <row r="24" spans="1:28" s="67" customFormat="1" ht="23.45" customHeight="1">
      <c r="A24" s="654"/>
      <c r="B24" s="655"/>
      <c r="C24" s="656"/>
      <c r="D24" s="663" t="s">
        <v>252</v>
      </c>
      <c r="E24" s="664"/>
      <c r="F24" s="665"/>
      <c r="G24" s="666"/>
      <c r="H24" s="667"/>
      <c r="I24" s="667"/>
      <c r="J24" s="667"/>
      <c r="K24" s="667"/>
      <c r="L24" s="667"/>
      <c r="M24" s="667"/>
      <c r="N24" s="667"/>
      <c r="O24" s="668"/>
      <c r="P24" s="3"/>
      <c r="AB24" s="88"/>
    </row>
    <row r="25" spans="1:28" s="67" customFormat="1" ht="23.45" customHeight="1">
      <c r="A25" s="669" t="s">
        <v>253</v>
      </c>
      <c r="B25" s="670"/>
      <c r="C25" s="671"/>
      <c r="D25" s="663" t="s">
        <v>251</v>
      </c>
      <c r="E25" s="664"/>
      <c r="F25" s="665"/>
      <c r="G25" s="666"/>
      <c r="H25" s="667"/>
      <c r="I25" s="667"/>
      <c r="J25" s="667"/>
      <c r="K25" s="667"/>
      <c r="L25" s="667"/>
      <c r="M25" s="667"/>
      <c r="N25" s="667"/>
      <c r="O25" s="668"/>
      <c r="P25" s="3"/>
      <c r="AB25" s="88"/>
    </row>
    <row r="26" spans="1:28" s="67" customFormat="1" ht="23.45" customHeight="1">
      <c r="A26" s="672"/>
      <c r="B26" s="673"/>
      <c r="C26" s="674"/>
      <c r="D26" s="663" t="s">
        <v>252</v>
      </c>
      <c r="E26" s="664"/>
      <c r="F26" s="665"/>
      <c r="G26" s="666"/>
      <c r="H26" s="667"/>
      <c r="I26" s="667"/>
      <c r="J26" s="667"/>
      <c r="K26" s="667"/>
      <c r="L26" s="667"/>
      <c r="M26" s="667"/>
      <c r="N26" s="667"/>
      <c r="O26" s="668"/>
      <c r="P26" s="3"/>
      <c r="AB26" s="88"/>
    </row>
    <row r="27" spans="1:28" s="67" customFormat="1" ht="23.45" customHeight="1">
      <c r="A27" s="672"/>
      <c r="B27" s="673"/>
      <c r="C27" s="674"/>
      <c r="D27" s="663" t="s">
        <v>254</v>
      </c>
      <c r="E27" s="664"/>
      <c r="F27" s="665"/>
      <c r="G27" s="696"/>
      <c r="H27" s="697"/>
      <c r="I27" s="697"/>
      <c r="J27" s="697"/>
      <c r="K27" s="697"/>
      <c r="L27" s="697"/>
      <c r="M27" s="697"/>
      <c r="N27" s="697"/>
      <c r="O27" s="698"/>
      <c r="P27" s="3"/>
      <c r="Q27" s="72" t="str">
        <f>IFERROR(IF(FIND("-",$G$27,1)&gt;0,"",""),"← 電話番号はハイフンで区切って入力してください。")</f>
        <v>← 電話番号はハイフンで区切って入力してください。</v>
      </c>
      <c r="AB27" s="88"/>
    </row>
    <row r="28" spans="1:28" s="67" customFormat="1" ht="23.45" customHeight="1">
      <c r="A28" s="672"/>
      <c r="B28" s="673"/>
      <c r="C28" s="674"/>
      <c r="D28" s="663" t="s">
        <v>2074</v>
      </c>
      <c r="E28" s="664"/>
      <c r="F28" s="665"/>
      <c r="G28" s="696"/>
      <c r="H28" s="697"/>
      <c r="I28" s="697"/>
      <c r="J28" s="697"/>
      <c r="K28" s="697"/>
      <c r="L28" s="697"/>
      <c r="M28" s="697"/>
      <c r="N28" s="697"/>
      <c r="O28" s="698"/>
      <c r="P28" s="3"/>
      <c r="Q28" s="72" t="str">
        <f>IFERROR(IF(FIND("-",G28,1)&gt;0,"",""),"← 社給携帯番号など連絡がつきやすい番号がある場合は入力してください。")</f>
        <v>← 社給携帯番号など連絡がつきやすい番号がある場合は入力してください。</v>
      </c>
      <c r="AB28" s="88"/>
    </row>
    <row r="29" spans="1:28" s="67" customFormat="1" ht="23.45" customHeight="1" thickBot="1">
      <c r="A29" s="675"/>
      <c r="B29" s="676"/>
      <c r="C29" s="677"/>
      <c r="D29" s="699" t="s">
        <v>612</v>
      </c>
      <c r="E29" s="641"/>
      <c r="F29" s="642"/>
      <c r="G29" s="700"/>
      <c r="H29" s="701"/>
      <c r="I29" s="701"/>
      <c r="J29" s="701"/>
      <c r="K29" s="701"/>
      <c r="L29" s="701"/>
      <c r="M29" s="701"/>
      <c r="N29" s="701"/>
      <c r="O29" s="702"/>
      <c r="P29" s="3"/>
      <c r="AB29" s="88"/>
    </row>
    <row r="30" spans="1:28" s="67" customFormat="1" ht="13.5" customHeight="1">
      <c r="A30" s="87"/>
      <c r="B30" s="3"/>
      <c r="C30" s="3"/>
      <c r="D30" s="3"/>
      <c r="E30" s="3"/>
      <c r="F30" s="3"/>
      <c r="G30" s="3"/>
      <c r="H30" s="3"/>
      <c r="I30" s="3"/>
      <c r="J30" s="3"/>
      <c r="K30" s="3"/>
      <c r="L30" s="3"/>
      <c r="M30" s="3"/>
      <c r="N30" s="3"/>
      <c r="O30" s="3"/>
      <c r="P30" s="3"/>
      <c r="AB30" s="88"/>
    </row>
    <row r="31" spans="1:28" s="67" customFormat="1" ht="18" customHeight="1">
      <c r="A31" s="3" t="s">
        <v>255</v>
      </c>
      <c r="B31" s="3"/>
      <c r="C31" s="3"/>
      <c r="D31" s="3"/>
      <c r="E31" s="3"/>
      <c r="F31" s="3"/>
      <c r="G31" s="3"/>
      <c r="H31" s="3"/>
      <c r="I31" s="3"/>
      <c r="J31" s="3"/>
      <c r="K31" s="3"/>
      <c r="L31" s="3"/>
      <c r="M31" s="3"/>
      <c r="N31" s="3"/>
      <c r="O31" s="3"/>
      <c r="P31" s="3"/>
      <c r="AB31" s="88"/>
    </row>
    <row r="32" spans="1:28" s="67" customFormat="1" ht="13.5" customHeight="1">
      <c r="A32" s="3"/>
      <c r="B32" s="3"/>
      <c r="C32" s="3"/>
      <c r="D32" s="3"/>
      <c r="E32" s="3"/>
      <c r="F32" s="3"/>
      <c r="G32" s="3"/>
      <c r="H32" s="3"/>
      <c r="I32" s="3"/>
      <c r="J32" s="3"/>
      <c r="K32" s="3"/>
      <c r="L32" s="3"/>
      <c r="M32" s="3"/>
      <c r="N32" s="3"/>
      <c r="O32" s="3"/>
      <c r="P32" s="3"/>
      <c r="AB32" s="88"/>
    </row>
    <row r="33" spans="1:28" s="67" customFormat="1" ht="13.5" customHeight="1" thickBot="1">
      <c r="A33" s="82" t="s">
        <v>620</v>
      </c>
      <c r="B33" s="3"/>
      <c r="C33" s="3"/>
      <c r="D33" s="3"/>
      <c r="E33" s="3"/>
      <c r="F33" s="3"/>
      <c r="G33" s="3"/>
      <c r="H33" s="3"/>
      <c r="I33" s="3"/>
      <c r="J33" s="3" t="s">
        <v>621</v>
      </c>
      <c r="K33" s="3"/>
      <c r="L33" s="3"/>
      <c r="M33" s="3"/>
      <c r="N33" s="3"/>
      <c r="O33" s="3"/>
      <c r="P33" s="3"/>
      <c r="AB33" s="88"/>
    </row>
    <row r="34" spans="1:28" s="67" customFormat="1" ht="23.45" customHeight="1">
      <c r="A34" s="703" t="s">
        <v>256</v>
      </c>
      <c r="B34" s="704"/>
      <c r="C34" s="704"/>
      <c r="D34" s="705"/>
      <c r="E34" s="649" t="s">
        <v>257</v>
      </c>
      <c r="F34" s="705"/>
      <c r="G34" s="649" t="s">
        <v>258</v>
      </c>
      <c r="H34" s="650"/>
      <c r="I34" s="3"/>
      <c r="J34" s="703" t="s">
        <v>256</v>
      </c>
      <c r="K34" s="705"/>
      <c r="L34" s="89" t="s">
        <v>70</v>
      </c>
      <c r="M34" s="649" t="s">
        <v>259</v>
      </c>
      <c r="N34" s="705"/>
      <c r="O34" s="649" t="s">
        <v>260</v>
      </c>
      <c r="P34" s="650"/>
      <c r="AB34" s="88"/>
    </row>
    <row r="35" spans="1:28" s="67" customFormat="1" ht="23.45" customHeight="1">
      <c r="A35" s="685" t="s">
        <v>26</v>
      </c>
      <c r="B35" s="686"/>
      <c r="C35" s="686"/>
      <c r="D35" s="687"/>
      <c r="E35" s="688"/>
      <c r="F35" s="689"/>
      <c r="G35" s="688"/>
      <c r="H35" s="690"/>
      <c r="I35" s="81" t="s">
        <v>4</v>
      </c>
      <c r="J35" s="694"/>
      <c r="K35" s="695"/>
      <c r="L35" s="90"/>
      <c r="M35" s="91"/>
      <c r="N35" s="92" t="str">
        <f>CONCATENATE("GJ/",L35)</f>
        <v>GJ/</v>
      </c>
      <c r="O35" s="91"/>
      <c r="P35" s="93" t="s">
        <v>12</v>
      </c>
      <c r="AB35" s="88"/>
    </row>
    <row r="36" spans="1:28" s="67" customFormat="1" ht="23.45" customHeight="1" thickBot="1">
      <c r="A36" s="685" t="s">
        <v>29</v>
      </c>
      <c r="B36" s="686"/>
      <c r="C36" s="686"/>
      <c r="D36" s="687"/>
      <c r="E36" s="688"/>
      <c r="F36" s="689"/>
      <c r="G36" s="688"/>
      <c r="H36" s="690"/>
      <c r="I36" s="81" t="s">
        <v>5</v>
      </c>
      <c r="J36" s="691"/>
      <c r="K36" s="692"/>
      <c r="L36" s="94"/>
      <c r="M36" s="95"/>
      <c r="N36" s="96" t="str">
        <f>CONCATENATE("GJ/",L36)</f>
        <v>GJ/</v>
      </c>
      <c r="O36" s="95"/>
      <c r="P36" s="97" t="s">
        <v>12</v>
      </c>
      <c r="AB36" s="88"/>
    </row>
    <row r="37" spans="1:28" s="67" customFormat="1" ht="23.45" customHeight="1">
      <c r="A37" s="685" t="s">
        <v>414</v>
      </c>
      <c r="B37" s="686"/>
      <c r="C37" s="686"/>
      <c r="D37" s="687"/>
      <c r="E37" s="688"/>
      <c r="F37" s="689"/>
      <c r="G37" s="688"/>
      <c r="H37" s="690"/>
      <c r="I37" s="98"/>
      <c r="J37" s="684"/>
      <c r="K37" s="684"/>
      <c r="L37" s="45"/>
      <c r="M37" s="41"/>
      <c r="N37" s="99"/>
      <c r="O37" s="41"/>
      <c r="P37" s="99"/>
      <c r="AB37" s="88"/>
    </row>
    <row r="38" spans="1:28" s="67" customFormat="1" ht="23.45" customHeight="1">
      <c r="A38" s="685" t="s">
        <v>625</v>
      </c>
      <c r="B38" s="686"/>
      <c r="C38" s="686"/>
      <c r="D38" s="687"/>
      <c r="E38" s="688"/>
      <c r="F38" s="689"/>
      <c r="G38" s="688"/>
      <c r="H38" s="690"/>
      <c r="I38" s="98"/>
      <c r="J38" s="41"/>
      <c r="K38" s="41"/>
      <c r="L38" s="45"/>
      <c r="M38" s="41"/>
      <c r="N38" s="99"/>
      <c r="O38" s="41"/>
      <c r="P38" s="99"/>
      <c r="AB38" s="88"/>
    </row>
    <row r="39" spans="1:28" s="67" customFormat="1" ht="23.45" customHeight="1" thickBot="1">
      <c r="A39" s="678" t="s">
        <v>30</v>
      </c>
      <c r="B39" s="679"/>
      <c r="C39" s="679"/>
      <c r="D39" s="680"/>
      <c r="E39" s="681"/>
      <c r="F39" s="682"/>
      <c r="G39" s="681"/>
      <c r="H39" s="683"/>
      <c r="I39" s="98"/>
      <c r="J39" s="684"/>
      <c r="K39" s="684"/>
      <c r="L39" s="45"/>
      <c r="M39" s="41"/>
      <c r="N39" s="99"/>
      <c r="O39" s="41"/>
      <c r="P39" s="99"/>
      <c r="AB39" s="88"/>
    </row>
    <row r="40" spans="1:28" s="67" customFormat="1" ht="13.5" customHeight="1">
      <c r="A40" s="511"/>
      <c r="B40" s="512"/>
      <c r="C40" s="512"/>
      <c r="D40" s="512"/>
      <c r="E40" s="512"/>
      <c r="F40" s="512"/>
      <c r="G40" s="512"/>
      <c r="H40" s="512"/>
      <c r="I40" s="512"/>
      <c r="J40" s="512"/>
      <c r="K40" s="512"/>
      <c r="L40" s="512"/>
      <c r="M40" s="512"/>
      <c r="N40" s="512"/>
      <c r="O40" s="512"/>
      <c r="P40" s="512"/>
      <c r="AB40" s="88"/>
    </row>
    <row r="42" spans="1:28" s="67" customFormat="1">
      <c r="A42" s="100"/>
      <c r="B42" s="100"/>
      <c r="C42" s="100"/>
      <c r="R42" s="88"/>
      <c r="S42" s="88"/>
      <c r="T42" s="88"/>
      <c r="U42" s="88"/>
      <c r="V42" s="88"/>
      <c r="W42" s="88"/>
      <c r="X42" s="88"/>
      <c r="Y42" s="88"/>
      <c r="Z42" s="88"/>
      <c r="AA42" s="88"/>
      <c r="AB42" s="88"/>
    </row>
    <row r="43" spans="1:28" s="67" customFormat="1">
      <c r="A43" s="100"/>
      <c r="B43" s="100"/>
      <c r="C43" s="100"/>
      <c r="R43" s="88"/>
      <c r="S43" s="88"/>
      <c r="T43" s="88"/>
      <c r="U43" s="88"/>
      <c r="V43" s="88"/>
      <c r="W43" s="88"/>
      <c r="X43" s="88"/>
      <c r="Y43" s="88"/>
      <c r="Z43" s="88"/>
      <c r="AA43" s="88"/>
      <c r="AB43" s="88"/>
    </row>
    <row r="44" spans="1:28" s="67" customFormat="1">
      <c r="A44" s="100"/>
      <c r="B44" s="100"/>
      <c r="C44" s="100"/>
      <c r="R44" s="88"/>
      <c r="S44" s="88"/>
      <c r="T44" s="88"/>
      <c r="U44" s="88"/>
      <c r="V44" s="88"/>
      <c r="W44" s="88"/>
      <c r="X44" s="88"/>
      <c r="Y44" s="88"/>
      <c r="Z44" s="88"/>
      <c r="AA44" s="88"/>
      <c r="AB44" s="88"/>
    </row>
    <row r="45" spans="1:28" s="67" customFormat="1">
      <c r="A45" s="100"/>
      <c r="B45" s="100"/>
      <c r="C45" s="100"/>
      <c r="R45" s="88"/>
      <c r="S45" s="88"/>
      <c r="T45" s="88"/>
      <c r="U45" s="88"/>
      <c r="V45" s="88"/>
      <c r="W45" s="88"/>
      <c r="X45" s="88"/>
      <c r="Y45" s="88"/>
      <c r="Z45" s="88"/>
      <c r="AA45" s="88"/>
      <c r="AB45" s="88"/>
    </row>
    <row r="46" spans="1:28" s="67" customFormat="1">
      <c r="C46" s="100"/>
      <c r="R46" s="88"/>
      <c r="S46" s="88"/>
      <c r="T46" s="88"/>
      <c r="U46" s="88"/>
      <c r="V46" s="88"/>
      <c r="W46" s="88"/>
      <c r="X46" s="88"/>
      <c r="Y46" s="88"/>
      <c r="Z46" s="88"/>
      <c r="AA46" s="88"/>
      <c r="AB46" s="88"/>
    </row>
    <row r="47" spans="1:28" s="67" customFormat="1">
      <c r="A47" s="100"/>
      <c r="C47" s="100"/>
      <c r="R47" s="88"/>
      <c r="S47" s="88"/>
      <c r="T47" s="88"/>
      <c r="U47" s="88"/>
      <c r="V47" s="88"/>
      <c r="W47" s="88"/>
      <c r="X47" s="88"/>
      <c r="Y47" s="88"/>
      <c r="Z47" s="88"/>
      <c r="AA47" s="88"/>
      <c r="AB47" s="88"/>
    </row>
    <row r="48" spans="1:28" s="67" customFormat="1">
      <c r="A48" s="100"/>
      <c r="C48" s="100"/>
      <c r="R48" s="88"/>
      <c r="S48" s="88"/>
      <c r="T48" s="88"/>
      <c r="U48" s="88"/>
      <c r="V48" s="88"/>
      <c r="W48" s="88"/>
      <c r="X48" s="88"/>
      <c r="Y48" s="88"/>
      <c r="Z48" s="88"/>
      <c r="AA48" s="88"/>
      <c r="AB48" s="88"/>
    </row>
    <row r="49" spans="1:28" s="101" customFormat="1">
      <c r="C49" s="102"/>
    </row>
    <row r="50" spans="1:28" s="103" customFormat="1" ht="18.75" hidden="1" customHeight="1">
      <c r="A50" s="103" t="s">
        <v>261</v>
      </c>
      <c r="C50" s="104" t="s">
        <v>262</v>
      </c>
    </row>
    <row r="51" spans="1:28" s="103" customFormat="1" ht="18.75" hidden="1" customHeight="1">
      <c r="B51" s="103" t="s">
        <v>263</v>
      </c>
      <c r="C51" s="105"/>
      <c r="D51" s="103" t="s">
        <v>264</v>
      </c>
      <c r="F51" s="103" t="s">
        <v>265</v>
      </c>
    </row>
    <row r="52" spans="1:28" s="67" customFormat="1">
      <c r="R52" s="88"/>
      <c r="S52" s="88"/>
      <c r="T52" s="88"/>
      <c r="U52" s="88"/>
      <c r="V52" s="88"/>
      <c r="W52" s="88"/>
      <c r="X52" s="88"/>
      <c r="Y52" s="88"/>
      <c r="Z52" s="88"/>
      <c r="AA52" s="88"/>
      <c r="AB52" s="88"/>
    </row>
  </sheetData>
  <sheetProtection algorithmName="SHA-512" hashValue="gdXjtHF+CjcTXtcMhV2woQXeOwoimPgIpk/FV4iHdjaryPLn4h9hIGzdubB2yuhrnkSP60no0hEqz9Ez5aJfQQ==" saltValue="D7NzIeSkLz5AF34Z73zsmQ==" spinCount="100000" sheet="1" objects="1" scenarios="1"/>
  <mergeCells count="73">
    <mergeCell ref="L1:P1"/>
    <mergeCell ref="C3:D3"/>
    <mergeCell ref="L3:M3"/>
    <mergeCell ref="N3:O3"/>
    <mergeCell ref="L4:M4"/>
    <mergeCell ref="N4:O4"/>
    <mergeCell ref="G1:J2"/>
    <mergeCell ref="A12:C12"/>
    <mergeCell ref="D12:O12"/>
    <mergeCell ref="A13:C13"/>
    <mergeCell ref="D13:O13"/>
    <mergeCell ref="Q11:AB14"/>
    <mergeCell ref="A14:F14"/>
    <mergeCell ref="G14:M14"/>
    <mergeCell ref="C5:M5"/>
    <mergeCell ref="C6:M6"/>
    <mergeCell ref="L8:O8"/>
    <mergeCell ref="A11:C11"/>
    <mergeCell ref="D11:O11"/>
    <mergeCell ref="G19:M19"/>
    <mergeCell ref="A16:F16"/>
    <mergeCell ref="A17:F17"/>
    <mergeCell ref="G17:M17"/>
    <mergeCell ref="G16:M16"/>
    <mergeCell ref="A18:F18"/>
    <mergeCell ref="B19:F19"/>
    <mergeCell ref="A15:F15"/>
    <mergeCell ref="G15:M15"/>
    <mergeCell ref="J35:K35"/>
    <mergeCell ref="D27:F27"/>
    <mergeCell ref="G27:O27"/>
    <mergeCell ref="D28:F28"/>
    <mergeCell ref="G28:O28"/>
    <mergeCell ref="D29:F29"/>
    <mergeCell ref="G29:O29"/>
    <mergeCell ref="A35:D35"/>
    <mergeCell ref="E35:F35"/>
    <mergeCell ref="G35:H35"/>
    <mergeCell ref="A34:D34"/>
    <mergeCell ref="E34:F34"/>
    <mergeCell ref="J34:K34"/>
    <mergeCell ref="M34:N34"/>
    <mergeCell ref="A39:D39"/>
    <mergeCell ref="E39:F39"/>
    <mergeCell ref="G39:H39"/>
    <mergeCell ref="J39:K39"/>
    <mergeCell ref="A36:D36"/>
    <mergeCell ref="E36:F36"/>
    <mergeCell ref="G36:H36"/>
    <mergeCell ref="J36:K36"/>
    <mergeCell ref="A37:D37"/>
    <mergeCell ref="E37:F37"/>
    <mergeCell ref="G37:H37"/>
    <mergeCell ref="J37:K37"/>
    <mergeCell ref="A38:D38"/>
    <mergeCell ref="E38:F38"/>
    <mergeCell ref="G38:H38"/>
    <mergeCell ref="B20:F20"/>
    <mergeCell ref="A19:A20"/>
    <mergeCell ref="G18:M18"/>
    <mergeCell ref="G20:M20"/>
    <mergeCell ref="G34:H34"/>
    <mergeCell ref="A23:C24"/>
    <mergeCell ref="D23:F23"/>
    <mergeCell ref="G23:O23"/>
    <mergeCell ref="D24:F24"/>
    <mergeCell ref="G24:O24"/>
    <mergeCell ref="D25:F25"/>
    <mergeCell ref="G25:O25"/>
    <mergeCell ref="D26:F26"/>
    <mergeCell ref="G26:O26"/>
    <mergeCell ref="O34:P34"/>
    <mergeCell ref="A25:C29"/>
  </mergeCells>
  <phoneticPr fontId="5"/>
  <dataValidations count="10">
    <dataValidation imeMode="disabled" allowBlank="1" showInputMessage="1" showErrorMessage="1" error="半角英数字で入力してください｡" sqref="G27:O29" xr:uid="{00000000-0002-0000-0000-000000000000}"/>
    <dataValidation type="whole" imeMode="disabled" allowBlank="1" showInputMessage="1" showErrorMessage="1" sqref="D13:O13" xr:uid="{00000000-0002-0000-0000-000001000000}">
      <formula1>1</formula1>
      <formula2>999999</formula2>
    </dataValidation>
    <dataValidation imeMode="on" allowBlank="1" showInputMessage="1" showErrorMessage="1" sqref="J35:K36 G23:O26 D11:O12" xr:uid="{00000000-0002-0000-0000-000002000000}"/>
    <dataValidation type="date" imeMode="disabled" operator="greaterThanOrEqual" allowBlank="1" showInputMessage="1" showErrorMessage="1" sqref="L8:O8" xr:uid="{00000000-0002-0000-0000-000003000000}">
      <formula1>1</formula1>
    </dataValidation>
    <dataValidation imeMode="disabled" allowBlank="1" showInputMessage="1" showErrorMessage="1" sqref="M35:M36 O35:O36 F36:F37 F39 H39 G35:G39 H35:H37 E36:E39" xr:uid="{00000000-0002-0000-0000-000004000000}"/>
    <dataValidation type="whole" allowBlank="1" showInputMessage="1" showErrorMessage="1" sqref="C4:D4" xr:uid="{00000000-0002-0000-0000-000005000000}">
      <formula1>1</formula1>
      <formula2>31</formula2>
    </dataValidation>
    <dataValidation type="list" allowBlank="1" showInputMessage="1" showErrorMessage="1" sqref="L37:L39" xr:uid="{00000000-0002-0000-0000-000006000000}">
      <formula1>"kg,t,kL,m3,Nm3"</formula1>
    </dataValidation>
    <dataValidation type="list" imeMode="disabled" allowBlank="1" showInputMessage="1" showErrorMessage="1" sqref="N3:O3" xr:uid="{00000000-0002-0000-0000-000007000000}">
      <formula1>実績検証状況_選択</formula1>
    </dataValidation>
    <dataValidation type="list" imeMode="disabled" allowBlank="1" showInputMessage="1" showErrorMessage="1" sqref="C3:D3" xr:uid="{00000000-0002-0000-0000-000008000000}">
      <formula1>和暦年度_選択</formula1>
    </dataValidation>
    <dataValidation type="decimal" imeMode="disabled" operator="greaterThanOrEqual" allowBlank="1" showInputMessage="1" showErrorMessage="1" sqref="E35:F35" xr:uid="{00000000-0002-0000-0000-000009000000}">
      <formula1>0</formula1>
    </dataValidation>
  </dataValidations>
  <pageMargins left="0.78740157480314965" right="0.59055118110236227" top="0.78740157480314965" bottom="0.59055118110236227" header="0.31496062992125984" footer="0.31496062992125984"/>
  <pageSetup paperSize="9" scale="89" fitToHeight="0" orientation="portrait" r:id="rId1"/>
  <colBreaks count="1" manualBreakCount="1">
    <brk id="16" max="1048575" man="1"/>
  </colBreaks>
  <legacyDrawing r:id="rId2"/>
  <extLst>
    <ext xmlns:x14="http://schemas.microsoft.com/office/spreadsheetml/2009/9/main" uri="{CCE6A557-97BC-4b89-ADB6-D9C93CAAB3DF}">
      <x14:dataValidations xmlns:xm="http://schemas.microsoft.com/office/excel/2006/main" count="3">
        <x14:dataValidation type="list" imeMode="disabled" allowBlank="1" showInputMessage="1" showErrorMessage="1" xr:uid="{00000000-0002-0000-0000-00000A000000}">
          <x14:formula1>
            <xm:f>非_選択リスト!$G$5:$G$6</xm:f>
          </x14:formula1>
          <xm:sqref>N4:O4</xm:sqref>
        </x14:dataValidation>
        <x14:dataValidation type="list" allowBlank="1" showInputMessage="1" showErrorMessage="1" xr:uid="{00000000-0002-0000-0000-00000B000000}">
          <x14:formula1>
            <xm:f>非_単位!$C$34:$L$34</xm:f>
          </x14:formula1>
          <xm:sqref>L36</xm:sqref>
        </x14:dataValidation>
        <x14:dataValidation type="list" allowBlank="1" showInputMessage="1" showErrorMessage="1" xr:uid="{00000000-0002-0000-0000-00000C000000}">
          <x14:formula1>
            <xm:f>非_単位!$C$33:$L$33</xm:f>
          </x14:formula1>
          <xm:sqref>L35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109"/>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4.125" defaultRowHeight="18" outlineLevelCol="1"/>
  <cols>
    <col min="1" max="2" width="6.25" style="474" customWidth="1"/>
    <col min="3" max="3" width="19.125" style="474" customWidth="1"/>
    <col min="4" max="5" width="35.625" style="474" customWidth="1"/>
    <col min="6" max="6" width="14.625" style="474" customWidth="1"/>
    <col min="7" max="7" width="10.25" style="474" customWidth="1"/>
    <col min="8" max="8" width="15.5" style="474" customWidth="1"/>
    <col min="9" max="9" width="17.875" style="474" customWidth="1"/>
    <col min="10" max="10" width="18.875" style="474" customWidth="1"/>
    <col min="11" max="11" width="23.5" style="474" customWidth="1"/>
    <col min="12" max="12" width="9" style="474" customWidth="1"/>
    <col min="13" max="13" width="21.375" style="474" hidden="1" customWidth="1" outlineLevel="1"/>
    <col min="14" max="14" width="9" style="474" customWidth="1" collapsed="1"/>
    <col min="15" max="247" width="9" style="474" customWidth="1"/>
    <col min="248" max="248" width="1.625" style="474" customWidth="1"/>
    <col min="249" max="249" width="1.875" style="474" customWidth="1"/>
    <col min="250" max="16384" width="4.125" style="474"/>
  </cols>
  <sheetData>
    <row r="1" spans="1:13">
      <c r="A1" s="3" t="s">
        <v>314</v>
      </c>
      <c r="B1" s="4"/>
      <c r="C1" s="4"/>
      <c r="D1" s="4"/>
      <c r="E1" s="4"/>
      <c r="F1" s="4"/>
      <c r="G1" s="4"/>
      <c r="H1" s="133"/>
      <c r="I1" s="133"/>
      <c r="J1" s="132" t="s">
        <v>0</v>
      </c>
      <c r="K1" s="212" t="str">
        <f>IF(事業所概要_算定体制!D13="","",事業所概要_算定体制!D13)</f>
        <v/>
      </c>
    </row>
    <row r="2" spans="1:13">
      <c r="A2" s="942" t="s">
        <v>635</v>
      </c>
      <c r="B2" s="942"/>
      <c r="C2" s="942"/>
      <c r="D2" s="942"/>
      <c r="E2" s="942"/>
      <c r="F2" s="4"/>
      <c r="G2" s="4"/>
      <c r="H2" s="4"/>
      <c r="I2" s="4"/>
      <c r="J2" s="4"/>
      <c r="K2" s="190" t="str">
        <f>CONCATENATE(事業所概要_算定体制!$B$3,事業所概要_算定体制!$C$3,"年度")</f>
        <v>令和７年度</v>
      </c>
    </row>
    <row r="3" spans="1:13" ht="23.25" customHeight="1" thickBot="1">
      <c r="A3" s="4"/>
      <c r="B3" s="4"/>
      <c r="C3" s="4"/>
      <c r="D3" s="4"/>
      <c r="E3" s="4"/>
      <c r="F3" s="5"/>
      <c r="G3" s="4"/>
      <c r="H3" s="912"/>
      <c r="I3" s="912"/>
      <c r="J3" s="912"/>
      <c r="K3" s="6"/>
    </row>
    <row r="4" spans="1:13" ht="54" customHeight="1">
      <c r="A4" s="7"/>
      <c r="B4" s="844" t="s">
        <v>1</v>
      </c>
      <c r="C4" s="913"/>
      <c r="D4" s="913"/>
      <c r="E4" s="914"/>
      <c r="F4" s="918" t="s">
        <v>317</v>
      </c>
      <c r="G4" s="919"/>
      <c r="H4" s="8" t="s">
        <v>2</v>
      </c>
      <c r="I4" s="204" t="s">
        <v>51</v>
      </c>
      <c r="J4" s="204" t="s">
        <v>52</v>
      </c>
      <c r="K4" s="142" t="s">
        <v>3</v>
      </c>
      <c r="M4" s="540" t="s">
        <v>1034</v>
      </c>
    </row>
    <row r="5" spans="1:13" ht="33" customHeight="1" thickBot="1">
      <c r="A5" s="10"/>
      <c r="B5" s="915"/>
      <c r="C5" s="916"/>
      <c r="D5" s="916"/>
      <c r="E5" s="917"/>
      <c r="F5" s="11"/>
      <c r="G5" s="12"/>
      <c r="H5" s="33" t="s">
        <v>7</v>
      </c>
      <c r="I5" s="145" t="s">
        <v>8</v>
      </c>
      <c r="J5" s="145" t="s">
        <v>8</v>
      </c>
      <c r="K5" s="13" t="s">
        <v>190</v>
      </c>
      <c r="M5" s="541" t="s">
        <v>1035</v>
      </c>
    </row>
    <row r="6" spans="1:13" ht="30.2" customHeight="1">
      <c r="A6" s="921" t="s">
        <v>319</v>
      </c>
      <c r="B6" s="924" t="s">
        <v>198</v>
      </c>
      <c r="C6" s="657" t="s">
        <v>9</v>
      </c>
      <c r="D6" s="658"/>
      <c r="E6" s="926"/>
      <c r="F6" s="349" t="str">
        <f>IF(COUNTIFS(燃料!$AI:$AI,ROW())=0,"",ROUND(SUMIFS(燃料!$AF:$AF,燃料!$AI:$AI,ROW()),0))</f>
        <v/>
      </c>
      <c r="G6" s="350" t="s">
        <v>8</v>
      </c>
      <c r="H6" s="351" t="str">
        <f>IF(COUNTIFS(燃料!$AI:$AI,ROW())=0,"",SUMIFS(燃料!$AG:$AG,燃料!$AI:$AI,ROW()))</f>
        <v/>
      </c>
      <c r="I6" s="351" t="str">
        <f>IF(H6="","",H6*0.0258)</f>
        <v/>
      </c>
      <c r="J6" s="351" t="str">
        <f>IF(H6="","",H6*0.0258)</f>
        <v/>
      </c>
      <c r="K6" s="352" t="str">
        <f>IF(COUNTIFS(燃料!$AI:$AI,ROW())=0,"",SUMIFS(燃料!$AH:$AH,燃料!$AI:$AI,ROW()))</f>
        <v/>
      </c>
      <c r="M6" s="540" t="str">
        <f>IF(COUNTIFS(燃料!$AI:$AI,ROW())=0,"",SUMIFS(燃料!$AF:$AF,燃料!$AI:$AI,ROW()))</f>
        <v/>
      </c>
    </row>
    <row r="7" spans="1:13" ht="30.2" customHeight="1">
      <c r="A7" s="922"/>
      <c r="B7" s="925"/>
      <c r="C7" s="663" t="s">
        <v>10</v>
      </c>
      <c r="D7" s="664"/>
      <c r="E7" s="920"/>
      <c r="F7" s="349" t="str">
        <f>IF(COUNTIFS(燃料!$AI:$AI,ROW())=0,"",ROUND(SUMIFS(燃料!$AF:$AF,燃料!$AI:$AI,ROW()),0))</f>
        <v/>
      </c>
      <c r="G7" s="353" t="s">
        <v>8</v>
      </c>
      <c r="H7" s="351" t="str">
        <f>IF(COUNTIFS(燃料!$AI:$AI,ROW())=0,"",SUMIFS(燃料!$AG:$AG,燃料!$AI:$AI,ROW()))</f>
        <v/>
      </c>
      <c r="I7" s="351" t="str">
        <f t="shared" ref="I7:I44" si="0">IF(H7="","",H7*0.0258)</f>
        <v/>
      </c>
      <c r="J7" s="351" t="str">
        <f t="shared" ref="J7:J32" si="1">IF(H7="","",H7*0.0258)</f>
        <v/>
      </c>
      <c r="K7" s="352" t="str">
        <f>IF(COUNTIFS(燃料!$AI:$AI,ROW())=0,"",SUMIFS(燃料!$AH:$AH,燃料!$AI:$AI,ROW()))</f>
        <v/>
      </c>
      <c r="M7" s="540" t="str">
        <f>IF(COUNTIFS(燃料!$AI:$AI,ROW())=0,"",SUMIFS(燃料!$AF:$AF,燃料!$AI:$AI,ROW()))</f>
        <v/>
      </c>
    </row>
    <row r="8" spans="1:13" ht="30.2" customHeight="1">
      <c r="A8" s="922"/>
      <c r="B8" s="925"/>
      <c r="C8" s="663" t="s">
        <v>11</v>
      </c>
      <c r="D8" s="664"/>
      <c r="E8" s="920"/>
      <c r="F8" s="349" t="str">
        <f>IF(COUNTIFS(燃料!$AI:$AI,ROW())=0,"",ROUND(SUMIFS(燃料!$AF:$AF,燃料!$AI:$AI,ROW()),0))</f>
        <v/>
      </c>
      <c r="G8" s="353" t="s">
        <v>8</v>
      </c>
      <c r="H8" s="351" t="str">
        <f>IF(COUNTIFS(燃料!$AI:$AI,ROW())=0,"",SUMIFS(燃料!$AG:$AG,燃料!$AI:$AI,ROW()))</f>
        <v/>
      </c>
      <c r="I8" s="351" t="str">
        <f t="shared" si="0"/>
        <v/>
      </c>
      <c r="J8" s="351" t="str">
        <f t="shared" si="1"/>
        <v/>
      </c>
      <c r="K8" s="352" t="str">
        <f>IF(COUNTIFS(燃料!$AI:$AI,ROW())=0,"",SUMIFS(燃料!$AH:$AH,燃料!$AI:$AI,ROW()))</f>
        <v/>
      </c>
      <c r="M8" s="540" t="str">
        <f>IF(COUNTIFS(燃料!$AI:$AI,ROW())=0,"",SUMIFS(燃料!$AF:$AF,燃料!$AI:$AI,ROW()))</f>
        <v/>
      </c>
    </row>
    <row r="9" spans="1:13" ht="30.2" customHeight="1">
      <c r="A9" s="922"/>
      <c r="B9" s="925"/>
      <c r="C9" s="663" t="s">
        <v>13</v>
      </c>
      <c r="D9" s="664"/>
      <c r="E9" s="920"/>
      <c r="F9" s="349" t="str">
        <f>IF(COUNTIFS(燃料!$AI:$AI,ROW())=0,"",ROUND(SUMIFS(燃料!$AF:$AF,燃料!$AI:$AI,ROW()),0))</f>
        <v/>
      </c>
      <c r="G9" s="353" t="s">
        <v>8</v>
      </c>
      <c r="H9" s="351" t="str">
        <f>IF(COUNTIFS(燃料!$AI:$AI,ROW())=0,"",SUMIFS(燃料!$AG:$AG,燃料!$AI:$AI,ROW()))</f>
        <v/>
      </c>
      <c r="I9" s="351" t="str">
        <f t="shared" si="0"/>
        <v/>
      </c>
      <c r="J9" s="351" t="str">
        <f t="shared" si="1"/>
        <v/>
      </c>
      <c r="K9" s="352" t="str">
        <f>IF(COUNTIFS(燃料!$AI:$AI,ROW())=0,"",SUMIFS(燃料!$AH:$AH,燃料!$AI:$AI,ROW()))</f>
        <v/>
      </c>
      <c r="M9" s="540" t="str">
        <f>IF(COUNTIFS(燃料!$AI:$AI,ROW())=0,"",SUMIFS(燃料!$AF:$AF,燃料!$AI:$AI,ROW()))</f>
        <v/>
      </c>
    </row>
    <row r="10" spans="1:13" ht="30.2" customHeight="1">
      <c r="A10" s="922"/>
      <c r="B10" s="925"/>
      <c r="C10" s="663" t="s">
        <v>14</v>
      </c>
      <c r="D10" s="664"/>
      <c r="E10" s="920"/>
      <c r="F10" s="349" t="str">
        <f>IF(COUNTIFS(燃料!$AI:$AI,ROW())=0,"",ROUND(SUMIFS(燃料!$AF:$AF,燃料!$AI:$AI,ROW()),0))</f>
        <v/>
      </c>
      <c r="G10" s="353" t="s">
        <v>8</v>
      </c>
      <c r="H10" s="351" t="str">
        <f>IF(COUNTIFS(燃料!$AI:$AI,ROW())=0,"",SUMIFS(燃料!$AG:$AG,燃料!$AI:$AI,ROW()))</f>
        <v/>
      </c>
      <c r="I10" s="351" t="str">
        <f t="shared" si="0"/>
        <v/>
      </c>
      <c r="J10" s="351" t="str">
        <f t="shared" si="1"/>
        <v/>
      </c>
      <c r="K10" s="352" t="str">
        <f>IF(COUNTIFS(燃料!$AI:$AI,ROW())=0,"",SUMIFS(燃料!$AH:$AH,燃料!$AI:$AI,ROW()))</f>
        <v/>
      </c>
      <c r="M10" s="540" t="str">
        <f>IF(COUNTIFS(燃料!$AI:$AI,ROW())=0,"",SUMIFS(燃料!$AF:$AF,燃料!$AI:$AI,ROW()))</f>
        <v/>
      </c>
    </row>
    <row r="11" spans="1:13" ht="30.2" customHeight="1">
      <c r="A11" s="922"/>
      <c r="B11" s="925"/>
      <c r="C11" s="663" t="s">
        <v>15</v>
      </c>
      <c r="D11" s="664"/>
      <c r="E11" s="920"/>
      <c r="F11" s="349" t="str">
        <f>IF(COUNTIFS(燃料!$AI:$AI,ROW())=0,"",ROUND(SUMIFS(燃料!$AF:$AF,燃料!$AI:$AI,ROW()),0))</f>
        <v/>
      </c>
      <c r="G11" s="353" t="s">
        <v>8</v>
      </c>
      <c r="H11" s="351" t="str">
        <f>IF(COUNTIFS(燃料!$AI:$AI,ROW())=0,"",SUMIFS(燃料!$AG:$AG,燃料!$AI:$AI,ROW()))</f>
        <v/>
      </c>
      <c r="I11" s="351" t="str">
        <f t="shared" si="0"/>
        <v/>
      </c>
      <c r="J11" s="351" t="str">
        <f t="shared" si="1"/>
        <v/>
      </c>
      <c r="K11" s="352" t="str">
        <f>IF(COUNTIFS(燃料!$AI:$AI,ROW())=0,"",SUMIFS(燃料!$AH:$AH,燃料!$AI:$AI,ROW()))</f>
        <v/>
      </c>
      <c r="M11" s="540" t="str">
        <f>IF(COUNTIFS(燃料!$AI:$AI,ROW())=0,"",SUMIFS(燃料!$AF:$AF,燃料!$AI:$AI,ROW()))</f>
        <v/>
      </c>
    </row>
    <row r="12" spans="1:13" ht="30.2" customHeight="1">
      <c r="A12" s="922"/>
      <c r="B12" s="925"/>
      <c r="C12" s="663" t="s">
        <v>16</v>
      </c>
      <c r="D12" s="664"/>
      <c r="E12" s="920"/>
      <c r="F12" s="349" t="str">
        <f>IF(COUNTIFS(燃料!$AI:$AI,ROW())=0,"",ROUND(SUMIFS(燃料!$AF:$AF,燃料!$AI:$AI,ROW()),0))</f>
        <v/>
      </c>
      <c r="G12" s="353" t="s">
        <v>8</v>
      </c>
      <c r="H12" s="351" t="str">
        <f>IF(COUNTIFS(燃料!$AI:$AI,ROW())=0,"",SUMIFS(燃料!$AG:$AG,燃料!$AI:$AI,ROW()))</f>
        <v/>
      </c>
      <c r="I12" s="351" t="str">
        <f t="shared" si="0"/>
        <v/>
      </c>
      <c r="J12" s="351" t="str">
        <f t="shared" si="1"/>
        <v/>
      </c>
      <c r="K12" s="352" t="str">
        <f>IF(COUNTIFS(燃料!$AI:$AI,ROW())=0,"",SUMIFS(燃料!$AH:$AH,燃料!$AI:$AI,ROW()))</f>
        <v/>
      </c>
      <c r="M12" s="540" t="str">
        <f>IF(COUNTIFS(燃料!$AI:$AI,ROW())=0,"",SUMIFS(燃料!$AF:$AF,燃料!$AI:$AI,ROW()))</f>
        <v/>
      </c>
    </row>
    <row r="13" spans="1:13" ht="30.2" customHeight="1">
      <c r="A13" s="922"/>
      <c r="B13" s="925"/>
      <c r="C13" s="663" t="s">
        <v>17</v>
      </c>
      <c r="D13" s="664"/>
      <c r="E13" s="920"/>
      <c r="F13" s="349" t="str">
        <f>IF(COUNTIFS(燃料!$AI:$AI,ROW())=0,"",ROUND(SUMIFS(燃料!$AF:$AF,燃料!$AI:$AI,ROW()),0))</f>
        <v/>
      </c>
      <c r="G13" s="353" t="s">
        <v>8</v>
      </c>
      <c r="H13" s="351" t="str">
        <f>IF(COUNTIFS(燃料!$AI:$AI,ROW())=0,"",SUMIFS(燃料!$AG:$AG,燃料!$AI:$AI,ROW()))</f>
        <v/>
      </c>
      <c r="I13" s="351" t="str">
        <f t="shared" si="0"/>
        <v/>
      </c>
      <c r="J13" s="351" t="str">
        <f t="shared" si="1"/>
        <v/>
      </c>
      <c r="K13" s="352" t="str">
        <f>IF(COUNTIFS(燃料!$AI:$AI,ROW())=0,"",SUMIFS(燃料!$AH:$AH,燃料!$AI:$AI,ROW()))</f>
        <v/>
      </c>
      <c r="M13" s="540" t="str">
        <f>IF(COUNTIFS(燃料!$AI:$AI,ROW())=0,"",SUMIFS(燃料!$AF:$AF,燃料!$AI:$AI,ROW()))</f>
        <v/>
      </c>
    </row>
    <row r="14" spans="1:13" ht="30.2" customHeight="1">
      <c r="A14" s="922"/>
      <c r="B14" s="925"/>
      <c r="C14" s="663" t="s">
        <v>18</v>
      </c>
      <c r="D14" s="664"/>
      <c r="E14" s="920"/>
      <c r="F14" s="349" t="str">
        <f>IF(COUNTIFS(燃料!$AI:$AI,ROW())=0,"",ROUND(SUMIFS(燃料!$AF:$AF,燃料!$AI:$AI,ROW()),0))</f>
        <v/>
      </c>
      <c r="G14" s="353" t="s">
        <v>19</v>
      </c>
      <c r="H14" s="351" t="str">
        <f>IF(COUNTIFS(燃料!$AI:$AI,ROW())=0,"",SUMIFS(燃料!$AG:$AG,燃料!$AI:$AI,ROW()))</f>
        <v/>
      </c>
      <c r="I14" s="351" t="str">
        <f t="shared" si="0"/>
        <v/>
      </c>
      <c r="J14" s="351" t="str">
        <f t="shared" si="1"/>
        <v/>
      </c>
      <c r="K14" s="352" t="str">
        <f>IF(COUNTIFS(燃料!$AI:$AI,ROW())=0,"",SUMIFS(燃料!$AH:$AH,燃料!$AI:$AI,ROW()))</f>
        <v/>
      </c>
      <c r="M14" s="540" t="str">
        <f>IF(COUNTIFS(燃料!$AI:$AI,ROW())=0,"",SUMIFS(燃料!$AF:$AF,燃料!$AI:$AI,ROW()))</f>
        <v/>
      </c>
    </row>
    <row r="15" spans="1:13" ht="30.2" customHeight="1">
      <c r="A15" s="922"/>
      <c r="B15" s="925"/>
      <c r="C15" s="663" t="s">
        <v>20</v>
      </c>
      <c r="D15" s="664"/>
      <c r="E15" s="920"/>
      <c r="F15" s="349" t="str">
        <f>IF(COUNTIFS(燃料!$AI:$AI,ROW())=0,"",ROUND(SUMIFS(燃料!$AF:$AF,燃料!$AI:$AI,ROW()),0))</f>
        <v/>
      </c>
      <c r="G15" s="353" t="s">
        <v>19</v>
      </c>
      <c r="H15" s="351" t="str">
        <f>IF(COUNTIFS(燃料!$AI:$AI,ROW())=0,"",SUMIFS(燃料!$AG:$AG,燃料!$AI:$AI,ROW()))</f>
        <v/>
      </c>
      <c r="I15" s="351" t="str">
        <f t="shared" si="0"/>
        <v/>
      </c>
      <c r="J15" s="351" t="str">
        <f t="shared" si="1"/>
        <v/>
      </c>
      <c r="K15" s="352" t="str">
        <f>IF(COUNTIFS(燃料!$AI:$AI,ROW())=0,"",SUMIFS(燃料!$AH:$AH,燃料!$AI:$AI,ROW()))</f>
        <v/>
      </c>
      <c r="M15" s="540" t="str">
        <f>IF(COUNTIFS(燃料!$AI:$AI,ROW())=0,"",SUMIFS(燃料!$AF:$AF,燃料!$AI:$AI,ROW()))</f>
        <v/>
      </c>
    </row>
    <row r="16" spans="1:13" ht="30.2" customHeight="1">
      <c r="A16" s="922"/>
      <c r="B16" s="925"/>
      <c r="C16" s="940" t="s">
        <v>21</v>
      </c>
      <c r="D16" s="663" t="s">
        <v>22</v>
      </c>
      <c r="E16" s="920"/>
      <c r="F16" s="349" t="str">
        <f>IF(COUNTIFS(燃料!$AI:$AI,ROW())=0,"",ROUND(SUMIFS(燃料!$AF:$AF,燃料!$AI:$AI,ROW()),0))</f>
        <v/>
      </c>
      <c r="G16" s="353" t="s">
        <v>19</v>
      </c>
      <c r="H16" s="351" t="str">
        <f>IF(COUNTIFS(燃料!$AI:$AI,ROW())=0,"",SUMIFS(燃料!$AG:$AG,燃料!$AI:$AI,ROW()))</f>
        <v/>
      </c>
      <c r="I16" s="351" t="str">
        <f t="shared" si="0"/>
        <v/>
      </c>
      <c r="J16" s="351" t="str">
        <f t="shared" si="1"/>
        <v/>
      </c>
      <c r="K16" s="352" t="str">
        <f>IF(COUNTIFS(燃料!$AI:$AI,ROW())=0,"",SUMIFS(燃料!$AH:$AH,燃料!$AI:$AI,ROW()))</f>
        <v/>
      </c>
      <c r="M16" s="540" t="str">
        <f>IF(COUNTIFS(燃料!$AI:$AI,ROW())=0,"",SUMIFS(燃料!$AF:$AF,燃料!$AI:$AI,ROW()))</f>
        <v/>
      </c>
    </row>
    <row r="17" spans="1:13" ht="30.2" customHeight="1">
      <c r="A17" s="922"/>
      <c r="B17" s="925"/>
      <c r="C17" s="941"/>
      <c r="D17" s="663" t="s">
        <v>23</v>
      </c>
      <c r="E17" s="920"/>
      <c r="F17" s="349" t="str">
        <f>IF(COUNTIFS(燃料!$AI:$AI,ROW())=0,"",ROUND(SUMIFS(燃料!$AF:$AF,燃料!$AI:$AI,ROW()),0))</f>
        <v/>
      </c>
      <c r="G17" s="353" t="s">
        <v>340</v>
      </c>
      <c r="H17" s="351" t="str">
        <f>IF(COUNTIFS(燃料!$AI:$AI,ROW())=0,"",SUMIFS(燃料!$AG:$AG,燃料!$AI:$AI,ROW()))</f>
        <v/>
      </c>
      <c r="I17" s="351" t="str">
        <f t="shared" si="0"/>
        <v/>
      </c>
      <c r="J17" s="351" t="str">
        <f t="shared" si="1"/>
        <v/>
      </c>
      <c r="K17" s="352" t="str">
        <f>IF(COUNTIFS(燃料!$AI:$AI,ROW())=0,"",SUMIFS(燃料!$AH:$AH,燃料!$AI:$AI,ROW()))</f>
        <v/>
      </c>
      <c r="M17" s="540" t="str">
        <f>IF(COUNTIFS(燃料!$AI:$AI,ROW())=0,"",SUMIFS(燃料!$AF:$AF,燃料!$AI:$AI,ROW()))</f>
        <v/>
      </c>
    </row>
    <row r="18" spans="1:13" ht="30.2" customHeight="1">
      <c r="A18" s="922"/>
      <c r="B18" s="925"/>
      <c r="C18" s="949" t="s">
        <v>24</v>
      </c>
      <c r="D18" s="663" t="s">
        <v>25</v>
      </c>
      <c r="E18" s="920"/>
      <c r="F18" s="349" t="str">
        <f>IF(COUNTIFS(燃料!$AI:$AI,ROW())=0,"",ROUND(SUMIFS(燃料!$AF:$AF,燃料!$AI:$AI,ROW()),0))</f>
        <v/>
      </c>
      <c r="G18" s="353" t="s">
        <v>19</v>
      </c>
      <c r="H18" s="351" t="str">
        <f>IF(COUNTIFS(燃料!$AI:$AI,ROW())=0,"",SUMIFS(燃料!$AG:$AG,燃料!$AI:$AI,ROW()))</f>
        <v/>
      </c>
      <c r="I18" s="351" t="str">
        <f t="shared" si="0"/>
        <v/>
      </c>
      <c r="J18" s="351" t="str">
        <f t="shared" si="1"/>
        <v/>
      </c>
      <c r="K18" s="352" t="str">
        <f>IF(COUNTIFS(燃料!$AI:$AI,ROW())=0,"",SUMIFS(燃料!$AH:$AH,燃料!$AI:$AI,ROW()))</f>
        <v/>
      </c>
      <c r="M18" s="540" t="str">
        <f>IF(COUNTIFS(燃料!$AI:$AI,ROW())=0,"",SUMIFS(燃料!$AF:$AF,燃料!$AI:$AI,ROW()))</f>
        <v/>
      </c>
    </row>
    <row r="19" spans="1:13" ht="30.2" customHeight="1">
      <c r="A19" s="922"/>
      <c r="B19" s="925"/>
      <c r="C19" s="941"/>
      <c r="D19" s="663" t="s">
        <v>26</v>
      </c>
      <c r="E19" s="920"/>
      <c r="F19" s="349" t="str">
        <f>IF(COUNTIFS(燃料!$AI:$AI,ROW())=0,"",ROUND(SUMIFS(燃料!$AF:$AF,燃料!$AI:$AI,ROW()),0))</f>
        <v/>
      </c>
      <c r="G19" s="353" t="s">
        <v>340</v>
      </c>
      <c r="H19" s="351" t="str">
        <f>IF(COUNTIFS(燃料!$AI:$AI,ROW())=0,"",SUMIFS(燃料!$AG:$AG,燃料!$AI:$AI,ROW()))</f>
        <v/>
      </c>
      <c r="I19" s="351" t="str">
        <f t="shared" si="0"/>
        <v/>
      </c>
      <c r="J19" s="351" t="str">
        <f t="shared" si="1"/>
        <v/>
      </c>
      <c r="K19" s="352" t="str">
        <f>IF(COUNTIFS(燃料!$AI:$AI,ROW())=0,"",SUMIFS(燃料!$AH:$AH,燃料!$AI:$AI,ROW()))</f>
        <v/>
      </c>
      <c r="M19" s="540" t="str">
        <f>IF(COUNTIFS(燃料!$AI:$AI,ROW())=0,"",SUMIFS(燃料!$AF:$AF,燃料!$AI:$AI,ROW()))</f>
        <v/>
      </c>
    </row>
    <row r="20" spans="1:13" ht="30.2" customHeight="1">
      <c r="A20" s="922"/>
      <c r="B20" s="925"/>
      <c r="C20" s="950" t="s">
        <v>43</v>
      </c>
      <c r="D20" s="663" t="s">
        <v>44</v>
      </c>
      <c r="E20" s="920"/>
      <c r="F20" s="349" t="str">
        <f>IF(COUNTIFS(燃料!$AI:$AI,ROW())=0,"",ROUND(SUMIFS(燃料!$AF:$AF,燃料!$AI:$AI,ROW()),0))</f>
        <v/>
      </c>
      <c r="G20" s="353" t="s">
        <v>19</v>
      </c>
      <c r="H20" s="351" t="str">
        <f>IF(COUNTIFS(燃料!$AI:$AI,ROW())=0,"",SUMIFS(燃料!$AG:$AG,燃料!$AI:$AI,ROW()))</f>
        <v/>
      </c>
      <c r="I20" s="351" t="str">
        <f t="shared" si="0"/>
        <v/>
      </c>
      <c r="J20" s="351" t="str">
        <f t="shared" si="1"/>
        <v/>
      </c>
      <c r="K20" s="352" t="str">
        <f>IF(COUNTIFS(燃料!$AI:$AI,ROW())=0,"",SUMIFS(燃料!$AH:$AH,燃料!$AI:$AI,ROW()))</f>
        <v/>
      </c>
      <c r="M20" s="540" t="str">
        <f>IF(COUNTIFS(燃料!$AI:$AI,ROW())=0,"",SUMIFS(燃料!$AF:$AF,燃料!$AI:$AI,ROW()))</f>
        <v/>
      </c>
    </row>
    <row r="21" spans="1:13" ht="30.2" customHeight="1">
      <c r="A21" s="922"/>
      <c r="B21" s="925"/>
      <c r="C21" s="938"/>
      <c r="D21" s="663" t="s">
        <v>45</v>
      </c>
      <c r="E21" s="920"/>
      <c r="F21" s="349" t="str">
        <f>IF(COUNTIFS(燃料!$AI:$AI,ROW())=0,"",ROUND(SUMIFS(燃料!$AF:$AF,燃料!$AI:$AI,ROW()),0))</f>
        <v/>
      </c>
      <c r="G21" s="353" t="s">
        <v>19</v>
      </c>
      <c r="H21" s="351" t="str">
        <f>IF(COUNTIFS(燃料!$AI:$AI,ROW())=0,"",SUMIFS(燃料!$AG:$AG,燃料!$AI:$AI,ROW()))</f>
        <v/>
      </c>
      <c r="I21" s="351" t="str">
        <f t="shared" si="0"/>
        <v/>
      </c>
      <c r="J21" s="351" t="str">
        <f t="shared" si="1"/>
        <v/>
      </c>
      <c r="K21" s="352" t="str">
        <f>IF(COUNTIFS(燃料!$AI:$AI,ROW())=0,"",SUMIFS(燃料!$AH:$AH,燃料!$AI:$AI,ROW()))</f>
        <v/>
      </c>
      <c r="M21" s="540" t="str">
        <f>IF(COUNTIFS(燃料!$AI:$AI,ROW())=0,"",SUMIFS(燃料!$AF:$AF,燃料!$AI:$AI,ROW()))</f>
        <v/>
      </c>
    </row>
    <row r="22" spans="1:13" ht="30.2" customHeight="1">
      <c r="A22" s="922"/>
      <c r="B22" s="925"/>
      <c r="C22" s="939"/>
      <c r="D22" s="663" t="s">
        <v>54</v>
      </c>
      <c r="E22" s="920"/>
      <c r="F22" s="349" t="str">
        <f>IF(COUNTIFS(燃料!$AI:$AI,ROW())=0,"",ROUND(SUMIFS(燃料!$AF:$AF,燃料!$AI:$AI,ROW()),0))</f>
        <v/>
      </c>
      <c r="G22" s="353" t="s">
        <v>19</v>
      </c>
      <c r="H22" s="351" t="str">
        <f>IF(COUNTIFS(燃料!$AI:$AI,ROW())=0,"",SUMIFS(燃料!$AG:$AG,燃料!$AI:$AI,ROW()))</f>
        <v/>
      </c>
      <c r="I22" s="351" t="str">
        <f t="shared" si="0"/>
        <v/>
      </c>
      <c r="J22" s="351" t="str">
        <f t="shared" si="1"/>
        <v/>
      </c>
      <c r="K22" s="352" t="str">
        <f>IF(COUNTIFS(燃料!$AI:$AI,ROW())=0,"",SUMIFS(燃料!$AH:$AH,燃料!$AI:$AI,ROW()))</f>
        <v/>
      </c>
      <c r="M22" s="540" t="str">
        <f>IF(COUNTIFS(燃料!$AI:$AI,ROW())=0,"",SUMIFS(燃料!$AF:$AF,燃料!$AI:$AI,ROW()))</f>
        <v/>
      </c>
    </row>
    <row r="23" spans="1:13" ht="30.2" customHeight="1">
      <c r="A23" s="922"/>
      <c r="B23" s="925"/>
      <c r="C23" s="927" t="s">
        <v>46</v>
      </c>
      <c r="D23" s="663" t="s">
        <v>47</v>
      </c>
      <c r="E23" s="920"/>
      <c r="F23" s="349" t="str">
        <f>IF(COUNTIFS(燃料!$AI:$AI,ROW())=0,"",ROUND(SUMIFS(燃料!$AF:$AF,燃料!$AI:$AI,ROW()),0))</f>
        <v/>
      </c>
      <c r="G23" s="353" t="s">
        <v>19</v>
      </c>
      <c r="H23" s="351" t="str">
        <f>IF(COUNTIFS(燃料!$AI:$AI,ROW())=0,"",SUMIFS(燃料!$AG:$AG,燃料!$AI:$AI,ROW()))</f>
        <v/>
      </c>
      <c r="I23" s="351" t="str">
        <f t="shared" si="0"/>
        <v/>
      </c>
      <c r="J23" s="351" t="str">
        <f t="shared" si="1"/>
        <v/>
      </c>
      <c r="K23" s="352" t="str">
        <f>IF(COUNTIFS(燃料!$AI:$AI,ROW())=0,"",SUMIFS(燃料!$AH:$AH,燃料!$AI:$AI,ROW()))</f>
        <v/>
      </c>
      <c r="M23" s="540" t="str">
        <f>IF(COUNTIFS(燃料!$AI:$AI,ROW())=0,"",SUMIFS(燃料!$AF:$AF,燃料!$AI:$AI,ROW()))</f>
        <v/>
      </c>
    </row>
    <row r="24" spans="1:13" ht="30.2" customHeight="1">
      <c r="A24" s="922"/>
      <c r="B24" s="925"/>
      <c r="C24" s="927"/>
      <c r="D24" s="663" t="s">
        <v>48</v>
      </c>
      <c r="E24" s="920"/>
      <c r="F24" s="349" t="str">
        <f>IF(COUNTIFS(燃料!$AI:$AI,ROW())=0,"",ROUND(SUMIFS(燃料!$AF:$AF,燃料!$AI:$AI,ROW()),0))</f>
        <v/>
      </c>
      <c r="G24" s="353" t="s">
        <v>19</v>
      </c>
      <c r="H24" s="351" t="str">
        <f>IF(COUNTIFS(燃料!$AI:$AI,ROW())=0,"",SUMIFS(燃料!$AG:$AG,燃料!$AI:$AI,ROW()))</f>
        <v/>
      </c>
      <c r="I24" s="351" t="str">
        <f t="shared" si="0"/>
        <v/>
      </c>
      <c r="J24" s="351" t="str">
        <f t="shared" si="1"/>
        <v/>
      </c>
      <c r="K24" s="352" t="str">
        <f>IF(COUNTIFS(燃料!$AI:$AI,ROW())=0,"",SUMIFS(燃料!$AH:$AH,燃料!$AI:$AI,ROW()))</f>
        <v/>
      </c>
      <c r="M24" s="540" t="str">
        <f>IF(COUNTIFS(燃料!$AI:$AI,ROW())=0,"",SUMIFS(燃料!$AF:$AF,燃料!$AI:$AI,ROW()))</f>
        <v/>
      </c>
    </row>
    <row r="25" spans="1:13" ht="30.2" customHeight="1">
      <c r="A25" s="922"/>
      <c r="B25" s="925"/>
      <c r="C25" s="663" t="s">
        <v>53</v>
      </c>
      <c r="D25" s="664"/>
      <c r="E25" s="920"/>
      <c r="F25" s="349" t="str">
        <f>IF(COUNTIFS(燃料!$AI:$AI,ROW())=0,"",ROUND(SUMIFS(燃料!$AF:$AF,燃料!$AI:$AI,ROW()),0))</f>
        <v/>
      </c>
      <c r="G25" s="353" t="s">
        <v>19</v>
      </c>
      <c r="H25" s="351" t="str">
        <f>IF(COUNTIFS(燃料!$AI:$AI,ROW())=0,"",SUMIFS(燃料!$AG:$AG,燃料!$AI:$AI,ROW()))</f>
        <v/>
      </c>
      <c r="I25" s="351" t="str">
        <f t="shared" si="0"/>
        <v/>
      </c>
      <c r="J25" s="351" t="str">
        <f t="shared" si="1"/>
        <v/>
      </c>
      <c r="K25" s="352" t="str">
        <f>IF(COUNTIFS(燃料!$AI:$AI,ROW())=0,"",SUMIFS(燃料!$AH:$AH,燃料!$AI:$AI,ROW()))</f>
        <v/>
      </c>
      <c r="M25" s="540" t="str">
        <f>IF(COUNTIFS(燃料!$AI:$AI,ROW())=0,"",SUMIFS(燃料!$AF:$AF,燃料!$AI:$AI,ROW()))</f>
        <v/>
      </c>
    </row>
    <row r="26" spans="1:13" ht="30.2" customHeight="1">
      <c r="A26" s="922"/>
      <c r="B26" s="925"/>
      <c r="C26" s="663" t="s">
        <v>27</v>
      </c>
      <c r="D26" s="664"/>
      <c r="E26" s="920"/>
      <c r="F26" s="349" t="str">
        <f>IF(COUNTIFS(燃料!$AI:$AI,ROW())=0,"",ROUND(SUMIFS(燃料!$AF:$AF,燃料!$AI:$AI,ROW()),0))</f>
        <v/>
      </c>
      <c r="G26" s="354" t="s">
        <v>19</v>
      </c>
      <c r="H26" s="351" t="str">
        <f>IF(COUNTIFS(燃料!$AI:$AI,ROW())=0,"",SUMIFS(燃料!$AG:$AG,燃料!$AI:$AI,ROW()))</f>
        <v/>
      </c>
      <c r="I26" s="351" t="str">
        <f t="shared" si="0"/>
        <v/>
      </c>
      <c r="J26" s="351" t="str">
        <f t="shared" si="1"/>
        <v/>
      </c>
      <c r="K26" s="352" t="str">
        <f>IF(COUNTIFS(燃料!$AI:$AI,ROW())=0,"",SUMIFS(燃料!$AH:$AH,燃料!$AI:$AI,ROW()))</f>
        <v/>
      </c>
      <c r="M26" s="540" t="str">
        <f>IF(COUNTIFS(燃料!$AI:$AI,ROW())=0,"",SUMIFS(燃料!$AF:$AF,燃料!$AI:$AI,ROW()))</f>
        <v/>
      </c>
    </row>
    <row r="27" spans="1:13" ht="30.2" customHeight="1">
      <c r="A27" s="922"/>
      <c r="B27" s="925"/>
      <c r="C27" s="663" t="s">
        <v>28</v>
      </c>
      <c r="D27" s="664"/>
      <c r="E27" s="920"/>
      <c r="F27" s="349" t="str">
        <f>IF(COUNTIFS(燃料!$AI:$AI,ROW())=0,"",ROUND(SUMIFS(燃料!$AF:$AF,燃料!$AI:$AI,ROW()),0))</f>
        <v/>
      </c>
      <c r="G27" s="354" t="s">
        <v>19</v>
      </c>
      <c r="H27" s="351" t="str">
        <f>IF(COUNTIFS(燃料!$AI:$AI,ROW())=0,"",SUMIFS(燃料!$AG:$AG,燃料!$AI:$AI,ROW()))</f>
        <v/>
      </c>
      <c r="I27" s="351" t="str">
        <f t="shared" si="0"/>
        <v/>
      </c>
      <c r="J27" s="351" t="str">
        <f t="shared" si="1"/>
        <v/>
      </c>
      <c r="K27" s="352" t="str">
        <f>IF(COUNTIFS(燃料!$AI:$AI,ROW())=0,"",SUMIFS(燃料!$AH:$AH,燃料!$AI:$AI,ROW()))</f>
        <v/>
      </c>
      <c r="M27" s="540" t="str">
        <f>IF(COUNTIFS(燃料!$AI:$AI,ROW())=0,"",SUMIFS(燃料!$AF:$AF,燃料!$AI:$AI,ROW()))</f>
        <v/>
      </c>
    </row>
    <row r="28" spans="1:13" ht="30.2" customHeight="1">
      <c r="A28" s="922"/>
      <c r="B28" s="925"/>
      <c r="C28" s="663" t="s">
        <v>84</v>
      </c>
      <c r="D28" s="664"/>
      <c r="E28" s="920"/>
      <c r="F28" s="349" t="str">
        <f>IF(COUNTIFS(燃料!$AI:$AI,ROW())=0,"",ROUND(SUMIFS(燃料!$AF:$AF,燃料!$AI:$AI,ROW()),0))</f>
        <v/>
      </c>
      <c r="G28" s="353" t="s">
        <v>340</v>
      </c>
      <c r="H28" s="351" t="str">
        <f>IF(COUNTIFS(燃料!$AI:$AI,ROW())=0,"",SUMIFS(燃料!$AG:$AG,燃料!$AI:$AI,ROW()))</f>
        <v/>
      </c>
      <c r="I28" s="351" t="str">
        <f t="shared" si="0"/>
        <v/>
      </c>
      <c r="J28" s="351" t="str">
        <f t="shared" si="1"/>
        <v/>
      </c>
      <c r="K28" s="352" t="str">
        <f>IF(COUNTIFS(燃料!$AI:$AI,ROW())=0,"",SUMIFS(燃料!$AH:$AH,燃料!$AI:$AI,ROW()))</f>
        <v/>
      </c>
      <c r="M28" s="540" t="str">
        <f>IF(COUNTIFS(燃料!$AI:$AI,ROW())=0,"",SUMIFS(燃料!$AF:$AF,燃料!$AI:$AI,ROW()))</f>
        <v/>
      </c>
    </row>
    <row r="29" spans="1:13" ht="30.2" customHeight="1">
      <c r="A29" s="922"/>
      <c r="B29" s="925"/>
      <c r="C29" s="663" t="s">
        <v>63</v>
      </c>
      <c r="D29" s="664"/>
      <c r="E29" s="920"/>
      <c r="F29" s="349" t="str">
        <f>IF(COUNTIFS(燃料!$AI:$AI,ROW())=0,"",ROUND(SUMIFS(燃料!$AF:$AF,燃料!$AI:$AI,ROW()),0))</f>
        <v/>
      </c>
      <c r="G29" s="353" t="s">
        <v>340</v>
      </c>
      <c r="H29" s="351" t="str">
        <f>IF(COUNTIFS(燃料!$AI:$AI,ROW())=0,"",SUMIFS(燃料!$AG:$AG,燃料!$AI:$AI,ROW()))</f>
        <v/>
      </c>
      <c r="I29" s="351" t="str">
        <f t="shared" si="0"/>
        <v/>
      </c>
      <c r="J29" s="351" t="str">
        <f t="shared" si="1"/>
        <v/>
      </c>
      <c r="K29" s="352" t="str">
        <f>IF(COUNTIFS(燃料!$AI:$AI,ROW())=0,"",SUMIFS(燃料!$AH:$AH,燃料!$AI:$AI,ROW()))</f>
        <v/>
      </c>
      <c r="M29" s="540" t="str">
        <f>IF(COUNTIFS(燃料!$AI:$AI,ROW())=0,"",SUMIFS(燃料!$AF:$AF,燃料!$AI:$AI,ROW()))</f>
        <v/>
      </c>
    </row>
    <row r="30" spans="1:13" ht="30.2" customHeight="1">
      <c r="A30" s="922"/>
      <c r="B30" s="925"/>
      <c r="C30" s="663" t="s">
        <v>49</v>
      </c>
      <c r="D30" s="664"/>
      <c r="E30" s="920"/>
      <c r="F30" s="349" t="str">
        <f>IF(COUNTIFS(燃料!$AI:$AI,ROW())=0,"",ROUND(SUMIFS(燃料!$AF:$AF,燃料!$AI:$AI,ROW()),0))</f>
        <v/>
      </c>
      <c r="G30" s="353" t="s">
        <v>340</v>
      </c>
      <c r="H30" s="351" t="str">
        <f>IF(COUNTIFS(燃料!$AI:$AI,ROW())=0,"",SUMIFS(燃料!$AG:$AG,燃料!$AI:$AI,ROW()))</f>
        <v/>
      </c>
      <c r="I30" s="351" t="str">
        <f t="shared" si="0"/>
        <v/>
      </c>
      <c r="J30" s="351" t="str">
        <f t="shared" si="1"/>
        <v/>
      </c>
      <c r="K30" s="352" t="str">
        <f>IF(COUNTIFS(燃料!$AI:$AI,ROW())=0,"",SUMIFS(燃料!$AH:$AH,燃料!$AI:$AI,ROW()))</f>
        <v/>
      </c>
      <c r="M30" s="540" t="str">
        <f>IF(COUNTIFS(燃料!$AI:$AI,ROW())=0,"",SUMIFS(燃料!$AF:$AF,燃料!$AI:$AI,ROW()))</f>
        <v/>
      </c>
    </row>
    <row r="31" spans="1:13" ht="30.2" customHeight="1">
      <c r="A31" s="922"/>
      <c r="B31" s="925"/>
      <c r="C31" s="663" t="s">
        <v>30</v>
      </c>
      <c r="D31" s="664"/>
      <c r="E31" s="920"/>
      <c r="F31" s="349" t="str">
        <f>IF(COUNTIFS(燃料!$AI:$AI,ROW())=0,"",ROUND(SUMIFS(燃料!$AF:$AF,燃料!$AI:$AI,ROW()),0))</f>
        <v/>
      </c>
      <c r="G31" s="353" t="s">
        <v>340</v>
      </c>
      <c r="H31" s="351" t="str">
        <f>IF(COUNTIFS(燃料!$AI:$AI,ROW())=0,"",SUMIFS(燃料!$AG:$AG,燃料!$AI:$AI,ROW()))</f>
        <v/>
      </c>
      <c r="I31" s="351" t="str">
        <f t="shared" si="0"/>
        <v/>
      </c>
      <c r="J31" s="351" t="str">
        <f t="shared" si="1"/>
        <v/>
      </c>
      <c r="K31" s="352" t="str">
        <f>IF(COUNTIFS(燃料!$AI:$AI,ROW())=0,"",SUMIFS(燃料!$AH:$AH,燃料!$AI:$AI,ROW()))</f>
        <v/>
      </c>
      <c r="M31" s="540" t="str">
        <f>IF(COUNTIFS(燃料!$AI:$AI,ROW())=0,"",SUMIFS(燃料!$AF:$AF,燃料!$AI:$AI,ROW()))</f>
        <v/>
      </c>
    </row>
    <row r="32" spans="1:13" ht="30.2" customHeight="1">
      <c r="A32" s="922"/>
      <c r="B32" s="925"/>
      <c r="C32" s="663" t="s">
        <v>50</v>
      </c>
      <c r="D32" s="664"/>
      <c r="E32" s="920"/>
      <c r="F32" s="349" t="str">
        <f>IF(COUNTIFS(燃料!$AI:$AI,ROW())=0,"",ROUND(SUMIFS(燃料!$AF:$AF,燃料!$AI:$AI,ROW()),0))</f>
        <v/>
      </c>
      <c r="G32" s="353" t="s">
        <v>8</v>
      </c>
      <c r="H32" s="351" t="str">
        <f>IF(COUNTIFS(燃料!$AI:$AI,ROW())=0,"",SUMIFS(燃料!$AG:$AG,燃料!$AI:$AI,ROW()))</f>
        <v/>
      </c>
      <c r="I32" s="351" t="str">
        <f t="shared" si="0"/>
        <v/>
      </c>
      <c r="J32" s="351" t="str">
        <f t="shared" si="1"/>
        <v/>
      </c>
      <c r="K32" s="352" t="str">
        <f>IF(COUNTIFS(燃料!$AI:$AI,ROW())=0,"",SUMIFS(燃料!$AH:$AH,燃料!$AI:$AI,ROW()))</f>
        <v/>
      </c>
      <c r="M32" s="540" t="str">
        <f>IF(COUNTIFS(燃料!$AI:$AI,ROW())=0,"",SUMIFS(燃料!$AF:$AF,燃料!$AI:$AI,ROW()))</f>
        <v/>
      </c>
    </row>
    <row r="33" spans="1:13" ht="30.2" customHeight="1">
      <c r="A33" s="922"/>
      <c r="B33" s="925"/>
      <c r="C33" s="946" t="s">
        <v>32</v>
      </c>
      <c r="D33" s="947"/>
      <c r="E33" s="948"/>
      <c r="F33" s="355" t="str">
        <f>IF(COUNTIFS(電気・熱_都市ガス!$BA:$BA,ROW())=0,"",ROUND(SUMIFS(電気・熱_都市ガス!$AX:$AX,電気・熱_都市ガス!$BA:$BA,ROW()),0))</f>
        <v/>
      </c>
      <c r="G33" s="353" t="s">
        <v>340</v>
      </c>
      <c r="H33" s="351" t="str">
        <f>IF(COUNTIFS(電気・熱_都市ガス!$BA:$BA,ROW())=0,"",SUMIFS(電気・熱_都市ガス!$AY:$AY,電気・熱_都市ガス!$BA:$BA,ROW()))</f>
        <v/>
      </c>
      <c r="I33" s="351" t="str">
        <f t="shared" si="0"/>
        <v/>
      </c>
      <c r="J33" s="351" t="str">
        <f t="shared" ref="J33:J35" si="2">IF(H33="","",H33*0.0258)</f>
        <v/>
      </c>
      <c r="K33" s="352" t="str">
        <f>IF(COUNTIFS(電気・熱_都市ガス!$BA:$BA,ROW())=0,"",SUMIFS(電気・熱_都市ガス!$AZ:$AZ,電気・熱_都市ガス!$BA:$BA,ROW()))</f>
        <v/>
      </c>
      <c r="M33" s="540" t="str">
        <f>IF(COUNTIFS(電気・熱_都市ガス!$BA:$BA,ROW())=0,"",SUMIFS(電気・熱_都市ガス!$AX:$AX,電気・熱_都市ガス!$BA:$BA,ROW()))</f>
        <v/>
      </c>
    </row>
    <row r="34" spans="1:13" ht="30.2" customHeight="1">
      <c r="A34" s="922"/>
      <c r="B34" s="925"/>
      <c r="C34" s="754" t="s">
        <v>31</v>
      </c>
      <c r="D34" s="956" t="str">
        <f>IF(事業所概要_算定体制!J35="","その他燃料①",事業所概要_算定体制!J35)</f>
        <v>その他燃料①</v>
      </c>
      <c r="E34" s="957"/>
      <c r="F34" s="349" t="str">
        <f>IF(COUNTIFS(燃料!$AI:$AI,ROW())=0,"",ROUND(SUMIFS(燃料!$AF:$AF,燃料!$AI:$AI,ROW()),0))</f>
        <v/>
      </c>
      <c r="G34" s="356" t="str">
        <f>IF(事業所概要_算定体制!L35="","",事業所概要_算定体制!L35)</f>
        <v/>
      </c>
      <c r="H34" s="351" t="str">
        <f>IF(COUNTIFS(燃料!$AI:$AI,ROW())=0,"",SUMIFS(燃料!$AG:$AG,燃料!$AI:$AI,ROW()))</f>
        <v/>
      </c>
      <c r="I34" s="351" t="str">
        <f t="shared" si="0"/>
        <v/>
      </c>
      <c r="J34" s="351" t="str">
        <f t="shared" si="2"/>
        <v/>
      </c>
      <c r="K34" s="352" t="str">
        <f>IF(COUNTIFS(燃料!$AI:$AI,ROW())=0,"",SUMIFS(燃料!$AH:$AH,燃料!$AI:$AI,ROW()))</f>
        <v/>
      </c>
      <c r="M34" s="540" t="str">
        <f>IF(COUNTIFS(燃料!$AI:$AI,ROW())=0,"",SUMIFS(燃料!$AF:$AF,燃料!$AI:$AI,ROW()))</f>
        <v/>
      </c>
    </row>
    <row r="35" spans="1:13" ht="30.2" customHeight="1">
      <c r="A35" s="922"/>
      <c r="B35" s="925"/>
      <c r="C35" s="754"/>
      <c r="D35" s="956" t="str">
        <f>IF(事業所概要_算定体制!J36="","その他燃料②",事業所概要_算定体制!J36)</f>
        <v>その他燃料②</v>
      </c>
      <c r="E35" s="957"/>
      <c r="F35" s="349" t="str">
        <f>IF(COUNTIFS(燃料!$AI:$AI,ROW())=0,"",ROUND(SUMIFS(燃料!$AF:$AF,燃料!$AI:$AI,ROW()),0))</f>
        <v/>
      </c>
      <c r="G35" s="356" t="str">
        <f>IF(事業所概要_算定体制!L36="","",事業所概要_算定体制!L36)</f>
        <v/>
      </c>
      <c r="H35" s="351" t="str">
        <f>IF(COUNTIFS(燃料!$AI:$AI,ROW())=0,"",SUMIFS(燃料!$AG:$AG,燃料!$AI:$AI,ROW()))</f>
        <v/>
      </c>
      <c r="I35" s="351" t="str">
        <f t="shared" si="0"/>
        <v/>
      </c>
      <c r="J35" s="351" t="str">
        <f t="shared" si="2"/>
        <v/>
      </c>
      <c r="K35" s="352" t="str">
        <f>IF(COUNTIFS(燃料!$AI:$AI,ROW())=0,"",SUMIFS(燃料!$AH:$AH,燃料!$AI:$AI,ROW()))</f>
        <v/>
      </c>
      <c r="M35" s="540" t="str">
        <f>IF(COUNTIFS(燃料!$AI:$AI,ROW())=0,"",SUMIFS(燃料!$AF:$AF,燃料!$AI:$AI,ROW()))</f>
        <v/>
      </c>
    </row>
    <row r="36" spans="1:13" ht="30.2" customHeight="1" thickBot="1">
      <c r="A36" s="922"/>
      <c r="B36" s="205"/>
      <c r="C36" s="958" t="s">
        <v>37</v>
      </c>
      <c r="D36" s="959"/>
      <c r="E36" s="960"/>
      <c r="F36" s="961"/>
      <c r="G36" s="962"/>
      <c r="H36" s="357" t="str">
        <f>IF(COUNT(H6:H35)=0,"",SUM(H6:H35))</f>
        <v/>
      </c>
      <c r="I36" s="358" t="str">
        <f t="shared" ref="I36:K36" si="3">IF(COUNT(I6:I35)=0,"",SUM(I6:I35))</f>
        <v/>
      </c>
      <c r="J36" s="358" t="str">
        <f t="shared" si="3"/>
        <v/>
      </c>
      <c r="K36" s="359" t="str">
        <f t="shared" si="3"/>
        <v/>
      </c>
    </row>
    <row r="37" spans="1:13" ht="30.2" customHeight="1" thickTop="1">
      <c r="A37" s="922"/>
      <c r="B37" s="934" t="s">
        <v>329</v>
      </c>
      <c r="C37" s="937" t="s">
        <v>201</v>
      </c>
      <c r="D37" s="965" t="s">
        <v>33</v>
      </c>
      <c r="E37" s="966"/>
      <c r="F37" s="360" t="str">
        <f>IF(COUNTIFS(電気・熱_都市ガス!$BA:$BA,ROW())=0,"",ROUND(SUMIFS(電気・熱_都市ガス!$AX:$AX,電気・熱_都市ガス!$BA:$BA,ROW()),0))</f>
        <v/>
      </c>
      <c r="G37" s="361" t="s">
        <v>7</v>
      </c>
      <c r="H37" s="438" t="str">
        <f>IF(COUNTIFS(電気・熱_都市ガス!$BA:$BA,ROW())=0,"",SUMIFS(電気・熱_都市ガス!$AY:$AY,電気・熱_都市ガス!$BA:$BA,ROW()))</f>
        <v/>
      </c>
      <c r="I37" s="362" t="str">
        <f t="shared" si="0"/>
        <v/>
      </c>
      <c r="J37" s="362" t="str">
        <f t="shared" ref="J37:J42" si="4">IF(H37="","",H37*0.0258)</f>
        <v/>
      </c>
      <c r="K37" s="363" t="str">
        <f>IF(COUNTIFS(電気・熱_都市ガス!$BA:$BA,ROW())=0,"",SUMIFS(電気・熱_都市ガス!$AZ:$AZ,電気・熱_都市ガス!$BA:$BA,ROW()))</f>
        <v/>
      </c>
      <c r="M37" s="540" t="str">
        <f>IF(COUNTIFS(電気・熱_都市ガス!$BA:$BA,ROW())=0,"",SUMIFS(電気・熱_都市ガス!$AX:$AX,電気・熱_都市ガス!$BA:$BA,ROW()))</f>
        <v/>
      </c>
    </row>
    <row r="38" spans="1:13" ht="30.2" customHeight="1">
      <c r="A38" s="922"/>
      <c r="B38" s="935"/>
      <c r="C38" s="938"/>
      <c r="D38" s="967" t="s">
        <v>34</v>
      </c>
      <c r="E38" s="968"/>
      <c r="F38" s="349" t="str">
        <f>IF(COUNTIFS(電気・熱_都市ガス!$BA:$BA,ROW())=0,"",ROUND(SUMIFS(電気・熱_都市ガス!$AX:$AX,電気・熱_都市ガス!$BA:$BA,ROW()),0))</f>
        <v/>
      </c>
      <c r="G38" s="353" t="s">
        <v>7</v>
      </c>
      <c r="H38" s="439" t="str">
        <f>IF(COUNTIFS(電気・熱_都市ガス!$BA:$BA,ROW())=0,"",SUMIFS(電気・熱_都市ガス!$AY:$AY,電気・熱_都市ガス!$BA:$BA,ROW()))</f>
        <v/>
      </c>
      <c r="I38" s="351" t="str">
        <f t="shared" si="0"/>
        <v/>
      </c>
      <c r="J38" s="351" t="str">
        <f t="shared" si="4"/>
        <v/>
      </c>
      <c r="K38" s="352" t="str">
        <f>IF(COUNTIFS(電気・熱_都市ガス!$BA:$BA,ROW())=0,"",SUMIFS(電気・熱_都市ガス!$AZ:$AZ,電気・熱_都市ガス!$BA:$BA,ROW()))</f>
        <v/>
      </c>
      <c r="M38" s="540" t="str">
        <f>IF(COUNTIFS(電気・熱_都市ガス!$BA:$BA,ROW())=0,"",SUMIFS(電気・熱_都市ガス!$AX:$AX,電気・熱_都市ガス!$BA:$BA,ROW()))</f>
        <v/>
      </c>
    </row>
    <row r="39" spans="1:13" ht="30.2" customHeight="1">
      <c r="A39" s="922"/>
      <c r="B39" s="935"/>
      <c r="C39" s="938"/>
      <c r="D39" s="663" t="s">
        <v>35</v>
      </c>
      <c r="E39" s="920"/>
      <c r="F39" s="349" t="str">
        <f>IF(COUNTIFS(電気・熱_都市ガス!$BA:$BA,ROW())=0,"",ROUND(SUMIFS(電気・熱_都市ガス!$AX:$AX,電気・熱_都市ガス!$BA:$BA,ROW()),0))</f>
        <v/>
      </c>
      <c r="G39" s="353" t="s">
        <v>7</v>
      </c>
      <c r="H39" s="439" t="str">
        <f>IF(COUNTIFS(電気・熱_都市ガス!$BA:$BA,ROW())=0,"",SUMIFS(電気・熱_都市ガス!$AY:$AY,電気・熱_都市ガス!$BA:$BA,ROW()))</f>
        <v/>
      </c>
      <c r="I39" s="351" t="str">
        <f t="shared" si="0"/>
        <v/>
      </c>
      <c r="J39" s="351" t="str">
        <f t="shared" si="4"/>
        <v/>
      </c>
      <c r="K39" s="352" t="str">
        <f>IF(COUNTIFS(電気・熱_都市ガス!$BA:$BA,ROW())=0,"",SUMIFS(電気・熱_都市ガス!$AZ:$AZ,電気・熱_都市ガス!$BA:$BA,ROW()))</f>
        <v/>
      </c>
      <c r="M39" s="540" t="str">
        <f>IF(COUNTIFS(電気・熱_都市ガス!$BA:$BA,ROW())=0,"",SUMIFS(電気・熱_都市ガス!$AX:$AX,電気・熱_都市ガス!$BA:$BA,ROW()))</f>
        <v/>
      </c>
    </row>
    <row r="40" spans="1:13" ht="30.2" customHeight="1">
      <c r="A40" s="922"/>
      <c r="B40" s="935"/>
      <c r="C40" s="939"/>
      <c r="D40" s="663" t="s">
        <v>36</v>
      </c>
      <c r="E40" s="920"/>
      <c r="F40" s="349" t="str">
        <f>IF(COUNTIFS(電気・熱_都市ガス!$BA:$BA,ROW())=0,"",ROUND(SUMIFS(電気・熱_都市ガス!$AX:$AX,電気・熱_都市ガス!$BA:$BA,ROW()),0))</f>
        <v/>
      </c>
      <c r="G40" s="353" t="s">
        <v>7</v>
      </c>
      <c r="H40" s="439" t="str">
        <f>IF(COUNTIFS(電気・熱_都市ガス!$BA:$BA,ROW())=0,"",SUMIFS(電気・熱_都市ガス!$AY:$AY,電気・熱_都市ガス!$BA:$BA,ROW()))</f>
        <v/>
      </c>
      <c r="I40" s="351" t="str">
        <f t="shared" si="0"/>
        <v/>
      </c>
      <c r="J40" s="351" t="str">
        <f t="shared" si="4"/>
        <v/>
      </c>
      <c r="K40" s="352" t="str">
        <f>IF(COUNTIFS(電気・熱_都市ガス!$BA:$BA,ROW())=0,"",SUMIFS(電気・熱_都市ガス!$AZ:$AZ,電気・熱_都市ガス!$BA:$BA,ROW()))</f>
        <v/>
      </c>
      <c r="M40" s="540" t="str">
        <f>IF(COUNTIFS(電気・熱_都市ガス!$BA:$BA,ROW())=0,"",SUMIFS(電気・熱_都市ガス!$AX:$AX,電気・熱_都市ガス!$BA:$BA,ROW()))</f>
        <v/>
      </c>
    </row>
    <row r="41" spans="1:13" ht="30.2" customHeight="1">
      <c r="A41" s="922"/>
      <c r="B41" s="935"/>
      <c r="C41" s="969" t="s">
        <v>202</v>
      </c>
      <c r="D41" s="951" t="s">
        <v>58</v>
      </c>
      <c r="E41" s="14" t="s">
        <v>56</v>
      </c>
      <c r="F41" s="364" t="str">
        <f>IF(COUNTIFS(再エネ電気・熱!$BD:$BD,ROW())=0,"",ROUND(SUMIFS(再エネ電気・熱!$AT:$AT,再エネ電気・熱!$BD:$BD,ROW()),0))</f>
        <v/>
      </c>
      <c r="G41" s="353" t="s">
        <v>7</v>
      </c>
      <c r="H41" s="351" t="str">
        <f>IF(COUNTIFS(再エネ電気・熱!$BD:$BD,ROW())=0,"",SUMIFS(再エネ電気・熱!$AU:$AU,再エネ電気・熱!$BD:$BD,ROW()))</f>
        <v/>
      </c>
      <c r="I41" s="351" t="str">
        <f t="shared" si="0"/>
        <v/>
      </c>
      <c r="J41" s="365"/>
      <c r="K41" s="352" t="str">
        <f>IF(COUNTIFS(再エネ電気・熱!$BD:$BD,ROW())=0,"",SUMIFS(再エネ電気・熱!$AW:$AW,再エネ電気・熱!$BD:$BD,ROW()))</f>
        <v/>
      </c>
      <c r="M41" s="540" t="str">
        <f>IF(COUNTIFS(再エネ電気・熱!$BD:$BD,ROW())=0,"",SUMIFS(再エネ電気・熱!$AT:$AT,再エネ電気・熱!$BD:$BD,ROW()))</f>
        <v/>
      </c>
    </row>
    <row r="42" spans="1:13" ht="30.2" customHeight="1">
      <c r="A42" s="922"/>
      <c r="B42" s="935"/>
      <c r="C42" s="970"/>
      <c r="D42" s="952"/>
      <c r="E42" s="14" t="s">
        <v>57</v>
      </c>
      <c r="F42" s="364" t="str">
        <f>IF(COUNTIFS(再エネ電気・熱!$BD:$BD,ROW())=0,"",ROUND(SUMIFS(再エネ電気・熱!$AT:$AT,再エネ電気・熱!$BD:$BD,ROW()),0))</f>
        <v/>
      </c>
      <c r="G42" s="353" t="s">
        <v>7</v>
      </c>
      <c r="H42" s="351" t="str">
        <f>IF(COUNTIFS(再エネ電気・熱!$BD:$BD,ROW())=0,"",SUMIFS(再エネ電気・熱!$AU:$AU,再エネ電気・熱!$BD:$BD,ROW()))</f>
        <v/>
      </c>
      <c r="I42" s="351" t="str">
        <f t="shared" si="0"/>
        <v/>
      </c>
      <c r="J42" s="351" t="str">
        <f t="shared" si="4"/>
        <v/>
      </c>
      <c r="K42" s="352" t="str">
        <f>IF(COUNTIFS(再エネ電気・熱!$BD:$BD,ROW())=0,"",SUMIFS(再エネ電気・熱!$AW:$AW,再エネ電気・熱!$BD:$BD,ROW()))</f>
        <v/>
      </c>
      <c r="M42" s="540" t="str">
        <f>IF(COUNTIFS(再エネ電気・熱!$BD:$BD,ROW())=0,"",SUMIFS(再エネ電気・熱!$AT:$AT,再エネ電気・熱!$BD:$BD,ROW()))</f>
        <v/>
      </c>
    </row>
    <row r="43" spans="1:13" ht="30.2" customHeight="1">
      <c r="A43" s="922"/>
      <c r="B43" s="935"/>
      <c r="C43" s="970"/>
      <c r="D43" s="951" t="s">
        <v>65</v>
      </c>
      <c r="E43" s="14" t="s">
        <v>56</v>
      </c>
      <c r="F43" s="364" t="str">
        <f>IF(COUNTIFS(再エネ電気・熱!$BD:$BD,ROW())=0,"",ROUND(SUMIFS(再エネ電気・熱!$AT:$AT,再エネ電気・熱!$BD:$BD,ROW()),0))</f>
        <v/>
      </c>
      <c r="G43" s="353" t="s">
        <v>7</v>
      </c>
      <c r="H43" s="351" t="str">
        <f>IF(COUNTIFS(再エネ電気・熱!$BD:$BD,ROW())=0,"",SUMIFS(再エネ電気・熱!$AU:$AU,再エネ電気・熱!$BD:$BD,ROW()))</f>
        <v/>
      </c>
      <c r="I43" s="351" t="str">
        <f t="shared" si="0"/>
        <v/>
      </c>
      <c r="J43" s="366"/>
      <c r="K43" s="352" t="str">
        <f>IF(COUNTIFS(再エネ電気・熱!$BD:$BD,ROW())=0,"",SUMIFS(再エネ電気・熱!$AW:$AW,再エネ電気・熱!$BD:$BD,ROW()))</f>
        <v/>
      </c>
      <c r="M43" s="540" t="str">
        <f>IF(COUNTIFS(再エネ電気・熱!$BD:$BD,ROW())=0,"",SUMIFS(再エネ電気・熱!$AT:$AT,再エネ電気・熱!$BD:$BD,ROW()))</f>
        <v/>
      </c>
    </row>
    <row r="44" spans="1:13" ht="30.2" customHeight="1">
      <c r="A44" s="922"/>
      <c r="B44" s="935"/>
      <c r="C44" s="970"/>
      <c r="D44" s="952"/>
      <c r="E44" s="14" t="s">
        <v>57</v>
      </c>
      <c r="F44" s="364" t="str">
        <f>IF(COUNTIFS(再エネ電気・熱!$BD:$BD,ROW())=0,"",ROUND(SUMIFS(再エネ電気・熱!$AT:$AT,再エネ電気・熱!$BD:$BD,ROW()),0))</f>
        <v/>
      </c>
      <c r="G44" s="353" t="s">
        <v>7</v>
      </c>
      <c r="H44" s="351" t="str">
        <f>IF(COUNTIFS(再エネ電気・熱!$BD:$BD,ROW())=0,"",SUMIFS(再エネ電気・熱!$AU:$AU,再エネ電気・熱!$BD:$BD,ROW()))</f>
        <v/>
      </c>
      <c r="I44" s="351" t="str">
        <f t="shared" si="0"/>
        <v/>
      </c>
      <c r="J44" s="351" t="str">
        <f t="shared" ref="J44" si="5">IF(H44="","",H44*0.0258)</f>
        <v/>
      </c>
      <c r="K44" s="352" t="str">
        <f>IF(COUNTIFS(再エネ電気・熱!$BD:$BD,ROW())=0,"",SUMIFS(再エネ電気・熱!$AW:$AW,再エネ電気・熱!$BD:$BD,ROW()))</f>
        <v/>
      </c>
      <c r="M44" s="540" t="str">
        <f>IF(COUNTIFS(再エネ電気・熱!$BD:$BD,ROW())=0,"",SUMIFS(再エネ電気・熱!$AT:$AT,再エネ電気・熱!$BD:$BD,ROW()))</f>
        <v/>
      </c>
    </row>
    <row r="45" spans="1:13" ht="45" customHeight="1">
      <c r="A45" s="922"/>
      <c r="B45" s="935"/>
      <c r="C45" s="971"/>
      <c r="D45" s="932" t="s">
        <v>199</v>
      </c>
      <c r="E45" s="933"/>
      <c r="F45" s="364" t="str">
        <f>IF(COUNTIFS(再エネ電気・熱!$BD:$BD,ROW())=0,"",ROUND(SUMIFS(再エネ電気・熱!$AT:$AT,再エネ電気・熱!$BD:$BD,ROW()),0))</f>
        <v/>
      </c>
      <c r="G45" s="353" t="s">
        <v>7</v>
      </c>
      <c r="H45" s="351" t="str">
        <f>IF(COUNTIFS(再エネ電気・熱!$BD:$BD,ROW())=0,"",SUMIFS(再エネ電気・熱!$AU:$AU,再エネ電気・熱!$BD:$BD,ROW()))</f>
        <v/>
      </c>
      <c r="I45" s="351" t="str">
        <f t="shared" ref="I45" si="6">IF(H45="","",H45*0.0258)</f>
        <v/>
      </c>
      <c r="J45" s="351" t="str">
        <f t="shared" ref="J45" si="7">IF(H45="","",H45*0.0258)</f>
        <v/>
      </c>
      <c r="K45" s="352" t="str">
        <f>IF(COUNTIFS(再エネ電気・熱!$BD:$BD,ROW())=0,"",SUMIFS(再エネ電気・熱!$AW:$AW,再エネ電気・熱!$BD:$BD,ROW()))</f>
        <v/>
      </c>
      <c r="M45" s="540" t="str">
        <f>IF(COUNTIFS(再エネ電気・熱!$BD:$BD,ROW())=0,"",SUMIFS(再エネ電気・熱!$AT:$AT,再エネ電気・熱!$BD:$BD,ROW()))</f>
        <v/>
      </c>
    </row>
    <row r="46" spans="1:13" ht="35.1" customHeight="1" thickBot="1">
      <c r="A46" s="922"/>
      <c r="B46" s="936"/>
      <c r="C46" s="953" t="s">
        <v>37</v>
      </c>
      <c r="D46" s="954"/>
      <c r="E46" s="955"/>
      <c r="F46" s="963"/>
      <c r="G46" s="964"/>
      <c r="H46" s="369" t="str">
        <f>IF(COUNT(H37:H45)=0,"",SUM(H37:H45))</f>
        <v/>
      </c>
      <c r="I46" s="370" t="str">
        <f t="shared" ref="I46:K46" si="8">IF(COUNT(I37:I45)=0,"",SUM(I37:I45))</f>
        <v/>
      </c>
      <c r="J46" s="370" t="str">
        <f t="shared" si="8"/>
        <v/>
      </c>
      <c r="K46" s="359" t="str">
        <f t="shared" si="8"/>
        <v/>
      </c>
    </row>
    <row r="47" spans="1:13" ht="35.25" customHeight="1" thickTop="1">
      <c r="A47" s="922"/>
      <c r="B47" s="928" t="s">
        <v>330</v>
      </c>
      <c r="C47" s="206" t="s">
        <v>205</v>
      </c>
      <c r="D47" s="930" t="s">
        <v>203</v>
      </c>
      <c r="E47" s="931"/>
      <c r="F47" s="349" t="str">
        <f>IF(COUNTIFS(電気・熱_都市ガス!$BA:$BA,ROW())=0,"",ROUND(SUMIFS(電気・熱_都市ガス!$AX:$AX,電気・熱_都市ガス!$BA:$BA,ROW()),0))</f>
        <v/>
      </c>
      <c r="G47" s="353" t="s">
        <v>38</v>
      </c>
      <c r="H47" s="351" t="str">
        <f>IF(COUNTIFS(電気・熱_都市ガス!$BA:$BA,ROW())=0,"",SUMIFS(電気・熱_都市ガス!$AY:$AY,電気・熱_都市ガス!$BA:$BA,ROW()))</f>
        <v/>
      </c>
      <c r="I47" s="351" t="str">
        <f t="shared" ref="I47:I51" si="9">IF(H47="","",H47*0.0258)</f>
        <v/>
      </c>
      <c r="J47" s="351" t="str">
        <f t="shared" ref="J47" si="10">IF(H47="","",H47*0.0258)</f>
        <v/>
      </c>
      <c r="K47" s="371" t="str">
        <f>IF(COUNTIFS(電気・熱_都市ガス!$BA:$BA,ROW())=0,"",SUMIFS(電気・熱_都市ガス!$AZ:$AZ,電気・熱_都市ガス!$BA:$BA,ROW()))</f>
        <v/>
      </c>
      <c r="M47" s="540" t="str">
        <f>IF(COUNTIFS(電気・熱_都市ガス!$BA:$BA,ROW())=0,"",SUMIFS(電気・熱_都市ガス!$AX:$AX,電気・熱_都市ガス!$BA:$BA,ROW()))</f>
        <v/>
      </c>
    </row>
    <row r="48" spans="1:13" ht="30" customHeight="1">
      <c r="A48" s="922"/>
      <c r="B48" s="928"/>
      <c r="C48" s="969" t="s">
        <v>202</v>
      </c>
      <c r="D48" s="951" t="s">
        <v>66</v>
      </c>
      <c r="E48" s="14" t="s">
        <v>56</v>
      </c>
      <c r="F48" s="355" t="str">
        <f>IF(COUNTIFS(再エネ電気・熱!$BD:$BD,ROW())=0,"",ROUND(SUMIFS(再エネ電気・熱!$AT:$AT,再エネ電気・熱!$BD:$BD,ROW()),0))</f>
        <v/>
      </c>
      <c r="G48" s="353" t="s">
        <v>38</v>
      </c>
      <c r="H48" s="351" t="str">
        <f>IF(COUNTIFS(再エネ電気・熱!$BD:$BD,ROW())=0,"",SUMIFS(再エネ電気・熱!$AU:$AU,再エネ電気・熱!$BD:$BD,ROW()))</f>
        <v/>
      </c>
      <c r="I48" s="351" t="str">
        <f t="shared" si="9"/>
        <v/>
      </c>
      <c r="J48" s="372"/>
      <c r="K48" s="352" t="str">
        <f>IF(COUNTIFS(再エネ電気・熱!$BD:$BD,ROW())=0,"",SUMIFS(再エネ電気・熱!$AW:$AW,再エネ電気・熱!$BD:$BD,ROW()))</f>
        <v/>
      </c>
      <c r="M48" s="540" t="str">
        <f>IF(COUNTIFS(再エネ電気・熱!$BD:$BD,ROW())=0,"",SUMIFS(再エネ電気・熱!$AT:$AT,再エネ電気・熱!$BD:$BD,ROW()))</f>
        <v/>
      </c>
    </row>
    <row r="49" spans="1:13" ht="30.2" customHeight="1">
      <c r="A49" s="922"/>
      <c r="B49" s="928"/>
      <c r="C49" s="970"/>
      <c r="D49" s="952"/>
      <c r="E49" s="14" t="s">
        <v>57</v>
      </c>
      <c r="F49" s="349" t="str">
        <f>IF(COUNTIFS(再エネ電気・熱!$BD:$BD,ROW())=0,"",ROUND(SUMIFS(再エネ電気・熱!$AT:$AT,再エネ電気・熱!$BD:$BD,ROW()),0))</f>
        <v/>
      </c>
      <c r="G49" s="353" t="s">
        <v>38</v>
      </c>
      <c r="H49" s="351" t="str">
        <f>IF(COUNTIFS(再エネ電気・熱!$BD:$BD,ROW())=0,"",SUMIFS(再エネ電気・熱!$AU:$AU,再エネ電気・熱!$BD:$BD,ROW()))</f>
        <v/>
      </c>
      <c r="I49" s="351" t="str">
        <f t="shared" si="9"/>
        <v/>
      </c>
      <c r="J49" s="351" t="str">
        <f t="shared" ref="J49" si="11">IF(H49="","",H49*0.0258)</f>
        <v/>
      </c>
      <c r="K49" s="352" t="str">
        <f>IF(COUNTIFS(再エネ電気・熱!$BD:$BD,ROW())=0,"",SUMIFS(再エネ電気・熱!$AW:$AW,再エネ電気・熱!$BD:$BD,ROW()))</f>
        <v/>
      </c>
      <c r="M49" s="540" t="str">
        <f>IF(COUNTIFS(再エネ電気・熱!$BD:$BD,ROW())=0,"",SUMIFS(再エネ電気・熱!$AT:$AT,再エネ電気・熱!$BD:$BD,ROW()))</f>
        <v/>
      </c>
    </row>
    <row r="50" spans="1:13" ht="30.2" customHeight="1">
      <c r="A50" s="922"/>
      <c r="B50" s="928"/>
      <c r="C50" s="970"/>
      <c r="D50" s="951" t="s">
        <v>67</v>
      </c>
      <c r="E50" s="14" t="s">
        <v>56</v>
      </c>
      <c r="F50" s="349" t="str">
        <f>IF(COUNTIFS(再エネ電気・熱!$BD:$BD,ROW())=0,"",ROUND(SUMIFS(再エネ電気・熱!$AT:$AT,再エネ電気・熱!$BD:$BD,ROW()),0))</f>
        <v/>
      </c>
      <c r="G50" s="353" t="s">
        <v>38</v>
      </c>
      <c r="H50" s="351" t="str">
        <f>IF(COUNTIFS(再エネ電気・熱!$BD:$BD,ROW())=0,"",SUMIFS(再エネ電気・熱!$AU:$AU,再エネ電気・熱!$BD:$BD,ROW()))</f>
        <v/>
      </c>
      <c r="I50" s="351" t="str">
        <f t="shared" si="9"/>
        <v/>
      </c>
      <c r="J50" s="373"/>
      <c r="K50" s="352" t="str">
        <f>IF(COUNTIFS(再エネ電気・熱!$BD:$BD,ROW())=0,"",SUMIFS(再エネ電気・熱!$AW:$AW,再エネ電気・熱!$BD:$BD,ROW()))</f>
        <v/>
      </c>
      <c r="M50" s="540" t="str">
        <f>IF(COUNTIFS(再エネ電気・熱!$BD:$BD,ROW())=0,"",SUMIFS(再エネ電気・熱!$AT:$AT,再エネ電気・熱!$BD:$BD,ROW()))</f>
        <v/>
      </c>
    </row>
    <row r="51" spans="1:13" ht="30.2" customHeight="1">
      <c r="A51" s="922"/>
      <c r="B51" s="928"/>
      <c r="C51" s="970"/>
      <c r="D51" s="952"/>
      <c r="E51" s="14" t="s">
        <v>57</v>
      </c>
      <c r="F51" s="349" t="str">
        <f>IF(COUNTIFS(再エネ電気・熱!$BD:$BD,ROW())=0,"",ROUND(SUMIFS(再エネ電気・熱!$AT:$AT,再エネ電気・熱!$BD:$BD,ROW()),0))</f>
        <v/>
      </c>
      <c r="G51" s="353" t="s">
        <v>38</v>
      </c>
      <c r="H51" s="351" t="str">
        <f>IF(COUNTIFS(再エネ電気・熱!$BD:$BD,ROW())=0,"",SUMIFS(再エネ電気・熱!$AU:$AU,再エネ電気・熱!$BD:$BD,ROW()))</f>
        <v/>
      </c>
      <c r="I51" s="351" t="str">
        <f t="shared" si="9"/>
        <v/>
      </c>
      <c r="J51" s="351" t="str">
        <f t="shared" ref="J51" si="12">IF(H51="","",H51*0.0258)</f>
        <v/>
      </c>
      <c r="K51" s="352" t="str">
        <f>IF(COUNTIFS(再エネ電気・熱!$BD:$BD,ROW())=0,"",SUMIFS(再エネ電気・熱!$AW:$AW,再エネ電気・熱!$BD:$BD,ROW()))</f>
        <v/>
      </c>
      <c r="M51" s="540" t="str">
        <f>IF(COUNTIFS(再エネ電気・熱!$BD:$BD,ROW())=0,"",SUMIFS(再エネ電気・熱!$AT:$AT,再エネ電気・熱!$BD:$BD,ROW()))</f>
        <v/>
      </c>
    </row>
    <row r="52" spans="1:13" ht="45" customHeight="1">
      <c r="A52" s="922"/>
      <c r="B52" s="928"/>
      <c r="C52" s="970"/>
      <c r="D52" s="932" t="s">
        <v>199</v>
      </c>
      <c r="E52" s="933"/>
      <c r="F52" s="349" t="str">
        <f>IF(COUNTIFS(再エネ電気・熱!$BD:$BD,ROW())=0,"",ROUND(SUMIFS(再エネ電気・熱!$AT:$AT,再エネ電気・熱!$BD:$BD,ROW()),0))</f>
        <v/>
      </c>
      <c r="G52" s="354" t="s">
        <v>38</v>
      </c>
      <c r="H52" s="351" t="str">
        <f>IF(COUNTIFS(再エネ電気・熱!$BD:$BD,ROW())=0,"",SUMIFS(再エネ電気・熱!$AU:$AU,再エネ電気・熱!$BD:$BD,ROW()))</f>
        <v/>
      </c>
      <c r="I52" s="351" t="str">
        <f t="shared" ref="I52" si="13">IF(H52="","",H52*0.0258)</f>
        <v/>
      </c>
      <c r="J52" s="351" t="str">
        <f t="shared" ref="J52" si="14">IF(H52="","",H52*0.0258)</f>
        <v/>
      </c>
      <c r="K52" s="352" t="str">
        <f>IF(COUNTIFS(再エネ電気・熱!$BD:$BD,ROW())=0,"",SUMIFS(再エネ電気・熱!$AW:$AW,再エネ電気・熱!$BD:$BD,ROW()))</f>
        <v/>
      </c>
      <c r="M52" s="540" t="str">
        <f>IF(COUNTIFS(再エネ電気・熱!$BD:$BD,ROW())=0,"",SUMIFS(再エネ電気・熱!$AT:$AT,再エネ電気・熱!$BD:$BD,ROW()))</f>
        <v/>
      </c>
    </row>
    <row r="53" spans="1:13" ht="45" customHeight="1">
      <c r="A53" s="922"/>
      <c r="B53" s="928"/>
      <c r="C53" s="971"/>
      <c r="D53" s="932" t="s">
        <v>200</v>
      </c>
      <c r="E53" s="933"/>
      <c r="F53" s="349" t="str">
        <f>IF(COUNTIFS(再エネ電気・熱!$BD:$BD,ROW())=0,"",ROUND(SUMIFS(再エネ電気・熱!$AT:$AT,再エネ電気・熱!$BD:$BD,ROW()),0))</f>
        <v/>
      </c>
      <c r="G53" s="353" t="s">
        <v>38</v>
      </c>
      <c r="H53" s="374"/>
      <c r="I53" s="373"/>
      <c r="J53" s="373"/>
      <c r="K53" s="352" t="str">
        <f>IF(COUNTIFS(再エネ電気・熱!$BD:$BD,ROW())=0,"",SUMIFS(再エネ電気・熱!$AW:$AW,再エネ電気・熱!$BD:$BD,ROW()))</f>
        <v/>
      </c>
      <c r="M53" s="540" t="str">
        <f>IF(COUNTIFS(再エネ電気・熱!$BD:$BD,ROW())=0,"",SUMIFS(再エネ電気・熱!$AT:$AT,再エネ電気・熱!$BD:$BD,ROW()))</f>
        <v/>
      </c>
    </row>
    <row r="54" spans="1:13" ht="35.1" customHeight="1" thickBot="1">
      <c r="A54" s="923"/>
      <c r="B54" s="929"/>
      <c r="C54" s="943" t="s">
        <v>37</v>
      </c>
      <c r="D54" s="944"/>
      <c r="E54" s="945"/>
      <c r="F54" s="961"/>
      <c r="G54" s="962"/>
      <c r="H54" s="375" t="str">
        <f>IF(COUNT(H47:H53)=0,"",SUM(H47:H53))</f>
        <v/>
      </c>
      <c r="I54" s="376" t="str">
        <f t="shared" ref="I54:K54" si="15">IF(COUNT(I47:I53)=0,"",SUM(I47:I53))</f>
        <v/>
      </c>
      <c r="J54" s="377" t="str">
        <f t="shared" si="15"/>
        <v/>
      </c>
      <c r="K54" s="378" t="str">
        <f t="shared" si="15"/>
        <v/>
      </c>
    </row>
    <row r="55" spans="1:13" ht="35.1" customHeight="1" thickTop="1">
      <c r="A55" s="15"/>
      <c r="B55" s="16"/>
      <c r="C55" s="17"/>
      <c r="D55" s="17"/>
      <c r="E55" s="17"/>
      <c r="F55" s="18"/>
      <c r="G55" s="18"/>
      <c r="H55" s="134"/>
      <c r="I55" s="20"/>
      <c r="J55" s="19"/>
      <c r="K55" s="134" t="s">
        <v>323</v>
      </c>
    </row>
    <row r="56" spans="1:13" ht="35.1" customHeight="1" thickBot="1">
      <c r="A56" s="4" t="s">
        <v>321</v>
      </c>
      <c r="B56" s="21"/>
      <c r="C56" s="22"/>
      <c r="D56" s="22"/>
      <c r="E56" s="22"/>
      <c r="F56" s="23"/>
      <c r="G56" s="23"/>
      <c r="H56" s="24"/>
      <c r="I56" s="26"/>
      <c r="J56" s="25"/>
      <c r="K56" s="24"/>
    </row>
    <row r="57" spans="1:13" ht="51.75" customHeight="1">
      <c r="A57" s="991" t="s">
        <v>320</v>
      </c>
      <c r="B57" s="844" t="s">
        <v>1</v>
      </c>
      <c r="C57" s="913"/>
      <c r="D57" s="913"/>
      <c r="E57" s="914"/>
      <c r="F57" s="1040" t="s">
        <v>869</v>
      </c>
      <c r="G57" s="919"/>
      <c r="H57" s="8" t="s">
        <v>2</v>
      </c>
      <c r="I57" s="204" t="s">
        <v>51</v>
      </c>
      <c r="J57" s="204" t="s">
        <v>52</v>
      </c>
      <c r="K57" s="142" t="s">
        <v>3</v>
      </c>
    </row>
    <row r="58" spans="1:13" ht="21.75" thickBot="1">
      <c r="A58" s="992"/>
      <c r="B58" s="974"/>
      <c r="C58" s="1039"/>
      <c r="D58" s="1039"/>
      <c r="E58" s="977"/>
      <c r="F58" s="27"/>
      <c r="G58" s="28"/>
      <c r="H58" s="29" t="s">
        <v>7</v>
      </c>
      <c r="I58" s="30" t="s">
        <v>8</v>
      </c>
      <c r="J58" s="30" t="s">
        <v>8</v>
      </c>
      <c r="K58" s="31" t="s">
        <v>190</v>
      </c>
    </row>
    <row r="59" spans="1:13" ht="30.2" customHeight="1" thickTop="1">
      <c r="A59" s="992"/>
      <c r="B59" s="1041" t="s">
        <v>39</v>
      </c>
      <c r="C59" s="886" t="s">
        <v>40</v>
      </c>
      <c r="D59" s="983"/>
      <c r="E59" s="984"/>
      <c r="F59" s="379" t="str">
        <f>IF(COUNTIFS(電気・熱_都市ガス!$BA:$BA,ROW())=0,"",-1*ROUND(SUMIFS(電気・熱_都市ガス!$AX:$AX,電気・熱_都市ガス!$BA:$BA,ROW()),0))</f>
        <v/>
      </c>
      <c r="G59" s="361" t="s">
        <v>7</v>
      </c>
      <c r="H59" s="506" t="str">
        <f>IF(COUNTIFS(電気・熱_都市ガス!$BA:$BA,ROW())=0,"",SUMIFS(電気・熱_都市ガス!$AY:$AY,電気・熱_都市ガス!$BA:$BA,ROW()))</f>
        <v/>
      </c>
      <c r="I59" s="507" t="str">
        <f>IF(H59="","",H59*0.0258)</f>
        <v/>
      </c>
      <c r="J59" s="506" t="str">
        <f>IF(H59="","",H59*0.0258)</f>
        <v/>
      </c>
      <c r="K59" s="380" t="str">
        <f>IF(COUNTIFS(電気・熱_都市ガス!$BA:$BA,ROW())=0,"",SUMIFS(電気・熱_都市ガス!$AZ:$AZ,電気・熱_都市ガス!$BA:$BA,ROW()))</f>
        <v/>
      </c>
      <c r="M59" s="540" t="str">
        <f>IF(COUNTIFS(電気・熱_都市ガス!$BA:$BA,ROW())=0,"",-1*SUMIFS(電気・熱_都市ガス!$AX:$AX,電気・熱_都市ガス!$BA:$BA,ROW()))</f>
        <v/>
      </c>
    </row>
    <row r="60" spans="1:13" ht="30.2" customHeight="1">
      <c r="A60" s="992"/>
      <c r="B60" s="1042"/>
      <c r="C60" s="884" t="s">
        <v>41</v>
      </c>
      <c r="D60" s="987"/>
      <c r="E60" s="988"/>
      <c r="F60" s="381" t="str">
        <f>IF(COUNTIFS(電気・熱_都市ガス!$BA:$BA,ROW())=0,"",-1*ROUND(SUMIFS(電気・熱_都市ガス!$AX:$AX,電気・熱_都市ガス!$BA:$BA,ROW()),0))</f>
        <v/>
      </c>
      <c r="G60" s="353" t="s">
        <v>38</v>
      </c>
      <c r="H60" s="508" t="str">
        <f>IF(COUNTIFS(電気・熱_都市ガス!$BA:$BA,ROW())=0,"",SUMIFS(電気・熱_都市ガス!$AY:$AY,電気・熱_都市ガス!$BA:$BA,ROW()))</f>
        <v/>
      </c>
      <c r="I60" s="509" t="str">
        <f>IF(H60="","",H60*0.0258)</f>
        <v/>
      </c>
      <c r="J60" s="508" t="str">
        <f>IF(H60="","",H60*0.0258)</f>
        <v/>
      </c>
      <c r="K60" s="382" t="str">
        <f>IF(COUNTIFS(電気・熱_都市ガス!$BA:$BA,ROW())=0,"",SUMIFS(電気・熱_都市ガス!$AZ:$AZ,電気・熱_都市ガス!$BA:$BA,ROW()))</f>
        <v/>
      </c>
      <c r="M60" s="540" t="str">
        <f>IF(COUNTIFS(電気・熱_都市ガス!$BA:$BA,ROW())=0,"",-1*SUMIFS(電気・熱_都市ガス!$AX:$AX,電気・熱_都市ガス!$BA:$BA,ROW()))</f>
        <v/>
      </c>
    </row>
    <row r="61" spans="1:13" ht="31.5" customHeight="1" thickBot="1">
      <c r="A61" s="992"/>
      <c r="B61" s="1042"/>
      <c r="C61" s="999" t="s">
        <v>37</v>
      </c>
      <c r="D61" s="1000"/>
      <c r="E61" s="1001"/>
      <c r="F61" s="1037"/>
      <c r="G61" s="1038"/>
      <c r="H61" s="510" t="str">
        <f>IF(COUNT(H59:H60)=0,"",SUM(H59:H60))</f>
        <v/>
      </c>
      <c r="I61" s="510" t="str">
        <f t="shared" ref="I61:J61" si="16">IF(COUNT(I59:I60)=0,"",SUM(I59:I60))</f>
        <v/>
      </c>
      <c r="J61" s="510" t="str">
        <f t="shared" si="16"/>
        <v/>
      </c>
      <c r="K61" s="378" t="str">
        <f>IF(COUNT(K59:K60)=0,"",SUM(K59:K60))</f>
        <v/>
      </c>
    </row>
    <row r="62" spans="1:13" ht="30" customHeight="1" thickTop="1">
      <c r="A62" s="992"/>
      <c r="B62" s="1051" t="s">
        <v>965</v>
      </c>
      <c r="C62" s="983" t="s">
        <v>59</v>
      </c>
      <c r="D62" s="983"/>
      <c r="E62" s="984"/>
      <c r="F62" s="985"/>
      <c r="G62" s="986"/>
      <c r="H62" s="383"/>
      <c r="I62" s="384"/>
      <c r="J62" s="385"/>
      <c r="K62" s="440" t="str">
        <f>IF(COUNTIFS(証書_森林吸収量!$M$6:$M$58,ROW())=0,"",-1*SUMIFS(証書_森林吸収量!$E$6:$E$58,証書_森林吸収量!$M$6:$M$58,ROW()))</f>
        <v/>
      </c>
      <c r="M62" s="540" t="str">
        <f>IF(COUNTIFS(証書_森林吸収量!$M$6:$M$58,ROW())=0,"",-1*SUMIFS(証書_森林吸収量!$E$6:$E$58,証書_森林吸収量!$M$6:$M$58,ROW()))</f>
        <v/>
      </c>
    </row>
    <row r="63" spans="1:13" ht="30" customHeight="1">
      <c r="A63" s="992"/>
      <c r="B63" s="1052"/>
      <c r="C63" s="987" t="s">
        <v>64</v>
      </c>
      <c r="D63" s="987"/>
      <c r="E63" s="988"/>
      <c r="F63" s="989"/>
      <c r="G63" s="990"/>
      <c r="H63" s="387"/>
      <c r="I63" s="388"/>
      <c r="J63" s="389"/>
      <c r="K63" s="368" t="str">
        <f>IF(COUNTIFS(証書_森林吸収量!$M$6:$M$58,ROW())=0,"",-1*SUMIFS(証書_森林吸収量!$E$6:$E$58,証書_森林吸収量!$M$6:$M$58,ROW()))</f>
        <v/>
      </c>
      <c r="M63" s="540" t="str">
        <f>IF(COUNTIFS(証書_森林吸収量!$M$6:$M$58,ROW())=0,"",-1*SUMIFS(証書_森林吸収量!$E$6:$E$58,証書_森林吸収量!$M$6:$M$58,ROW()))</f>
        <v/>
      </c>
    </row>
    <row r="64" spans="1:13" ht="30" customHeight="1">
      <c r="A64" s="992"/>
      <c r="B64" s="1052"/>
      <c r="C64" s="987" t="s">
        <v>60</v>
      </c>
      <c r="D64" s="987"/>
      <c r="E64" s="988"/>
      <c r="F64" s="989"/>
      <c r="G64" s="990"/>
      <c r="H64" s="387"/>
      <c r="I64" s="388"/>
      <c r="J64" s="389"/>
      <c r="K64" s="368" t="str">
        <f>IF(COUNTIFS(証書_森林吸収量!$M$6:$M$58,ROW())=0,"",-1*SUMIFS(証書_森林吸収量!$E$6:$E$58,証書_森林吸収量!$M$6:$M$58,ROW()))</f>
        <v/>
      </c>
      <c r="M64" s="540" t="str">
        <f>IF(COUNTIFS(証書_森林吸収量!$M$6:$M$58,ROW())=0,"",-1*SUMIFS(証書_森林吸収量!$E$6:$E$58,証書_森林吸収量!$M$6:$M$58,ROW()))</f>
        <v/>
      </c>
    </row>
    <row r="65" spans="1:13" ht="30" customHeight="1">
      <c r="A65" s="992"/>
      <c r="B65" s="1052"/>
      <c r="C65" s="884" t="s">
        <v>61</v>
      </c>
      <c r="D65" s="987"/>
      <c r="E65" s="988"/>
      <c r="F65" s="989"/>
      <c r="G65" s="990"/>
      <c r="H65" s="387"/>
      <c r="I65" s="388"/>
      <c r="J65" s="389"/>
      <c r="K65" s="368" t="str">
        <f>IF(COUNTIFS(証書_森林吸収量!$M$6:$M$58,ROW())=0,"",-1*SUMIFS(証書_森林吸収量!$E$6:$E$58,証書_森林吸収量!$M$6:$M$58,ROW()))</f>
        <v/>
      </c>
      <c r="M65" s="540" t="str">
        <f>IF(COUNTIFS(証書_森林吸収量!$M$6:$M$58,ROW())=0,"",-1*SUMIFS(証書_森林吸収量!$E$6:$E$58,証書_森林吸収量!$M$6:$M$58,ROW()))</f>
        <v/>
      </c>
    </row>
    <row r="66" spans="1:13" ht="46.5" customHeight="1">
      <c r="A66" s="992"/>
      <c r="B66" s="1052"/>
      <c r="C66" s="932" t="s">
        <v>339</v>
      </c>
      <c r="D66" s="987"/>
      <c r="E66" s="988"/>
      <c r="F66" s="989"/>
      <c r="G66" s="990"/>
      <c r="H66" s="387"/>
      <c r="I66" s="388"/>
      <c r="J66" s="389"/>
      <c r="K66" s="368" t="str">
        <f>IF(COUNTIFS(証書_森林吸収量!$M$6:$M$58,ROW())=0,"",-1*SUMIFS(証書_森林吸収量!$E$6:$E$58,証書_森林吸収量!$M$6:$M$58,ROW()))</f>
        <v/>
      </c>
      <c r="M66" s="540" t="str">
        <f>IF(COUNTIFS(証書_森林吸収量!$M$6:$M$58,ROW())=0,"",-1*SUMIFS(証書_森林吸収量!$E$6:$E$58,証書_森林吸収量!$M$6:$M$58,ROW()))</f>
        <v/>
      </c>
    </row>
    <row r="67" spans="1:13" ht="54.75" customHeight="1">
      <c r="A67" s="992"/>
      <c r="B67" s="1052"/>
      <c r="C67" s="1002" t="s">
        <v>62</v>
      </c>
      <c r="D67" s="1000"/>
      <c r="E67" s="1001"/>
      <c r="F67" s="1003"/>
      <c r="G67" s="1004"/>
      <c r="H67" s="390"/>
      <c r="I67" s="391"/>
      <c r="J67" s="392"/>
      <c r="K67" s="368" t="str">
        <f>IF(COUNTIFS(証書_森林吸収量!$M$6:$M$58,ROW())=0,"",-1*SUMIFS(証書_森林吸収量!$E$6:$E$58,証書_森林吸収量!$M$6:$M$58,ROW()))</f>
        <v/>
      </c>
      <c r="M67" s="540" t="str">
        <f>IF(COUNTIFS(証書_森林吸収量!$M$6:$M$58,ROW())=0,"",-1*SUMIFS(証書_森林吸収量!$E$6:$E$58,証書_森林吸収量!$M$6:$M$58,ROW()))</f>
        <v/>
      </c>
    </row>
    <row r="68" spans="1:13" ht="33.75" customHeight="1">
      <c r="A68" s="992"/>
      <c r="B68" s="1052"/>
      <c r="C68" s="1011" t="s">
        <v>37</v>
      </c>
      <c r="D68" s="1011"/>
      <c r="E68" s="932"/>
      <c r="F68" s="1049"/>
      <c r="G68" s="1050"/>
      <c r="H68" s="389"/>
      <c r="I68" s="402"/>
      <c r="J68" s="403"/>
      <c r="K68" s="445" t="str">
        <f>IF(COUNT(K62:K67)=0,"",SUM(K62:K67))</f>
        <v/>
      </c>
    </row>
    <row r="69" spans="1:13" ht="39.950000000000003" customHeight="1" thickBot="1">
      <c r="A69" s="993"/>
      <c r="B69" s="994" t="s">
        <v>42</v>
      </c>
      <c r="C69" s="995"/>
      <c r="D69" s="995"/>
      <c r="E69" s="996"/>
      <c r="F69" s="997"/>
      <c r="G69" s="998"/>
      <c r="H69" s="400" t="str">
        <f>IF(COUNT(H36,H46,H54,H61)=0,"",SUM(H36,H46,H54,H61))</f>
        <v/>
      </c>
      <c r="I69" s="400" t="str">
        <f t="shared" ref="I69:J69" si="17">IF(COUNT(I36,I46,I54,I61)=0,"",SUM(I36,I46,I54,I61))</f>
        <v/>
      </c>
      <c r="J69" s="400" t="str">
        <f t="shared" si="17"/>
        <v/>
      </c>
      <c r="K69" s="401" t="str">
        <f>IF(COUNT(K36,K46,K54,K61,K68)=0,"",IF(SUM(K36,K46,K54,K61,K68)&lt;0,0,SUM(K36,K46,K54,K61,K68)))</f>
        <v/>
      </c>
    </row>
    <row r="70" spans="1:13" ht="18.75" thickBot="1">
      <c r="A70" s="4"/>
      <c r="B70" s="4"/>
      <c r="C70" s="4"/>
      <c r="D70" s="4"/>
      <c r="E70" s="4"/>
      <c r="F70" s="4"/>
      <c r="G70" s="4"/>
      <c r="H70" s="4"/>
      <c r="I70" s="4"/>
      <c r="J70" s="4"/>
      <c r="K70" s="4"/>
    </row>
    <row r="71" spans="1:13" ht="63" customHeight="1">
      <c r="A71" s="764"/>
      <c r="B71" s="844" t="s">
        <v>169</v>
      </c>
      <c r="C71" s="973"/>
      <c r="D71" s="844" t="s">
        <v>86</v>
      </c>
      <c r="E71" s="914"/>
      <c r="F71" s="789" t="s">
        <v>869</v>
      </c>
      <c r="G71" s="978"/>
      <c r="H71" s="144" t="s">
        <v>2</v>
      </c>
      <c r="I71" s="135" t="s">
        <v>51</v>
      </c>
      <c r="J71" s="143"/>
      <c r="K71" s="143"/>
    </row>
    <row r="72" spans="1:13" ht="33" hidden="1" customHeight="1">
      <c r="A72" s="972"/>
      <c r="B72" s="974"/>
      <c r="C72" s="975"/>
      <c r="D72" s="974"/>
      <c r="E72" s="977"/>
      <c r="F72" s="979"/>
      <c r="G72" s="980"/>
      <c r="H72" s="9" t="s">
        <v>6</v>
      </c>
      <c r="I72" s="32" t="s">
        <v>55</v>
      </c>
      <c r="J72" s="143"/>
      <c r="K72" s="143"/>
    </row>
    <row r="73" spans="1:13" ht="19.5" customHeight="1" thickBot="1">
      <c r="A73" s="765"/>
      <c r="B73" s="915"/>
      <c r="C73" s="976"/>
      <c r="D73" s="915"/>
      <c r="E73" s="917"/>
      <c r="F73" s="981"/>
      <c r="G73" s="982"/>
      <c r="H73" s="34" t="s">
        <v>194</v>
      </c>
      <c r="I73" s="35" t="s">
        <v>195</v>
      </c>
      <c r="J73" s="143"/>
      <c r="K73" s="143"/>
    </row>
    <row r="74" spans="1:13" ht="30.2" customHeight="1">
      <c r="A74" s="1005" t="s">
        <v>170</v>
      </c>
      <c r="B74" s="1043" t="s">
        <v>336</v>
      </c>
      <c r="C74" s="1044"/>
      <c r="D74" s="1008" t="s">
        <v>101</v>
      </c>
      <c r="E74" s="1009"/>
      <c r="F74" s="288" t="str">
        <f>IF(非化石燃料!G8="","",ROUND(非化石燃料!G8,0))</f>
        <v/>
      </c>
      <c r="G74" s="284" t="str">
        <f>非化石燃料!H8</f>
        <v>ｔ</v>
      </c>
      <c r="H74" s="441" t="str">
        <f>IF(非化石燃料!P8="","",非化石燃料!P8)</f>
        <v/>
      </c>
      <c r="I74" s="292" t="str">
        <f>IF(H74="","",H74*0.0258)</f>
        <v/>
      </c>
      <c r="J74" s="4"/>
      <c r="K74" s="4"/>
    </row>
    <row r="75" spans="1:13" ht="30.2" customHeight="1">
      <c r="A75" s="1006"/>
      <c r="B75" s="1045"/>
      <c r="C75" s="1046"/>
      <c r="D75" s="905" t="s">
        <v>102</v>
      </c>
      <c r="E75" s="1010"/>
      <c r="F75" s="289" t="str">
        <f>IF(非化石燃料!G9="","",ROUND(非化石燃料!G9,0))</f>
        <v/>
      </c>
      <c r="G75" s="285" t="str">
        <f>非化石燃料!H9</f>
        <v>ｔ</v>
      </c>
      <c r="H75" s="293" t="str">
        <f>IF(非化石燃料!P9="","",非化石燃料!P9)</f>
        <v/>
      </c>
      <c r="I75" s="294" t="str">
        <f t="shared" ref="I75:I97" si="18">IF(H75="","",H75*0.0258)</f>
        <v/>
      </c>
      <c r="J75" s="4"/>
      <c r="K75" s="4"/>
    </row>
    <row r="76" spans="1:13" ht="30.2" customHeight="1">
      <c r="A76" s="1006"/>
      <c r="B76" s="1045"/>
      <c r="C76" s="1046"/>
      <c r="D76" s="905" t="s">
        <v>103</v>
      </c>
      <c r="E76" s="1010"/>
      <c r="F76" s="289" t="str">
        <f>IF(非化石燃料!G10="","",ROUND(非化石燃料!G10,0))</f>
        <v/>
      </c>
      <c r="G76" s="285" t="str">
        <f>非化石燃料!H10</f>
        <v>ｔ</v>
      </c>
      <c r="H76" s="293" t="str">
        <f>IF(非化石燃料!P10="","",非化石燃料!P10)</f>
        <v/>
      </c>
      <c r="I76" s="294" t="str">
        <f t="shared" si="18"/>
        <v/>
      </c>
      <c r="J76" s="4"/>
      <c r="K76" s="4"/>
    </row>
    <row r="77" spans="1:13" ht="30.2" customHeight="1">
      <c r="A77" s="1006"/>
      <c r="B77" s="1045"/>
      <c r="C77" s="1046"/>
      <c r="D77" s="905" t="s">
        <v>104</v>
      </c>
      <c r="E77" s="1010"/>
      <c r="F77" s="289" t="str">
        <f>IF(非化石燃料!G11="","",ROUND(非化石燃料!G11,0))</f>
        <v/>
      </c>
      <c r="G77" s="285" t="str">
        <f>非化石燃料!H11</f>
        <v>ｔ</v>
      </c>
      <c r="H77" s="293" t="str">
        <f>IF(非化石燃料!P11="","",非化石燃料!P11)</f>
        <v/>
      </c>
      <c r="I77" s="294" t="str">
        <f t="shared" si="18"/>
        <v/>
      </c>
      <c r="J77" s="4"/>
      <c r="K77" s="4"/>
    </row>
    <row r="78" spans="1:13" ht="30.2" customHeight="1">
      <c r="A78" s="1006"/>
      <c r="B78" s="1045"/>
      <c r="C78" s="1046"/>
      <c r="D78" s="905" t="s">
        <v>105</v>
      </c>
      <c r="E78" s="1010"/>
      <c r="F78" s="289" t="str">
        <f>IF(非化石燃料!G12="","",ROUND(非化石燃料!G12,0))</f>
        <v/>
      </c>
      <c r="G78" s="285" t="str">
        <f>非化石燃料!H12</f>
        <v>ｔ</v>
      </c>
      <c r="H78" s="293" t="str">
        <f>IF(非化石燃料!P12="","",非化石燃料!P12)</f>
        <v/>
      </c>
      <c r="I78" s="294" t="str">
        <f t="shared" si="18"/>
        <v/>
      </c>
      <c r="J78" s="4"/>
      <c r="K78" s="4"/>
    </row>
    <row r="79" spans="1:13" ht="73.5" customHeight="1">
      <c r="A79" s="1006"/>
      <c r="B79" s="1045"/>
      <c r="C79" s="1046"/>
      <c r="D79" s="905" t="s">
        <v>106</v>
      </c>
      <c r="E79" s="1010"/>
      <c r="F79" s="289" t="str">
        <f>IF(非化石燃料!G13="","",ROUND(非化石燃料!G13,0))</f>
        <v/>
      </c>
      <c r="G79" s="285" t="str">
        <f>非化石燃料!H13</f>
        <v>kL</v>
      </c>
      <c r="H79" s="293" t="str">
        <f>IF(非化石燃料!P13="","",非化石燃料!P13)</f>
        <v/>
      </c>
      <c r="I79" s="294" t="str">
        <f t="shared" si="18"/>
        <v/>
      </c>
      <c r="J79" s="4"/>
      <c r="K79" s="4"/>
    </row>
    <row r="80" spans="1:13" ht="45" customHeight="1">
      <c r="A80" s="1006"/>
      <c r="B80" s="1045"/>
      <c r="C80" s="1046"/>
      <c r="D80" s="1013" t="s">
        <v>191</v>
      </c>
      <c r="E80" s="1010"/>
      <c r="F80" s="289" t="str">
        <f>IF(非化石燃料!G14="","",ROUND(非化石燃料!G14,0))</f>
        <v/>
      </c>
      <c r="G80" s="285" t="str">
        <f>非化石燃料!H14</f>
        <v>kL</v>
      </c>
      <c r="H80" s="293" t="str">
        <f>IF(非化石燃料!P14="","",非化石燃料!P14)</f>
        <v/>
      </c>
      <c r="I80" s="294" t="str">
        <f t="shared" si="18"/>
        <v/>
      </c>
      <c r="J80" s="4"/>
      <c r="K80" s="4"/>
    </row>
    <row r="81" spans="1:11" ht="30.2" customHeight="1">
      <c r="A81" s="1006"/>
      <c r="B81" s="1045"/>
      <c r="C81" s="1046"/>
      <c r="D81" s="905" t="s">
        <v>108</v>
      </c>
      <c r="E81" s="1010"/>
      <c r="F81" s="289" t="str">
        <f>IF(非化石燃料!G15="","",ROUND(非化石燃料!G15,0))</f>
        <v/>
      </c>
      <c r="G81" s="285" t="str">
        <f>非化石燃料!H15</f>
        <v>千m3</v>
      </c>
      <c r="H81" s="293" t="str">
        <f>IF(非化石燃料!P15="","",非化石燃料!P15)</f>
        <v/>
      </c>
      <c r="I81" s="294" t="str">
        <f t="shared" si="18"/>
        <v/>
      </c>
      <c r="J81" s="4"/>
      <c r="K81" s="4"/>
    </row>
    <row r="82" spans="1:11" ht="30.2" customHeight="1">
      <c r="A82" s="1006"/>
      <c r="B82" s="1045"/>
      <c r="C82" s="1046"/>
      <c r="D82" s="905" t="s">
        <v>172</v>
      </c>
      <c r="E82" s="1010"/>
      <c r="F82" s="289" t="str">
        <f>IF(非化石燃料!G16="","",ROUND(非化石燃料!G16,0))</f>
        <v/>
      </c>
      <c r="G82" s="285" t="str">
        <f>非化石燃料!H16</f>
        <v>t</v>
      </c>
      <c r="H82" s="293" t="str">
        <f>IF(非化石燃料!P16="","",非化石燃料!P16)</f>
        <v/>
      </c>
      <c r="I82" s="294" t="str">
        <f t="shared" si="18"/>
        <v/>
      </c>
      <c r="J82" s="4"/>
      <c r="K82" s="4"/>
    </row>
    <row r="83" spans="1:11" ht="30.2" customHeight="1">
      <c r="A83" s="1006"/>
      <c r="B83" s="1045"/>
      <c r="C83" s="1046"/>
      <c r="D83" s="663" t="str">
        <f>IF(非化石燃料!C17="","廃棄物原燃料　自由記入1",非化石燃料!C17)</f>
        <v>廃棄物原燃料　自由記入1</v>
      </c>
      <c r="E83" s="920"/>
      <c r="F83" s="289" t="str">
        <f>IF(非化石燃料!G17="","",ROUND(非化石燃料!G17,0))</f>
        <v/>
      </c>
      <c r="G83" s="285" t="str">
        <f>非化石燃料!H17</f>
        <v>kg</v>
      </c>
      <c r="H83" s="293" t="str">
        <f>IF(非化石燃料!P17="","",非化石燃料!P17)</f>
        <v/>
      </c>
      <c r="I83" s="294" t="str">
        <f t="shared" si="18"/>
        <v/>
      </c>
      <c r="J83" s="4"/>
      <c r="K83" s="4"/>
    </row>
    <row r="84" spans="1:11" ht="30.2" customHeight="1" thickBot="1">
      <c r="A84" s="1006"/>
      <c r="B84" s="1047"/>
      <c r="C84" s="1048"/>
      <c r="D84" s="958" t="str">
        <f>IF(非化石燃料!C18="","廃棄物原燃料　自由記入2",非化石燃料!C18)</f>
        <v>廃棄物原燃料　自由記入2</v>
      </c>
      <c r="E84" s="960"/>
      <c r="F84" s="290" t="str">
        <f>IF(非化石燃料!G18="","",ROUND(非化石燃料!G18,0))</f>
        <v/>
      </c>
      <c r="G84" s="286" t="str">
        <f>非化石燃料!H18</f>
        <v>kg</v>
      </c>
      <c r="H84" s="293" t="str">
        <f>IF(非化石燃料!P18="","",非化石燃料!P18)</f>
        <v/>
      </c>
      <c r="I84" s="295" t="str">
        <f t="shared" si="18"/>
        <v/>
      </c>
      <c r="J84" s="4"/>
      <c r="K84" s="4"/>
    </row>
    <row r="85" spans="1:11" ht="30.2" customHeight="1" thickTop="1">
      <c r="A85" s="1006"/>
      <c r="B85" s="1029" t="s">
        <v>173</v>
      </c>
      <c r="C85" s="1029"/>
      <c r="D85" s="1033" t="s">
        <v>174</v>
      </c>
      <c r="E85" s="1034"/>
      <c r="F85" s="291" t="str">
        <f>IF(非化石燃料!G19="","",ROUND(非化石燃料!G19,0))</f>
        <v/>
      </c>
      <c r="G85" s="287" t="str">
        <f>非化石燃料!H19</f>
        <v>t</v>
      </c>
      <c r="H85" s="442" t="str">
        <f>IF(非化石燃料!P19="","",非化石燃料!P19)</f>
        <v/>
      </c>
      <c r="I85" s="296" t="str">
        <f t="shared" si="18"/>
        <v/>
      </c>
      <c r="J85" s="4"/>
      <c r="K85" s="4"/>
    </row>
    <row r="86" spans="1:11" ht="30.2" customHeight="1">
      <c r="A86" s="1006"/>
      <c r="B86" s="1030"/>
      <c r="C86" s="1030"/>
      <c r="D86" s="1011" t="s">
        <v>175</v>
      </c>
      <c r="E86" s="1012"/>
      <c r="F86" s="289" t="str">
        <f>IF(非化石燃料!G20="","",ROUND(非化石燃料!G20,0))</f>
        <v/>
      </c>
      <c r="G86" s="285" t="str">
        <f>非化石燃料!H20</f>
        <v>t</v>
      </c>
      <c r="H86" s="293" t="str">
        <f>IF(非化石燃料!P20="","",非化石燃料!P20)</f>
        <v/>
      </c>
      <c r="I86" s="294" t="str">
        <f t="shared" si="18"/>
        <v/>
      </c>
      <c r="J86" s="4"/>
      <c r="K86" s="4"/>
    </row>
    <row r="87" spans="1:11" ht="30.2" customHeight="1">
      <c r="A87" s="1006"/>
      <c r="B87" s="1030"/>
      <c r="C87" s="1030"/>
      <c r="D87" s="1011" t="s">
        <v>176</v>
      </c>
      <c r="E87" s="1012"/>
      <c r="F87" s="289" t="str">
        <f>IF(非化石燃料!G21="","",ROUND(非化石燃料!G21,0))</f>
        <v/>
      </c>
      <c r="G87" s="285" t="str">
        <f>非化石燃料!H21</f>
        <v>t</v>
      </c>
      <c r="H87" s="293" t="str">
        <f>IF(非化石燃料!P21="","",非化石燃料!P21)</f>
        <v/>
      </c>
      <c r="I87" s="294" t="str">
        <f t="shared" si="18"/>
        <v/>
      </c>
      <c r="J87" s="4"/>
      <c r="K87" s="4"/>
    </row>
    <row r="88" spans="1:11" ht="30.2" customHeight="1">
      <c r="A88" s="1006"/>
      <c r="B88" s="1030"/>
      <c r="C88" s="1030"/>
      <c r="D88" s="1011" t="s">
        <v>177</v>
      </c>
      <c r="E88" s="1012"/>
      <c r="F88" s="289" t="str">
        <f>IF(非化石燃料!G22="","",ROUND(非化石燃料!G22,0))</f>
        <v/>
      </c>
      <c r="G88" s="285" t="str">
        <f>非化石燃料!H22</f>
        <v>kL</v>
      </c>
      <c r="H88" s="293" t="str">
        <f>IF(非化石燃料!P22="","",非化石燃料!P22)</f>
        <v/>
      </c>
      <c r="I88" s="294" t="str">
        <f t="shared" si="18"/>
        <v/>
      </c>
      <c r="J88" s="4"/>
      <c r="K88" s="4"/>
    </row>
    <row r="89" spans="1:11" ht="30.2" customHeight="1">
      <c r="A89" s="1006"/>
      <c r="B89" s="1030"/>
      <c r="C89" s="1030"/>
      <c r="D89" s="1011" t="s">
        <v>178</v>
      </c>
      <c r="E89" s="1012"/>
      <c r="F89" s="289" t="str">
        <f>IF(非化石燃料!G23="","",ROUND(非化石燃料!G23,0))</f>
        <v/>
      </c>
      <c r="G89" s="285" t="str">
        <f>非化石燃料!H23</f>
        <v>kL</v>
      </c>
      <c r="H89" s="293" t="str">
        <f>IF(非化石燃料!P23="","",非化石燃料!P23)</f>
        <v/>
      </c>
      <c r="I89" s="294" t="str">
        <f t="shared" si="18"/>
        <v/>
      </c>
      <c r="J89" s="4"/>
      <c r="K89" s="4"/>
    </row>
    <row r="90" spans="1:11" ht="30.2" customHeight="1">
      <c r="A90" s="1006"/>
      <c r="B90" s="1030"/>
      <c r="C90" s="1030"/>
      <c r="D90" s="1011" t="s">
        <v>179</v>
      </c>
      <c r="E90" s="1012"/>
      <c r="F90" s="289" t="str">
        <f>IF(非化石燃料!G24="","",ROUND(非化石燃料!G24,0))</f>
        <v/>
      </c>
      <c r="G90" s="285" t="str">
        <f>非化石燃料!H24</f>
        <v>千m3</v>
      </c>
      <c r="H90" s="293" t="str">
        <f>IF(非化石燃料!P24="","",非化石燃料!P24)</f>
        <v/>
      </c>
      <c r="I90" s="294" t="str">
        <f t="shared" si="18"/>
        <v/>
      </c>
      <c r="J90" s="4"/>
      <c r="K90" s="4"/>
    </row>
    <row r="91" spans="1:11" ht="30.2" customHeight="1">
      <c r="A91" s="1006"/>
      <c r="B91" s="1031"/>
      <c r="C91" s="1031"/>
      <c r="D91" s="932" t="s">
        <v>180</v>
      </c>
      <c r="E91" s="933"/>
      <c r="F91" s="289" t="str">
        <f>IF(非化石燃料!G25="","",ROUND(非化石燃料!G25,0))</f>
        <v/>
      </c>
      <c r="G91" s="285" t="str">
        <f>非化石燃料!H25</f>
        <v>t</v>
      </c>
      <c r="H91" s="293" t="str">
        <f>IF(非化石燃料!P25="","",非化石燃料!P25)</f>
        <v/>
      </c>
      <c r="I91" s="297" t="str">
        <f t="shared" si="18"/>
        <v/>
      </c>
      <c r="J91" s="4"/>
      <c r="K91" s="4"/>
    </row>
    <row r="92" spans="1:11" ht="30.2" customHeight="1">
      <c r="A92" s="1006"/>
      <c r="B92" s="1031"/>
      <c r="C92" s="1031"/>
      <c r="D92" s="932" t="str">
        <f>IF(非化石燃料!C26="","非化石燃料　自由記入1",非化石燃料!C26)</f>
        <v>非化石燃料　自由記入1</v>
      </c>
      <c r="E92" s="933"/>
      <c r="F92" s="289" t="str">
        <f>IF(非化石燃料!G26="","",ROUND(非化石燃料!G26,0))</f>
        <v/>
      </c>
      <c r="G92" s="285" t="str">
        <f>非化石燃料!H26</f>
        <v>L</v>
      </c>
      <c r="H92" s="293" t="str">
        <f>IF(非化石燃料!P26="","",非化石燃料!P26)</f>
        <v/>
      </c>
      <c r="I92" s="297" t="str">
        <f t="shared" si="18"/>
        <v/>
      </c>
      <c r="J92" s="4"/>
      <c r="K92" s="4"/>
    </row>
    <row r="93" spans="1:11" ht="30.2" customHeight="1" thickBot="1">
      <c r="A93" s="1006"/>
      <c r="B93" s="1032"/>
      <c r="C93" s="1032"/>
      <c r="D93" s="1024" t="str">
        <f>IF(非化石燃料!C27="","非化石燃料　自由記入2",非化石燃料!C27)</f>
        <v>非化石燃料　自由記入2</v>
      </c>
      <c r="E93" s="1025"/>
      <c r="F93" s="290" t="str">
        <f>IF(非化石燃料!G27="","",ROUND(非化石燃料!G27,0))</f>
        <v/>
      </c>
      <c r="G93" s="286" t="str">
        <f>非化石燃料!H27</f>
        <v>kg</v>
      </c>
      <c r="H93" s="293" t="str">
        <f>IF(非化石燃料!P27="","",非化石燃料!P27)</f>
        <v/>
      </c>
      <c r="I93" s="295" t="str">
        <f t="shared" si="18"/>
        <v/>
      </c>
      <c r="J93" s="4"/>
      <c r="K93" s="4"/>
    </row>
    <row r="94" spans="1:11" ht="30.2" customHeight="1" thickTop="1">
      <c r="A94" s="1006"/>
      <c r="B94" s="879" t="s">
        <v>181</v>
      </c>
      <c r="C94" s="879"/>
      <c r="D94" s="910" t="s">
        <v>182</v>
      </c>
      <c r="E94" s="1026"/>
      <c r="F94" s="291" t="str">
        <f>IF(非化石燃料!G28="","",ROUND(非化石燃料!G28,0))</f>
        <v/>
      </c>
      <c r="G94" s="287" t="str">
        <f>非化石燃料!H28</f>
        <v>t</v>
      </c>
      <c r="H94" s="442" t="str">
        <f>IF(非化石燃料!P28="","",非化石燃料!P28)</f>
        <v/>
      </c>
      <c r="I94" s="296" t="str">
        <f t="shared" si="18"/>
        <v/>
      </c>
      <c r="J94" s="4"/>
      <c r="K94" s="4"/>
    </row>
    <row r="95" spans="1:11" ht="30.2" customHeight="1">
      <c r="A95" s="1006"/>
      <c r="B95" s="875"/>
      <c r="C95" s="875"/>
      <c r="D95" s="905" t="s">
        <v>183</v>
      </c>
      <c r="E95" s="1010"/>
      <c r="F95" s="289" t="str">
        <f>IF(非化石燃料!G29="","",ROUND(非化石燃料!G29,0))</f>
        <v/>
      </c>
      <c r="G95" s="285" t="str">
        <f>非化石燃料!H29</f>
        <v>t</v>
      </c>
      <c r="H95" s="293" t="str">
        <f>IF(非化石燃料!P29="","",非化石燃料!P29)</f>
        <v/>
      </c>
      <c r="I95" s="294" t="str">
        <f t="shared" si="18"/>
        <v/>
      </c>
      <c r="J95" s="4"/>
      <c r="K95" s="4"/>
    </row>
    <row r="96" spans="1:11" ht="30.2" customHeight="1">
      <c r="A96" s="1006"/>
      <c r="B96" s="875"/>
      <c r="C96" s="875"/>
      <c r="D96" s="663" t="str">
        <f>IF(非化石燃料!C30="","その他の非化石燃料　自由記入1",非化石燃料!C30)</f>
        <v>その他の非化石燃料　自由記入1</v>
      </c>
      <c r="E96" s="920"/>
      <c r="F96" s="289" t="str">
        <f>IF(非化石燃料!G30="","",ROUND(非化石燃料!G30,0))</f>
        <v/>
      </c>
      <c r="G96" s="285" t="str">
        <f>非化石燃料!H30</f>
        <v>kg</v>
      </c>
      <c r="H96" s="293" t="str">
        <f>IF(非化石燃料!P30="","",非化石燃料!P30)</f>
        <v/>
      </c>
      <c r="I96" s="294" t="str">
        <f t="shared" si="18"/>
        <v/>
      </c>
      <c r="J96" s="4"/>
      <c r="K96" s="4"/>
    </row>
    <row r="97" spans="1:11" ht="30.2" customHeight="1" thickBot="1">
      <c r="A97" s="1006"/>
      <c r="B97" s="949"/>
      <c r="C97" s="949"/>
      <c r="D97" s="1027" t="str">
        <f>IF(非化石燃料!C31="","その他の非化石燃料　自由記入2",非化石燃料!C31)</f>
        <v>その他の非化石燃料　自由記入2</v>
      </c>
      <c r="E97" s="1028"/>
      <c r="F97" s="290" t="str">
        <f>IF(非化石燃料!G31="","",ROUND(非化石燃料!G31,0))</f>
        <v/>
      </c>
      <c r="G97" s="286" t="str">
        <f>非化石燃料!H31</f>
        <v>kg</v>
      </c>
      <c r="H97" s="293" t="str">
        <f>IF(非化石燃料!P31="","",非化石燃料!P31)</f>
        <v/>
      </c>
      <c r="I97" s="295" t="str">
        <f t="shared" si="18"/>
        <v/>
      </c>
      <c r="J97" s="4"/>
      <c r="K97" s="4"/>
    </row>
    <row r="98" spans="1:11" ht="30.2" customHeight="1" thickTop="1" thickBot="1">
      <c r="A98" s="1007"/>
      <c r="B98" s="1018" t="s">
        <v>184</v>
      </c>
      <c r="C98" s="1018"/>
      <c r="D98" s="1018"/>
      <c r="E98" s="1019"/>
      <c r="F98" s="1020"/>
      <c r="G98" s="1021"/>
      <c r="H98" s="298" t="str">
        <f>IF(COUNT(H74:H97)=0,"",SUM(H74:H97))</f>
        <v/>
      </c>
      <c r="I98" s="299" t="str">
        <f>IF(COUNT(I74:I97)=0,"",SUM(I74:I97))</f>
        <v/>
      </c>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ht="18.75" thickBot="1">
      <c r="A101" s="4"/>
      <c r="B101" s="4"/>
      <c r="C101" s="4"/>
      <c r="D101" s="4"/>
      <c r="E101" s="4"/>
      <c r="F101" s="4"/>
      <c r="G101" s="4"/>
      <c r="H101" s="4"/>
      <c r="I101" s="4"/>
      <c r="J101" s="4"/>
      <c r="K101" s="4"/>
    </row>
    <row r="102" spans="1:11" ht="30.2" customHeight="1">
      <c r="A102" s="4"/>
      <c r="B102" s="4"/>
      <c r="C102" s="4"/>
      <c r="D102" s="1022" t="s">
        <v>197</v>
      </c>
      <c r="E102" s="1023"/>
      <c r="F102" s="1023"/>
      <c r="G102" s="1023"/>
      <c r="H102" s="447" t="str">
        <f>IF(COUNT(I69,I98)=0,"",ROUND(SUM(I69,I98),0))</f>
        <v/>
      </c>
      <c r="I102" s="300" t="s">
        <v>195</v>
      </c>
      <c r="J102" s="4"/>
      <c r="K102" s="4"/>
    </row>
    <row r="103" spans="1:11" ht="30.2" customHeight="1">
      <c r="A103" s="4"/>
      <c r="B103" s="4"/>
      <c r="C103" s="4"/>
      <c r="D103" s="1035" t="s">
        <v>196</v>
      </c>
      <c r="E103" s="1036"/>
      <c r="F103" s="1036"/>
      <c r="G103" s="1036"/>
      <c r="H103" s="448" t="str">
        <f>IF(COUNT(J69)=0,"",ROUND(J69,0))</f>
        <v/>
      </c>
      <c r="I103" s="301" t="s">
        <v>322</v>
      </c>
      <c r="J103" s="4"/>
      <c r="K103" s="4"/>
    </row>
    <row r="104" spans="1:11" ht="30.2" customHeight="1">
      <c r="A104" s="4"/>
      <c r="B104" s="4"/>
      <c r="C104" s="4"/>
      <c r="D104" s="1014" t="s">
        <v>338</v>
      </c>
      <c r="E104" s="1015"/>
      <c r="F104" s="1015"/>
      <c r="G104" s="1015"/>
      <c r="H104" s="448" t="str">
        <f>IF(COUNT(K69)=0,"",ROUND(K69,0))</f>
        <v/>
      </c>
      <c r="I104" s="301" t="s">
        <v>873</v>
      </c>
      <c r="J104" s="4"/>
      <c r="K104" s="4"/>
    </row>
    <row r="105" spans="1:11" ht="30.2" customHeight="1" thickBot="1">
      <c r="A105" s="4"/>
      <c r="B105" s="4"/>
      <c r="C105" s="4"/>
      <c r="D105" s="1016" t="s">
        <v>342</v>
      </c>
      <c r="E105" s="1017"/>
      <c r="F105" s="1017"/>
      <c r="G105" s="1017"/>
      <c r="H105" s="446" t="str">
        <f>IF(AND(参考!$I$58&lt;&gt;"",$H$104&lt;&gt;""),ROUND(参考!$I$58-IF(SUM(K36,K46,K54,K61)&lt;0,0,ROUND(SUM(K36,K46,K54,K61),0))+IF($K$68="",0,$K$68)*-1,0),"")</f>
        <v/>
      </c>
      <c r="I105" s="302" t="s">
        <v>873</v>
      </c>
      <c r="J105" s="4"/>
      <c r="K105" s="4"/>
    </row>
    <row r="106" spans="1:11">
      <c r="A106" s="4"/>
      <c r="B106" s="4"/>
      <c r="C106" s="4"/>
      <c r="D106" s="4"/>
      <c r="E106" s="4"/>
      <c r="F106" s="4"/>
      <c r="G106" s="4"/>
      <c r="H106" s="4"/>
      <c r="I106" s="4"/>
      <c r="J106" s="4"/>
      <c r="K106" s="4"/>
    </row>
    <row r="107" spans="1:11" ht="24">
      <c r="A107" s="4"/>
      <c r="B107" s="4"/>
      <c r="C107" s="4"/>
      <c r="D107" s="4"/>
      <c r="E107" s="4"/>
      <c r="F107" s="4"/>
      <c r="G107" s="4"/>
      <c r="H107" s="4"/>
      <c r="I107" s="4"/>
      <c r="J107" s="4"/>
      <c r="K107" s="136" t="s">
        <v>323</v>
      </c>
    </row>
    <row r="109" spans="1:11" ht="24">
      <c r="K109" s="475"/>
    </row>
  </sheetData>
  <sheetProtection algorithmName="SHA-512" hashValue="unUv0tAhNyfgTI6v/T2VraXDUEtIoYND+pa6LOk8WUH9UzGhr6+81g5Jn4u9rmECWOT+N0EhjlpkqxRxlgk+JQ==" saltValue="atSsOWOksXKUGlJefrjmZg==" spinCount="100000" sheet="1" objects="1" scenarios="1"/>
  <mergeCells count="129">
    <mergeCell ref="F61:G61"/>
    <mergeCell ref="B57:E58"/>
    <mergeCell ref="F57:G57"/>
    <mergeCell ref="B59:B61"/>
    <mergeCell ref="D52:E52"/>
    <mergeCell ref="D53:E53"/>
    <mergeCell ref="B74:C84"/>
    <mergeCell ref="D83:E83"/>
    <mergeCell ref="D84:E84"/>
    <mergeCell ref="F54:G54"/>
    <mergeCell ref="C48:C53"/>
    <mergeCell ref="C68:E68"/>
    <mergeCell ref="F68:G68"/>
    <mergeCell ref="B62:B68"/>
    <mergeCell ref="D104:G104"/>
    <mergeCell ref="D105:G105"/>
    <mergeCell ref="B98:E98"/>
    <mergeCell ref="F98:G98"/>
    <mergeCell ref="D102:G102"/>
    <mergeCell ref="D90:E90"/>
    <mergeCell ref="D93:E93"/>
    <mergeCell ref="B94:C97"/>
    <mergeCell ref="D94:E94"/>
    <mergeCell ref="D97:E97"/>
    <mergeCell ref="B85:C93"/>
    <mergeCell ref="D85:E85"/>
    <mergeCell ref="D86:E86"/>
    <mergeCell ref="D87:E87"/>
    <mergeCell ref="D88:E88"/>
    <mergeCell ref="D103:G103"/>
    <mergeCell ref="D96:E96"/>
    <mergeCell ref="D91:E91"/>
    <mergeCell ref="D92:E92"/>
    <mergeCell ref="A74:A98"/>
    <mergeCell ref="D74:E74"/>
    <mergeCell ref="D75:E75"/>
    <mergeCell ref="D76:E76"/>
    <mergeCell ref="D89:E89"/>
    <mergeCell ref="D80:E80"/>
    <mergeCell ref="D81:E81"/>
    <mergeCell ref="D82:E82"/>
    <mergeCell ref="D77:E77"/>
    <mergeCell ref="D78:E78"/>
    <mergeCell ref="D79:E79"/>
    <mergeCell ref="D95:E95"/>
    <mergeCell ref="A71:A73"/>
    <mergeCell ref="B71:C73"/>
    <mergeCell ref="D71:E73"/>
    <mergeCell ref="F71:G71"/>
    <mergeCell ref="F72:G72"/>
    <mergeCell ref="F73:G73"/>
    <mergeCell ref="C62:E62"/>
    <mergeCell ref="F62:G62"/>
    <mergeCell ref="C63:E63"/>
    <mergeCell ref="F63:G63"/>
    <mergeCell ref="C64:E64"/>
    <mergeCell ref="F64:G64"/>
    <mergeCell ref="C65:E65"/>
    <mergeCell ref="F65:G65"/>
    <mergeCell ref="A57:A69"/>
    <mergeCell ref="B69:E69"/>
    <mergeCell ref="F69:G69"/>
    <mergeCell ref="C66:E66"/>
    <mergeCell ref="F66:G66"/>
    <mergeCell ref="C61:E61"/>
    <mergeCell ref="C59:E59"/>
    <mergeCell ref="C60:E60"/>
    <mergeCell ref="C67:E67"/>
    <mergeCell ref="F67:G67"/>
    <mergeCell ref="C29:E29"/>
    <mergeCell ref="C30:E30"/>
    <mergeCell ref="C31:E31"/>
    <mergeCell ref="C36:E36"/>
    <mergeCell ref="F36:G36"/>
    <mergeCell ref="F46:G46"/>
    <mergeCell ref="D37:E37"/>
    <mergeCell ref="D38:E38"/>
    <mergeCell ref="D40:E40"/>
    <mergeCell ref="C41:C45"/>
    <mergeCell ref="D41:D42"/>
    <mergeCell ref="D43:D44"/>
    <mergeCell ref="C15:E15"/>
    <mergeCell ref="C16:C17"/>
    <mergeCell ref="A2:E2"/>
    <mergeCell ref="C54:E54"/>
    <mergeCell ref="C27:E27"/>
    <mergeCell ref="C32:E32"/>
    <mergeCell ref="C33:E33"/>
    <mergeCell ref="D16:E16"/>
    <mergeCell ref="D17:E17"/>
    <mergeCell ref="C18:C19"/>
    <mergeCell ref="D18:E18"/>
    <mergeCell ref="D19:E19"/>
    <mergeCell ref="C20:C22"/>
    <mergeCell ref="D20:E20"/>
    <mergeCell ref="D21:E21"/>
    <mergeCell ref="D22:E22"/>
    <mergeCell ref="D39:E39"/>
    <mergeCell ref="D48:D49"/>
    <mergeCell ref="D50:D51"/>
    <mergeCell ref="C46:E46"/>
    <mergeCell ref="C34:C35"/>
    <mergeCell ref="D34:E34"/>
    <mergeCell ref="D35:E35"/>
    <mergeCell ref="C28:E28"/>
    <mergeCell ref="H3:J3"/>
    <mergeCell ref="B4:E5"/>
    <mergeCell ref="F4:G4"/>
    <mergeCell ref="C13:E13"/>
    <mergeCell ref="C14:E14"/>
    <mergeCell ref="A6:A54"/>
    <mergeCell ref="B6:B35"/>
    <mergeCell ref="C6:E6"/>
    <mergeCell ref="C7:E7"/>
    <mergeCell ref="C8:E8"/>
    <mergeCell ref="C9:E9"/>
    <mergeCell ref="C10:E10"/>
    <mergeCell ref="C11:E11"/>
    <mergeCell ref="C12:E12"/>
    <mergeCell ref="C23:C24"/>
    <mergeCell ref="D23:E23"/>
    <mergeCell ref="D24:E24"/>
    <mergeCell ref="C25:E25"/>
    <mergeCell ref="C26:E26"/>
    <mergeCell ref="B47:B54"/>
    <mergeCell ref="D47:E47"/>
    <mergeCell ref="D45:E45"/>
    <mergeCell ref="B37:B46"/>
    <mergeCell ref="C37:C40"/>
  </mergeCells>
  <phoneticPr fontId="5"/>
  <pageMargins left="0.78740157480314965" right="0.59055118110236227" top="0.78740157480314965" bottom="0.59055118110236227" header="0.31496062992125984" footer="0.31496062992125984"/>
  <pageSetup paperSize="9" scale="39" fitToHeight="0" orientation="portrait" r:id="rId1"/>
  <headerFooter>
    <oddHeader>&amp;L別紙1&amp;Cエネ起CO2算定資料</oddHeader>
  </headerFooter>
  <rowBreaks count="1" manualBreakCount="1">
    <brk id="5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P99"/>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RowHeight="18" outlineLevelCol="1"/>
  <cols>
    <col min="1" max="1" width="6.25" style="67" customWidth="1"/>
    <col min="2" max="2" width="19.75" style="67" customWidth="1"/>
    <col min="3" max="3" width="23.25" style="67" customWidth="1"/>
    <col min="4" max="4" width="16.5" style="67" customWidth="1"/>
    <col min="5" max="5" width="11.5" style="67" customWidth="1"/>
    <col min="6" max="6" width="13.375" style="67" customWidth="1"/>
    <col min="7" max="7" width="11.5" style="67" hidden="1" customWidth="1" outlineLevel="1"/>
    <col min="8" max="8" width="6.5" style="67" hidden="1" customWidth="1" outlineLevel="1"/>
    <col min="9" max="9" width="11.25" style="68" customWidth="1" collapsed="1"/>
    <col min="10" max="10" width="14.5" style="67" customWidth="1"/>
    <col min="11" max="11" width="18.875" style="67" customWidth="1"/>
    <col min="12" max="12" width="9" style="67" customWidth="1"/>
    <col min="13" max="13" width="19" style="67" hidden="1" customWidth="1" outlineLevel="1"/>
    <col min="14" max="14" width="24.5" style="67" hidden="1" customWidth="1" outlineLevel="1"/>
    <col min="15" max="15" width="22.875" style="67" hidden="1" customWidth="1" outlineLevel="1"/>
    <col min="16" max="16" width="9" style="67" customWidth="1" collapsed="1"/>
    <col min="17" max="229" width="9" style="67"/>
    <col min="230" max="230" width="2" style="67" customWidth="1"/>
    <col min="231" max="231" width="6.25" style="67" customWidth="1"/>
    <col min="232" max="232" width="19.75" style="67" customWidth="1"/>
    <col min="233" max="233" width="23.25" style="67" customWidth="1"/>
    <col min="234" max="234" width="14.125" style="67" customWidth="1"/>
    <col min="235" max="235" width="10.5" style="67" customWidth="1"/>
    <col min="236" max="239" width="0" style="67" hidden="1" customWidth="1"/>
    <col min="240" max="252" width="10.625" style="67" customWidth="1"/>
    <col min="253" max="266" width="0" style="67" hidden="1" customWidth="1"/>
    <col min="267" max="268" width="11.25" style="67" customWidth="1"/>
    <col min="269" max="269" width="9" style="67"/>
    <col min="270" max="272" width="0" style="67" hidden="1" customWidth="1"/>
    <col min="273" max="485" width="9" style="67"/>
    <col min="486" max="486" width="2" style="67" customWidth="1"/>
    <col min="487" max="487" width="6.25" style="67" customWidth="1"/>
    <col min="488" max="488" width="19.75" style="67" customWidth="1"/>
    <col min="489" max="489" width="23.25" style="67" customWidth="1"/>
    <col min="490" max="490" width="14.125" style="67" customWidth="1"/>
    <col min="491" max="491" width="10.5" style="67" customWidth="1"/>
    <col min="492" max="495" width="0" style="67" hidden="1" customWidth="1"/>
    <col min="496" max="508" width="10.625" style="67" customWidth="1"/>
    <col min="509" max="522" width="0" style="67" hidden="1" customWidth="1"/>
    <col min="523" max="524" width="11.25" style="67" customWidth="1"/>
    <col min="525" max="525" width="9" style="67"/>
    <col min="526" max="528" width="0" style="67" hidden="1" customWidth="1"/>
    <col min="529" max="741" width="9" style="67"/>
    <col min="742" max="742" width="2" style="67" customWidth="1"/>
    <col min="743" max="743" width="6.25" style="67" customWidth="1"/>
    <col min="744" max="744" width="19.75" style="67" customWidth="1"/>
    <col min="745" max="745" width="23.25" style="67" customWidth="1"/>
    <col min="746" max="746" width="14.125" style="67" customWidth="1"/>
    <col min="747" max="747" width="10.5" style="67" customWidth="1"/>
    <col min="748" max="751" width="0" style="67" hidden="1" customWidth="1"/>
    <col min="752" max="764" width="10.625" style="67" customWidth="1"/>
    <col min="765" max="778" width="0" style="67" hidden="1" customWidth="1"/>
    <col min="779" max="780" width="11.25" style="67" customWidth="1"/>
    <col min="781" max="781" width="9" style="67"/>
    <col min="782" max="784" width="0" style="67" hidden="1" customWidth="1"/>
    <col min="785" max="997" width="9" style="67"/>
    <col min="998" max="998" width="2" style="67" customWidth="1"/>
    <col min="999" max="999" width="6.25" style="67" customWidth="1"/>
    <col min="1000" max="1000" width="19.75" style="67" customWidth="1"/>
    <col min="1001" max="1001" width="23.25" style="67" customWidth="1"/>
    <col min="1002" max="1002" width="14.125" style="67" customWidth="1"/>
    <col min="1003" max="1003" width="10.5" style="67" customWidth="1"/>
    <col min="1004" max="1007" width="0" style="67" hidden="1" customWidth="1"/>
    <col min="1008" max="1020" width="10.625" style="67" customWidth="1"/>
    <col min="1021" max="1034" width="0" style="67" hidden="1" customWidth="1"/>
    <col min="1035" max="1036" width="11.25" style="67" customWidth="1"/>
    <col min="1037" max="1037" width="9" style="67"/>
    <col min="1038" max="1040" width="0" style="67" hidden="1" customWidth="1"/>
    <col min="1041" max="1253" width="9" style="67"/>
    <col min="1254" max="1254" width="2" style="67" customWidth="1"/>
    <col min="1255" max="1255" width="6.25" style="67" customWidth="1"/>
    <col min="1256" max="1256" width="19.75" style="67" customWidth="1"/>
    <col min="1257" max="1257" width="23.25" style="67" customWidth="1"/>
    <col min="1258" max="1258" width="14.125" style="67" customWidth="1"/>
    <col min="1259" max="1259" width="10.5" style="67" customWidth="1"/>
    <col min="1260" max="1263" width="0" style="67" hidden="1" customWidth="1"/>
    <col min="1264" max="1276" width="10.625" style="67" customWidth="1"/>
    <col min="1277" max="1290" width="0" style="67" hidden="1" customWidth="1"/>
    <col min="1291" max="1292" width="11.25" style="67" customWidth="1"/>
    <col min="1293" max="1293" width="9" style="67"/>
    <col min="1294" max="1296" width="0" style="67" hidden="1" customWidth="1"/>
    <col min="1297" max="1509" width="9" style="67"/>
    <col min="1510" max="1510" width="2" style="67" customWidth="1"/>
    <col min="1511" max="1511" width="6.25" style="67" customWidth="1"/>
    <col min="1512" max="1512" width="19.75" style="67" customWidth="1"/>
    <col min="1513" max="1513" width="23.25" style="67" customWidth="1"/>
    <col min="1514" max="1514" width="14.125" style="67" customWidth="1"/>
    <col min="1515" max="1515" width="10.5" style="67" customWidth="1"/>
    <col min="1516" max="1519" width="0" style="67" hidden="1" customWidth="1"/>
    <col min="1520" max="1532" width="10.625" style="67" customWidth="1"/>
    <col min="1533" max="1546" width="0" style="67" hidden="1" customWidth="1"/>
    <col min="1547" max="1548" width="11.25" style="67" customWidth="1"/>
    <col min="1549" max="1549" width="9" style="67"/>
    <col min="1550" max="1552" width="0" style="67" hidden="1" customWidth="1"/>
    <col min="1553" max="1765" width="9" style="67"/>
    <col min="1766" max="1766" width="2" style="67" customWidth="1"/>
    <col min="1767" max="1767" width="6.25" style="67" customWidth="1"/>
    <col min="1768" max="1768" width="19.75" style="67" customWidth="1"/>
    <col min="1769" max="1769" width="23.25" style="67" customWidth="1"/>
    <col min="1770" max="1770" width="14.125" style="67" customWidth="1"/>
    <col min="1771" max="1771" width="10.5" style="67" customWidth="1"/>
    <col min="1772" max="1775" width="0" style="67" hidden="1" customWidth="1"/>
    <col min="1776" max="1788" width="10.625" style="67" customWidth="1"/>
    <col min="1789" max="1802" width="0" style="67" hidden="1" customWidth="1"/>
    <col min="1803" max="1804" width="11.25" style="67" customWidth="1"/>
    <col min="1805" max="1805" width="9" style="67"/>
    <col min="1806" max="1808" width="0" style="67" hidden="1" customWidth="1"/>
    <col min="1809" max="2021" width="9" style="67"/>
    <col min="2022" max="2022" width="2" style="67" customWidth="1"/>
    <col min="2023" max="2023" width="6.25" style="67" customWidth="1"/>
    <col min="2024" max="2024" width="19.75" style="67" customWidth="1"/>
    <col min="2025" max="2025" width="23.25" style="67" customWidth="1"/>
    <col min="2026" max="2026" width="14.125" style="67" customWidth="1"/>
    <col min="2027" max="2027" width="10.5" style="67" customWidth="1"/>
    <col min="2028" max="2031" width="0" style="67" hidden="1" customWidth="1"/>
    <col min="2032" max="2044" width="10.625" style="67" customWidth="1"/>
    <col min="2045" max="2058" width="0" style="67" hidden="1" customWidth="1"/>
    <col min="2059" max="2060" width="11.25" style="67" customWidth="1"/>
    <col min="2061" max="2061" width="9" style="67"/>
    <col min="2062" max="2064" width="0" style="67" hidden="1" customWidth="1"/>
    <col min="2065" max="2277" width="9" style="67"/>
    <col min="2278" max="2278" width="2" style="67" customWidth="1"/>
    <col min="2279" max="2279" width="6.25" style="67" customWidth="1"/>
    <col min="2280" max="2280" width="19.75" style="67" customWidth="1"/>
    <col min="2281" max="2281" width="23.25" style="67" customWidth="1"/>
    <col min="2282" max="2282" width="14.125" style="67" customWidth="1"/>
    <col min="2283" max="2283" width="10.5" style="67" customWidth="1"/>
    <col min="2284" max="2287" width="0" style="67" hidden="1" customWidth="1"/>
    <col min="2288" max="2300" width="10.625" style="67" customWidth="1"/>
    <col min="2301" max="2314" width="0" style="67" hidden="1" customWidth="1"/>
    <col min="2315" max="2316" width="11.25" style="67" customWidth="1"/>
    <col min="2317" max="2317" width="9" style="67"/>
    <col min="2318" max="2320" width="0" style="67" hidden="1" customWidth="1"/>
    <col min="2321" max="2533" width="9" style="67"/>
    <col min="2534" max="2534" width="2" style="67" customWidth="1"/>
    <col min="2535" max="2535" width="6.25" style="67" customWidth="1"/>
    <col min="2536" max="2536" width="19.75" style="67" customWidth="1"/>
    <col min="2537" max="2537" width="23.25" style="67" customWidth="1"/>
    <col min="2538" max="2538" width="14.125" style="67" customWidth="1"/>
    <col min="2539" max="2539" width="10.5" style="67" customWidth="1"/>
    <col min="2540" max="2543" width="0" style="67" hidden="1" customWidth="1"/>
    <col min="2544" max="2556" width="10.625" style="67" customWidth="1"/>
    <col min="2557" max="2570" width="0" style="67" hidden="1" customWidth="1"/>
    <col min="2571" max="2572" width="11.25" style="67" customWidth="1"/>
    <col min="2573" max="2573" width="9" style="67"/>
    <col min="2574" max="2576" width="0" style="67" hidden="1" customWidth="1"/>
    <col min="2577" max="2789" width="9" style="67"/>
    <col min="2790" max="2790" width="2" style="67" customWidth="1"/>
    <col min="2791" max="2791" width="6.25" style="67" customWidth="1"/>
    <col min="2792" max="2792" width="19.75" style="67" customWidth="1"/>
    <col min="2793" max="2793" width="23.25" style="67" customWidth="1"/>
    <col min="2794" max="2794" width="14.125" style="67" customWidth="1"/>
    <col min="2795" max="2795" width="10.5" style="67" customWidth="1"/>
    <col min="2796" max="2799" width="0" style="67" hidden="1" customWidth="1"/>
    <col min="2800" max="2812" width="10.625" style="67" customWidth="1"/>
    <col min="2813" max="2826" width="0" style="67" hidden="1" customWidth="1"/>
    <col min="2827" max="2828" width="11.25" style="67" customWidth="1"/>
    <col min="2829" max="2829" width="9" style="67"/>
    <col min="2830" max="2832" width="0" style="67" hidden="1" customWidth="1"/>
    <col min="2833" max="3045" width="9" style="67"/>
    <col min="3046" max="3046" width="2" style="67" customWidth="1"/>
    <col min="3047" max="3047" width="6.25" style="67" customWidth="1"/>
    <col min="3048" max="3048" width="19.75" style="67" customWidth="1"/>
    <col min="3049" max="3049" width="23.25" style="67" customWidth="1"/>
    <col min="3050" max="3050" width="14.125" style="67" customWidth="1"/>
    <col min="3051" max="3051" width="10.5" style="67" customWidth="1"/>
    <col min="3052" max="3055" width="0" style="67" hidden="1" customWidth="1"/>
    <col min="3056" max="3068" width="10.625" style="67" customWidth="1"/>
    <col min="3069" max="3082" width="0" style="67" hidden="1" customWidth="1"/>
    <col min="3083" max="3084" width="11.25" style="67" customWidth="1"/>
    <col min="3085" max="3085" width="9" style="67"/>
    <col min="3086" max="3088" width="0" style="67" hidden="1" customWidth="1"/>
    <col min="3089" max="3301" width="9" style="67"/>
    <col min="3302" max="3302" width="2" style="67" customWidth="1"/>
    <col min="3303" max="3303" width="6.25" style="67" customWidth="1"/>
    <col min="3304" max="3304" width="19.75" style="67" customWidth="1"/>
    <col min="3305" max="3305" width="23.25" style="67" customWidth="1"/>
    <col min="3306" max="3306" width="14.125" style="67" customWidth="1"/>
    <col min="3307" max="3307" width="10.5" style="67" customWidth="1"/>
    <col min="3308" max="3311" width="0" style="67" hidden="1" customWidth="1"/>
    <col min="3312" max="3324" width="10.625" style="67" customWidth="1"/>
    <col min="3325" max="3338" width="0" style="67" hidden="1" customWidth="1"/>
    <col min="3339" max="3340" width="11.25" style="67" customWidth="1"/>
    <col min="3341" max="3341" width="9" style="67"/>
    <col min="3342" max="3344" width="0" style="67" hidden="1" customWidth="1"/>
    <col min="3345" max="3557" width="9" style="67"/>
    <col min="3558" max="3558" width="2" style="67" customWidth="1"/>
    <col min="3559" max="3559" width="6.25" style="67" customWidth="1"/>
    <col min="3560" max="3560" width="19.75" style="67" customWidth="1"/>
    <col min="3561" max="3561" width="23.25" style="67" customWidth="1"/>
    <col min="3562" max="3562" width="14.125" style="67" customWidth="1"/>
    <col min="3563" max="3563" width="10.5" style="67" customWidth="1"/>
    <col min="3564" max="3567" width="0" style="67" hidden="1" customWidth="1"/>
    <col min="3568" max="3580" width="10.625" style="67" customWidth="1"/>
    <col min="3581" max="3594" width="0" style="67" hidden="1" customWidth="1"/>
    <col min="3595" max="3596" width="11.25" style="67" customWidth="1"/>
    <col min="3597" max="3597" width="9" style="67"/>
    <col min="3598" max="3600" width="0" style="67" hidden="1" customWidth="1"/>
    <col min="3601" max="3813" width="9" style="67"/>
    <col min="3814" max="3814" width="2" style="67" customWidth="1"/>
    <col min="3815" max="3815" width="6.25" style="67" customWidth="1"/>
    <col min="3816" max="3816" width="19.75" style="67" customWidth="1"/>
    <col min="3817" max="3817" width="23.25" style="67" customWidth="1"/>
    <col min="3818" max="3818" width="14.125" style="67" customWidth="1"/>
    <col min="3819" max="3819" width="10.5" style="67" customWidth="1"/>
    <col min="3820" max="3823" width="0" style="67" hidden="1" customWidth="1"/>
    <col min="3824" max="3836" width="10.625" style="67" customWidth="1"/>
    <col min="3837" max="3850" width="0" style="67" hidden="1" customWidth="1"/>
    <col min="3851" max="3852" width="11.25" style="67" customWidth="1"/>
    <col min="3853" max="3853" width="9" style="67"/>
    <col min="3854" max="3856" width="0" style="67" hidden="1" customWidth="1"/>
    <col min="3857" max="4069" width="9" style="67"/>
    <col min="4070" max="4070" width="2" style="67" customWidth="1"/>
    <col min="4071" max="4071" width="6.25" style="67" customWidth="1"/>
    <col min="4072" max="4072" width="19.75" style="67" customWidth="1"/>
    <col min="4073" max="4073" width="23.25" style="67" customWidth="1"/>
    <col min="4074" max="4074" width="14.125" style="67" customWidth="1"/>
    <col min="4075" max="4075" width="10.5" style="67" customWidth="1"/>
    <col min="4076" max="4079" width="0" style="67" hidden="1" customWidth="1"/>
    <col min="4080" max="4092" width="10.625" style="67" customWidth="1"/>
    <col min="4093" max="4106" width="0" style="67" hidden="1" customWidth="1"/>
    <col min="4107" max="4108" width="11.25" style="67" customWidth="1"/>
    <col min="4109" max="4109" width="9" style="67"/>
    <col min="4110" max="4112" width="0" style="67" hidden="1" customWidth="1"/>
    <col min="4113" max="4325" width="9" style="67"/>
    <col min="4326" max="4326" width="2" style="67" customWidth="1"/>
    <col min="4327" max="4327" width="6.25" style="67" customWidth="1"/>
    <col min="4328" max="4328" width="19.75" style="67" customWidth="1"/>
    <col min="4329" max="4329" width="23.25" style="67" customWidth="1"/>
    <col min="4330" max="4330" width="14.125" style="67" customWidth="1"/>
    <col min="4331" max="4331" width="10.5" style="67" customWidth="1"/>
    <col min="4332" max="4335" width="0" style="67" hidden="1" customWidth="1"/>
    <col min="4336" max="4348" width="10.625" style="67" customWidth="1"/>
    <col min="4349" max="4362" width="0" style="67" hidden="1" customWidth="1"/>
    <col min="4363" max="4364" width="11.25" style="67" customWidth="1"/>
    <col min="4365" max="4365" width="9" style="67"/>
    <col min="4366" max="4368" width="0" style="67" hidden="1" customWidth="1"/>
    <col min="4369" max="4581" width="9" style="67"/>
    <col min="4582" max="4582" width="2" style="67" customWidth="1"/>
    <col min="4583" max="4583" width="6.25" style="67" customWidth="1"/>
    <col min="4584" max="4584" width="19.75" style="67" customWidth="1"/>
    <col min="4585" max="4585" width="23.25" style="67" customWidth="1"/>
    <col min="4586" max="4586" width="14.125" style="67" customWidth="1"/>
    <col min="4587" max="4587" width="10.5" style="67" customWidth="1"/>
    <col min="4588" max="4591" width="0" style="67" hidden="1" customWidth="1"/>
    <col min="4592" max="4604" width="10.625" style="67" customWidth="1"/>
    <col min="4605" max="4618" width="0" style="67" hidden="1" customWidth="1"/>
    <col min="4619" max="4620" width="11.25" style="67" customWidth="1"/>
    <col min="4621" max="4621" width="9" style="67"/>
    <col min="4622" max="4624" width="0" style="67" hidden="1" customWidth="1"/>
    <col min="4625" max="4837" width="9" style="67"/>
    <col min="4838" max="4838" width="2" style="67" customWidth="1"/>
    <col min="4839" max="4839" width="6.25" style="67" customWidth="1"/>
    <col min="4840" max="4840" width="19.75" style="67" customWidth="1"/>
    <col min="4841" max="4841" width="23.25" style="67" customWidth="1"/>
    <col min="4842" max="4842" width="14.125" style="67" customWidth="1"/>
    <col min="4843" max="4843" width="10.5" style="67" customWidth="1"/>
    <col min="4844" max="4847" width="0" style="67" hidden="1" customWidth="1"/>
    <col min="4848" max="4860" width="10.625" style="67" customWidth="1"/>
    <col min="4861" max="4874" width="0" style="67" hidden="1" customWidth="1"/>
    <col min="4875" max="4876" width="11.25" style="67" customWidth="1"/>
    <col min="4877" max="4877" width="9" style="67"/>
    <col min="4878" max="4880" width="0" style="67" hidden="1" customWidth="1"/>
    <col min="4881" max="5093" width="9" style="67"/>
    <col min="5094" max="5094" width="2" style="67" customWidth="1"/>
    <col min="5095" max="5095" width="6.25" style="67" customWidth="1"/>
    <col min="5096" max="5096" width="19.75" style="67" customWidth="1"/>
    <col min="5097" max="5097" width="23.25" style="67" customWidth="1"/>
    <col min="5098" max="5098" width="14.125" style="67" customWidth="1"/>
    <col min="5099" max="5099" width="10.5" style="67" customWidth="1"/>
    <col min="5100" max="5103" width="0" style="67" hidden="1" customWidth="1"/>
    <col min="5104" max="5116" width="10.625" style="67" customWidth="1"/>
    <col min="5117" max="5130" width="0" style="67" hidden="1" customWidth="1"/>
    <col min="5131" max="5132" width="11.25" style="67" customWidth="1"/>
    <col min="5133" max="5133" width="9" style="67"/>
    <col min="5134" max="5136" width="0" style="67" hidden="1" customWidth="1"/>
    <col min="5137" max="5349" width="9" style="67"/>
    <col min="5350" max="5350" width="2" style="67" customWidth="1"/>
    <col min="5351" max="5351" width="6.25" style="67" customWidth="1"/>
    <col min="5352" max="5352" width="19.75" style="67" customWidth="1"/>
    <col min="5353" max="5353" width="23.25" style="67" customWidth="1"/>
    <col min="5354" max="5354" width="14.125" style="67" customWidth="1"/>
    <col min="5355" max="5355" width="10.5" style="67" customWidth="1"/>
    <col min="5356" max="5359" width="0" style="67" hidden="1" customWidth="1"/>
    <col min="5360" max="5372" width="10.625" style="67" customWidth="1"/>
    <col min="5373" max="5386" width="0" style="67" hidden="1" customWidth="1"/>
    <col min="5387" max="5388" width="11.25" style="67" customWidth="1"/>
    <col min="5389" max="5389" width="9" style="67"/>
    <col min="5390" max="5392" width="0" style="67" hidden="1" customWidth="1"/>
    <col min="5393" max="5605" width="9" style="67"/>
    <col min="5606" max="5606" width="2" style="67" customWidth="1"/>
    <col min="5607" max="5607" width="6.25" style="67" customWidth="1"/>
    <col min="5608" max="5608" width="19.75" style="67" customWidth="1"/>
    <col min="5609" max="5609" width="23.25" style="67" customWidth="1"/>
    <col min="5610" max="5610" width="14.125" style="67" customWidth="1"/>
    <col min="5611" max="5611" width="10.5" style="67" customWidth="1"/>
    <col min="5612" max="5615" width="0" style="67" hidden="1" customWidth="1"/>
    <col min="5616" max="5628" width="10.625" style="67" customWidth="1"/>
    <col min="5629" max="5642" width="0" style="67" hidden="1" customWidth="1"/>
    <col min="5643" max="5644" width="11.25" style="67" customWidth="1"/>
    <col min="5645" max="5645" width="9" style="67"/>
    <col min="5646" max="5648" width="0" style="67" hidden="1" customWidth="1"/>
    <col min="5649" max="5861" width="9" style="67"/>
    <col min="5862" max="5862" width="2" style="67" customWidth="1"/>
    <col min="5863" max="5863" width="6.25" style="67" customWidth="1"/>
    <col min="5864" max="5864" width="19.75" style="67" customWidth="1"/>
    <col min="5865" max="5865" width="23.25" style="67" customWidth="1"/>
    <col min="5866" max="5866" width="14.125" style="67" customWidth="1"/>
    <col min="5867" max="5867" width="10.5" style="67" customWidth="1"/>
    <col min="5868" max="5871" width="0" style="67" hidden="1" customWidth="1"/>
    <col min="5872" max="5884" width="10.625" style="67" customWidth="1"/>
    <col min="5885" max="5898" width="0" style="67" hidden="1" customWidth="1"/>
    <col min="5899" max="5900" width="11.25" style="67" customWidth="1"/>
    <col min="5901" max="5901" width="9" style="67"/>
    <col min="5902" max="5904" width="0" style="67" hidden="1" customWidth="1"/>
    <col min="5905" max="6117" width="9" style="67"/>
    <col min="6118" max="6118" width="2" style="67" customWidth="1"/>
    <col min="6119" max="6119" width="6.25" style="67" customWidth="1"/>
    <col min="6120" max="6120" width="19.75" style="67" customWidth="1"/>
    <col min="6121" max="6121" width="23.25" style="67" customWidth="1"/>
    <col min="6122" max="6122" width="14.125" style="67" customWidth="1"/>
    <col min="6123" max="6123" width="10.5" style="67" customWidth="1"/>
    <col min="6124" max="6127" width="0" style="67" hidden="1" customWidth="1"/>
    <col min="6128" max="6140" width="10.625" style="67" customWidth="1"/>
    <col min="6141" max="6154" width="0" style="67" hidden="1" customWidth="1"/>
    <col min="6155" max="6156" width="11.25" style="67" customWidth="1"/>
    <col min="6157" max="6157" width="9" style="67"/>
    <col min="6158" max="6160" width="0" style="67" hidden="1" customWidth="1"/>
    <col min="6161" max="6373" width="9" style="67"/>
    <col min="6374" max="6374" width="2" style="67" customWidth="1"/>
    <col min="6375" max="6375" width="6.25" style="67" customWidth="1"/>
    <col min="6376" max="6376" width="19.75" style="67" customWidth="1"/>
    <col min="6377" max="6377" width="23.25" style="67" customWidth="1"/>
    <col min="6378" max="6378" width="14.125" style="67" customWidth="1"/>
    <col min="6379" max="6379" width="10.5" style="67" customWidth="1"/>
    <col min="6380" max="6383" width="0" style="67" hidden="1" customWidth="1"/>
    <col min="6384" max="6396" width="10.625" style="67" customWidth="1"/>
    <col min="6397" max="6410" width="0" style="67" hidden="1" customWidth="1"/>
    <col min="6411" max="6412" width="11.25" style="67" customWidth="1"/>
    <col min="6413" max="6413" width="9" style="67"/>
    <col min="6414" max="6416" width="0" style="67" hidden="1" customWidth="1"/>
    <col min="6417" max="6629" width="9" style="67"/>
    <col min="6630" max="6630" width="2" style="67" customWidth="1"/>
    <col min="6631" max="6631" width="6.25" style="67" customWidth="1"/>
    <col min="6632" max="6632" width="19.75" style="67" customWidth="1"/>
    <col min="6633" max="6633" width="23.25" style="67" customWidth="1"/>
    <col min="6634" max="6634" width="14.125" style="67" customWidth="1"/>
    <col min="6635" max="6635" width="10.5" style="67" customWidth="1"/>
    <col min="6636" max="6639" width="0" style="67" hidden="1" customWidth="1"/>
    <col min="6640" max="6652" width="10.625" style="67" customWidth="1"/>
    <col min="6653" max="6666" width="0" style="67" hidden="1" customWidth="1"/>
    <col min="6667" max="6668" width="11.25" style="67" customWidth="1"/>
    <col min="6669" max="6669" width="9" style="67"/>
    <col min="6670" max="6672" width="0" style="67" hidden="1" customWidth="1"/>
    <col min="6673" max="6885" width="9" style="67"/>
    <col min="6886" max="6886" width="2" style="67" customWidth="1"/>
    <col min="6887" max="6887" width="6.25" style="67" customWidth="1"/>
    <col min="6888" max="6888" width="19.75" style="67" customWidth="1"/>
    <col min="6889" max="6889" width="23.25" style="67" customWidth="1"/>
    <col min="6890" max="6890" width="14.125" style="67" customWidth="1"/>
    <col min="6891" max="6891" width="10.5" style="67" customWidth="1"/>
    <col min="6892" max="6895" width="0" style="67" hidden="1" customWidth="1"/>
    <col min="6896" max="6908" width="10.625" style="67" customWidth="1"/>
    <col min="6909" max="6922" width="0" style="67" hidden="1" customWidth="1"/>
    <col min="6923" max="6924" width="11.25" style="67" customWidth="1"/>
    <col min="6925" max="6925" width="9" style="67"/>
    <col min="6926" max="6928" width="0" style="67" hidden="1" customWidth="1"/>
    <col min="6929" max="7141" width="9" style="67"/>
    <col min="7142" max="7142" width="2" style="67" customWidth="1"/>
    <col min="7143" max="7143" width="6.25" style="67" customWidth="1"/>
    <col min="7144" max="7144" width="19.75" style="67" customWidth="1"/>
    <col min="7145" max="7145" width="23.25" style="67" customWidth="1"/>
    <col min="7146" max="7146" width="14.125" style="67" customWidth="1"/>
    <col min="7147" max="7147" width="10.5" style="67" customWidth="1"/>
    <col min="7148" max="7151" width="0" style="67" hidden="1" customWidth="1"/>
    <col min="7152" max="7164" width="10.625" style="67" customWidth="1"/>
    <col min="7165" max="7178" width="0" style="67" hidden="1" customWidth="1"/>
    <col min="7179" max="7180" width="11.25" style="67" customWidth="1"/>
    <col min="7181" max="7181" width="9" style="67"/>
    <col min="7182" max="7184" width="0" style="67" hidden="1" customWidth="1"/>
    <col min="7185" max="7397" width="9" style="67"/>
    <col min="7398" max="7398" width="2" style="67" customWidth="1"/>
    <col min="7399" max="7399" width="6.25" style="67" customWidth="1"/>
    <col min="7400" max="7400" width="19.75" style="67" customWidth="1"/>
    <col min="7401" max="7401" width="23.25" style="67" customWidth="1"/>
    <col min="7402" max="7402" width="14.125" style="67" customWidth="1"/>
    <col min="7403" max="7403" width="10.5" style="67" customWidth="1"/>
    <col min="7404" max="7407" width="0" style="67" hidden="1" customWidth="1"/>
    <col min="7408" max="7420" width="10.625" style="67" customWidth="1"/>
    <col min="7421" max="7434" width="0" style="67" hidden="1" customWidth="1"/>
    <col min="7435" max="7436" width="11.25" style="67" customWidth="1"/>
    <col min="7437" max="7437" width="9" style="67"/>
    <col min="7438" max="7440" width="0" style="67" hidden="1" customWidth="1"/>
    <col min="7441" max="7653" width="9" style="67"/>
    <col min="7654" max="7654" width="2" style="67" customWidth="1"/>
    <col min="7655" max="7655" width="6.25" style="67" customWidth="1"/>
    <col min="7656" max="7656" width="19.75" style="67" customWidth="1"/>
    <col min="7657" max="7657" width="23.25" style="67" customWidth="1"/>
    <col min="7658" max="7658" width="14.125" style="67" customWidth="1"/>
    <col min="7659" max="7659" width="10.5" style="67" customWidth="1"/>
    <col min="7660" max="7663" width="0" style="67" hidden="1" customWidth="1"/>
    <col min="7664" max="7676" width="10.625" style="67" customWidth="1"/>
    <col min="7677" max="7690" width="0" style="67" hidden="1" customWidth="1"/>
    <col min="7691" max="7692" width="11.25" style="67" customWidth="1"/>
    <col min="7693" max="7693" width="9" style="67"/>
    <col min="7694" max="7696" width="0" style="67" hidden="1" customWidth="1"/>
    <col min="7697" max="7909" width="9" style="67"/>
    <col min="7910" max="7910" width="2" style="67" customWidth="1"/>
    <col min="7911" max="7911" width="6.25" style="67" customWidth="1"/>
    <col min="7912" max="7912" width="19.75" style="67" customWidth="1"/>
    <col min="7913" max="7913" width="23.25" style="67" customWidth="1"/>
    <col min="7914" max="7914" width="14.125" style="67" customWidth="1"/>
    <col min="7915" max="7915" width="10.5" style="67" customWidth="1"/>
    <col min="7916" max="7919" width="0" style="67" hidden="1" customWidth="1"/>
    <col min="7920" max="7932" width="10.625" style="67" customWidth="1"/>
    <col min="7933" max="7946" width="0" style="67" hidden="1" customWidth="1"/>
    <col min="7947" max="7948" width="11.25" style="67" customWidth="1"/>
    <col min="7949" max="7949" width="9" style="67"/>
    <col min="7950" max="7952" width="0" style="67" hidden="1" customWidth="1"/>
    <col min="7953" max="8165" width="9" style="67"/>
    <col min="8166" max="8166" width="2" style="67" customWidth="1"/>
    <col min="8167" max="8167" width="6.25" style="67" customWidth="1"/>
    <col min="8168" max="8168" width="19.75" style="67" customWidth="1"/>
    <col min="8169" max="8169" width="23.25" style="67" customWidth="1"/>
    <col min="8170" max="8170" width="14.125" style="67" customWidth="1"/>
    <col min="8171" max="8171" width="10.5" style="67" customWidth="1"/>
    <col min="8172" max="8175" width="0" style="67" hidden="1" customWidth="1"/>
    <col min="8176" max="8188" width="10.625" style="67" customWidth="1"/>
    <col min="8189" max="8202" width="0" style="67" hidden="1" customWidth="1"/>
    <col min="8203" max="8204" width="11.25" style="67" customWidth="1"/>
    <col min="8205" max="8205" width="9" style="67"/>
    <col min="8206" max="8208" width="0" style="67" hidden="1" customWidth="1"/>
    <col min="8209" max="8421" width="9" style="67"/>
    <col min="8422" max="8422" width="2" style="67" customWidth="1"/>
    <col min="8423" max="8423" width="6.25" style="67" customWidth="1"/>
    <col min="8424" max="8424" width="19.75" style="67" customWidth="1"/>
    <col min="8425" max="8425" width="23.25" style="67" customWidth="1"/>
    <col min="8426" max="8426" width="14.125" style="67" customWidth="1"/>
    <col min="8427" max="8427" width="10.5" style="67" customWidth="1"/>
    <col min="8428" max="8431" width="0" style="67" hidden="1" customWidth="1"/>
    <col min="8432" max="8444" width="10.625" style="67" customWidth="1"/>
    <col min="8445" max="8458" width="0" style="67" hidden="1" customWidth="1"/>
    <col min="8459" max="8460" width="11.25" style="67" customWidth="1"/>
    <col min="8461" max="8461" width="9" style="67"/>
    <col min="8462" max="8464" width="0" style="67" hidden="1" customWidth="1"/>
    <col min="8465" max="8677" width="9" style="67"/>
    <col min="8678" max="8678" width="2" style="67" customWidth="1"/>
    <col min="8679" max="8679" width="6.25" style="67" customWidth="1"/>
    <col min="8680" max="8680" width="19.75" style="67" customWidth="1"/>
    <col min="8681" max="8681" width="23.25" style="67" customWidth="1"/>
    <col min="8682" max="8682" width="14.125" style="67" customWidth="1"/>
    <col min="8683" max="8683" width="10.5" style="67" customWidth="1"/>
    <col min="8684" max="8687" width="0" style="67" hidden="1" customWidth="1"/>
    <col min="8688" max="8700" width="10.625" style="67" customWidth="1"/>
    <col min="8701" max="8714" width="0" style="67" hidden="1" customWidth="1"/>
    <col min="8715" max="8716" width="11.25" style="67" customWidth="1"/>
    <col min="8717" max="8717" width="9" style="67"/>
    <col min="8718" max="8720" width="0" style="67" hidden="1" customWidth="1"/>
    <col min="8721" max="8933" width="9" style="67"/>
    <col min="8934" max="8934" width="2" style="67" customWidth="1"/>
    <col min="8935" max="8935" width="6.25" style="67" customWidth="1"/>
    <col min="8936" max="8936" width="19.75" style="67" customWidth="1"/>
    <col min="8937" max="8937" width="23.25" style="67" customWidth="1"/>
    <col min="8938" max="8938" width="14.125" style="67" customWidth="1"/>
    <col min="8939" max="8939" width="10.5" style="67" customWidth="1"/>
    <col min="8940" max="8943" width="0" style="67" hidden="1" customWidth="1"/>
    <col min="8944" max="8956" width="10.625" style="67" customWidth="1"/>
    <col min="8957" max="8970" width="0" style="67" hidden="1" customWidth="1"/>
    <col min="8971" max="8972" width="11.25" style="67" customWidth="1"/>
    <col min="8973" max="8973" width="9" style="67"/>
    <col min="8974" max="8976" width="0" style="67" hidden="1" customWidth="1"/>
    <col min="8977" max="9189" width="9" style="67"/>
    <col min="9190" max="9190" width="2" style="67" customWidth="1"/>
    <col min="9191" max="9191" width="6.25" style="67" customWidth="1"/>
    <col min="9192" max="9192" width="19.75" style="67" customWidth="1"/>
    <col min="9193" max="9193" width="23.25" style="67" customWidth="1"/>
    <col min="9194" max="9194" width="14.125" style="67" customWidth="1"/>
    <col min="9195" max="9195" width="10.5" style="67" customWidth="1"/>
    <col min="9196" max="9199" width="0" style="67" hidden="1" customWidth="1"/>
    <col min="9200" max="9212" width="10.625" style="67" customWidth="1"/>
    <col min="9213" max="9226" width="0" style="67" hidden="1" customWidth="1"/>
    <col min="9227" max="9228" width="11.25" style="67" customWidth="1"/>
    <col min="9229" max="9229" width="9" style="67"/>
    <col min="9230" max="9232" width="0" style="67" hidden="1" customWidth="1"/>
    <col min="9233" max="9445" width="9" style="67"/>
    <col min="9446" max="9446" width="2" style="67" customWidth="1"/>
    <col min="9447" max="9447" width="6.25" style="67" customWidth="1"/>
    <col min="9448" max="9448" width="19.75" style="67" customWidth="1"/>
    <col min="9449" max="9449" width="23.25" style="67" customWidth="1"/>
    <col min="9450" max="9450" width="14.125" style="67" customWidth="1"/>
    <col min="9451" max="9451" width="10.5" style="67" customWidth="1"/>
    <col min="9452" max="9455" width="0" style="67" hidden="1" customWidth="1"/>
    <col min="9456" max="9468" width="10.625" style="67" customWidth="1"/>
    <col min="9469" max="9482" width="0" style="67" hidden="1" customWidth="1"/>
    <col min="9483" max="9484" width="11.25" style="67" customWidth="1"/>
    <col min="9485" max="9485" width="9" style="67"/>
    <col min="9486" max="9488" width="0" style="67" hidden="1" customWidth="1"/>
    <col min="9489" max="9701" width="9" style="67"/>
    <col min="9702" max="9702" width="2" style="67" customWidth="1"/>
    <col min="9703" max="9703" width="6.25" style="67" customWidth="1"/>
    <col min="9704" max="9704" width="19.75" style="67" customWidth="1"/>
    <col min="9705" max="9705" width="23.25" style="67" customWidth="1"/>
    <col min="9706" max="9706" width="14.125" style="67" customWidth="1"/>
    <col min="9707" max="9707" width="10.5" style="67" customWidth="1"/>
    <col min="9708" max="9711" width="0" style="67" hidden="1" customWidth="1"/>
    <col min="9712" max="9724" width="10.625" style="67" customWidth="1"/>
    <col min="9725" max="9738" width="0" style="67" hidden="1" customWidth="1"/>
    <col min="9739" max="9740" width="11.25" style="67" customWidth="1"/>
    <col min="9741" max="9741" width="9" style="67"/>
    <col min="9742" max="9744" width="0" style="67" hidden="1" customWidth="1"/>
    <col min="9745" max="9957" width="9" style="67"/>
    <col min="9958" max="9958" width="2" style="67" customWidth="1"/>
    <col min="9959" max="9959" width="6.25" style="67" customWidth="1"/>
    <col min="9960" max="9960" width="19.75" style="67" customWidth="1"/>
    <col min="9961" max="9961" width="23.25" style="67" customWidth="1"/>
    <col min="9962" max="9962" width="14.125" style="67" customWidth="1"/>
    <col min="9963" max="9963" width="10.5" style="67" customWidth="1"/>
    <col min="9964" max="9967" width="0" style="67" hidden="1" customWidth="1"/>
    <col min="9968" max="9980" width="10.625" style="67" customWidth="1"/>
    <col min="9981" max="9994" width="0" style="67" hidden="1" customWidth="1"/>
    <col min="9995" max="9996" width="11.25" style="67" customWidth="1"/>
    <col min="9997" max="9997" width="9" style="67"/>
    <col min="9998" max="10000" width="0" style="67" hidden="1" customWidth="1"/>
    <col min="10001" max="10213" width="9" style="67"/>
    <col min="10214" max="10214" width="2" style="67" customWidth="1"/>
    <col min="10215" max="10215" width="6.25" style="67" customWidth="1"/>
    <col min="10216" max="10216" width="19.75" style="67" customWidth="1"/>
    <col min="10217" max="10217" width="23.25" style="67" customWidth="1"/>
    <col min="10218" max="10218" width="14.125" style="67" customWidth="1"/>
    <col min="10219" max="10219" width="10.5" style="67" customWidth="1"/>
    <col min="10220" max="10223" width="0" style="67" hidden="1" customWidth="1"/>
    <col min="10224" max="10236" width="10.625" style="67" customWidth="1"/>
    <col min="10237" max="10250" width="0" style="67" hidden="1" customWidth="1"/>
    <col min="10251" max="10252" width="11.25" style="67" customWidth="1"/>
    <col min="10253" max="10253" width="9" style="67"/>
    <col min="10254" max="10256" width="0" style="67" hidden="1" customWidth="1"/>
    <col min="10257" max="10469" width="9" style="67"/>
    <col min="10470" max="10470" width="2" style="67" customWidth="1"/>
    <col min="10471" max="10471" width="6.25" style="67" customWidth="1"/>
    <col min="10472" max="10472" width="19.75" style="67" customWidth="1"/>
    <col min="10473" max="10473" width="23.25" style="67" customWidth="1"/>
    <col min="10474" max="10474" width="14.125" style="67" customWidth="1"/>
    <col min="10475" max="10475" width="10.5" style="67" customWidth="1"/>
    <col min="10476" max="10479" width="0" style="67" hidden="1" customWidth="1"/>
    <col min="10480" max="10492" width="10.625" style="67" customWidth="1"/>
    <col min="10493" max="10506" width="0" style="67" hidden="1" customWidth="1"/>
    <col min="10507" max="10508" width="11.25" style="67" customWidth="1"/>
    <col min="10509" max="10509" width="9" style="67"/>
    <col min="10510" max="10512" width="0" style="67" hidden="1" customWidth="1"/>
    <col min="10513" max="10725" width="9" style="67"/>
    <col min="10726" max="10726" width="2" style="67" customWidth="1"/>
    <col min="10727" max="10727" width="6.25" style="67" customWidth="1"/>
    <col min="10728" max="10728" width="19.75" style="67" customWidth="1"/>
    <col min="10729" max="10729" width="23.25" style="67" customWidth="1"/>
    <col min="10730" max="10730" width="14.125" style="67" customWidth="1"/>
    <col min="10731" max="10731" width="10.5" style="67" customWidth="1"/>
    <col min="10732" max="10735" width="0" style="67" hidden="1" customWidth="1"/>
    <col min="10736" max="10748" width="10.625" style="67" customWidth="1"/>
    <col min="10749" max="10762" width="0" style="67" hidden="1" customWidth="1"/>
    <col min="10763" max="10764" width="11.25" style="67" customWidth="1"/>
    <col min="10765" max="10765" width="9" style="67"/>
    <col min="10766" max="10768" width="0" style="67" hidden="1" customWidth="1"/>
    <col min="10769" max="10981" width="9" style="67"/>
    <col min="10982" max="10982" width="2" style="67" customWidth="1"/>
    <col min="10983" max="10983" width="6.25" style="67" customWidth="1"/>
    <col min="10984" max="10984" width="19.75" style="67" customWidth="1"/>
    <col min="10985" max="10985" width="23.25" style="67" customWidth="1"/>
    <col min="10986" max="10986" width="14.125" style="67" customWidth="1"/>
    <col min="10987" max="10987" width="10.5" style="67" customWidth="1"/>
    <col min="10988" max="10991" width="0" style="67" hidden="1" customWidth="1"/>
    <col min="10992" max="11004" width="10.625" style="67" customWidth="1"/>
    <col min="11005" max="11018" width="0" style="67" hidden="1" customWidth="1"/>
    <col min="11019" max="11020" width="11.25" style="67" customWidth="1"/>
    <col min="11021" max="11021" width="9" style="67"/>
    <col min="11022" max="11024" width="0" style="67" hidden="1" customWidth="1"/>
    <col min="11025" max="11237" width="9" style="67"/>
    <col min="11238" max="11238" width="2" style="67" customWidth="1"/>
    <col min="11239" max="11239" width="6.25" style="67" customWidth="1"/>
    <col min="11240" max="11240" width="19.75" style="67" customWidth="1"/>
    <col min="11241" max="11241" width="23.25" style="67" customWidth="1"/>
    <col min="11242" max="11242" width="14.125" style="67" customWidth="1"/>
    <col min="11243" max="11243" width="10.5" style="67" customWidth="1"/>
    <col min="11244" max="11247" width="0" style="67" hidden="1" customWidth="1"/>
    <col min="11248" max="11260" width="10.625" style="67" customWidth="1"/>
    <col min="11261" max="11274" width="0" style="67" hidden="1" customWidth="1"/>
    <col min="11275" max="11276" width="11.25" style="67" customWidth="1"/>
    <col min="11277" max="11277" width="9" style="67"/>
    <col min="11278" max="11280" width="0" style="67" hidden="1" customWidth="1"/>
    <col min="11281" max="11493" width="9" style="67"/>
    <col min="11494" max="11494" width="2" style="67" customWidth="1"/>
    <col min="11495" max="11495" width="6.25" style="67" customWidth="1"/>
    <col min="11496" max="11496" width="19.75" style="67" customWidth="1"/>
    <col min="11497" max="11497" width="23.25" style="67" customWidth="1"/>
    <col min="11498" max="11498" width="14.125" style="67" customWidth="1"/>
    <col min="11499" max="11499" width="10.5" style="67" customWidth="1"/>
    <col min="11500" max="11503" width="0" style="67" hidden="1" customWidth="1"/>
    <col min="11504" max="11516" width="10.625" style="67" customWidth="1"/>
    <col min="11517" max="11530" width="0" style="67" hidden="1" customWidth="1"/>
    <col min="11531" max="11532" width="11.25" style="67" customWidth="1"/>
    <col min="11533" max="11533" width="9" style="67"/>
    <col min="11534" max="11536" width="0" style="67" hidden="1" customWidth="1"/>
    <col min="11537" max="11749" width="9" style="67"/>
    <col min="11750" max="11750" width="2" style="67" customWidth="1"/>
    <col min="11751" max="11751" width="6.25" style="67" customWidth="1"/>
    <col min="11752" max="11752" width="19.75" style="67" customWidth="1"/>
    <col min="11753" max="11753" width="23.25" style="67" customWidth="1"/>
    <col min="11754" max="11754" width="14.125" style="67" customWidth="1"/>
    <col min="11755" max="11755" width="10.5" style="67" customWidth="1"/>
    <col min="11756" max="11759" width="0" style="67" hidden="1" customWidth="1"/>
    <col min="11760" max="11772" width="10.625" style="67" customWidth="1"/>
    <col min="11773" max="11786" width="0" style="67" hidden="1" customWidth="1"/>
    <col min="11787" max="11788" width="11.25" style="67" customWidth="1"/>
    <col min="11789" max="11789" width="9" style="67"/>
    <col min="11790" max="11792" width="0" style="67" hidden="1" customWidth="1"/>
    <col min="11793" max="12005" width="9" style="67"/>
    <col min="12006" max="12006" width="2" style="67" customWidth="1"/>
    <col min="12007" max="12007" width="6.25" style="67" customWidth="1"/>
    <col min="12008" max="12008" width="19.75" style="67" customWidth="1"/>
    <col min="12009" max="12009" width="23.25" style="67" customWidth="1"/>
    <col min="12010" max="12010" width="14.125" style="67" customWidth="1"/>
    <col min="12011" max="12011" width="10.5" style="67" customWidth="1"/>
    <col min="12012" max="12015" width="0" style="67" hidden="1" customWidth="1"/>
    <col min="12016" max="12028" width="10.625" style="67" customWidth="1"/>
    <col min="12029" max="12042" width="0" style="67" hidden="1" customWidth="1"/>
    <col min="12043" max="12044" width="11.25" style="67" customWidth="1"/>
    <col min="12045" max="12045" width="9" style="67"/>
    <col min="12046" max="12048" width="0" style="67" hidden="1" customWidth="1"/>
    <col min="12049" max="12261" width="9" style="67"/>
    <col min="12262" max="12262" width="2" style="67" customWidth="1"/>
    <col min="12263" max="12263" width="6.25" style="67" customWidth="1"/>
    <col min="12264" max="12264" width="19.75" style="67" customWidth="1"/>
    <col min="12265" max="12265" width="23.25" style="67" customWidth="1"/>
    <col min="12266" max="12266" width="14.125" style="67" customWidth="1"/>
    <col min="12267" max="12267" width="10.5" style="67" customWidth="1"/>
    <col min="12268" max="12271" width="0" style="67" hidden="1" customWidth="1"/>
    <col min="12272" max="12284" width="10.625" style="67" customWidth="1"/>
    <col min="12285" max="12298" width="0" style="67" hidden="1" customWidth="1"/>
    <col min="12299" max="12300" width="11.25" style="67" customWidth="1"/>
    <col min="12301" max="12301" width="9" style="67"/>
    <col min="12302" max="12304" width="0" style="67" hidden="1" customWidth="1"/>
    <col min="12305" max="12517" width="9" style="67"/>
    <col min="12518" max="12518" width="2" style="67" customWidth="1"/>
    <col min="12519" max="12519" width="6.25" style="67" customWidth="1"/>
    <col min="12520" max="12520" width="19.75" style="67" customWidth="1"/>
    <col min="12521" max="12521" width="23.25" style="67" customWidth="1"/>
    <col min="12522" max="12522" width="14.125" style="67" customWidth="1"/>
    <col min="12523" max="12523" width="10.5" style="67" customWidth="1"/>
    <col min="12524" max="12527" width="0" style="67" hidden="1" customWidth="1"/>
    <col min="12528" max="12540" width="10.625" style="67" customWidth="1"/>
    <col min="12541" max="12554" width="0" style="67" hidden="1" customWidth="1"/>
    <col min="12555" max="12556" width="11.25" style="67" customWidth="1"/>
    <col min="12557" max="12557" width="9" style="67"/>
    <col min="12558" max="12560" width="0" style="67" hidden="1" customWidth="1"/>
    <col min="12561" max="12773" width="9" style="67"/>
    <col min="12774" max="12774" width="2" style="67" customWidth="1"/>
    <col min="12775" max="12775" width="6.25" style="67" customWidth="1"/>
    <col min="12776" max="12776" width="19.75" style="67" customWidth="1"/>
    <col min="12777" max="12777" width="23.25" style="67" customWidth="1"/>
    <col min="12778" max="12778" width="14.125" style="67" customWidth="1"/>
    <col min="12779" max="12779" width="10.5" style="67" customWidth="1"/>
    <col min="12780" max="12783" width="0" style="67" hidden="1" customWidth="1"/>
    <col min="12784" max="12796" width="10.625" style="67" customWidth="1"/>
    <col min="12797" max="12810" width="0" style="67" hidden="1" customWidth="1"/>
    <col min="12811" max="12812" width="11.25" style="67" customWidth="1"/>
    <col min="12813" max="12813" width="9" style="67"/>
    <col min="12814" max="12816" width="0" style="67" hidden="1" customWidth="1"/>
    <col min="12817" max="13029" width="9" style="67"/>
    <col min="13030" max="13030" width="2" style="67" customWidth="1"/>
    <col min="13031" max="13031" width="6.25" style="67" customWidth="1"/>
    <col min="13032" max="13032" width="19.75" style="67" customWidth="1"/>
    <col min="13033" max="13033" width="23.25" style="67" customWidth="1"/>
    <col min="13034" max="13034" width="14.125" style="67" customWidth="1"/>
    <col min="13035" max="13035" width="10.5" style="67" customWidth="1"/>
    <col min="13036" max="13039" width="0" style="67" hidden="1" customWidth="1"/>
    <col min="13040" max="13052" width="10.625" style="67" customWidth="1"/>
    <col min="13053" max="13066" width="0" style="67" hidden="1" customWidth="1"/>
    <col min="13067" max="13068" width="11.25" style="67" customWidth="1"/>
    <col min="13069" max="13069" width="9" style="67"/>
    <col min="13070" max="13072" width="0" style="67" hidden="1" customWidth="1"/>
    <col min="13073" max="13285" width="9" style="67"/>
    <col min="13286" max="13286" width="2" style="67" customWidth="1"/>
    <col min="13287" max="13287" width="6.25" style="67" customWidth="1"/>
    <col min="13288" max="13288" width="19.75" style="67" customWidth="1"/>
    <col min="13289" max="13289" width="23.25" style="67" customWidth="1"/>
    <col min="13290" max="13290" width="14.125" style="67" customWidth="1"/>
    <col min="13291" max="13291" width="10.5" style="67" customWidth="1"/>
    <col min="13292" max="13295" width="0" style="67" hidden="1" customWidth="1"/>
    <col min="13296" max="13308" width="10.625" style="67" customWidth="1"/>
    <col min="13309" max="13322" width="0" style="67" hidden="1" customWidth="1"/>
    <col min="13323" max="13324" width="11.25" style="67" customWidth="1"/>
    <col min="13325" max="13325" width="9" style="67"/>
    <col min="13326" max="13328" width="0" style="67" hidden="1" customWidth="1"/>
    <col min="13329" max="13541" width="9" style="67"/>
    <col min="13542" max="13542" width="2" style="67" customWidth="1"/>
    <col min="13543" max="13543" width="6.25" style="67" customWidth="1"/>
    <col min="13544" max="13544" width="19.75" style="67" customWidth="1"/>
    <col min="13545" max="13545" width="23.25" style="67" customWidth="1"/>
    <col min="13546" max="13546" width="14.125" style="67" customWidth="1"/>
    <col min="13547" max="13547" width="10.5" style="67" customWidth="1"/>
    <col min="13548" max="13551" width="0" style="67" hidden="1" customWidth="1"/>
    <col min="13552" max="13564" width="10.625" style="67" customWidth="1"/>
    <col min="13565" max="13578" width="0" style="67" hidden="1" customWidth="1"/>
    <col min="13579" max="13580" width="11.25" style="67" customWidth="1"/>
    <col min="13581" max="13581" width="9" style="67"/>
    <col min="13582" max="13584" width="0" style="67" hidden="1" customWidth="1"/>
    <col min="13585" max="13797" width="9" style="67"/>
    <col min="13798" max="13798" width="2" style="67" customWidth="1"/>
    <col min="13799" max="13799" width="6.25" style="67" customWidth="1"/>
    <col min="13800" max="13800" width="19.75" style="67" customWidth="1"/>
    <col min="13801" max="13801" width="23.25" style="67" customWidth="1"/>
    <col min="13802" max="13802" width="14.125" style="67" customWidth="1"/>
    <col min="13803" max="13803" width="10.5" style="67" customWidth="1"/>
    <col min="13804" max="13807" width="0" style="67" hidden="1" customWidth="1"/>
    <col min="13808" max="13820" width="10.625" style="67" customWidth="1"/>
    <col min="13821" max="13834" width="0" style="67" hidden="1" customWidth="1"/>
    <col min="13835" max="13836" width="11.25" style="67" customWidth="1"/>
    <col min="13837" max="13837" width="9" style="67"/>
    <col min="13838" max="13840" width="0" style="67" hidden="1" customWidth="1"/>
    <col min="13841" max="14053" width="9" style="67"/>
    <col min="14054" max="14054" width="2" style="67" customWidth="1"/>
    <col min="14055" max="14055" width="6.25" style="67" customWidth="1"/>
    <col min="14056" max="14056" width="19.75" style="67" customWidth="1"/>
    <col min="14057" max="14057" width="23.25" style="67" customWidth="1"/>
    <col min="14058" max="14058" width="14.125" style="67" customWidth="1"/>
    <col min="14059" max="14059" width="10.5" style="67" customWidth="1"/>
    <col min="14060" max="14063" width="0" style="67" hidden="1" customWidth="1"/>
    <col min="14064" max="14076" width="10.625" style="67" customWidth="1"/>
    <col min="14077" max="14090" width="0" style="67" hidden="1" customWidth="1"/>
    <col min="14091" max="14092" width="11.25" style="67" customWidth="1"/>
    <col min="14093" max="14093" width="9" style="67"/>
    <col min="14094" max="14096" width="0" style="67" hidden="1" customWidth="1"/>
    <col min="14097" max="14309" width="9" style="67"/>
    <col min="14310" max="14310" width="2" style="67" customWidth="1"/>
    <col min="14311" max="14311" width="6.25" style="67" customWidth="1"/>
    <col min="14312" max="14312" width="19.75" style="67" customWidth="1"/>
    <col min="14313" max="14313" width="23.25" style="67" customWidth="1"/>
    <col min="14314" max="14314" width="14.125" style="67" customWidth="1"/>
    <col min="14315" max="14315" width="10.5" style="67" customWidth="1"/>
    <col min="14316" max="14319" width="0" style="67" hidden="1" customWidth="1"/>
    <col min="14320" max="14332" width="10.625" style="67" customWidth="1"/>
    <col min="14333" max="14346" width="0" style="67" hidden="1" customWidth="1"/>
    <col min="14347" max="14348" width="11.25" style="67" customWidth="1"/>
    <col min="14349" max="14349" width="9" style="67"/>
    <col min="14350" max="14352" width="0" style="67" hidden="1" customWidth="1"/>
    <col min="14353" max="14565" width="9" style="67"/>
    <col min="14566" max="14566" width="2" style="67" customWidth="1"/>
    <col min="14567" max="14567" width="6.25" style="67" customWidth="1"/>
    <col min="14568" max="14568" width="19.75" style="67" customWidth="1"/>
    <col min="14569" max="14569" width="23.25" style="67" customWidth="1"/>
    <col min="14570" max="14570" width="14.125" style="67" customWidth="1"/>
    <col min="14571" max="14571" width="10.5" style="67" customWidth="1"/>
    <col min="14572" max="14575" width="0" style="67" hidden="1" customWidth="1"/>
    <col min="14576" max="14588" width="10.625" style="67" customWidth="1"/>
    <col min="14589" max="14602" width="0" style="67" hidden="1" customWidth="1"/>
    <col min="14603" max="14604" width="11.25" style="67" customWidth="1"/>
    <col min="14605" max="14605" width="9" style="67"/>
    <col min="14606" max="14608" width="0" style="67" hidden="1" customWidth="1"/>
    <col min="14609" max="14821" width="9" style="67"/>
    <col min="14822" max="14822" width="2" style="67" customWidth="1"/>
    <col min="14823" max="14823" width="6.25" style="67" customWidth="1"/>
    <col min="14824" max="14824" width="19.75" style="67" customWidth="1"/>
    <col min="14825" max="14825" width="23.25" style="67" customWidth="1"/>
    <col min="14826" max="14826" width="14.125" style="67" customWidth="1"/>
    <col min="14827" max="14827" width="10.5" style="67" customWidth="1"/>
    <col min="14828" max="14831" width="0" style="67" hidden="1" customWidth="1"/>
    <col min="14832" max="14844" width="10.625" style="67" customWidth="1"/>
    <col min="14845" max="14858" width="0" style="67" hidden="1" customWidth="1"/>
    <col min="14859" max="14860" width="11.25" style="67" customWidth="1"/>
    <col min="14861" max="14861" width="9" style="67"/>
    <col min="14862" max="14864" width="0" style="67" hidden="1" customWidth="1"/>
    <col min="14865" max="15077" width="9" style="67"/>
    <col min="15078" max="15078" width="2" style="67" customWidth="1"/>
    <col min="15079" max="15079" width="6.25" style="67" customWidth="1"/>
    <col min="15080" max="15080" width="19.75" style="67" customWidth="1"/>
    <col min="15081" max="15081" width="23.25" style="67" customWidth="1"/>
    <col min="15082" max="15082" width="14.125" style="67" customWidth="1"/>
    <col min="15083" max="15083" width="10.5" style="67" customWidth="1"/>
    <col min="15084" max="15087" width="0" style="67" hidden="1" customWidth="1"/>
    <col min="15088" max="15100" width="10.625" style="67" customWidth="1"/>
    <col min="15101" max="15114" width="0" style="67" hidden="1" customWidth="1"/>
    <col min="15115" max="15116" width="11.25" style="67" customWidth="1"/>
    <col min="15117" max="15117" width="9" style="67"/>
    <col min="15118" max="15120" width="0" style="67" hidden="1" customWidth="1"/>
    <col min="15121" max="15333" width="9" style="67"/>
    <col min="15334" max="15334" width="2" style="67" customWidth="1"/>
    <col min="15335" max="15335" width="6.25" style="67" customWidth="1"/>
    <col min="15336" max="15336" width="19.75" style="67" customWidth="1"/>
    <col min="15337" max="15337" width="23.25" style="67" customWidth="1"/>
    <col min="15338" max="15338" width="14.125" style="67" customWidth="1"/>
    <col min="15339" max="15339" width="10.5" style="67" customWidth="1"/>
    <col min="15340" max="15343" width="0" style="67" hidden="1" customWidth="1"/>
    <col min="15344" max="15356" width="10.625" style="67" customWidth="1"/>
    <col min="15357" max="15370" width="0" style="67" hidden="1" customWidth="1"/>
    <col min="15371" max="15372" width="11.25" style="67" customWidth="1"/>
    <col min="15373" max="15373" width="9" style="67"/>
    <col min="15374" max="15376" width="0" style="67" hidden="1" customWidth="1"/>
    <col min="15377" max="15589" width="9" style="67"/>
    <col min="15590" max="15590" width="2" style="67" customWidth="1"/>
    <col min="15591" max="15591" width="6.25" style="67" customWidth="1"/>
    <col min="15592" max="15592" width="19.75" style="67" customWidth="1"/>
    <col min="15593" max="15593" width="23.25" style="67" customWidth="1"/>
    <col min="15594" max="15594" width="14.125" style="67" customWidth="1"/>
    <col min="15595" max="15595" width="10.5" style="67" customWidth="1"/>
    <col min="15596" max="15599" width="0" style="67" hidden="1" customWidth="1"/>
    <col min="15600" max="15612" width="10.625" style="67" customWidth="1"/>
    <col min="15613" max="15626" width="0" style="67" hidden="1" customWidth="1"/>
    <col min="15627" max="15628" width="11.25" style="67" customWidth="1"/>
    <col min="15629" max="15629" width="9" style="67"/>
    <col min="15630" max="15632" width="0" style="67" hidden="1" customWidth="1"/>
    <col min="15633" max="15845" width="9" style="67"/>
    <col min="15846" max="15846" width="2" style="67" customWidth="1"/>
    <col min="15847" max="15847" width="6.25" style="67" customWidth="1"/>
    <col min="15848" max="15848" width="19.75" style="67" customWidth="1"/>
    <col min="15849" max="15849" width="23.25" style="67" customWidth="1"/>
    <col min="15850" max="15850" width="14.125" style="67" customWidth="1"/>
    <col min="15851" max="15851" width="10.5" style="67" customWidth="1"/>
    <col min="15852" max="15855" width="0" style="67" hidden="1" customWidth="1"/>
    <col min="15856" max="15868" width="10.625" style="67" customWidth="1"/>
    <col min="15869" max="15882" width="0" style="67" hidden="1" customWidth="1"/>
    <col min="15883" max="15884" width="11.25" style="67" customWidth="1"/>
    <col min="15885" max="15885" width="9" style="67"/>
    <col min="15886" max="15888" width="0" style="67" hidden="1" customWidth="1"/>
    <col min="15889" max="16101" width="9" style="67"/>
    <col min="16102" max="16102" width="2" style="67" customWidth="1"/>
    <col min="16103" max="16103" width="6.25" style="67" customWidth="1"/>
    <col min="16104" max="16104" width="19.75" style="67" customWidth="1"/>
    <col min="16105" max="16105" width="23.25" style="67" customWidth="1"/>
    <col min="16106" max="16106" width="14.125" style="67" customWidth="1"/>
    <col min="16107" max="16107" width="10.5" style="67" customWidth="1"/>
    <col min="16108" max="16111" width="0" style="67" hidden="1" customWidth="1"/>
    <col min="16112" max="16124" width="10.625" style="67" customWidth="1"/>
    <col min="16125" max="16138" width="0" style="67" hidden="1" customWidth="1"/>
    <col min="16139" max="16140" width="11.25" style="67" customWidth="1"/>
    <col min="16141" max="16141" width="9" style="67"/>
    <col min="16142" max="16144" width="0" style="67" hidden="1" customWidth="1"/>
    <col min="16145" max="16384" width="9" style="67"/>
  </cols>
  <sheetData>
    <row r="1" spans="1:15">
      <c r="A1" s="3" t="s">
        <v>313</v>
      </c>
      <c r="B1" s="52"/>
      <c r="C1" s="3"/>
      <c r="D1" s="3"/>
      <c r="E1" s="3"/>
      <c r="F1" s="3"/>
      <c r="G1" s="67" t="s">
        <v>884</v>
      </c>
      <c r="H1" s="67" t="s">
        <v>884</v>
      </c>
      <c r="I1" s="36" t="s">
        <v>0</v>
      </c>
      <c r="J1" s="897" t="str">
        <f>IF(事業所概要_算定体制!D13="","",事業所概要_算定体制!D13)</f>
        <v/>
      </c>
      <c r="K1" s="898"/>
    </row>
    <row r="2" spans="1:15" ht="25.5" customHeight="1" thickBot="1">
      <c r="A2" s="52" t="s">
        <v>325</v>
      </c>
      <c r="B2" s="52"/>
      <c r="C2" s="3"/>
      <c r="D2" s="3"/>
      <c r="E2" s="3"/>
      <c r="F2" s="3"/>
      <c r="G2" s="232"/>
      <c r="H2" s="232"/>
      <c r="I2" s="37">
        <v>0</v>
      </c>
      <c r="J2" s="38"/>
      <c r="K2" s="38" t="str">
        <f>CONCATENATE(事業所概要_算定体制!$B$3,事業所概要_算定体制!$C$3,"年度")</f>
        <v>令和７年度</v>
      </c>
    </row>
    <row r="3" spans="1:15" ht="13.5" customHeight="1">
      <c r="A3" s="1078"/>
      <c r="B3" s="758" t="s">
        <v>85</v>
      </c>
      <c r="C3" s="758" t="s">
        <v>86</v>
      </c>
      <c r="D3" s="758"/>
      <c r="E3" s="758" t="s">
        <v>87</v>
      </c>
      <c r="F3" s="768" t="s">
        <v>88</v>
      </c>
      <c r="G3" s="1055" t="s">
        <v>89</v>
      </c>
      <c r="H3" s="1056"/>
      <c r="I3" s="758" t="s">
        <v>872</v>
      </c>
      <c r="J3" s="758"/>
      <c r="K3" s="1074" t="s">
        <v>324</v>
      </c>
      <c r="N3" s="784" t="s">
        <v>866</v>
      </c>
      <c r="O3" s="1054" t="s">
        <v>876</v>
      </c>
    </row>
    <row r="4" spans="1:15" ht="18.75" customHeight="1">
      <c r="A4" s="1079"/>
      <c r="B4" s="1081"/>
      <c r="C4" s="1081"/>
      <c r="D4" s="1081"/>
      <c r="E4" s="1081"/>
      <c r="F4" s="1053"/>
      <c r="G4" s="1057"/>
      <c r="H4" s="1058"/>
      <c r="I4" s="1081"/>
      <c r="J4" s="1081"/>
      <c r="K4" s="1075"/>
      <c r="N4" s="784"/>
      <c r="O4" s="1054"/>
    </row>
    <row r="5" spans="1:15" ht="24.95" customHeight="1" thickBot="1">
      <c r="A5" s="1080"/>
      <c r="B5" s="1082"/>
      <c r="C5" s="1082"/>
      <c r="D5" s="1082"/>
      <c r="E5" s="1082"/>
      <c r="F5" s="769"/>
      <c r="G5" s="1059"/>
      <c r="H5" s="1060"/>
      <c r="I5" s="1082"/>
      <c r="J5" s="1082"/>
      <c r="K5" s="223" t="s">
        <v>190</v>
      </c>
      <c r="N5" s="815"/>
      <c r="O5" s="1054"/>
    </row>
    <row r="6" spans="1:15" ht="33.75" customHeight="1">
      <c r="A6" s="1077" t="s">
        <v>328</v>
      </c>
      <c r="B6" s="1090" t="s">
        <v>92</v>
      </c>
      <c r="C6" s="879" t="s">
        <v>211</v>
      </c>
      <c r="D6" s="879"/>
      <c r="E6" s="420" t="s">
        <v>436</v>
      </c>
      <c r="F6" s="48"/>
      <c r="G6" s="312" t="str">
        <f>IF(E6="","",IF(F6="","",F6/O6))</f>
        <v/>
      </c>
      <c r="H6" s="315" t="s">
        <v>882</v>
      </c>
      <c r="I6" s="318">
        <v>2.93</v>
      </c>
      <c r="J6" s="229" t="s">
        <v>867</v>
      </c>
      <c r="K6" s="1" t="str">
        <f>IF(G6="","",IF(I6="","",G6*I6))</f>
        <v/>
      </c>
      <c r="M6" s="476" t="str">
        <f>非_単位!B88</f>
        <v>廃棄物の焼却：廃油（植物性のもの及び動物性のもの並びに特定有害産業廃棄物を除く）</v>
      </c>
      <c r="N6" s="476" t="str">
        <f>"非_単位!$C$"&amp;MATCH(M6,非_単位!B:B,0)&amp;":$D$"&amp;MATCH(M6,非_単位!B:B,0)</f>
        <v>非_単位!$C$88:$D$88</v>
      </c>
      <c r="O6" s="476">
        <f>IF(E6="","",VLOOKUP(E6,非_単位補正換算!$B$3:$C$16,2,FALSE))</f>
        <v>1000</v>
      </c>
    </row>
    <row r="7" spans="1:15" ht="24">
      <c r="A7" s="1077"/>
      <c r="B7" s="1091"/>
      <c r="C7" s="1013" t="s">
        <v>93</v>
      </c>
      <c r="D7" s="1013"/>
      <c r="E7" s="420" t="s">
        <v>436</v>
      </c>
      <c r="F7" s="39"/>
      <c r="G7" s="313" t="str">
        <f t="shared" ref="G7:G49" si="0">IF(E7="","",IF(F7="","",F7/O7))</f>
        <v/>
      </c>
      <c r="H7" s="316" t="s">
        <v>882</v>
      </c>
      <c r="I7" s="319">
        <v>1.02</v>
      </c>
      <c r="J7" s="231" t="s">
        <v>867</v>
      </c>
      <c r="K7" s="368" t="str">
        <f t="shared" ref="K7:K49" si="1">IF(G7="","",IF(I7="","",G7*I7))</f>
        <v/>
      </c>
      <c r="M7" s="476" t="str">
        <f>非_単位!B89</f>
        <v xml:space="preserve">廃棄物の焼却：廃油（特定有害産業廃棄物に限る。） </v>
      </c>
      <c r="N7" s="476" t="str">
        <f>"非_単位!$C$"&amp;MATCH(M7,非_単位!B:B,0)&amp;":$D$"&amp;MATCH(M7,非_単位!B:B,0)</f>
        <v>非_単位!$C$89:$D$89</v>
      </c>
      <c r="O7" s="476">
        <f>IF(E7="","",VLOOKUP(E7,非_単位補正換算!$B$3:$C$16,2,FALSE))</f>
        <v>1000</v>
      </c>
    </row>
    <row r="8" spans="1:15" ht="20.25" customHeight="1">
      <c r="A8" s="1077"/>
      <c r="B8" s="1013"/>
      <c r="C8" s="905" t="s">
        <v>94</v>
      </c>
      <c r="D8" s="905"/>
      <c r="E8" s="420" t="s">
        <v>436</v>
      </c>
      <c r="F8" s="39"/>
      <c r="G8" s="313" t="str">
        <f t="shared" si="0"/>
        <v/>
      </c>
      <c r="H8" s="316" t="s">
        <v>882</v>
      </c>
      <c r="I8" s="320">
        <v>2.31</v>
      </c>
      <c r="J8" s="231" t="s">
        <v>867</v>
      </c>
      <c r="K8" s="368" t="str">
        <f t="shared" si="1"/>
        <v/>
      </c>
      <c r="L8" s="310"/>
      <c r="M8" s="476" t="str">
        <f>非_単位!B90</f>
        <v>廃棄物の焼却：合成繊維</v>
      </c>
      <c r="N8" s="476" t="str">
        <f>"非_単位!$C$"&amp;MATCH(M8,非_単位!B:B,0)&amp;":$D$"&amp;MATCH(M8,非_単位!B:B,0)</f>
        <v>非_単位!$C$90:$D$90</v>
      </c>
      <c r="O8" s="476">
        <f>IF(E8="","",VLOOKUP(E8,非_単位補正換算!$B$3:$C$16,2,FALSE))</f>
        <v>1000</v>
      </c>
    </row>
    <row r="9" spans="1:15" ht="20.25" customHeight="1">
      <c r="A9" s="1077"/>
      <c r="B9" s="1013"/>
      <c r="C9" s="905" t="s">
        <v>185</v>
      </c>
      <c r="D9" s="905"/>
      <c r="E9" s="420" t="s">
        <v>436</v>
      </c>
      <c r="F9" s="39"/>
      <c r="G9" s="313" t="str">
        <f t="shared" si="0"/>
        <v/>
      </c>
      <c r="H9" s="316" t="s">
        <v>882</v>
      </c>
      <c r="I9" s="320">
        <v>1.64</v>
      </c>
      <c r="J9" s="231" t="s">
        <v>867</v>
      </c>
      <c r="K9" s="368" t="str">
        <f t="shared" si="1"/>
        <v/>
      </c>
      <c r="M9" s="476" t="str">
        <f>非_単位!B91</f>
        <v>廃棄物の焼却：廃タイヤ</v>
      </c>
      <c r="N9" s="476" t="str">
        <f>"非_単位!$C$"&amp;MATCH(M9,非_単位!B:B,0)&amp;":$D$"&amp;MATCH(M9,非_単位!B:B,0)</f>
        <v>非_単位!$C$91:$D$91</v>
      </c>
      <c r="O9" s="476">
        <f>IF(E9="","",VLOOKUP(E9,非_単位補正換算!$B$3:$C$16,2,FALSE))</f>
        <v>1000</v>
      </c>
    </row>
    <row r="10" spans="1:15" ht="44.25" customHeight="1">
      <c r="A10" s="1077"/>
      <c r="B10" s="1013"/>
      <c r="C10" s="1092" t="s">
        <v>95</v>
      </c>
      <c r="D10" s="905"/>
      <c r="E10" s="420" t="s">
        <v>436</v>
      </c>
      <c r="F10" s="39"/>
      <c r="G10" s="313" t="str">
        <f t="shared" si="0"/>
        <v/>
      </c>
      <c r="H10" s="316" t="s">
        <v>882</v>
      </c>
      <c r="I10" s="320">
        <v>2.56</v>
      </c>
      <c r="J10" s="231" t="s">
        <v>867</v>
      </c>
      <c r="K10" s="368" t="str">
        <f t="shared" si="1"/>
        <v/>
      </c>
      <c r="M10" s="476" t="str">
        <f>非_単位!B92</f>
        <v>廃棄物の焼却：合成繊維及び廃ﾀｲﾔ以外の廃ﾌﾟﾗｽﾁｯｸ類（産業廃棄物）</v>
      </c>
      <c r="N10" s="476" t="str">
        <f>"非_単位!$C$"&amp;MATCH(M10,非_単位!B:B,0)&amp;":$D$"&amp;MATCH(M10,非_単位!B:B,0)</f>
        <v>非_単位!$C$92:$D$92</v>
      </c>
      <c r="O10" s="476">
        <f>IF(E10="","",VLOOKUP(E10,非_単位補正換算!$B$3:$C$16,2,FALSE))</f>
        <v>1000</v>
      </c>
    </row>
    <row r="11" spans="1:15" ht="24">
      <c r="A11" s="1077"/>
      <c r="B11" s="1013"/>
      <c r="C11" s="1092" t="s">
        <v>96</v>
      </c>
      <c r="D11" s="905"/>
      <c r="E11" s="420" t="s">
        <v>436</v>
      </c>
      <c r="F11" s="39"/>
      <c r="G11" s="313" t="str">
        <f t="shared" si="0"/>
        <v/>
      </c>
      <c r="H11" s="316" t="s">
        <v>882</v>
      </c>
      <c r="I11" s="320">
        <v>2.27</v>
      </c>
      <c r="J11" s="231" t="s">
        <v>867</v>
      </c>
      <c r="K11" s="368" t="str">
        <f t="shared" si="1"/>
        <v/>
      </c>
      <c r="M11" s="476" t="str">
        <f>非_単位!B93</f>
        <v>廃棄物の焼却：ポリエチレンテレフタレート製の容器</v>
      </c>
      <c r="N11" s="476" t="str">
        <f>"非_単位!$C$"&amp;MATCH(M11,非_単位!B:B,0)&amp;":$D$"&amp;MATCH(M11,非_単位!B:B,0)</f>
        <v>非_単位!$C$93:$D$93</v>
      </c>
      <c r="O11" s="476">
        <f>IF(E11="","",VLOOKUP(E11,非_単位補正換算!$B$3:$C$16,2,FALSE))</f>
        <v>1000</v>
      </c>
    </row>
    <row r="12" spans="1:15" ht="84" customHeight="1">
      <c r="A12" s="1077"/>
      <c r="B12" s="1013"/>
      <c r="C12" s="905" t="s">
        <v>97</v>
      </c>
      <c r="D12" s="905"/>
      <c r="E12" s="420" t="s">
        <v>436</v>
      </c>
      <c r="F12" s="39"/>
      <c r="G12" s="313" t="str">
        <f t="shared" si="0"/>
        <v/>
      </c>
      <c r="H12" s="316" t="s">
        <v>882</v>
      </c>
      <c r="I12" s="320">
        <v>2.76</v>
      </c>
      <c r="J12" s="231" t="s">
        <v>867</v>
      </c>
      <c r="K12" s="368" t="str">
        <f t="shared" si="1"/>
        <v/>
      </c>
      <c r="M12" s="476" t="str">
        <f>非_単位!B94</f>
        <v>廃棄物の焼却：廃プラスチック類（合成繊維、廃タイヤ、廃プラスチック類（産業廃棄物であるものに限る。）及びポリエチレンテレフタレート製の容器を除く。）</v>
      </c>
      <c r="N12" s="476" t="str">
        <f>"非_単位!$C$"&amp;MATCH(M12,非_単位!B:B,0)&amp;":$D$"&amp;MATCH(M12,非_単位!B:B,0)</f>
        <v>非_単位!$C$94:$D$94</v>
      </c>
      <c r="O12" s="476">
        <f>IF(E12="","",VLOOKUP(E12,非_単位補正換算!$B$3:$C$16,2,FALSE))</f>
        <v>1000</v>
      </c>
    </row>
    <row r="13" spans="1:15" ht="20.25" customHeight="1">
      <c r="A13" s="1077"/>
      <c r="B13" s="1013"/>
      <c r="C13" s="663" t="s">
        <v>98</v>
      </c>
      <c r="D13" s="665"/>
      <c r="E13" s="420" t="s">
        <v>436</v>
      </c>
      <c r="F13" s="39"/>
      <c r="G13" s="313" t="str">
        <f t="shared" si="0"/>
        <v/>
      </c>
      <c r="H13" s="316" t="s">
        <v>882</v>
      </c>
      <c r="I13" s="321">
        <v>0.14399999999999999</v>
      </c>
      <c r="J13" s="231" t="s">
        <v>867</v>
      </c>
      <c r="K13" s="368" t="str">
        <f t="shared" si="1"/>
        <v/>
      </c>
      <c r="M13" s="476" t="str">
        <f>非_単位!B95</f>
        <v>廃棄物の焼却：紙くず</v>
      </c>
      <c r="N13" s="476" t="str">
        <f>"非_単位!$C$"&amp;MATCH(M13,非_単位!B:B,0)&amp;":$D$"&amp;MATCH(M13,非_単位!B:B,0)</f>
        <v>非_単位!$C$95:$D$95</v>
      </c>
      <c r="O13" s="476">
        <f>IF(E13="","",VLOOKUP(E13,非_単位補正換算!$B$3:$C$16,2,FALSE))</f>
        <v>1000</v>
      </c>
    </row>
    <row r="14" spans="1:15" ht="20.25" customHeight="1">
      <c r="A14" s="1077"/>
      <c r="B14" s="1013"/>
      <c r="C14" s="663" t="s">
        <v>99</v>
      </c>
      <c r="D14" s="665"/>
      <c r="E14" s="420" t="s">
        <v>436</v>
      </c>
      <c r="F14" s="39"/>
      <c r="G14" s="313" t="str">
        <f t="shared" si="0"/>
        <v/>
      </c>
      <c r="H14" s="316" t="s">
        <v>882</v>
      </c>
      <c r="I14" s="320">
        <v>1.22</v>
      </c>
      <c r="J14" s="231" t="s">
        <v>867</v>
      </c>
      <c r="K14" s="368" t="str">
        <f t="shared" si="1"/>
        <v/>
      </c>
      <c r="M14" s="476" t="str">
        <f>非_単位!B96</f>
        <v>廃棄物の焼却：紙おむつ</v>
      </c>
      <c r="N14" s="476" t="str">
        <f>"非_単位!$C$"&amp;MATCH(M14,非_単位!B:B,0)&amp;":$D$"&amp;MATCH(M14,非_単位!B:B,0)</f>
        <v>非_単位!$C$96:$D$96</v>
      </c>
      <c r="O14" s="476">
        <f>IF(E14="","",VLOOKUP(E14,非_単位補正換算!$B$3:$C$16,2,FALSE))</f>
        <v>1000</v>
      </c>
    </row>
    <row r="15" spans="1:15" ht="20.25" customHeight="1">
      <c r="A15" s="1077"/>
      <c r="B15" s="949" t="s">
        <v>100</v>
      </c>
      <c r="C15" s="663" t="s">
        <v>101</v>
      </c>
      <c r="D15" s="665"/>
      <c r="E15" s="231" t="str">
        <f>IF(非化石燃料!E8="","",非化石燃料!E8)</f>
        <v>kg</v>
      </c>
      <c r="F15" s="559" t="str">
        <f>IF(非化石燃料!F8="","",非化石燃料!F8)</f>
        <v/>
      </c>
      <c r="G15" s="313" t="str">
        <f t="shared" si="0"/>
        <v/>
      </c>
      <c r="H15" s="316" t="s">
        <v>882</v>
      </c>
      <c r="I15" s="320">
        <v>1.07</v>
      </c>
      <c r="J15" s="231" t="s">
        <v>867</v>
      </c>
      <c r="K15" s="368" t="str">
        <f t="shared" si="1"/>
        <v/>
      </c>
      <c r="O15" s="466">
        <f>IF(E15="","",VLOOKUP(E15,非_単位補正換算!$B$3:$C$16,2,FALSE))</f>
        <v>1000</v>
      </c>
    </row>
    <row r="16" spans="1:15" ht="20.25" customHeight="1">
      <c r="A16" s="1077"/>
      <c r="B16" s="875"/>
      <c r="C16" s="663" t="s">
        <v>102</v>
      </c>
      <c r="D16" s="665"/>
      <c r="E16" s="231" t="str">
        <f>IF(非化石燃料!E9="","",非化石燃料!E9)</f>
        <v>kg</v>
      </c>
      <c r="F16" s="559" t="str">
        <f>IF(非化石燃料!F9="","",非化石燃料!F9)</f>
        <v/>
      </c>
      <c r="G16" s="313" t="str">
        <f t="shared" si="0"/>
        <v/>
      </c>
      <c r="H16" s="316" t="s">
        <v>882</v>
      </c>
      <c r="I16" s="320">
        <v>1.64</v>
      </c>
      <c r="J16" s="231" t="s">
        <v>867</v>
      </c>
      <c r="K16" s="368" t="str">
        <f t="shared" si="1"/>
        <v/>
      </c>
      <c r="O16" s="466">
        <f>IF(E16="","",VLOOKUP(E16,非_単位補正換算!$B$3:$C$16,2,FALSE))</f>
        <v>1000</v>
      </c>
    </row>
    <row r="17" spans="1:15" ht="20.25" customHeight="1">
      <c r="A17" s="1077"/>
      <c r="B17" s="875"/>
      <c r="C17" s="663" t="s">
        <v>103</v>
      </c>
      <c r="D17" s="665"/>
      <c r="E17" s="231" t="str">
        <f>IF(非化石燃料!E10="","",非化石燃料!E10)</f>
        <v>kg</v>
      </c>
      <c r="F17" s="559" t="str">
        <f>IF(非化石燃料!F10="","",非化石燃料!F10)</f>
        <v/>
      </c>
      <c r="G17" s="313" t="str">
        <f t="shared" si="0"/>
        <v/>
      </c>
      <c r="H17" s="316" t="s">
        <v>882</v>
      </c>
      <c r="I17" s="320">
        <v>1.64</v>
      </c>
      <c r="J17" s="231" t="s">
        <v>867</v>
      </c>
      <c r="K17" s="368" t="str">
        <f t="shared" si="1"/>
        <v/>
      </c>
      <c r="O17" s="466">
        <f>IF(E17="","",VLOOKUP(E17,非_単位補正換算!$B$3:$C$16,2,FALSE))</f>
        <v>1000</v>
      </c>
    </row>
    <row r="18" spans="1:15" ht="20.25" customHeight="1">
      <c r="A18" s="1077"/>
      <c r="B18" s="875"/>
      <c r="C18" s="663" t="s">
        <v>104</v>
      </c>
      <c r="D18" s="665"/>
      <c r="E18" s="231" t="str">
        <f>IF(非化石燃料!E11="","",非化石燃料!E11)</f>
        <v>kg</v>
      </c>
      <c r="F18" s="559" t="str">
        <f>IF(非化石燃料!F11="","",非化石燃料!F11)</f>
        <v/>
      </c>
      <c r="G18" s="313" t="str">
        <f t="shared" si="0"/>
        <v/>
      </c>
      <c r="H18" s="316" t="s">
        <v>882</v>
      </c>
      <c r="I18" s="320">
        <v>2.76</v>
      </c>
      <c r="J18" s="231" t="s">
        <v>867</v>
      </c>
      <c r="K18" s="368" t="str">
        <f t="shared" si="1"/>
        <v/>
      </c>
      <c r="O18" s="466">
        <f>IF(E18="","",VLOOKUP(E18,非_単位補正換算!$B$3:$C$16,2,FALSE))</f>
        <v>1000</v>
      </c>
    </row>
    <row r="19" spans="1:15" ht="20.25" customHeight="1">
      <c r="A19" s="1077"/>
      <c r="B19" s="875"/>
      <c r="C19" s="663" t="s">
        <v>105</v>
      </c>
      <c r="D19" s="665"/>
      <c r="E19" s="231" t="str">
        <f>IF(非化石燃料!E12="","",非化石燃料!E12)</f>
        <v>kg</v>
      </c>
      <c r="F19" s="559" t="str">
        <f>IF(非化石燃料!F12="","",非化石燃料!F12)</f>
        <v/>
      </c>
      <c r="G19" s="313" t="str">
        <f t="shared" si="0"/>
        <v/>
      </c>
      <c r="H19" s="316" t="s">
        <v>882</v>
      </c>
      <c r="I19" s="320">
        <v>2.57</v>
      </c>
      <c r="J19" s="231" t="s">
        <v>867</v>
      </c>
      <c r="K19" s="368" t="str">
        <f t="shared" si="1"/>
        <v/>
      </c>
      <c r="O19" s="466">
        <f>IF(E19="","",VLOOKUP(E19,非_単位補正換算!$B$3:$C$16,2,FALSE))</f>
        <v>1000</v>
      </c>
    </row>
    <row r="20" spans="1:15" ht="54.75" customHeight="1">
      <c r="A20" s="1077"/>
      <c r="B20" s="875"/>
      <c r="C20" s="1093" t="s">
        <v>106</v>
      </c>
      <c r="D20" s="1094"/>
      <c r="E20" s="231" t="str">
        <f>IF(非化石燃料!E13="","",非化石燃料!E13)</f>
        <v>L</v>
      </c>
      <c r="F20" s="559" t="str">
        <f>IF(非化石燃料!F13="","",非化石燃料!F13)</f>
        <v/>
      </c>
      <c r="G20" s="313" t="str">
        <f t="shared" si="0"/>
        <v/>
      </c>
      <c r="H20" s="316" t="s">
        <v>883</v>
      </c>
      <c r="I20" s="320">
        <v>2.64</v>
      </c>
      <c r="J20" s="231" t="s">
        <v>868</v>
      </c>
      <c r="K20" s="368" t="str">
        <f t="shared" si="1"/>
        <v/>
      </c>
      <c r="O20" s="466">
        <f>IF(E20="","",VLOOKUP(E20,非_単位補正換算!$B$3:$C$16,2,FALSE))</f>
        <v>1000</v>
      </c>
    </row>
    <row r="21" spans="1:15" ht="39" customHeight="1">
      <c r="A21" s="1077"/>
      <c r="B21" s="875"/>
      <c r="C21" s="663" t="s">
        <v>107</v>
      </c>
      <c r="D21" s="665"/>
      <c r="E21" s="231" t="str">
        <f>IF(非化石燃料!E14="","",非化石燃料!E14)</f>
        <v>L</v>
      </c>
      <c r="F21" s="559" t="str">
        <f>IF(非化石燃料!F14="","",非化石燃料!F14)</f>
        <v/>
      </c>
      <c r="G21" s="313" t="str">
        <f t="shared" si="0"/>
        <v/>
      </c>
      <c r="H21" s="316" t="s">
        <v>883</v>
      </c>
      <c r="I21" s="320">
        <v>2.62</v>
      </c>
      <c r="J21" s="231" t="s">
        <v>868</v>
      </c>
      <c r="K21" s="368" t="str">
        <f t="shared" si="1"/>
        <v/>
      </c>
      <c r="O21" s="466">
        <f>IF(E21="","",VLOOKUP(E21,非_単位補正換算!$B$3:$C$16,2,FALSE))</f>
        <v>1000</v>
      </c>
    </row>
    <row r="22" spans="1:15" ht="24">
      <c r="A22" s="1077"/>
      <c r="B22" s="875"/>
      <c r="C22" s="663" t="str">
        <f>IF(非化石燃料!C17="","",非化石燃料!C17)</f>
        <v/>
      </c>
      <c r="D22" s="665"/>
      <c r="E22" s="231" t="str">
        <f>IF(非化石燃料!E17="","",非化石燃料!E17)</f>
        <v>kg</v>
      </c>
      <c r="F22" s="559" t="str">
        <f>IF(非化石燃料!F17="","",非化石燃料!F17)</f>
        <v/>
      </c>
      <c r="G22" s="313" t="str">
        <f t="shared" si="0"/>
        <v/>
      </c>
      <c r="H22" s="316" t="str">
        <f>E22</f>
        <v>kg</v>
      </c>
      <c r="I22" s="320" t="str">
        <f>IF(非化石燃料!K17="","",非化石燃料!K17)</f>
        <v/>
      </c>
      <c r="J22" s="40" t="str">
        <f>非化石燃料!L17</f>
        <v>t-CO2/kg</v>
      </c>
      <c r="K22" s="368" t="str">
        <f t="shared" si="1"/>
        <v/>
      </c>
      <c r="O22" s="466">
        <f>IF(E22="","",VLOOKUP(E22,非_単位補正換算!$B$3:$C$16,2,FALSE))</f>
        <v>1000</v>
      </c>
    </row>
    <row r="23" spans="1:15" ht="24">
      <c r="A23" s="1077"/>
      <c r="B23" s="879"/>
      <c r="C23" s="663" t="str">
        <f>IF(非化石燃料!C18="","",非化石燃料!C18)</f>
        <v/>
      </c>
      <c r="D23" s="665"/>
      <c r="E23" s="231" t="str">
        <f>IF(非化石燃料!E18="","",非化石燃料!E18)</f>
        <v>kg</v>
      </c>
      <c r="F23" s="559" t="str">
        <f>IF(非化石燃料!F18="","",非化石燃料!F18)</f>
        <v/>
      </c>
      <c r="G23" s="313" t="str">
        <f t="shared" si="0"/>
        <v/>
      </c>
      <c r="H23" s="316" t="str">
        <f>E23</f>
        <v>kg</v>
      </c>
      <c r="I23" s="320" t="str">
        <f>IF(非化石燃料!K18="","",非化石燃料!K18)</f>
        <v/>
      </c>
      <c r="J23" s="40" t="str">
        <f>非化石燃料!L18</f>
        <v>t-CO2/kg</v>
      </c>
      <c r="K23" s="368" t="str">
        <f t="shared" si="1"/>
        <v/>
      </c>
      <c r="O23" s="466">
        <f>IF(E23="","",VLOOKUP(E23,非_単位補正換算!$B$3:$C$16,2,FALSE))</f>
        <v>1000</v>
      </c>
    </row>
    <row r="24" spans="1:15" ht="20.25" customHeight="1">
      <c r="A24" s="1077"/>
      <c r="B24" s="905" t="s">
        <v>109</v>
      </c>
      <c r="C24" s="905"/>
      <c r="D24" s="905"/>
      <c r="E24" s="420" t="s">
        <v>436</v>
      </c>
      <c r="F24" s="39"/>
      <c r="G24" s="313" t="str">
        <f t="shared" si="0"/>
        <v/>
      </c>
      <c r="H24" s="316" t="s">
        <v>882</v>
      </c>
      <c r="I24" s="322">
        <v>0.51500000000000001</v>
      </c>
      <c r="J24" s="230" t="s">
        <v>867</v>
      </c>
      <c r="K24" s="368" t="str">
        <f t="shared" si="1"/>
        <v/>
      </c>
      <c r="M24" s="476" t="str">
        <f>非_単位!B97</f>
        <v>セメントクリンカーの製造</v>
      </c>
      <c r="N24" s="476" t="str">
        <f>"非_単位!$C$"&amp;MATCH(M24,非_単位!B:B,0)&amp;":$D$"&amp;MATCH(M24,非_単位!B:B,0)</f>
        <v>非_単位!$C$97:$D$97</v>
      </c>
      <c r="O24" s="476">
        <f>IF(E24="","",VLOOKUP(E24,非_単位補正換算!$B$3:$C$16,2,FALSE))</f>
        <v>1000</v>
      </c>
    </row>
    <row r="25" spans="1:15" ht="20.25" customHeight="1">
      <c r="A25" s="1077"/>
      <c r="B25" s="1013" t="s">
        <v>110</v>
      </c>
      <c r="C25" s="905" t="s">
        <v>111</v>
      </c>
      <c r="D25" s="905"/>
      <c r="E25" s="420" t="s">
        <v>436</v>
      </c>
      <c r="F25" s="39"/>
      <c r="G25" s="313" t="str">
        <f t="shared" si="0"/>
        <v/>
      </c>
      <c r="H25" s="316" t="s">
        <v>882</v>
      </c>
      <c r="I25" s="322">
        <v>0.42799999999999999</v>
      </c>
      <c r="J25" s="230" t="s">
        <v>867</v>
      </c>
      <c r="K25" s="368" t="str">
        <f t="shared" si="1"/>
        <v/>
      </c>
      <c r="M25" s="476" t="str">
        <f>非_単位!B98</f>
        <v>生石灰の製造:石灰石</v>
      </c>
      <c r="N25" s="476" t="str">
        <f>"非_単位!$C$"&amp;MATCH(M25,非_単位!B:B,0)&amp;":$D$"&amp;MATCH(M25,非_単位!B:B,0)</f>
        <v>非_単位!$C$98:$D$98</v>
      </c>
      <c r="O25" s="476">
        <f>IF(E25="","",VLOOKUP(E25,非_単位補正換算!$B$3:$C$16,2,FALSE))</f>
        <v>1000</v>
      </c>
    </row>
    <row r="26" spans="1:15" ht="20.25" customHeight="1">
      <c r="A26" s="1077"/>
      <c r="B26" s="905"/>
      <c r="C26" s="905" t="s">
        <v>112</v>
      </c>
      <c r="D26" s="905"/>
      <c r="E26" s="420" t="s">
        <v>436</v>
      </c>
      <c r="F26" s="39"/>
      <c r="G26" s="313" t="str">
        <f t="shared" si="0"/>
        <v/>
      </c>
      <c r="H26" s="316" t="s">
        <v>882</v>
      </c>
      <c r="I26" s="322">
        <v>0.44900000000000001</v>
      </c>
      <c r="J26" s="230" t="s">
        <v>867</v>
      </c>
      <c r="K26" s="368" t="str">
        <f t="shared" si="1"/>
        <v/>
      </c>
      <c r="M26" s="476" t="str">
        <f>非_単位!B99</f>
        <v>生石灰の製造:ドロマイト</v>
      </c>
      <c r="N26" s="476" t="str">
        <f>"非_単位!$C$"&amp;MATCH(M26,非_単位!B:B,0)&amp;":$D$"&amp;MATCH(M26,非_単位!B:B,0)</f>
        <v>非_単位!$C$99:$D$99</v>
      </c>
      <c r="O26" s="476">
        <f>IF(E26="","",VLOOKUP(E26,非_単位補正換算!$B$3:$C$16,2,FALSE))</f>
        <v>1000</v>
      </c>
    </row>
    <row r="27" spans="1:15" ht="20.25" customHeight="1">
      <c r="A27" s="1077"/>
      <c r="B27" s="1086" t="s">
        <v>113</v>
      </c>
      <c r="C27" s="905" t="s">
        <v>111</v>
      </c>
      <c r="D27" s="905"/>
      <c r="E27" s="420" t="s">
        <v>436</v>
      </c>
      <c r="F27" s="39"/>
      <c r="G27" s="313" t="str">
        <f t="shared" si="0"/>
        <v/>
      </c>
      <c r="H27" s="316" t="s">
        <v>882</v>
      </c>
      <c r="I27" s="322">
        <v>0.44</v>
      </c>
      <c r="J27" s="230" t="s">
        <v>867</v>
      </c>
      <c r="K27" s="368" t="str">
        <f t="shared" si="1"/>
        <v/>
      </c>
      <c r="M27" s="476" t="str">
        <f>非_単位!B100</f>
        <v>ソーダ石灰ガラスの製造:石灰石</v>
      </c>
      <c r="N27" s="476" t="str">
        <f>"非_単位!$C$"&amp;MATCH(M27,非_単位!B:B,0)&amp;":$D$"&amp;MATCH(M27,非_単位!B:B,0)</f>
        <v>非_単位!$C$100:$D$100</v>
      </c>
      <c r="O27" s="476">
        <f>IF(E27="","",VLOOKUP(E27,非_単位補正換算!$B$3:$C$16,2,FALSE))</f>
        <v>1000</v>
      </c>
    </row>
    <row r="28" spans="1:15" ht="20.25" customHeight="1">
      <c r="A28" s="1077"/>
      <c r="B28" s="1087"/>
      <c r="C28" s="905" t="s">
        <v>112</v>
      </c>
      <c r="D28" s="905"/>
      <c r="E28" s="420" t="s">
        <v>436</v>
      </c>
      <c r="F28" s="39"/>
      <c r="G28" s="313" t="str">
        <f t="shared" si="0"/>
        <v/>
      </c>
      <c r="H28" s="316" t="s">
        <v>882</v>
      </c>
      <c r="I28" s="322">
        <v>0.47099999999999997</v>
      </c>
      <c r="J28" s="230" t="s">
        <v>867</v>
      </c>
      <c r="K28" s="368" t="str">
        <f t="shared" si="1"/>
        <v/>
      </c>
      <c r="M28" s="476" t="str">
        <f>非_単位!B101</f>
        <v>ソーダ石灰ガラスの製造:ドロマイト</v>
      </c>
      <c r="N28" s="476" t="str">
        <f>"非_単位!$C$"&amp;MATCH(M28,非_単位!B:B,0)&amp;":$D$"&amp;MATCH(M28,非_単位!B:B,0)</f>
        <v>非_単位!$C$101:$D$101</v>
      </c>
      <c r="O28" s="476">
        <f>IF(E28="","",VLOOKUP(E28,非_単位補正換算!$B$3:$C$16,2,FALSE))</f>
        <v>1000</v>
      </c>
    </row>
    <row r="29" spans="1:15" ht="20.25" customHeight="1">
      <c r="A29" s="1077"/>
      <c r="B29" s="1087"/>
      <c r="C29" s="663" t="s">
        <v>114</v>
      </c>
      <c r="D29" s="665"/>
      <c r="E29" s="420" t="s">
        <v>436</v>
      </c>
      <c r="F29" s="39"/>
      <c r="G29" s="313" t="str">
        <f t="shared" si="0"/>
        <v/>
      </c>
      <c r="H29" s="316" t="s">
        <v>882</v>
      </c>
      <c r="I29" s="322">
        <v>0.41299999999999998</v>
      </c>
      <c r="J29" s="230" t="s">
        <v>867</v>
      </c>
      <c r="K29" s="368" t="str">
        <f t="shared" si="1"/>
        <v/>
      </c>
      <c r="M29" s="476" t="str">
        <f>非_単位!B102</f>
        <v>ソーダ石灰ガラスの製造:ソーダ灰（国内産）</v>
      </c>
      <c r="N29" s="476" t="str">
        <f>"非_単位!$C$"&amp;MATCH(M29,非_単位!B:B,0)&amp;":$D$"&amp;MATCH(M29,非_単位!B:B,0)</f>
        <v>非_単位!$C$102:$D$102</v>
      </c>
      <c r="O29" s="476">
        <f>IF(E29="","",VLOOKUP(E29,非_単位補正換算!$B$3:$C$16,2,FALSE))</f>
        <v>1000</v>
      </c>
    </row>
    <row r="30" spans="1:15" ht="20.25" customHeight="1">
      <c r="A30" s="1077"/>
      <c r="B30" s="1087"/>
      <c r="C30" s="663" t="s">
        <v>115</v>
      </c>
      <c r="D30" s="665"/>
      <c r="E30" s="420" t="s">
        <v>436</v>
      </c>
      <c r="F30" s="39"/>
      <c r="G30" s="313" t="str">
        <f t="shared" si="0"/>
        <v/>
      </c>
      <c r="H30" s="316" t="s">
        <v>882</v>
      </c>
      <c r="I30" s="322">
        <v>0.41499999999999998</v>
      </c>
      <c r="J30" s="230" t="s">
        <v>867</v>
      </c>
      <c r="K30" s="368" t="str">
        <f t="shared" si="1"/>
        <v/>
      </c>
      <c r="M30" s="476" t="str">
        <f>非_単位!B103</f>
        <v>ソーダ石灰ガラスの製造:ソーダ灰（輸入）</v>
      </c>
      <c r="N30" s="476" t="str">
        <f>"非_単位!$C$"&amp;MATCH(M30,非_単位!B:B,0)&amp;":$D$"&amp;MATCH(M30,非_単位!B:B,0)</f>
        <v>非_単位!$C$103:$D$103</v>
      </c>
      <c r="O30" s="476">
        <f>IF(E30="","",VLOOKUP(E30,非_単位補正換算!$B$3:$C$16,2,FALSE))</f>
        <v>1000</v>
      </c>
    </row>
    <row r="31" spans="1:15" ht="20.25" customHeight="1">
      <c r="A31" s="1077"/>
      <c r="B31" s="1087"/>
      <c r="C31" s="663" t="s">
        <v>116</v>
      </c>
      <c r="D31" s="665"/>
      <c r="E31" s="420" t="s">
        <v>436</v>
      </c>
      <c r="F31" s="39"/>
      <c r="G31" s="313" t="str">
        <f t="shared" si="0"/>
        <v/>
      </c>
      <c r="H31" s="316" t="s">
        <v>882</v>
      </c>
      <c r="I31" s="320">
        <v>0.22</v>
      </c>
      <c r="J31" s="230" t="s">
        <v>867</v>
      </c>
      <c r="K31" s="368" t="str">
        <f t="shared" si="1"/>
        <v/>
      </c>
      <c r="M31" s="476" t="str">
        <f>非_単位!B104</f>
        <v>ソーダ石灰ガラスの製造:炭酸バリウム</v>
      </c>
      <c r="N31" s="476" t="str">
        <f>"非_単位!$C$"&amp;MATCH(M31,非_単位!B:B,0)&amp;":$D$"&amp;MATCH(M31,非_単位!B:B,0)</f>
        <v>非_単位!$C$104:$D$104</v>
      </c>
      <c r="O31" s="476">
        <f>IF(E31="","",VLOOKUP(E31,非_単位補正換算!$B$3:$C$16,2,FALSE))</f>
        <v>1000</v>
      </c>
    </row>
    <row r="32" spans="1:15" ht="20.25" customHeight="1">
      <c r="A32" s="1077"/>
      <c r="B32" s="1087"/>
      <c r="C32" s="663" t="s">
        <v>117</v>
      </c>
      <c r="D32" s="665"/>
      <c r="E32" s="420" t="s">
        <v>436</v>
      </c>
      <c r="F32" s="39"/>
      <c r="G32" s="313" t="str">
        <f t="shared" si="0"/>
        <v/>
      </c>
      <c r="H32" s="316" t="s">
        <v>882</v>
      </c>
      <c r="I32" s="320">
        <v>0.32</v>
      </c>
      <c r="J32" s="230" t="s">
        <v>867</v>
      </c>
      <c r="K32" s="368" t="str">
        <f t="shared" si="1"/>
        <v/>
      </c>
      <c r="M32" s="476" t="str">
        <f>非_単位!B105</f>
        <v>ソーダ石灰ガラスの製造:炭酸カリウム</v>
      </c>
      <c r="N32" s="476" t="str">
        <f>"非_単位!$C$"&amp;MATCH(M32,非_単位!B:B,0)&amp;":$D$"&amp;MATCH(M32,非_単位!B:B,0)</f>
        <v>非_単位!$C$105:$D$105</v>
      </c>
      <c r="O32" s="476">
        <f>IF(E32="","",VLOOKUP(E32,非_単位補正換算!$B$3:$C$16,2,FALSE))</f>
        <v>1000</v>
      </c>
    </row>
    <row r="33" spans="1:15" ht="20.25" customHeight="1">
      <c r="A33" s="1077"/>
      <c r="B33" s="1087"/>
      <c r="C33" s="663" t="s">
        <v>118</v>
      </c>
      <c r="D33" s="665"/>
      <c r="E33" s="420" t="s">
        <v>436</v>
      </c>
      <c r="F33" s="39"/>
      <c r="G33" s="313" t="str">
        <f t="shared" si="0"/>
        <v/>
      </c>
      <c r="H33" s="316" t="s">
        <v>882</v>
      </c>
      <c r="I33" s="320">
        <v>0.3</v>
      </c>
      <c r="J33" s="230" t="s">
        <v>867</v>
      </c>
      <c r="K33" s="368" t="str">
        <f t="shared" si="1"/>
        <v/>
      </c>
      <c r="M33" s="476" t="str">
        <f>非_単位!B106</f>
        <v>ソーダ石灰ガラスの製造:炭酸ストロンチウム</v>
      </c>
      <c r="N33" s="476" t="str">
        <f>"非_単位!$C$"&amp;MATCH(M33,非_単位!B:B,0)&amp;":$D$"&amp;MATCH(M33,非_単位!B:B,0)</f>
        <v>非_単位!$C$106:$D$106</v>
      </c>
      <c r="O33" s="476">
        <f>IF(E33="","",VLOOKUP(E33,非_単位補正換算!$B$3:$C$16,2,FALSE))</f>
        <v>1000</v>
      </c>
    </row>
    <row r="34" spans="1:15" ht="20.25" customHeight="1">
      <c r="A34" s="1077"/>
      <c r="B34" s="1088"/>
      <c r="C34" s="663" t="s">
        <v>119</v>
      </c>
      <c r="D34" s="665"/>
      <c r="E34" s="420" t="s">
        <v>436</v>
      </c>
      <c r="F34" s="39"/>
      <c r="G34" s="313" t="str">
        <f t="shared" si="0"/>
        <v/>
      </c>
      <c r="H34" s="316" t="s">
        <v>882</v>
      </c>
      <c r="I34" s="320">
        <v>0.6</v>
      </c>
      <c r="J34" s="230" t="s">
        <v>867</v>
      </c>
      <c r="K34" s="368" t="str">
        <f t="shared" si="1"/>
        <v/>
      </c>
      <c r="M34" s="476" t="str">
        <f>非_単位!B107</f>
        <v>ソーダ石灰ガラスの製造:炭酸リチウム</v>
      </c>
      <c r="N34" s="476" t="str">
        <f>"非_単位!$C$"&amp;MATCH(M34,非_単位!B:B,0)&amp;":$D$"&amp;MATCH(M34,非_単位!B:B,0)</f>
        <v>非_単位!$C$107:$D$107</v>
      </c>
      <c r="O34" s="476">
        <f>IF(E34="","",VLOOKUP(E34,非_単位補正換算!$B$3:$C$16,2,FALSE))</f>
        <v>1000</v>
      </c>
    </row>
    <row r="35" spans="1:15" ht="20.25" customHeight="1">
      <c r="A35" s="1077"/>
      <c r="B35" s="905" t="s">
        <v>120</v>
      </c>
      <c r="C35" s="905"/>
      <c r="D35" s="905"/>
      <c r="E35" s="420" t="s">
        <v>436</v>
      </c>
      <c r="F35" s="39"/>
      <c r="G35" s="313" t="str">
        <f t="shared" si="0"/>
        <v/>
      </c>
      <c r="H35" s="316" t="s">
        <v>882</v>
      </c>
      <c r="I35" s="323">
        <v>1</v>
      </c>
      <c r="J35" s="230" t="s">
        <v>867</v>
      </c>
      <c r="K35" s="368" t="str">
        <f t="shared" si="1"/>
        <v/>
      </c>
      <c r="M35" s="476" t="str">
        <f>非_単位!B108</f>
        <v>ソーダ灰の製造</v>
      </c>
      <c r="N35" s="476" t="str">
        <f>"非_単位!$C$"&amp;MATCH(M35,非_単位!B:B,0)&amp;":$D$"&amp;MATCH(M35,非_単位!B:B,0)</f>
        <v>非_単位!$C$108:$D$108</v>
      </c>
      <c r="O35" s="476">
        <f>IF(E35="","",VLOOKUP(E35,非_単位補正換算!$B$3:$C$16,2,FALSE))</f>
        <v>1000</v>
      </c>
    </row>
    <row r="36" spans="1:15" ht="20.25" customHeight="1">
      <c r="A36" s="1077"/>
      <c r="B36" s="940" t="s">
        <v>121</v>
      </c>
      <c r="C36" s="663" t="s">
        <v>122</v>
      </c>
      <c r="D36" s="665"/>
      <c r="E36" s="420" t="s">
        <v>436</v>
      </c>
      <c r="F36" s="39"/>
      <c r="G36" s="313" t="str">
        <f t="shared" si="0"/>
        <v/>
      </c>
      <c r="H36" s="316" t="s">
        <v>882</v>
      </c>
      <c r="I36" s="322">
        <v>0.44</v>
      </c>
      <c r="J36" s="230" t="s">
        <v>867</v>
      </c>
      <c r="K36" s="368" t="str">
        <f t="shared" si="1"/>
        <v/>
      </c>
      <c r="M36" s="476" t="str">
        <f>非_単位!B109</f>
        <v>その他用途・プロセスでの炭酸塩の使用:石灰石</v>
      </c>
      <c r="N36" s="476" t="str">
        <f>"非_単位!$C$"&amp;MATCH(M36,非_単位!B:B,0)&amp;":$D$"&amp;MATCH(M36,非_単位!B:B,0)</f>
        <v>非_単位!$C$109:$D$109</v>
      </c>
      <c r="O36" s="476">
        <f>IF(E36="","",VLOOKUP(E36,非_単位補正換算!$B$3:$C$16,2,FALSE))</f>
        <v>1000</v>
      </c>
    </row>
    <row r="37" spans="1:15" ht="20.25" customHeight="1">
      <c r="A37" s="1077"/>
      <c r="B37" s="1066"/>
      <c r="C37" s="663" t="s">
        <v>123</v>
      </c>
      <c r="D37" s="665"/>
      <c r="E37" s="420" t="s">
        <v>436</v>
      </c>
      <c r="F37" s="39"/>
      <c r="G37" s="313" t="str">
        <f t="shared" si="0"/>
        <v/>
      </c>
      <c r="H37" s="316" t="s">
        <v>882</v>
      </c>
      <c r="I37" s="322">
        <v>0.47099999999999997</v>
      </c>
      <c r="J37" s="230" t="s">
        <v>867</v>
      </c>
      <c r="K37" s="368" t="str">
        <f t="shared" si="1"/>
        <v/>
      </c>
      <c r="M37" s="476" t="str">
        <f>非_単位!B110</f>
        <v>その他用途・プロセスでの炭酸塩の使用:ドロマイト</v>
      </c>
      <c r="N37" s="476" t="str">
        <f>"非_単位!$C$"&amp;MATCH(M37,非_単位!B:B,0)&amp;":$D$"&amp;MATCH(M37,非_単位!B:B,0)</f>
        <v>非_単位!$C$110:$D$110</v>
      </c>
      <c r="O37" s="476">
        <f>IF(E37="","",VLOOKUP(E37,非_単位補正換算!$B$3:$C$16,2,FALSE))</f>
        <v>1000</v>
      </c>
    </row>
    <row r="38" spans="1:15" ht="20.25" customHeight="1">
      <c r="A38" s="1077"/>
      <c r="B38" s="1066"/>
      <c r="C38" s="663" t="s">
        <v>124</v>
      </c>
      <c r="D38" s="665"/>
      <c r="E38" s="420" t="s">
        <v>436</v>
      </c>
      <c r="F38" s="39"/>
      <c r="G38" s="313" t="str">
        <f t="shared" si="0"/>
        <v/>
      </c>
      <c r="H38" s="316" t="s">
        <v>882</v>
      </c>
      <c r="I38" s="322">
        <v>0.41299999999999998</v>
      </c>
      <c r="J38" s="230" t="s">
        <v>867</v>
      </c>
      <c r="K38" s="368" t="str">
        <f t="shared" si="1"/>
        <v/>
      </c>
      <c r="M38" s="476" t="str">
        <f>非_単位!B111</f>
        <v>その他用途・プロセスでの炭酸塩の使用:ソーダ灰（国内産）</v>
      </c>
      <c r="N38" s="476" t="str">
        <f>"非_単位!$C$"&amp;MATCH(M38,非_単位!B:B,0)&amp;":$D$"&amp;MATCH(M38,非_単位!B:B,0)</f>
        <v>非_単位!$C$111:$D$111</v>
      </c>
      <c r="O38" s="476">
        <f>IF(E38="","",VLOOKUP(E38,非_単位補正換算!$B$3:$C$16,2,FALSE))</f>
        <v>1000</v>
      </c>
    </row>
    <row r="39" spans="1:15" ht="20.25" customHeight="1">
      <c r="A39" s="1077"/>
      <c r="B39" s="1066"/>
      <c r="C39" s="663" t="s">
        <v>125</v>
      </c>
      <c r="D39" s="665"/>
      <c r="E39" s="420" t="s">
        <v>436</v>
      </c>
      <c r="F39" s="39"/>
      <c r="G39" s="313" t="str">
        <f t="shared" si="0"/>
        <v/>
      </c>
      <c r="H39" s="316" t="s">
        <v>882</v>
      </c>
      <c r="I39" s="322">
        <v>0.41499999999999998</v>
      </c>
      <c r="J39" s="230" t="s">
        <v>867</v>
      </c>
      <c r="K39" s="368" t="str">
        <f t="shared" si="1"/>
        <v/>
      </c>
      <c r="M39" s="476" t="str">
        <f>非_単位!B112</f>
        <v>その他用途・プロセスでの炭酸塩の使用:ソーダ灰（輸入）</v>
      </c>
      <c r="N39" s="476" t="str">
        <f>"非_単位!$C$"&amp;MATCH(M39,非_単位!B:B,0)&amp;":$D$"&amp;MATCH(M39,非_単位!B:B,0)</f>
        <v>非_単位!$C$112:$D$112</v>
      </c>
      <c r="O39" s="476">
        <f>IF(E39="","",VLOOKUP(E39,非_単位補正換算!$B$3:$C$16,2,FALSE))</f>
        <v>1000</v>
      </c>
    </row>
    <row r="40" spans="1:15" ht="20.25" customHeight="1">
      <c r="A40" s="1077"/>
      <c r="B40" s="905" t="s">
        <v>126</v>
      </c>
      <c r="C40" s="905" t="s">
        <v>68</v>
      </c>
      <c r="D40" s="905"/>
      <c r="E40" s="420" t="s">
        <v>436</v>
      </c>
      <c r="F40" s="39"/>
      <c r="G40" s="313" t="str">
        <f t="shared" si="0"/>
        <v/>
      </c>
      <c r="H40" s="316" t="s">
        <v>882</v>
      </c>
      <c r="I40" s="324">
        <v>2.33</v>
      </c>
      <c r="J40" s="230" t="s">
        <v>867</v>
      </c>
      <c r="K40" s="368" t="str">
        <f t="shared" si="1"/>
        <v/>
      </c>
      <c r="M40" s="476" t="str">
        <f>非_単位!B113</f>
        <v>アンモニアの製造:石炭</v>
      </c>
      <c r="N40" s="476" t="str">
        <f>"非_単位!$C$"&amp;MATCH(M40,非_単位!B:B,0)&amp;":$D$"&amp;MATCH(M40,非_単位!B:B,0)</f>
        <v>非_単位!$C$113:$D$113</v>
      </c>
      <c r="O40" s="476">
        <f>IF(E40="","",VLOOKUP(E40,非_単位補正換算!$B$3:$C$16,2,FALSE))</f>
        <v>1000</v>
      </c>
    </row>
    <row r="41" spans="1:15" ht="20.25" customHeight="1">
      <c r="A41" s="1077"/>
      <c r="B41" s="905"/>
      <c r="C41" s="905" t="s">
        <v>127</v>
      </c>
      <c r="D41" s="905"/>
      <c r="E41" s="420" t="s">
        <v>436</v>
      </c>
      <c r="F41" s="39"/>
      <c r="G41" s="313" t="str">
        <f t="shared" si="0"/>
        <v/>
      </c>
      <c r="H41" s="316" t="s">
        <v>882</v>
      </c>
      <c r="I41" s="324">
        <v>3.06</v>
      </c>
      <c r="J41" s="230" t="s">
        <v>867</v>
      </c>
      <c r="K41" s="368" t="str">
        <f t="shared" si="1"/>
        <v/>
      </c>
      <c r="M41" s="476" t="str">
        <f>非_単位!B114</f>
        <v>アンモニアの製造:石油コークス</v>
      </c>
      <c r="N41" s="476" t="str">
        <f>"非_単位!$C$"&amp;MATCH(M41,非_単位!B:B,0)&amp;":$D$"&amp;MATCH(M41,非_単位!B:B,0)</f>
        <v>非_単位!$C$114:$D$114</v>
      </c>
      <c r="O41" s="476">
        <f>IF(E41="","",VLOOKUP(E41,非_単位補正換算!$B$3:$C$16,2,FALSE))</f>
        <v>1000</v>
      </c>
    </row>
    <row r="42" spans="1:15" ht="20.25" customHeight="1">
      <c r="A42" s="1077"/>
      <c r="B42" s="905"/>
      <c r="C42" s="905" t="s">
        <v>13</v>
      </c>
      <c r="D42" s="905"/>
      <c r="E42" s="420" t="s">
        <v>435</v>
      </c>
      <c r="F42" s="39"/>
      <c r="G42" s="313" t="str">
        <f t="shared" si="0"/>
        <v/>
      </c>
      <c r="H42" s="316" t="s">
        <v>883</v>
      </c>
      <c r="I42" s="324">
        <v>2.27</v>
      </c>
      <c r="J42" s="230" t="s">
        <v>868</v>
      </c>
      <c r="K42" s="368" t="str">
        <f t="shared" si="1"/>
        <v/>
      </c>
      <c r="M42" s="476" t="str">
        <f>非_単位!B115</f>
        <v>アンモニアの製造:ナフサ</v>
      </c>
      <c r="N42" s="476" t="str">
        <f>"非_単位!$C$"&amp;MATCH(M42,非_単位!B:B,0)&amp;":$D$"&amp;MATCH(M42,非_単位!B:B,0)</f>
        <v>非_単位!$C$115:$D$115</v>
      </c>
      <c r="O42" s="476">
        <f>IF(E42="","",VLOOKUP(E42,非_単位補正換算!$B$3:$C$16,2,FALSE))</f>
        <v>1000</v>
      </c>
    </row>
    <row r="43" spans="1:15" ht="20.25" customHeight="1">
      <c r="A43" s="1077"/>
      <c r="B43" s="905"/>
      <c r="C43" s="905" t="s">
        <v>128</v>
      </c>
      <c r="D43" s="905"/>
      <c r="E43" s="420" t="s">
        <v>436</v>
      </c>
      <c r="F43" s="39"/>
      <c r="G43" s="313" t="str">
        <f t="shared" si="0"/>
        <v/>
      </c>
      <c r="H43" s="316" t="s">
        <v>882</v>
      </c>
      <c r="I43" s="324">
        <v>2.79</v>
      </c>
      <c r="J43" s="230" t="s">
        <v>867</v>
      </c>
      <c r="K43" s="368" t="str">
        <f t="shared" si="1"/>
        <v/>
      </c>
      <c r="M43" s="476" t="str">
        <f>非_単位!B116</f>
        <v>アンモニアの製造:液化天然ガス（LNG)</v>
      </c>
      <c r="N43" s="476" t="str">
        <f>"非_単位!$C$"&amp;MATCH(M43,非_単位!B:B,0)&amp;":$D$"&amp;MATCH(M43,非_単位!B:B,0)</f>
        <v>非_単位!$C$116:$D$116</v>
      </c>
      <c r="O43" s="476">
        <f>IF(E43="","",VLOOKUP(E43,非_単位補正換算!$B$3:$C$16,2,FALSE))</f>
        <v>1000</v>
      </c>
    </row>
    <row r="44" spans="1:15" ht="45" customHeight="1">
      <c r="A44" s="1077"/>
      <c r="B44" s="905"/>
      <c r="C44" s="1013" t="s">
        <v>129</v>
      </c>
      <c r="D44" s="905"/>
      <c r="E44" s="420" t="s">
        <v>438</v>
      </c>
      <c r="F44" s="39"/>
      <c r="G44" s="313" t="str">
        <f t="shared" si="0"/>
        <v/>
      </c>
      <c r="H44" s="316" t="s">
        <v>885</v>
      </c>
      <c r="I44" s="324">
        <v>1.96</v>
      </c>
      <c r="J44" s="228" t="s">
        <v>874</v>
      </c>
      <c r="K44" s="368" t="str">
        <f t="shared" si="1"/>
        <v/>
      </c>
      <c r="M44" s="476" t="str">
        <f>非_単位!B117</f>
        <v>アンモニアの製造:天然ガス（液化天然ガス（LNG)を除く）</v>
      </c>
      <c r="N44" s="476" t="str">
        <f>"非_単位!$C$"&amp;MATCH(M44,非_単位!B:B,0)&amp;":$D$"&amp;MATCH(M44,非_単位!B:B,0)</f>
        <v>非_単位!$C$117:$D$117</v>
      </c>
      <c r="O44" s="476">
        <f>IF(E44="","",VLOOKUP(E44,非_単位補正換算!$B$3:$C$16,2,FALSE))</f>
        <v>1000</v>
      </c>
    </row>
    <row r="45" spans="1:15" ht="20.25" customHeight="1">
      <c r="A45" s="1077"/>
      <c r="B45" s="905" t="s">
        <v>186</v>
      </c>
      <c r="C45" s="905"/>
      <c r="D45" s="905"/>
      <c r="E45" s="420" t="s">
        <v>436</v>
      </c>
      <c r="F45" s="39"/>
      <c r="G45" s="313" t="str">
        <f t="shared" si="0"/>
        <v/>
      </c>
      <c r="H45" s="316" t="s">
        <v>882</v>
      </c>
      <c r="I45" s="324">
        <v>2.2999999999999998</v>
      </c>
      <c r="J45" s="230" t="s">
        <v>867</v>
      </c>
      <c r="K45" s="368" t="str">
        <f t="shared" si="1"/>
        <v/>
      </c>
      <c r="M45" s="476" t="str">
        <f>非_単位!B118</f>
        <v>炭化けい素の製造</v>
      </c>
      <c r="N45" s="476" t="str">
        <f>"非_単位!$C$"&amp;MATCH(M45,非_単位!B:B,0)&amp;":$D$"&amp;MATCH(M45,非_単位!B:B,0)</f>
        <v>非_単位!$C$118:$D$118</v>
      </c>
      <c r="O45" s="476">
        <f>IF(E45="","",VLOOKUP(E45,非_単位補正換算!$B$3:$C$16,2,FALSE))</f>
        <v>1000</v>
      </c>
    </row>
    <row r="46" spans="1:15" ht="32.25" customHeight="1">
      <c r="A46" s="1077"/>
      <c r="B46" s="1013" t="s">
        <v>187</v>
      </c>
      <c r="C46" s="905" t="s">
        <v>130</v>
      </c>
      <c r="D46" s="905"/>
      <c r="E46" s="420" t="s">
        <v>436</v>
      </c>
      <c r="F46" s="39"/>
      <c r="G46" s="313" t="str">
        <f t="shared" si="0"/>
        <v/>
      </c>
      <c r="H46" s="316" t="s">
        <v>882</v>
      </c>
      <c r="I46" s="324">
        <v>0.76</v>
      </c>
      <c r="J46" s="230" t="s">
        <v>867</v>
      </c>
      <c r="K46" s="368" t="str">
        <f t="shared" si="1"/>
        <v/>
      </c>
      <c r="M46" s="476" t="str">
        <f>非_単位!B119</f>
        <v>炭化カルシウムの製造:製造された生石灰を炭化カルシウムの原料として使用した場合の生石灰の製造</v>
      </c>
      <c r="N46" s="476" t="str">
        <f>"非_単位!$C$"&amp;MATCH(M46,非_単位!B:B,0)&amp;":$D$"&amp;MATCH(M46,非_単位!B:B,0)</f>
        <v>非_単位!$C$119:$D$119</v>
      </c>
      <c r="O46" s="476">
        <f>IF(E46="","",VLOOKUP(E46,非_単位補正換算!$B$3:$C$16,2,FALSE))</f>
        <v>1000</v>
      </c>
    </row>
    <row r="47" spans="1:15" ht="32.25" customHeight="1">
      <c r="A47" s="1077"/>
      <c r="B47" s="905"/>
      <c r="C47" s="905" t="s">
        <v>131</v>
      </c>
      <c r="D47" s="905"/>
      <c r="E47" s="420" t="s">
        <v>436</v>
      </c>
      <c r="F47" s="39"/>
      <c r="G47" s="313" t="str">
        <f t="shared" si="0"/>
        <v/>
      </c>
      <c r="H47" s="316" t="s">
        <v>882</v>
      </c>
      <c r="I47" s="324">
        <v>1.0900000000000001</v>
      </c>
      <c r="J47" s="230" t="s">
        <v>867</v>
      </c>
      <c r="K47" s="368" t="str">
        <f t="shared" si="1"/>
        <v/>
      </c>
      <c r="M47" s="476" t="str">
        <f>非_単位!B120</f>
        <v>炭化カルシウムの製造:炭化カルシウムの製造</v>
      </c>
      <c r="N47" s="476" t="str">
        <f>"非_単位!$C$"&amp;MATCH(M47,非_単位!B:B,0)&amp;":$D$"&amp;MATCH(M47,非_単位!B:B,0)</f>
        <v>非_単位!$C$120:$D$120</v>
      </c>
      <c r="O47" s="476">
        <f>IF(E47="","",VLOOKUP(E47,非_単位補正換算!$B$3:$C$16,2,FALSE))</f>
        <v>1000</v>
      </c>
    </row>
    <row r="48" spans="1:15" ht="32.25" customHeight="1">
      <c r="A48" s="1077"/>
      <c r="B48" s="1068" t="s">
        <v>132</v>
      </c>
      <c r="C48" s="663" t="s">
        <v>133</v>
      </c>
      <c r="D48" s="665"/>
      <c r="E48" s="420" t="s">
        <v>436</v>
      </c>
      <c r="F48" s="39"/>
      <c r="G48" s="313" t="str">
        <f t="shared" si="0"/>
        <v/>
      </c>
      <c r="H48" s="316" t="s">
        <v>882</v>
      </c>
      <c r="I48" s="324">
        <v>1.43</v>
      </c>
      <c r="J48" s="230" t="s">
        <v>867</v>
      </c>
      <c r="K48" s="368" t="str">
        <f t="shared" si="1"/>
        <v/>
      </c>
      <c r="M48" s="476" t="str">
        <f>非_単位!B121</f>
        <v>二酸化チタンの製造:二酸化チタンをルチルから分離させる方法</v>
      </c>
      <c r="N48" s="476" t="str">
        <f>"非_単位!$C$"&amp;MATCH(M48,非_単位!B:B,0)&amp;":$D$"&amp;MATCH(M48,非_単位!B:B,0)</f>
        <v>非_単位!$C$121:$D$121</v>
      </c>
      <c r="O48" s="476">
        <f>IF(E48="","",VLOOKUP(E48,非_単位補正換算!$B$3:$C$16,2,FALSE))</f>
        <v>1000</v>
      </c>
    </row>
    <row r="49" spans="1:15" ht="32.25" customHeight="1" thickBot="1">
      <c r="A49" s="1089"/>
      <c r="B49" s="1085"/>
      <c r="C49" s="640" t="s">
        <v>134</v>
      </c>
      <c r="D49" s="642"/>
      <c r="E49" s="421" t="s">
        <v>436</v>
      </c>
      <c r="F49" s="47"/>
      <c r="G49" s="314" t="str">
        <f t="shared" si="0"/>
        <v/>
      </c>
      <c r="H49" s="317" t="s">
        <v>882</v>
      </c>
      <c r="I49" s="325">
        <v>1.34</v>
      </c>
      <c r="J49" s="304" t="s">
        <v>867</v>
      </c>
      <c r="K49" s="427" t="str">
        <f t="shared" si="1"/>
        <v/>
      </c>
      <c r="M49" s="476" t="str">
        <f>非_単位!B122</f>
        <v>二酸化チタンの製造:塩化チタンと酸素を化学反応させる方法</v>
      </c>
      <c r="N49" s="476" t="str">
        <f>"非_単位!$C$"&amp;MATCH(M49,非_単位!B:B,0)&amp;":$D$"&amp;MATCH(M49,非_単位!B:B,0)</f>
        <v>非_単位!$C$122:$D$122</v>
      </c>
      <c r="O49" s="476">
        <f>IF(E49="","",VLOOKUP(E49,非_単位補正換算!$B$3:$C$16,2,FALSE))</f>
        <v>1000</v>
      </c>
    </row>
    <row r="50" spans="1:15" ht="24">
      <c r="A50" s="42"/>
      <c r="B50" s="43"/>
      <c r="C50" s="43"/>
      <c r="D50" s="43"/>
      <c r="E50" s="303"/>
      <c r="F50" s="44"/>
      <c r="G50" s="310"/>
      <c r="H50" s="311"/>
      <c r="I50" s="45"/>
      <c r="J50" s="43"/>
      <c r="K50" s="3" t="s">
        <v>135</v>
      </c>
    </row>
    <row r="51" spans="1:15" ht="18" customHeight="1" thickBot="1">
      <c r="A51" s="42"/>
      <c r="B51" s="43"/>
      <c r="C51" s="43"/>
      <c r="D51" s="43"/>
      <c r="E51" s="303"/>
      <c r="F51" s="44"/>
      <c r="G51" s="310"/>
      <c r="H51" s="311"/>
      <c r="I51" s="45"/>
      <c r="J51" s="43"/>
      <c r="K51" s="3"/>
    </row>
    <row r="52" spans="1:15" ht="18" customHeight="1">
      <c r="A52" s="1078"/>
      <c r="B52" s="758" t="s">
        <v>85</v>
      </c>
      <c r="C52" s="758" t="s">
        <v>86</v>
      </c>
      <c r="D52" s="758"/>
      <c r="E52" s="758" t="s">
        <v>87</v>
      </c>
      <c r="F52" s="768" t="s">
        <v>88</v>
      </c>
      <c r="G52" s="1055" t="s">
        <v>89</v>
      </c>
      <c r="H52" s="1056"/>
      <c r="I52" s="758" t="s">
        <v>872</v>
      </c>
      <c r="J52" s="758"/>
      <c r="K52" s="1074" t="s">
        <v>324</v>
      </c>
    </row>
    <row r="53" spans="1:15" ht="18.75" customHeight="1">
      <c r="A53" s="1079"/>
      <c r="B53" s="1081"/>
      <c r="C53" s="1081"/>
      <c r="D53" s="1081"/>
      <c r="E53" s="1081"/>
      <c r="F53" s="1053"/>
      <c r="G53" s="1057"/>
      <c r="H53" s="1058"/>
      <c r="I53" s="1081"/>
      <c r="J53" s="1081"/>
      <c r="K53" s="1075"/>
    </row>
    <row r="54" spans="1:15" ht="32.25" customHeight="1" thickBot="1">
      <c r="A54" s="1080"/>
      <c r="B54" s="1082"/>
      <c r="C54" s="1082"/>
      <c r="D54" s="1082"/>
      <c r="E54" s="1082"/>
      <c r="F54" s="769"/>
      <c r="G54" s="1059"/>
      <c r="H54" s="1060"/>
      <c r="I54" s="1082"/>
      <c r="J54" s="1082"/>
      <c r="K54" s="223" t="s">
        <v>190</v>
      </c>
    </row>
    <row r="55" spans="1:15" ht="20.25" customHeight="1">
      <c r="A55" s="1076" t="s">
        <v>327</v>
      </c>
      <c r="B55" s="874" t="s">
        <v>188</v>
      </c>
      <c r="C55" s="657" t="s">
        <v>136</v>
      </c>
      <c r="D55" s="659"/>
      <c r="E55" s="420" t="s">
        <v>436</v>
      </c>
      <c r="F55" s="49"/>
      <c r="G55" s="313" t="str">
        <f t="shared" ref="G55:G84" si="2">IF(E55="","",IF(F55="","",F55/O55))</f>
        <v/>
      </c>
      <c r="H55" s="315" t="s">
        <v>882</v>
      </c>
      <c r="I55" s="326">
        <v>1.56</v>
      </c>
      <c r="J55" s="305" t="s">
        <v>867</v>
      </c>
      <c r="K55" s="428" t="str">
        <f t="shared" ref="K55:K84" si="3">IF(G55="","",IF(I55="","",G55*I55))</f>
        <v/>
      </c>
      <c r="M55" s="476" t="str">
        <f>非_単位!B123</f>
        <v>エチレン等の製造:エチレン（ナフサからの製造）</v>
      </c>
      <c r="N55" s="476" t="str">
        <f>"非_単位!$C$"&amp;MATCH(M55,非_単位!B:B,0)&amp;":$D$"&amp;MATCH(M55,非_単位!B:B,0)</f>
        <v>非_単位!$C$123:$D$123</v>
      </c>
      <c r="O55" s="476">
        <f>IF(E55="","",VLOOKUP(E55,非_単位補正換算!$B$3:$C$16,2,FALSE))</f>
        <v>1000</v>
      </c>
    </row>
    <row r="56" spans="1:15" ht="20.25" customHeight="1">
      <c r="A56" s="1077"/>
      <c r="B56" s="875"/>
      <c r="C56" s="663" t="s">
        <v>137</v>
      </c>
      <c r="D56" s="665"/>
      <c r="E56" s="420" t="s">
        <v>436</v>
      </c>
      <c r="F56" s="39"/>
      <c r="G56" s="313" t="str">
        <f t="shared" si="2"/>
        <v/>
      </c>
      <c r="H56" s="316" t="s">
        <v>882</v>
      </c>
      <c r="I56" s="324">
        <v>2.06</v>
      </c>
      <c r="J56" s="230" t="s">
        <v>867</v>
      </c>
      <c r="K56" s="368" t="str">
        <f t="shared" si="3"/>
        <v/>
      </c>
      <c r="M56" s="476" t="str">
        <f>非_単位!B124</f>
        <v>エチレン等の製造:エチレン（軽油からの製造）</v>
      </c>
      <c r="N56" s="476" t="str">
        <f>"非_単位!$C$"&amp;MATCH(M56,非_単位!B:B,0)&amp;":$D$"&amp;MATCH(M56,非_単位!B:B,0)</f>
        <v>非_単位!$C$124:$D$124</v>
      </c>
      <c r="O56" s="476">
        <f>IF(E56="","",VLOOKUP(E56,非_単位補正換算!$B$3:$C$16,2,FALSE))</f>
        <v>1000</v>
      </c>
    </row>
    <row r="57" spans="1:15" ht="20.25" customHeight="1">
      <c r="A57" s="1077"/>
      <c r="B57" s="875"/>
      <c r="C57" s="663" t="s">
        <v>138</v>
      </c>
      <c r="D57" s="665"/>
      <c r="E57" s="420" t="s">
        <v>436</v>
      </c>
      <c r="F57" s="39"/>
      <c r="G57" s="313" t="str">
        <f t="shared" si="2"/>
        <v/>
      </c>
      <c r="H57" s="316" t="s">
        <v>882</v>
      </c>
      <c r="I57" s="324">
        <v>0.86</v>
      </c>
      <c r="J57" s="230" t="s">
        <v>867</v>
      </c>
      <c r="K57" s="368" t="str">
        <f t="shared" si="3"/>
        <v/>
      </c>
      <c r="M57" s="476" t="str">
        <f>非_単位!B125</f>
        <v>エチレン等の製造:エチレン（エタンからの製造）</v>
      </c>
      <c r="N57" s="476" t="str">
        <f>"非_単位!$C$"&amp;MATCH(M57,非_単位!B:B,0)&amp;":$D$"&amp;MATCH(M57,非_単位!B:B,0)</f>
        <v>非_単位!$C$125:$D$125</v>
      </c>
      <c r="O57" s="476">
        <f>IF(E57="","",VLOOKUP(E57,非_単位補正換算!$B$3:$C$16,2,FALSE))</f>
        <v>1000</v>
      </c>
    </row>
    <row r="58" spans="1:15" ht="20.25" customHeight="1">
      <c r="A58" s="1077"/>
      <c r="B58" s="875"/>
      <c r="C58" s="663" t="s">
        <v>139</v>
      </c>
      <c r="D58" s="665"/>
      <c r="E58" s="420" t="s">
        <v>436</v>
      </c>
      <c r="F58" s="39"/>
      <c r="G58" s="313" t="str">
        <f t="shared" si="2"/>
        <v/>
      </c>
      <c r="H58" s="316" t="s">
        <v>882</v>
      </c>
      <c r="I58" s="324">
        <v>0.94</v>
      </c>
      <c r="J58" s="230" t="s">
        <v>867</v>
      </c>
      <c r="K58" s="368" t="str">
        <f t="shared" si="3"/>
        <v/>
      </c>
      <c r="M58" s="476" t="str">
        <f>非_単位!B126</f>
        <v>エチレン等の製造:エチレン（プロパンからの製造）</v>
      </c>
      <c r="N58" s="476" t="str">
        <f>"非_単位!$C$"&amp;MATCH(M58,非_単位!B:B,0)&amp;":$D$"&amp;MATCH(M58,非_単位!B:B,0)</f>
        <v>非_単位!$C$126:$D$126</v>
      </c>
      <c r="O58" s="476">
        <f>IF(E58="","",VLOOKUP(E58,非_単位補正換算!$B$3:$C$16,2,FALSE))</f>
        <v>1000</v>
      </c>
    </row>
    <row r="59" spans="1:15" ht="20.25" customHeight="1">
      <c r="A59" s="1077"/>
      <c r="B59" s="875"/>
      <c r="C59" s="663" t="s">
        <v>140</v>
      </c>
      <c r="D59" s="665"/>
      <c r="E59" s="420" t="s">
        <v>436</v>
      </c>
      <c r="F59" s="39"/>
      <c r="G59" s="313" t="str">
        <f t="shared" si="2"/>
        <v/>
      </c>
      <c r="H59" s="316" t="s">
        <v>882</v>
      </c>
      <c r="I59" s="324">
        <v>0.96</v>
      </c>
      <c r="J59" s="230" t="s">
        <v>867</v>
      </c>
      <c r="K59" s="368" t="str">
        <f t="shared" si="3"/>
        <v/>
      </c>
      <c r="M59" s="476" t="str">
        <f>非_単位!B127</f>
        <v>エチレン等の製造:エチレン（ブタンからの製造）</v>
      </c>
      <c r="N59" s="476" t="str">
        <f>"非_単位!$C$"&amp;MATCH(M59,非_単位!B:B,0)&amp;":$D$"&amp;MATCH(M59,非_単位!B:B,0)</f>
        <v>非_単位!$C$127:$D$127</v>
      </c>
      <c r="O59" s="476">
        <f>IF(E59="","",VLOOKUP(E59,非_単位補正換算!$B$3:$C$16,2,FALSE))</f>
        <v>1000</v>
      </c>
    </row>
    <row r="60" spans="1:15" ht="20.25" customHeight="1">
      <c r="A60" s="1077"/>
      <c r="B60" s="875"/>
      <c r="C60" s="663" t="s">
        <v>141</v>
      </c>
      <c r="D60" s="665"/>
      <c r="E60" s="420" t="s">
        <v>436</v>
      </c>
      <c r="F60" s="39"/>
      <c r="G60" s="313" t="str">
        <f t="shared" si="2"/>
        <v/>
      </c>
      <c r="H60" s="316" t="s">
        <v>882</v>
      </c>
      <c r="I60" s="324">
        <v>1.56</v>
      </c>
      <c r="J60" s="230" t="s">
        <v>867</v>
      </c>
      <c r="K60" s="368" t="str">
        <f t="shared" si="3"/>
        <v/>
      </c>
      <c r="M60" s="476" t="str">
        <f>非_単位!B128</f>
        <v>エチレン等の製造:エチレン（その他原料からの製造）</v>
      </c>
      <c r="N60" s="476" t="str">
        <f>"非_単位!$C$"&amp;MATCH(M60,非_単位!B:B,0)&amp;":$D$"&amp;MATCH(M60,非_単位!B:B,0)</f>
        <v>非_単位!$C$128:$D$128</v>
      </c>
      <c r="O60" s="476">
        <f>IF(E60="","",VLOOKUP(E60,非_単位補正換算!$B$3:$C$16,2,FALSE))</f>
        <v>1000</v>
      </c>
    </row>
    <row r="61" spans="1:15" ht="20.25" customHeight="1">
      <c r="A61" s="1077"/>
      <c r="B61" s="875"/>
      <c r="C61" s="663" t="s">
        <v>142</v>
      </c>
      <c r="D61" s="665"/>
      <c r="E61" s="420" t="s">
        <v>436</v>
      </c>
      <c r="F61" s="39"/>
      <c r="G61" s="313" t="str">
        <f t="shared" si="2"/>
        <v/>
      </c>
      <c r="H61" s="316" t="s">
        <v>882</v>
      </c>
      <c r="I61" s="324">
        <v>6.5000000000000002E-2</v>
      </c>
      <c r="J61" s="230" t="s">
        <v>867</v>
      </c>
      <c r="K61" s="368" t="str">
        <f t="shared" si="3"/>
        <v/>
      </c>
      <c r="M61" s="476" t="str">
        <f>非_単位!B129</f>
        <v>エチレン等の製造:クロロエチレン</v>
      </c>
      <c r="N61" s="476" t="str">
        <f>"非_単位!$C$"&amp;MATCH(M61,非_単位!B:B,0)&amp;":$D$"&amp;MATCH(M61,非_単位!B:B,0)</f>
        <v>非_単位!$C$129:$D$129</v>
      </c>
      <c r="O61" s="476">
        <f>IF(E61="","",VLOOKUP(E61,非_単位補正換算!$B$3:$C$16,2,FALSE))</f>
        <v>1000</v>
      </c>
    </row>
    <row r="62" spans="1:15" ht="20.25" customHeight="1">
      <c r="A62" s="1077"/>
      <c r="B62" s="875"/>
      <c r="C62" s="663" t="s">
        <v>143</v>
      </c>
      <c r="D62" s="665"/>
      <c r="E62" s="420" t="s">
        <v>436</v>
      </c>
      <c r="F62" s="39"/>
      <c r="G62" s="313" t="str">
        <f t="shared" si="2"/>
        <v/>
      </c>
      <c r="H62" s="316" t="s">
        <v>882</v>
      </c>
      <c r="I62" s="324">
        <v>0.33</v>
      </c>
      <c r="J62" s="230" t="s">
        <v>867</v>
      </c>
      <c r="K62" s="368" t="str">
        <f t="shared" si="3"/>
        <v/>
      </c>
      <c r="M62" s="476" t="str">
        <f>非_単位!B130</f>
        <v>エチレン等の製造:酸化エチレン</v>
      </c>
      <c r="N62" s="476" t="str">
        <f>"非_単位!$C$"&amp;MATCH(M62,非_単位!B:B,0)&amp;":$D$"&amp;MATCH(M62,非_単位!B:B,0)</f>
        <v>非_単位!$C$130:$D$130</v>
      </c>
      <c r="O62" s="476">
        <f>IF(E62="","",VLOOKUP(E62,非_単位補正換算!$B$3:$C$16,2,FALSE))</f>
        <v>1000</v>
      </c>
    </row>
    <row r="63" spans="1:15" ht="20.25" customHeight="1">
      <c r="A63" s="1077"/>
      <c r="B63" s="875"/>
      <c r="C63" s="663" t="s">
        <v>144</v>
      </c>
      <c r="D63" s="665"/>
      <c r="E63" s="420" t="s">
        <v>436</v>
      </c>
      <c r="F63" s="39"/>
      <c r="G63" s="313" t="str">
        <f t="shared" si="2"/>
        <v/>
      </c>
      <c r="H63" s="316" t="s">
        <v>882</v>
      </c>
      <c r="I63" s="324">
        <v>0.73</v>
      </c>
      <c r="J63" s="230" t="s">
        <v>867</v>
      </c>
      <c r="K63" s="368" t="str">
        <f t="shared" si="3"/>
        <v/>
      </c>
      <c r="M63" s="476" t="str">
        <f>非_単位!B131</f>
        <v>エチレン等の製造:アクリロニトリル</v>
      </c>
      <c r="N63" s="476" t="str">
        <f>"非_単位!$C$"&amp;MATCH(M63,非_単位!B:B,0)&amp;":$D$"&amp;MATCH(M63,非_単位!B:B,0)</f>
        <v>非_単位!$C$131:$D$131</v>
      </c>
      <c r="O63" s="476">
        <f>IF(E63="","",VLOOKUP(E63,非_単位補正換算!$B$3:$C$16,2,FALSE))</f>
        <v>1000</v>
      </c>
    </row>
    <row r="64" spans="1:15" ht="20.25" customHeight="1">
      <c r="A64" s="1077"/>
      <c r="B64" s="875"/>
      <c r="C64" s="663" t="s">
        <v>145</v>
      </c>
      <c r="D64" s="665"/>
      <c r="E64" s="420" t="s">
        <v>436</v>
      </c>
      <c r="F64" s="39"/>
      <c r="G64" s="313" t="str">
        <f t="shared" si="2"/>
        <v/>
      </c>
      <c r="H64" s="316" t="s">
        <v>882</v>
      </c>
      <c r="I64" s="324">
        <v>2.1</v>
      </c>
      <c r="J64" s="230" t="s">
        <v>867</v>
      </c>
      <c r="K64" s="368" t="str">
        <f t="shared" si="3"/>
        <v/>
      </c>
      <c r="M64" s="476" t="str">
        <f>非_単位!B132</f>
        <v>エチレン等の製造:カーボンブラック</v>
      </c>
      <c r="N64" s="476" t="str">
        <f>"非_単位!$C$"&amp;MATCH(M64,非_単位!B:B,0)&amp;":$D$"&amp;MATCH(M64,非_単位!B:B,0)</f>
        <v>非_単位!$C$132:$D$132</v>
      </c>
      <c r="O64" s="476">
        <f>IF(E64="","",VLOOKUP(E64,非_単位補正換算!$B$3:$C$16,2,FALSE))</f>
        <v>1000</v>
      </c>
    </row>
    <row r="65" spans="1:15" ht="20.25" customHeight="1">
      <c r="A65" s="1077"/>
      <c r="B65" s="875"/>
      <c r="C65" s="663" t="s">
        <v>146</v>
      </c>
      <c r="D65" s="665"/>
      <c r="E65" s="420" t="s">
        <v>436</v>
      </c>
      <c r="F65" s="39"/>
      <c r="G65" s="313" t="str">
        <f t="shared" si="2"/>
        <v/>
      </c>
      <c r="H65" s="316" t="s">
        <v>882</v>
      </c>
      <c r="I65" s="324">
        <v>0.37</v>
      </c>
      <c r="J65" s="230" t="s">
        <v>867</v>
      </c>
      <c r="K65" s="368" t="str">
        <f t="shared" si="3"/>
        <v/>
      </c>
      <c r="M65" s="476" t="str">
        <f>非_単位!B133</f>
        <v>エチレン等の製造:無水フタル酸</v>
      </c>
      <c r="N65" s="476" t="str">
        <f>"非_単位!$C$"&amp;MATCH(M65,非_単位!B:B,0)&amp;":$D$"&amp;MATCH(M65,非_単位!B:B,0)</f>
        <v>非_単位!$C$133:$D$133</v>
      </c>
      <c r="O65" s="476">
        <f>IF(E65="","",VLOOKUP(E65,非_単位補正換算!$B$3:$C$16,2,FALSE))</f>
        <v>1000</v>
      </c>
    </row>
    <row r="66" spans="1:15" ht="20.25" customHeight="1">
      <c r="A66" s="1077"/>
      <c r="B66" s="875"/>
      <c r="C66" s="663" t="s">
        <v>147</v>
      </c>
      <c r="D66" s="665"/>
      <c r="E66" s="420" t="s">
        <v>436</v>
      </c>
      <c r="F66" s="39"/>
      <c r="G66" s="313" t="str">
        <f t="shared" si="2"/>
        <v/>
      </c>
      <c r="H66" s="316" t="s">
        <v>882</v>
      </c>
      <c r="I66" s="324">
        <v>1.1000000000000001</v>
      </c>
      <c r="J66" s="230" t="s">
        <v>867</v>
      </c>
      <c r="K66" s="368" t="str">
        <f t="shared" si="3"/>
        <v/>
      </c>
      <c r="M66" s="476" t="str">
        <f>非_単位!B134</f>
        <v>エチレン等の製造:無水マレイン酸</v>
      </c>
      <c r="N66" s="476" t="str">
        <f>"非_単位!$C$"&amp;MATCH(M66,非_単位!B:B,0)&amp;":$D$"&amp;MATCH(M66,非_単位!B:B,0)</f>
        <v>非_単位!$C$134:$D$134</v>
      </c>
      <c r="O66" s="476">
        <f>IF(E66="","",VLOOKUP(E66,非_単位補正換算!$B$3:$C$16,2,FALSE))</f>
        <v>1000</v>
      </c>
    </row>
    <row r="67" spans="1:15" ht="20.25" customHeight="1">
      <c r="A67" s="1077"/>
      <c r="B67" s="879"/>
      <c r="C67" s="663" t="s">
        <v>148</v>
      </c>
      <c r="D67" s="665"/>
      <c r="E67" s="420" t="s">
        <v>440</v>
      </c>
      <c r="F67" s="39"/>
      <c r="G67" s="313" t="str">
        <f t="shared" si="2"/>
        <v/>
      </c>
      <c r="H67" s="316" t="s">
        <v>886</v>
      </c>
      <c r="I67" s="324">
        <v>8.4999999999999995E-4</v>
      </c>
      <c r="J67" s="228" t="s">
        <v>875</v>
      </c>
      <c r="K67" s="368" t="str">
        <f t="shared" si="3"/>
        <v/>
      </c>
      <c r="M67" s="476" t="str">
        <f>非_単位!B135</f>
        <v>エチレン等の製造:水素</v>
      </c>
      <c r="N67" s="476" t="str">
        <f>"非_単位!$C$"&amp;MATCH(M67,非_単位!B:B,0)&amp;":$D$"&amp;MATCH(M67,非_単位!B:B,0)</f>
        <v>非_単位!$C$135:$D$135</v>
      </c>
      <c r="O67" s="476">
        <f>IF(E67="","",VLOOKUP(E67,非_単位補正換算!$B$3:$C$16,2,FALSE))</f>
        <v>1000</v>
      </c>
    </row>
    <row r="68" spans="1:15" ht="30" customHeight="1">
      <c r="A68" s="1077"/>
      <c r="B68" s="1013" t="s">
        <v>149</v>
      </c>
      <c r="C68" s="905"/>
      <c r="D68" s="905"/>
      <c r="E68" s="420" t="s">
        <v>436</v>
      </c>
      <c r="F68" s="39"/>
      <c r="G68" s="313" t="str">
        <f t="shared" si="2"/>
        <v/>
      </c>
      <c r="H68" s="316" t="s">
        <v>882</v>
      </c>
      <c r="I68" s="324">
        <v>3.38</v>
      </c>
      <c r="J68" s="230" t="s">
        <v>867</v>
      </c>
      <c r="K68" s="368" t="str">
        <f t="shared" si="3"/>
        <v/>
      </c>
      <c r="M68" s="476" t="str">
        <f>非_単位!B136</f>
        <v>カルシウムカーバイドを原料としたアセチレンの使用</v>
      </c>
      <c r="N68" s="476" t="str">
        <f>"非_単位!$C$"&amp;MATCH(M68,非_単位!B:B,0)&amp;":$D$"&amp;MATCH(M68,非_単位!B:B,0)</f>
        <v>非_単位!$C$136:$D$136</v>
      </c>
      <c r="O68" s="476">
        <f>IF(E68="","",VLOOKUP(E68,非_単位補正換算!$B$3:$C$16,2,FALSE))</f>
        <v>1000</v>
      </c>
    </row>
    <row r="69" spans="1:15" ht="20.25" customHeight="1">
      <c r="A69" s="1077"/>
      <c r="B69" s="967" t="s">
        <v>150</v>
      </c>
      <c r="C69" s="1083"/>
      <c r="D69" s="1084"/>
      <c r="E69" s="420" t="s">
        <v>436</v>
      </c>
      <c r="F69" s="39"/>
      <c r="G69" s="313" t="str">
        <f t="shared" si="2"/>
        <v/>
      </c>
      <c r="H69" s="316" t="s">
        <v>882</v>
      </c>
      <c r="I69" s="330">
        <f>44/12</f>
        <v>3.6666666666666665</v>
      </c>
      <c r="J69" s="230" t="s">
        <v>867</v>
      </c>
      <c r="K69" s="368" t="str">
        <f t="shared" si="3"/>
        <v/>
      </c>
      <c r="M69" s="476" t="str">
        <f>非_単位!B137</f>
        <v>電気炉における炭素電極の使用</v>
      </c>
      <c r="N69" s="476" t="str">
        <f>"非_単位!$C$"&amp;MATCH(M69,非_単位!B:B,0)&amp;":$D$"&amp;MATCH(M69,非_単位!B:B,0)</f>
        <v>非_単位!$C$137:$D$137</v>
      </c>
      <c r="O69" s="476">
        <f>IF(E69="","",VLOOKUP(E69,非_単位補正換算!$B$3:$C$16,2,FALSE))</f>
        <v>1000</v>
      </c>
    </row>
    <row r="70" spans="1:15" ht="24.75" customHeight="1">
      <c r="A70" s="1077"/>
      <c r="B70" s="1013" t="s">
        <v>151</v>
      </c>
      <c r="C70" s="905" t="s">
        <v>152</v>
      </c>
      <c r="D70" s="905"/>
      <c r="E70" s="420" t="s">
        <v>436</v>
      </c>
      <c r="F70" s="39"/>
      <c r="G70" s="313" t="str">
        <f t="shared" si="2"/>
        <v/>
      </c>
      <c r="H70" s="316" t="s">
        <v>882</v>
      </c>
      <c r="I70" s="327">
        <v>0.44</v>
      </c>
      <c r="J70" s="230" t="s">
        <v>867</v>
      </c>
      <c r="K70" s="368" t="str">
        <f t="shared" si="3"/>
        <v/>
      </c>
      <c r="M70" s="476" t="str">
        <f>非_単位!B138</f>
        <v>鉄鋼の製造における鉱物の使用:石灰石</v>
      </c>
      <c r="N70" s="476" t="str">
        <f>"非_単位!$C$"&amp;MATCH(M70,非_単位!B:B,0)&amp;":$D$"&amp;MATCH(M70,非_単位!B:B,0)</f>
        <v>非_単位!$C$138:$D$138</v>
      </c>
      <c r="O70" s="476">
        <f>IF(E70="","",VLOOKUP(E70,非_単位補正換算!$B$3:$C$16,2,FALSE))</f>
        <v>1000</v>
      </c>
    </row>
    <row r="71" spans="1:15" ht="24.75" customHeight="1">
      <c r="A71" s="1077"/>
      <c r="B71" s="1013"/>
      <c r="C71" s="905" t="s">
        <v>153</v>
      </c>
      <c r="D71" s="905"/>
      <c r="E71" s="420" t="s">
        <v>436</v>
      </c>
      <c r="F71" s="39"/>
      <c r="G71" s="313" t="str">
        <f t="shared" si="2"/>
        <v/>
      </c>
      <c r="H71" s="316" t="s">
        <v>882</v>
      </c>
      <c r="I71" s="324">
        <v>0.47099999999999997</v>
      </c>
      <c r="J71" s="230" t="s">
        <v>867</v>
      </c>
      <c r="K71" s="368" t="str">
        <f t="shared" si="3"/>
        <v/>
      </c>
      <c r="M71" s="476" t="str">
        <f>非_単位!B139</f>
        <v>鉄鋼の製造における鉱物の使用:ドロマイト</v>
      </c>
      <c r="N71" s="476" t="str">
        <f>"非_単位!$C$"&amp;MATCH(M71,非_単位!B:B,0)&amp;":$D$"&amp;MATCH(M71,非_単位!B:B,0)</f>
        <v>非_単位!$C$139:$D$139</v>
      </c>
      <c r="O71" s="476">
        <f>IF(E71="","",VLOOKUP(E71,非_単位補正換算!$B$3:$C$16,2,FALSE))</f>
        <v>1000</v>
      </c>
    </row>
    <row r="72" spans="1:15" ht="39.950000000000003" customHeight="1">
      <c r="A72" s="1077"/>
      <c r="B72" s="1013" t="s">
        <v>154</v>
      </c>
      <c r="C72" s="1013" t="s">
        <v>341</v>
      </c>
      <c r="D72" s="1013"/>
      <c r="E72" s="420" t="s">
        <v>438</v>
      </c>
      <c r="F72" s="39"/>
      <c r="G72" s="313" t="str">
        <f t="shared" si="2"/>
        <v/>
      </c>
      <c r="H72" s="316" t="s">
        <v>885</v>
      </c>
      <c r="I72" s="324">
        <v>0.313</v>
      </c>
      <c r="J72" s="228" t="s">
        <v>874</v>
      </c>
      <c r="K72" s="368" t="str">
        <f t="shared" si="3"/>
        <v/>
      </c>
      <c r="M72" s="476" t="str">
        <f>非_単位!B140</f>
        <v>鉄鋼の製造において生じるガスの燃焼（フレアリング）:高炉がス</v>
      </c>
      <c r="N72" s="476" t="str">
        <f>"非_単位!$C$"&amp;MATCH(M72,非_単位!B:B,0)&amp;":$D$"&amp;MATCH(M72,非_単位!B:B,0)</f>
        <v>非_単位!$C$140:$D$140</v>
      </c>
      <c r="O72" s="476">
        <f>IF(E72="","",VLOOKUP(E72,非_単位補正換算!$B$3:$C$16,2,FALSE))</f>
        <v>1000</v>
      </c>
    </row>
    <row r="73" spans="1:15" ht="39.950000000000003" customHeight="1">
      <c r="A73" s="1077"/>
      <c r="B73" s="1013"/>
      <c r="C73" s="1013" t="s">
        <v>155</v>
      </c>
      <c r="D73" s="1013"/>
      <c r="E73" s="420" t="s">
        <v>438</v>
      </c>
      <c r="F73" s="39"/>
      <c r="G73" s="313" t="str">
        <f t="shared" si="2"/>
        <v/>
      </c>
      <c r="H73" s="316" t="s">
        <v>885</v>
      </c>
      <c r="I73" s="324">
        <v>1.1599999999999999</v>
      </c>
      <c r="J73" s="228" t="s">
        <v>874</v>
      </c>
      <c r="K73" s="368" t="str">
        <f t="shared" si="3"/>
        <v/>
      </c>
      <c r="M73" s="476" t="str">
        <f>非_単位!B141</f>
        <v>鉄鋼の製造において生じるガスの燃焼（フレアリング）:転炉ガス</v>
      </c>
      <c r="N73" s="476" t="str">
        <f>"非_単位!$C$"&amp;MATCH(M73,非_単位!B:B,0)&amp;":$D$"&amp;MATCH(M73,非_単位!B:B,0)</f>
        <v>非_単位!$C$141:$D$141</v>
      </c>
      <c r="O73" s="476">
        <f>IF(E73="","",VLOOKUP(E73,非_単位補正換算!$B$3:$C$16,2,FALSE))</f>
        <v>1000</v>
      </c>
    </row>
    <row r="74" spans="1:15" ht="20.25" customHeight="1">
      <c r="A74" s="1077"/>
      <c r="B74" s="1013" t="s">
        <v>156</v>
      </c>
      <c r="C74" s="1013" t="s">
        <v>157</v>
      </c>
      <c r="D74" s="1013"/>
      <c r="E74" s="420" t="s">
        <v>435</v>
      </c>
      <c r="F74" s="39"/>
      <c r="G74" s="313" t="str">
        <f t="shared" si="2"/>
        <v/>
      </c>
      <c r="H74" s="316" t="s">
        <v>883</v>
      </c>
      <c r="I74" s="324">
        <v>0.58699999999999997</v>
      </c>
      <c r="J74" s="230" t="s">
        <v>868</v>
      </c>
      <c r="K74" s="368" t="str">
        <f t="shared" si="3"/>
        <v/>
      </c>
      <c r="M74" s="476" t="str">
        <f>非_単位!B142</f>
        <v>潤滑油等の使用:潤滑油</v>
      </c>
      <c r="N74" s="476" t="str">
        <f>"非_単位!$C$"&amp;MATCH(M74,非_単位!B:B,0)&amp;":$D$"&amp;MATCH(M74,非_単位!B:B,0)</f>
        <v>非_単位!$C$142:$D$142</v>
      </c>
      <c r="O74" s="476">
        <f>IF(E74="","",VLOOKUP(E74,非_単位補正換算!$B$3:$C$16,2,FALSE))</f>
        <v>1000</v>
      </c>
    </row>
    <row r="75" spans="1:15" ht="20.25" customHeight="1">
      <c r="A75" s="1077"/>
      <c r="B75" s="1013"/>
      <c r="C75" s="1013" t="s">
        <v>158</v>
      </c>
      <c r="D75" s="1013"/>
      <c r="E75" s="420" t="s">
        <v>436</v>
      </c>
      <c r="F75" s="39"/>
      <c r="G75" s="313" t="str">
        <f t="shared" si="2"/>
        <v/>
      </c>
      <c r="H75" s="316" t="s">
        <v>882</v>
      </c>
      <c r="I75" s="328">
        <v>0.15</v>
      </c>
      <c r="J75" s="230" t="s">
        <v>867</v>
      </c>
      <c r="K75" s="368" t="str">
        <f t="shared" si="3"/>
        <v/>
      </c>
      <c r="M75" s="476" t="str">
        <f>非_単位!B143</f>
        <v>潤滑油等の使用:グリース</v>
      </c>
      <c r="N75" s="476" t="str">
        <f>"非_単位!$C$"&amp;MATCH(M75,非_単位!B:B,0)&amp;":$D$"&amp;MATCH(M75,非_単位!B:B,0)</f>
        <v>非_単位!$C$143:$D$143</v>
      </c>
      <c r="O75" s="476">
        <f>IF(E75="","",VLOOKUP(E75,非_単位補正換算!$B$3:$C$16,2,FALSE))</f>
        <v>1000</v>
      </c>
    </row>
    <row r="76" spans="1:15" ht="20.25" customHeight="1">
      <c r="A76" s="1077"/>
      <c r="B76" s="1013"/>
      <c r="C76" s="1013" t="s">
        <v>159</v>
      </c>
      <c r="D76" s="1013"/>
      <c r="E76" s="420" t="s">
        <v>436</v>
      </c>
      <c r="F76" s="39"/>
      <c r="G76" s="313" t="str">
        <f t="shared" si="2"/>
        <v/>
      </c>
      <c r="H76" s="316" t="s">
        <v>882</v>
      </c>
      <c r="I76" s="324">
        <v>0.59799999999999998</v>
      </c>
      <c r="J76" s="230" t="s">
        <v>867</v>
      </c>
      <c r="K76" s="368" t="str">
        <f t="shared" si="3"/>
        <v/>
      </c>
      <c r="M76" s="476" t="str">
        <f>非_単位!B144</f>
        <v>潤滑油等の使用:パラフィンろう</v>
      </c>
      <c r="N76" s="476" t="str">
        <f>"非_単位!$C$"&amp;MATCH(M76,非_単位!B:B,0)&amp;":$D$"&amp;MATCH(M76,非_単位!B:B,0)</f>
        <v>非_単位!$C$144:$D$144</v>
      </c>
      <c r="O76" s="476">
        <f>IF(E76="","",VLOOKUP(E76,非_単位補正換算!$B$3:$C$16,2,FALSE))</f>
        <v>1000</v>
      </c>
    </row>
    <row r="77" spans="1:15" ht="20.25" customHeight="1">
      <c r="A77" s="1077"/>
      <c r="B77" s="1013" t="s">
        <v>160</v>
      </c>
      <c r="C77" s="1013"/>
      <c r="D77" s="1013"/>
      <c r="E77" s="420" t="s">
        <v>436</v>
      </c>
      <c r="F77" s="39"/>
      <c r="G77" s="313" t="str">
        <f t="shared" si="2"/>
        <v/>
      </c>
      <c r="H77" s="316" t="s">
        <v>882</v>
      </c>
      <c r="I77" s="324">
        <v>2.35</v>
      </c>
      <c r="J77" s="230" t="s">
        <v>867</v>
      </c>
      <c r="K77" s="368" t="str">
        <f t="shared" si="3"/>
        <v/>
      </c>
      <c r="M77" s="476" t="str">
        <f>非_単位!B145</f>
        <v>非メタン揮発性有機化合物（NMVOC)を含む溶剤の焼却</v>
      </c>
      <c r="N77" s="476" t="str">
        <f>"非_単位!$C$"&amp;MATCH(M77,非_単位!B:B,0)&amp;":$D$"&amp;MATCH(M77,非_単位!B:B,0)</f>
        <v>非_単位!$C$145:$D$145</v>
      </c>
      <c r="O77" s="476">
        <f>IF(E77="","",VLOOKUP(E77,非_単位補正換算!$B$3:$C$16,2,FALSE))</f>
        <v>1000</v>
      </c>
    </row>
    <row r="78" spans="1:15" ht="20.25" customHeight="1">
      <c r="A78" s="1077"/>
      <c r="B78" s="1013" t="s">
        <v>161</v>
      </c>
      <c r="C78" s="1013"/>
      <c r="D78" s="1013"/>
      <c r="E78" s="420" t="s">
        <v>436</v>
      </c>
      <c r="F78" s="39"/>
      <c r="G78" s="313" t="str">
        <f t="shared" si="2"/>
        <v/>
      </c>
      <c r="H78" s="316" t="s">
        <v>882</v>
      </c>
      <c r="I78" s="324">
        <v>1</v>
      </c>
      <c r="J78" s="230" t="s">
        <v>867</v>
      </c>
      <c r="K78" s="368" t="str">
        <f t="shared" si="3"/>
        <v/>
      </c>
      <c r="M78" s="476" t="str">
        <f>非_単位!B146</f>
        <v>ドライアイスの製造</v>
      </c>
      <c r="N78" s="476" t="str">
        <f>"非_単位!$C$"&amp;MATCH(M78,非_単位!B:B,0)&amp;":$D$"&amp;MATCH(M78,非_単位!B:B,0)</f>
        <v>非_単位!$C$146:$D$146</v>
      </c>
      <c r="O78" s="476">
        <f>IF(E78="","",VLOOKUP(E78,非_単位補正換算!$B$3:$C$16,2,FALSE))</f>
        <v>1000</v>
      </c>
    </row>
    <row r="79" spans="1:15" ht="20.25" customHeight="1">
      <c r="A79" s="1077"/>
      <c r="B79" s="1013" t="s">
        <v>189</v>
      </c>
      <c r="C79" s="905"/>
      <c r="D79" s="905"/>
      <c r="E79" s="420" t="s">
        <v>436</v>
      </c>
      <c r="F79" s="39"/>
      <c r="G79" s="313" t="str">
        <f t="shared" si="2"/>
        <v/>
      </c>
      <c r="H79" s="316" t="s">
        <v>882</v>
      </c>
      <c r="I79" s="324">
        <v>1</v>
      </c>
      <c r="J79" s="230" t="s">
        <v>867</v>
      </c>
      <c r="K79" s="368" t="str">
        <f t="shared" si="3"/>
        <v/>
      </c>
      <c r="M79" s="476" t="str">
        <f>非_単位!B147</f>
        <v>ドライアイスの使用</v>
      </c>
      <c r="N79" s="476" t="str">
        <f>"非_単位!$C$"&amp;MATCH(M79,非_単位!B:B,0)&amp;":$D$"&amp;MATCH(M79,非_単位!B:B,0)</f>
        <v>非_単位!$C$147:$D$147</v>
      </c>
      <c r="O79" s="476">
        <f>IF(E79="","",VLOOKUP(E79,非_単位補正換算!$B$3:$C$16,2,FALSE))</f>
        <v>1000</v>
      </c>
    </row>
    <row r="80" spans="1:15" ht="20.25" customHeight="1">
      <c r="A80" s="1077"/>
      <c r="B80" s="1013" t="s">
        <v>162</v>
      </c>
      <c r="C80" s="905"/>
      <c r="D80" s="905"/>
      <c r="E80" s="420" t="s">
        <v>436</v>
      </c>
      <c r="F80" s="39"/>
      <c r="G80" s="313" t="str">
        <f t="shared" si="2"/>
        <v/>
      </c>
      <c r="H80" s="316" t="s">
        <v>882</v>
      </c>
      <c r="I80" s="324">
        <v>1</v>
      </c>
      <c r="J80" s="230" t="s">
        <v>867</v>
      </c>
      <c r="K80" s="368" t="str">
        <f t="shared" si="3"/>
        <v/>
      </c>
      <c r="M80" s="476" t="str">
        <f>非_単位!B148</f>
        <v>炭酸ガスのボンベへの封入</v>
      </c>
      <c r="N80" s="476" t="str">
        <f>"非_単位!$C$"&amp;MATCH(M80,非_単位!B:B,0)&amp;":$D$"&amp;MATCH(M80,非_単位!B:B,0)</f>
        <v>非_単位!$C$148:$D$148</v>
      </c>
      <c r="O80" s="476">
        <f>IF(E80="","",VLOOKUP(E80,非_単位補正換算!$B$3:$C$16,2,FALSE))</f>
        <v>1000</v>
      </c>
    </row>
    <row r="81" spans="1:15" ht="20.25" customHeight="1">
      <c r="A81" s="1077"/>
      <c r="B81" s="1013" t="s">
        <v>212</v>
      </c>
      <c r="C81" s="905"/>
      <c r="D81" s="905"/>
      <c r="E81" s="420" t="s">
        <v>436</v>
      </c>
      <c r="F81" s="39"/>
      <c r="G81" s="313" t="str">
        <f t="shared" si="2"/>
        <v/>
      </c>
      <c r="H81" s="316" t="s">
        <v>882</v>
      </c>
      <c r="I81" s="324">
        <v>1</v>
      </c>
      <c r="J81" s="230" t="s">
        <v>867</v>
      </c>
      <c r="K81" s="368" t="str">
        <f t="shared" si="3"/>
        <v/>
      </c>
      <c r="M81" s="476" t="str">
        <f>非_単位!B149</f>
        <v xml:space="preserve">炭酸ガスの使用に伴い排出されたCO2の量 </v>
      </c>
      <c r="N81" s="476" t="str">
        <f>"非_単位!$C$"&amp;MATCH(M81,非_単位!B:B,0)&amp;":$D$"&amp;MATCH(M81,非_単位!B:B,0)</f>
        <v>非_単位!$C$149:$D$149</v>
      </c>
      <c r="O81" s="476">
        <f>IF(E81="","",VLOOKUP(E81,非_単位補正換算!$B$3:$C$16,2,FALSE))</f>
        <v>1000</v>
      </c>
    </row>
    <row r="82" spans="1:15" ht="20.25" customHeight="1">
      <c r="A82" s="1077"/>
      <c r="B82" s="1067"/>
      <c r="C82" s="1067"/>
      <c r="D82" s="1067"/>
      <c r="E82" s="420" t="s">
        <v>436</v>
      </c>
      <c r="F82" s="39"/>
      <c r="G82" s="313" t="str">
        <f t="shared" si="2"/>
        <v/>
      </c>
      <c r="H82" s="316" t="str">
        <f>E82</f>
        <v>kg</v>
      </c>
      <c r="I82" s="329"/>
      <c r="J82" s="306" t="str">
        <f>IF(E82="","","t-CO2/"&amp;E82)</f>
        <v>t-CO2/kg</v>
      </c>
      <c r="K82" s="368" t="str">
        <f t="shared" si="3"/>
        <v/>
      </c>
      <c r="M82" s="476" t="str">
        <f>非_単位!B150</f>
        <v>その他活動によるCO2排出量1</v>
      </c>
      <c r="N82" s="476" t="str">
        <f>"非_単位!$C$"&amp;MATCH(M82,非_単位!B:B,0)&amp;":$H$"&amp;MATCH(M82,非_単位!B:B,0)</f>
        <v>非_単位!$C$150:$H$150</v>
      </c>
      <c r="O82" s="476">
        <f>IF(E82="","",VLOOKUP(E82,非_単位補正換算!$B$3:$C$16,2,FALSE))</f>
        <v>1000</v>
      </c>
    </row>
    <row r="83" spans="1:15" ht="20.25" customHeight="1">
      <c r="A83" s="1077"/>
      <c r="B83" s="1067"/>
      <c r="C83" s="1067"/>
      <c r="D83" s="1067"/>
      <c r="E83" s="420" t="s">
        <v>436</v>
      </c>
      <c r="F83" s="39"/>
      <c r="G83" s="313" t="str">
        <f t="shared" si="2"/>
        <v/>
      </c>
      <c r="H83" s="316" t="str">
        <f>E83</f>
        <v>kg</v>
      </c>
      <c r="I83" s="329"/>
      <c r="J83" s="306" t="str">
        <f>IF(E83="","","t-CO2/"&amp;E83)</f>
        <v>t-CO2/kg</v>
      </c>
      <c r="K83" s="368" t="str">
        <f t="shared" si="3"/>
        <v/>
      </c>
      <c r="M83" s="476" t="str">
        <f>非_単位!B151</f>
        <v>その他活動によるCO2排出量2</v>
      </c>
      <c r="N83" s="476" t="str">
        <f>"非_単位!$C$"&amp;MATCH(M83,非_単位!B:B,0)&amp;":$H$"&amp;MATCH(M83,非_単位!B:B,0)</f>
        <v>非_単位!$C$151:$H$151</v>
      </c>
      <c r="O83" s="476">
        <f>IF(E83="","",VLOOKUP(E83,非_単位補正換算!$B$3:$C$16,2,FALSE))</f>
        <v>1000</v>
      </c>
    </row>
    <row r="84" spans="1:15" ht="20.25" customHeight="1">
      <c r="A84" s="1077"/>
      <c r="B84" s="1067"/>
      <c r="C84" s="1067"/>
      <c r="D84" s="1067"/>
      <c r="E84" s="420" t="s">
        <v>436</v>
      </c>
      <c r="F84" s="39"/>
      <c r="G84" s="313" t="str">
        <f t="shared" si="2"/>
        <v/>
      </c>
      <c r="H84" s="316" t="str">
        <f>E84</f>
        <v>kg</v>
      </c>
      <c r="I84" s="329"/>
      <c r="J84" s="306" t="str">
        <f>IF(E84="","","t-CO2/"&amp;E84)</f>
        <v>t-CO2/kg</v>
      </c>
      <c r="K84" s="368" t="str">
        <f t="shared" si="3"/>
        <v/>
      </c>
      <c r="M84" s="476" t="str">
        <f>非_単位!B152</f>
        <v>その他活動によるCO2排出量3</v>
      </c>
      <c r="N84" s="476" t="str">
        <f>"非_単位!$C$"&amp;MATCH(M84,非_単位!B:B,0)&amp;":$H$"&amp;MATCH(M84,非_単位!B:B,0)</f>
        <v>非_単位!$C$152:$H$152</v>
      </c>
      <c r="O84" s="476">
        <f>IF(E84="","",VLOOKUP(E84,非_単位補正換算!$B$3:$C$16,2,FALSE))</f>
        <v>1000</v>
      </c>
    </row>
    <row r="85" spans="1:15" ht="28.5" customHeight="1" thickBot="1">
      <c r="A85" s="1077"/>
      <c r="B85" s="1068" t="s">
        <v>163</v>
      </c>
      <c r="C85" s="709"/>
      <c r="D85" s="710"/>
      <c r="E85" s="1069"/>
      <c r="F85" s="1069"/>
      <c r="G85" s="1069"/>
      <c r="H85" s="1069"/>
      <c r="I85" s="1069"/>
      <c r="J85" s="1069"/>
      <c r="K85" s="429" t="str">
        <f>IF(COUNT($K$6:$K$49,$K$55:$K$84)=0,"",SUM($K$6:$K$49,$K$55:$K$84))</f>
        <v/>
      </c>
    </row>
    <row r="86" spans="1:15" ht="31.5" customHeight="1" thickTop="1">
      <c r="A86" s="1070" t="s">
        <v>326</v>
      </c>
      <c r="B86" s="910" t="s">
        <v>164</v>
      </c>
      <c r="C86" s="910"/>
      <c r="D86" s="910"/>
      <c r="E86" s="50" t="s">
        <v>213</v>
      </c>
      <c r="F86" s="334"/>
      <c r="G86" s="331" t="str">
        <f>IF(F86="","",F86)</f>
        <v/>
      </c>
      <c r="H86" s="54" t="s">
        <v>889</v>
      </c>
      <c r="I86" s="51">
        <v>28</v>
      </c>
      <c r="J86" s="307" t="s">
        <v>878</v>
      </c>
      <c r="K86" s="386" t="str">
        <f>IF(G86="","",IF(I86="","",G86*I86))</f>
        <v/>
      </c>
    </row>
    <row r="87" spans="1:15" ht="27.75" customHeight="1">
      <c r="A87" s="1006"/>
      <c r="B87" s="905" t="s">
        <v>165</v>
      </c>
      <c r="C87" s="905"/>
      <c r="D87" s="905"/>
      <c r="E87" s="228" t="s">
        <v>214</v>
      </c>
      <c r="F87" s="335"/>
      <c r="G87" s="332" t="str">
        <f>IF(F87="","",F87)</f>
        <v/>
      </c>
      <c r="H87" s="55" t="s">
        <v>890</v>
      </c>
      <c r="I87" s="36">
        <v>265</v>
      </c>
      <c r="J87" s="308" t="s">
        <v>879</v>
      </c>
      <c r="K87" s="368" t="str">
        <f t="shared" ref="K87:K95" si="4">IF(G87="","",IF(I87="","",G87*I87))</f>
        <v/>
      </c>
    </row>
    <row r="88" spans="1:15" ht="20.25" customHeight="1">
      <c r="A88" s="1006"/>
      <c r="B88" s="940" t="s">
        <v>166</v>
      </c>
      <c r="C88" s="905"/>
      <c r="D88" s="905"/>
      <c r="E88" s="46"/>
      <c r="F88" s="336"/>
      <c r="G88" s="56"/>
      <c r="H88" s="56"/>
      <c r="I88" s="1065"/>
      <c r="J88" s="1065"/>
      <c r="K88" s="368" t="str">
        <f>IF(COUNT(K89:K90)=0,"",SUM(K89:K90))</f>
        <v/>
      </c>
    </row>
    <row r="89" spans="1:15" ht="20.25" customHeight="1">
      <c r="A89" s="1006"/>
      <c r="B89" s="1066"/>
      <c r="C89" s="1064"/>
      <c r="D89" s="1064"/>
      <c r="E89" s="36" t="str">
        <f>"t-"&amp;C89</f>
        <v>t-</v>
      </c>
      <c r="F89" s="335"/>
      <c r="G89" s="333" t="str">
        <f>IF(F89="","",F89)</f>
        <v/>
      </c>
      <c r="H89" s="57" t="str">
        <f>E89</f>
        <v>t-</v>
      </c>
      <c r="I89" s="425"/>
      <c r="J89" s="36" t="str">
        <f>"t-CO2/t-"&amp;C89</f>
        <v>t-CO2/t-</v>
      </c>
      <c r="K89" s="368" t="str">
        <f t="shared" si="4"/>
        <v/>
      </c>
    </row>
    <row r="90" spans="1:15" ht="20.25" customHeight="1">
      <c r="A90" s="1006"/>
      <c r="B90" s="941"/>
      <c r="C90" s="1064"/>
      <c r="D90" s="1064"/>
      <c r="E90" s="36" t="str">
        <f>"t-"&amp;C90</f>
        <v>t-</v>
      </c>
      <c r="F90" s="335"/>
      <c r="G90" s="333" t="str">
        <f>IF(F90="","",F90)</f>
        <v/>
      </c>
      <c r="H90" s="57" t="str">
        <f>E90</f>
        <v>t-</v>
      </c>
      <c r="I90" s="425"/>
      <c r="J90" s="36" t="str">
        <f>"t-CO2/t-"&amp;C90</f>
        <v>t-CO2/t-</v>
      </c>
      <c r="K90" s="368" t="str">
        <f t="shared" si="4"/>
        <v/>
      </c>
    </row>
    <row r="91" spans="1:15" ht="20.25" customHeight="1">
      <c r="A91" s="1006"/>
      <c r="B91" s="940" t="s">
        <v>167</v>
      </c>
      <c r="C91" s="905"/>
      <c r="D91" s="905"/>
      <c r="E91" s="46"/>
      <c r="F91" s="336"/>
      <c r="G91" s="56"/>
      <c r="H91" s="56"/>
      <c r="I91" s="1065"/>
      <c r="J91" s="1065"/>
      <c r="K91" s="368" t="str">
        <f>IF(COUNT(K92:K93)=0,"",SUM(K92:K93))</f>
        <v/>
      </c>
    </row>
    <row r="92" spans="1:15" ht="20.25" customHeight="1">
      <c r="A92" s="1006"/>
      <c r="B92" s="1066"/>
      <c r="C92" s="1064"/>
      <c r="D92" s="1064"/>
      <c r="E92" s="36" t="str">
        <f>"t-"&amp;C92</f>
        <v>t-</v>
      </c>
      <c r="F92" s="335"/>
      <c r="G92" s="333" t="str">
        <f t="shared" ref="G92:G95" si="5">IF(F92="","",F92)</f>
        <v/>
      </c>
      <c r="H92" s="57" t="str">
        <f>E92</f>
        <v>t-</v>
      </c>
      <c r="I92" s="425"/>
      <c r="J92" s="36" t="str">
        <f>"t-CO2/t-"&amp;C92</f>
        <v>t-CO2/t-</v>
      </c>
      <c r="K92" s="368" t="str">
        <f t="shared" si="4"/>
        <v/>
      </c>
    </row>
    <row r="93" spans="1:15" ht="20.25" customHeight="1">
      <c r="A93" s="1006"/>
      <c r="B93" s="941"/>
      <c r="C93" s="1064"/>
      <c r="D93" s="1064"/>
      <c r="E93" s="36" t="str">
        <f>"t-"&amp;C93</f>
        <v>t-</v>
      </c>
      <c r="F93" s="335"/>
      <c r="G93" s="333" t="str">
        <f t="shared" si="5"/>
        <v/>
      </c>
      <c r="H93" s="57" t="str">
        <f>E93</f>
        <v>t-</v>
      </c>
      <c r="I93" s="425"/>
      <c r="J93" s="36" t="str">
        <f>"t-CO2/t-"&amp;C93</f>
        <v>t-CO2/t-</v>
      </c>
      <c r="K93" s="368" t="str">
        <f t="shared" si="4"/>
        <v/>
      </c>
    </row>
    <row r="94" spans="1:15" ht="31.5" customHeight="1">
      <c r="A94" s="1006"/>
      <c r="B94" s="905" t="s">
        <v>1037</v>
      </c>
      <c r="C94" s="905"/>
      <c r="D94" s="905"/>
      <c r="E94" s="228" t="s">
        <v>215</v>
      </c>
      <c r="F94" s="335"/>
      <c r="G94" s="333" t="str">
        <f t="shared" si="5"/>
        <v/>
      </c>
      <c r="H94" s="55" t="s">
        <v>887</v>
      </c>
      <c r="I94" s="36">
        <v>23500</v>
      </c>
      <c r="J94" s="308" t="s">
        <v>880</v>
      </c>
      <c r="K94" s="368" t="str">
        <f t="shared" si="4"/>
        <v/>
      </c>
    </row>
    <row r="95" spans="1:15" ht="31.5" customHeight="1">
      <c r="A95" s="1006"/>
      <c r="B95" s="905" t="s">
        <v>168</v>
      </c>
      <c r="C95" s="905"/>
      <c r="D95" s="905"/>
      <c r="E95" s="228" t="s">
        <v>216</v>
      </c>
      <c r="F95" s="335"/>
      <c r="G95" s="333" t="str">
        <f t="shared" si="5"/>
        <v/>
      </c>
      <c r="H95" s="55" t="s">
        <v>888</v>
      </c>
      <c r="I95" s="36">
        <v>16100</v>
      </c>
      <c r="J95" s="309" t="s">
        <v>881</v>
      </c>
      <c r="K95" s="368" t="str">
        <f t="shared" si="4"/>
        <v/>
      </c>
    </row>
    <row r="96" spans="1:15" ht="30.75" customHeight="1" thickBot="1">
      <c r="A96" s="1071"/>
      <c r="B96" s="958" t="s">
        <v>163</v>
      </c>
      <c r="C96" s="959"/>
      <c r="D96" s="1073"/>
      <c r="E96" s="1072"/>
      <c r="F96" s="1072"/>
      <c r="G96" s="1072"/>
      <c r="H96" s="1072"/>
      <c r="I96" s="1072"/>
      <c r="J96" s="1072"/>
      <c r="K96" s="430" t="str">
        <f>IF(COUNT(K86:K88,K91,K94:K95)=0,"",SUM(K86:K88,K91,K94:K95))</f>
        <v/>
      </c>
    </row>
    <row r="97" spans="1:11" ht="34.5" customHeight="1" thickTop="1" thickBot="1">
      <c r="A97" s="1061" t="s">
        <v>42</v>
      </c>
      <c r="B97" s="1062"/>
      <c r="C97" s="1062"/>
      <c r="D97" s="1062"/>
      <c r="E97" s="1063"/>
      <c r="F97" s="1063"/>
      <c r="G97" s="1063"/>
      <c r="H97" s="1063"/>
      <c r="I97" s="1063"/>
      <c r="J97" s="1063"/>
      <c r="K97" s="431" t="str">
        <f>IF(COUNT(K85,K96)=0,"",ROUND(SUM(K85,K96),0))</f>
        <v/>
      </c>
    </row>
    <row r="98" spans="1:11">
      <c r="A98" s="3"/>
      <c r="B98" s="3"/>
      <c r="C98" s="3"/>
      <c r="D98" s="3"/>
      <c r="E98" s="3"/>
      <c r="F98" s="3"/>
      <c r="I98" s="38"/>
      <c r="J98" s="3"/>
      <c r="K98" s="3"/>
    </row>
    <row r="99" spans="1:11">
      <c r="A99" s="3"/>
      <c r="B99" s="3"/>
      <c r="C99" s="3"/>
      <c r="D99" s="3"/>
      <c r="E99" s="3"/>
      <c r="F99" s="3"/>
      <c r="I99" s="38"/>
      <c r="J99" s="3"/>
      <c r="K99" s="3" t="s">
        <v>135</v>
      </c>
    </row>
  </sheetData>
  <sheetProtection algorithmName="SHA-512" hashValue="ATEzxPEk+owpEcjMb1ugSf6PHLkSfZPH2fJPgAY66o6EXYnzqe+uMujO8Yv9q0JU/X4UQImFK1UWsKbwDRdqWw==" saltValue="+kEHs84ETXujiQc+qEC+fA==" spinCount="100000" sheet="1" objects="1" scenarios="1"/>
  <mergeCells count="128">
    <mergeCell ref="C20:D20"/>
    <mergeCell ref="C21:D21"/>
    <mergeCell ref="B24:D24"/>
    <mergeCell ref="B25:B26"/>
    <mergeCell ref="C25:D25"/>
    <mergeCell ref="C26:D26"/>
    <mergeCell ref="B15:B23"/>
    <mergeCell ref="C22:D22"/>
    <mergeCell ref="J1:K1"/>
    <mergeCell ref="A3:A5"/>
    <mergeCell ref="B3:B5"/>
    <mergeCell ref="C3:D5"/>
    <mergeCell ref="E3:E5"/>
    <mergeCell ref="I3:J5"/>
    <mergeCell ref="K3:K4"/>
    <mergeCell ref="F3:F5"/>
    <mergeCell ref="A6:A49"/>
    <mergeCell ref="B6:B1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3:D23"/>
    <mergeCell ref="B27:B34"/>
    <mergeCell ref="C27:D27"/>
    <mergeCell ref="C28:D28"/>
    <mergeCell ref="C29:D29"/>
    <mergeCell ref="C30:D30"/>
    <mergeCell ref="C31:D31"/>
    <mergeCell ref="C32:D32"/>
    <mergeCell ref="C33:D33"/>
    <mergeCell ref="C34:D34"/>
    <mergeCell ref="B35:D35"/>
    <mergeCell ref="B36:B39"/>
    <mergeCell ref="C36:D36"/>
    <mergeCell ref="C37:D37"/>
    <mergeCell ref="C38:D38"/>
    <mergeCell ref="C39:D39"/>
    <mergeCell ref="B45:D45"/>
    <mergeCell ref="B46:B47"/>
    <mergeCell ref="C46:D46"/>
    <mergeCell ref="C47:D47"/>
    <mergeCell ref="B48:B49"/>
    <mergeCell ref="C48:D48"/>
    <mergeCell ref="C49:D49"/>
    <mergeCell ref="B40:B44"/>
    <mergeCell ref="C40:D40"/>
    <mergeCell ref="C41:D41"/>
    <mergeCell ref="C42:D42"/>
    <mergeCell ref="C43:D43"/>
    <mergeCell ref="C44:D44"/>
    <mergeCell ref="K52:K53"/>
    <mergeCell ref="A55:A85"/>
    <mergeCell ref="B55:B67"/>
    <mergeCell ref="C55:D55"/>
    <mergeCell ref="C56:D56"/>
    <mergeCell ref="C57:D57"/>
    <mergeCell ref="C58:D58"/>
    <mergeCell ref="C59:D59"/>
    <mergeCell ref="C60:D60"/>
    <mergeCell ref="A52:A54"/>
    <mergeCell ref="B52:B54"/>
    <mergeCell ref="C52:D54"/>
    <mergeCell ref="E52:E54"/>
    <mergeCell ref="I52:J54"/>
    <mergeCell ref="C67:D67"/>
    <mergeCell ref="B68:D68"/>
    <mergeCell ref="B69:D69"/>
    <mergeCell ref="B70:B71"/>
    <mergeCell ref="C70:D70"/>
    <mergeCell ref="C71:D71"/>
    <mergeCell ref="C61:D61"/>
    <mergeCell ref="C62:D62"/>
    <mergeCell ref="C63:D63"/>
    <mergeCell ref="C64:D64"/>
    <mergeCell ref="C65:D65"/>
    <mergeCell ref="C66:D66"/>
    <mergeCell ref="B77:D77"/>
    <mergeCell ref="B78:D78"/>
    <mergeCell ref="B79:D79"/>
    <mergeCell ref="B80:D80"/>
    <mergeCell ref="B81:D81"/>
    <mergeCell ref="B95:D95"/>
    <mergeCell ref="B96:D96"/>
    <mergeCell ref="E96:J96"/>
    <mergeCell ref="B82:D82"/>
    <mergeCell ref="B72:B73"/>
    <mergeCell ref="C72:D72"/>
    <mergeCell ref="C73:D73"/>
    <mergeCell ref="B74:B76"/>
    <mergeCell ref="C74:D74"/>
    <mergeCell ref="C75:D75"/>
    <mergeCell ref="C76:D76"/>
    <mergeCell ref="B83:D83"/>
    <mergeCell ref="F52:F54"/>
    <mergeCell ref="N3:N5"/>
    <mergeCell ref="O3:O5"/>
    <mergeCell ref="G3:H5"/>
    <mergeCell ref="G52:H54"/>
    <mergeCell ref="A97:D97"/>
    <mergeCell ref="E97:J97"/>
    <mergeCell ref="C89:D89"/>
    <mergeCell ref="C90:D90"/>
    <mergeCell ref="B91:D91"/>
    <mergeCell ref="I91:J91"/>
    <mergeCell ref="B92:B93"/>
    <mergeCell ref="C92:D92"/>
    <mergeCell ref="C93:D93"/>
    <mergeCell ref="B84:D84"/>
    <mergeCell ref="B85:D85"/>
    <mergeCell ref="E85:J85"/>
    <mergeCell ref="A86:A96"/>
    <mergeCell ref="B86:D86"/>
    <mergeCell ref="B87:D87"/>
    <mergeCell ref="B88:D88"/>
    <mergeCell ref="I88:J88"/>
    <mergeCell ref="B89:B90"/>
    <mergeCell ref="B94:D94"/>
  </mergeCells>
  <phoneticPr fontId="5"/>
  <dataValidations count="8">
    <dataValidation type="list" allowBlank="1" showInputMessage="1" showErrorMessage="1" sqref="IE65585:IE65623 SA65585:SA65623 ABW65585:ABW65623 ALS65585:ALS65623 AVO65585:AVO65623 BFK65585:BFK65623 BPG65585:BPG65623 BZC65585:BZC65623 CIY65585:CIY65623 CSU65585:CSU65623 DCQ65585:DCQ65623 DMM65585:DMM65623 DWI65585:DWI65623 EGE65585:EGE65623 EQA65585:EQA65623 EZW65585:EZW65623 FJS65585:FJS65623 FTO65585:FTO65623 GDK65585:GDK65623 GNG65585:GNG65623 GXC65585:GXC65623 HGY65585:HGY65623 HQU65585:HQU65623 IAQ65585:IAQ65623 IKM65585:IKM65623 IUI65585:IUI65623 JEE65585:JEE65623 JOA65585:JOA65623 JXW65585:JXW65623 KHS65585:KHS65623 KRO65585:KRO65623 LBK65585:LBK65623 LLG65585:LLG65623 LVC65585:LVC65623 MEY65585:MEY65623 MOU65585:MOU65623 MYQ65585:MYQ65623 NIM65585:NIM65623 NSI65585:NSI65623 OCE65585:OCE65623 OMA65585:OMA65623 OVW65585:OVW65623 PFS65585:PFS65623 PPO65585:PPO65623 PZK65585:PZK65623 QJG65585:QJG65623 QTC65585:QTC65623 RCY65585:RCY65623 RMU65585:RMU65623 RWQ65585:RWQ65623 SGM65585:SGM65623 SQI65585:SQI65623 TAE65585:TAE65623 TKA65585:TKA65623 TTW65585:TTW65623 UDS65585:UDS65623 UNO65585:UNO65623 UXK65585:UXK65623 VHG65585:VHG65623 VRC65585:VRC65623 WAY65585:WAY65623 WKU65585:WKU65623 WUQ65585:WUQ65623 IE131121:IE131159 SA131121:SA131159 ABW131121:ABW131159 ALS131121:ALS131159 AVO131121:AVO131159 BFK131121:BFK131159 BPG131121:BPG131159 BZC131121:BZC131159 CIY131121:CIY131159 CSU131121:CSU131159 DCQ131121:DCQ131159 DMM131121:DMM131159 DWI131121:DWI131159 EGE131121:EGE131159 EQA131121:EQA131159 EZW131121:EZW131159 FJS131121:FJS131159 FTO131121:FTO131159 GDK131121:GDK131159 GNG131121:GNG131159 GXC131121:GXC131159 HGY131121:HGY131159 HQU131121:HQU131159 IAQ131121:IAQ131159 IKM131121:IKM131159 IUI131121:IUI131159 JEE131121:JEE131159 JOA131121:JOA131159 JXW131121:JXW131159 KHS131121:KHS131159 KRO131121:KRO131159 LBK131121:LBK131159 LLG131121:LLG131159 LVC131121:LVC131159 MEY131121:MEY131159 MOU131121:MOU131159 MYQ131121:MYQ131159 NIM131121:NIM131159 NSI131121:NSI131159 OCE131121:OCE131159 OMA131121:OMA131159 OVW131121:OVW131159 PFS131121:PFS131159 PPO131121:PPO131159 PZK131121:PZK131159 QJG131121:QJG131159 QTC131121:QTC131159 RCY131121:RCY131159 RMU131121:RMU131159 RWQ131121:RWQ131159 SGM131121:SGM131159 SQI131121:SQI131159 TAE131121:TAE131159 TKA131121:TKA131159 TTW131121:TTW131159 UDS131121:UDS131159 UNO131121:UNO131159 UXK131121:UXK131159 VHG131121:VHG131159 VRC131121:VRC131159 WAY131121:WAY131159 WKU131121:WKU131159 WUQ131121:WUQ131159 IE196657:IE196695 SA196657:SA196695 ABW196657:ABW196695 ALS196657:ALS196695 AVO196657:AVO196695 BFK196657:BFK196695 BPG196657:BPG196695 BZC196657:BZC196695 CIY196657:CIY196695 CSU196657:CSU196695 DCQ196657:DCQ196695 DMM196657:DMM196695 DWI196657:DWI196695 EGE196657:EGE196695 EQA196657:EQA196695 EZW196657:EZW196695 FJS196657:FJS196695 FTO196657:FTO196695 GDK196657:GDK196695 GNG196657:GNG196695 GXC196657:GXC196695 HGY196657:HGY196695 HQU196657:HQU196695 IAQ196657:IAQ196695 IKM196657:IKM196695 IUI196657:IUI196695 JEE196657:JEE196695 JOA196657:JOA196695 JXW196657:JXW196695 KHS196657:KHS196695 KRO196657:KRO196695 LBK196657:LBK196695 LLG196657:LLG196695 LVC196657:LVC196695 MEY196657:MEY196695 MOU196657:MOU196695 MYQ196657:MYQ196695 NIM196657:NIM196695 NSI196657:NSI196695 OCE196657:OCE196695 OMA196657:OMA196695 OVW196657:OVW196695 PFS196657:PFS196695 PPO196657:PPO196695 PZK196657:PZK196695 QJG196657:QJG196695 QTC196657:QTC196695 RCY196657:RCY196695 RMU196657:RMU196695 RWQ196657:RWQ196695 SGM196657:SGM196695 SQI196657:SQI196695 TAE196657:TAE196695 TKA196657:TKA196695 TTW196657:TTW196695 UDS196657:UDS196695 UNO196657:UNO196695 UXK196657:UXK196695 VHG196657:VHG196695 VRC196657:VRC196695 WAY196657:WAY196695 WKU196657:WKU196695 WUQ196657:WUQ196695 IE262193:IE262231 SA262193:SA262231 ABW262193:ABW262231 ALS262193:ALS262231 AVO262193:AVO262231 BFK262193:BFK262231 BPG262193:BPG262231 BZC262193:BZC262231 CIY262193:CIY262231 CSU262193:CSU262231 DCQ262193:DCQ262231 DMM262193:DMM262231 DWI262193:DWI262231 EGE262193:EGE262231 EQA262193:EQA262231 EZW262193:EZW262231 FJS262193:FJS262231 FTO262193:FTO262231 GDK262193:GDK262231 GNG262193:GNG262231 GXC262193:GXC262231 HGY262193:HGY262231 HQU262193:HQU262231 IAQ262193:IAQ262231 IKM262193:IKM262231 IUI262193:IUI262231 JEE262193:JEE262231 JOA262193:JOA262231 JXW262193:JXW262231 KHS262193:KHS262231 KRO262193:KRO262231 LBK262193:LBK262231 LLG262193:LLG262231 LVC262193:LVC262231 MEY262193:MEY262231 MOU262193:MOU262231 MYQ262193:MYQ262231 NIM262193:NIM262231 NSI262193:NSI262231 OCE262193:OCE262231 OMA262193:OMA262231 OVW262193:OVW262231 PFS262193:PFS262231 PPO262193:PPO262231 PZK262193:PZK262231 QJG262193:QJG262231 QTC262193:QTC262231 RCY262193:RCY262231 RMU262193:RMU262231 RWQ262193:RWQ262231 SGM262193:SGM262231 SQI262193:SQI262231 TAE262193:TAE262231 TKA262193:TKA262231 TTW262193:TTW262231 UDS262193:UDS262231 UNO262193:UNO262231 UXK262193:UXK262231 VHG262193:VHG262231 VRC262193:VRC262231 WAY262193:WAY262231 WKU262193:WKU262231 WUQ262193:WUQ262231 IE327729:IE327767 SA327729:SA327767 ABW327729:ABW327767 ALS327729:ALS327767 AVO327729:AVO327767 BFK327729:BFK327767 BPG327729:BPG327767 BZC327729:BZC327767 CIY327729:CIY327767 CSU327729:CSU327767 DCQ327729:DCQ327767 DMM327729:DMM327767 DWI327729:DWI327767 EGE327729:EGE327767 EQA327729:EQA327767 EZW327729:EZW327767 FJS327729:FJS327767 FTO327729:FTO327767 GDK327729:GDK327767 GNG327729:GNG327767 GXC327729:GXC327767 HGY327729:HGY327767 HQU327729:HQU327767 IAQ327729:IAQ327767 IKM327729:IKM327767 IUI327729:IUI327767 JEE327729:JEE327767 JOA327729:JOA327767 JXW327729:JXW327767 KHS327729:KHS327767 KRO327729:KRO327767 LBK327729:LBK327767 LLG327729:LLG327767 LVC327729:LVC327767 MEY327729:MEY327767 MOU327729:MOU327767 MYQ327729:MYQ327767 NIM327729:NIM327767 NSI327729:NSI327767 OCE327729:OCE327767 OMA327729:OMA327767 OVW327729:OVW327767 PFS327729:PFS327767 PPO327729:PPO327767 PZK327729:PZK327767 QJG327729:QJG327767 QTC327729:QTC327767 RCY327729:RCY327767 RMU327729:RMU327767 RWQ327729:RWQ327767 SGM327729:SGM327767 SQI327729:SQI327767 TAE327729:TAE327767 TKA327729:TKA327767 TTW327729:TTW327767 UDS327729:UDS327767 UNO327729:UNO327767 UXK327729:UXK327767 VHG327729:VHG327767 VRC327729:VRC327767 WAY327729:WAY327767 WKU327729:WKU327767 WUQ327729:WUQ327767 IE393265:IE393303 SA393265:SA393303 ABW393265:ABW393303 ALS393265:ALS393303 AVO393265:AVO393303 BFK393265:BFK393303 BPG393265:BPG393303 BZC393265:BZC393303 CIY393265:CIY393303 CSU393265:CSU393303 DCQ393265:DCQ393303 DMM393265:DMM393303 DWI393265:DWI393303 EGE393265:EGE393303 EQA393265:EQA393303 EZW393265:EZW393303 FJS393265:FJS393303 FTO393265:FTO393303 GDK393265:GDK393303 GNG393265:GNG393303 GXC393265:GXC393303 HGY393265:HGY393303 HQU393265:HQU393303 IAQ393265:IAQ393303 IKM393265:IKM393303 IUI393265:IUI393303 JEE393265:JEE393303 JOA393265:JOA393303 JXW393265:JXW393303 KHS393265:KHS393303 KRO393265:KRO393303 LBK393265:LBK393303 LLG393265:LLG393303 LVC393265:LVC393303 MEY393265:MEY393303 MOU393265:MOU393303 MYQ393265:MYQ393303 NIM393265:NIM393303 NSI393265:NSI393303 OCE393265:OCE393303 OMA393265:OMA393303 OVW393265:OVW393303 PFS393265:PFS393303 PPO393265:PPO393303 PZK393265:PZK393303 QJG393265:QJG393303 QTC393265:QTC393303 RCY393265:RCY393303 RMU393265:RMU393303 RWQ393265:RWQ393303 SGM393265:SGM393303 SQI393265:SQI393303 TAE393265:TAE393303 TKA393265:TKA393303 TTW393265:TTW393303 UDS393265:UDS393303 UNO393265:UNO393303 UXK393265:UXK393303 VHG393265:VHG393303 VRC393265:VRC393303 WAY393265:WAY393303 WKU393265:WKU393303 WUQ393265:WUQ393303 IE458801:IE458839 SA458801:SA458839 ABW458801:ABW458839 ALS458801:ALS458839 AVO458801:AVO458839 BFK458801:BFK458839 BPG458801:BPG458839 BZC458801:BZC458839 CIY458801:CIY458839 CSU458801:CSU458839 DCQ458801:DCQ458839 DMM458801:DMM458839 DWI458801:DWI458839 EGE458801:EGE458839 EQA458801:EQA458839 EZW458801:EZW458839 FJS458801:FJS458839 FTO458801:FTO458839 GDK458801:GDK458839 GNG458801:GNG458839 GXC458801:GXC458839 HGY458801:HGY458839 HQU458801:HQU458839 IAQ458801:IAQ458839 IKM458801:IKM458839 IUI458801:IUI458839 JEE458801:JEE458839 JOA458801:JOA458839 JXW458801:JXW458839 KHS458801:KHS458839 KRO458801:KRO458839 LBK458801:LBK458839 LLG458801:LLG458839 LVC458801:LVC458839 MEY458801:MEY458839 MOU458801:MOU458839 MYQ458801:MYQ458839 NIM458801:NIM458839 NSI458801:NSI458839 OCE458801:OCE458839 OMA458801:OMA458839 OVW458801:OVW458839 PFS458801:PFS458839 PPO458801:PPO458839 PZK458801:PZK458839 QJG458801:QJG458839 QTC458801:QTC458839 RCY458801:RCY458839 RMU458801:RMU458839 RWQ458801:RWQ458839 SGM458801:SGM458839 SQI458801:SQI458839 TAE458801:TAE458839 TKA458801:TKA458839 TTW458801:TTW458839 UDS458801:UDS458839 UNO458801:UNO458839 UXK458801:UXK458839 VHG458801:VHG458839 VRC458801:VRC458839 WAY458801:WAY458839 WKU458801:WKU458839 WUQ458801:WUQ458839 IE524337:IE524375 SA524337:SA524375 ABW524337:ABW524375 ALS524337:ALS524375 AVO524337:AVO524375 BFK524337:BFK524375 BPG524337:BPG524375 BZC524337:BZC524375 CIY524337:CIY524375 CSU524337:CSU524375 DCQ524337:DCQ524375 DMM524337:DMM524375 DWI524337:DWI524375 EGE524337:EGE524375 EQA524337:EQA524375 EZW524337:EZW524375 FJS524337:FJS524375 FTO524337:FTO524375 GDK524337:GDK524375 GNG524337:GNG524375 GXC524337:GXC524375 HGY524337:HGY524375 HQU524337:HQU524375 IAQ524337:IAQ524375 IKM524337:IKM524375 IUI524337:IUI524375 JEE524337:JEE524375 JOA524337:JOA524375 JXW524337:JXW524375 KHS524337:KHS524375 KRO524337:KRO524375 LBK524337:LBK524375 LLG524337:LLG524375 LVC524337:LVC524375 MEY524337:MEY524375 MOU524337:MOU524375 MYQ524337:MYQ524375 NIM524337:NIM524375 NSI524337:NSI524375 OCE524337:OCE524375 OMA524337:OMA524375 OVW524337:OVW524375 PFS524337:PFS524375 PPO524337:PPO524375 PZK524337:PZK524375 QJG524337:QJG524375 QTC524337:QTC524375 RCY524337:RCY524375 RMU524337:RMU524375 RWQ524337:RWQ524375 SGM524337:SGM524375 SQI524337:SQI524375 TAE524337:TAE524375 TKA524337:TKA524375 TTW524337:TTW524375 UDS524337:UDS524375 UNO524337:UNO524375 UXK524337:UXK524375 VHG524337:VHG524375 VRC524337:VRC524375 WAY524337:WAY524375 WKU524337:WKU524375 WUQ524337:WUQ524375 IE589873:IE589911 SA589873:SA589911 ABW589873:ABW589911 ALS589873:ALS589911 AVO589873:AVO589911 BFK589873:BFK589911 BPG589873:BPG589911 BZC589873:BZC589911 CIY589873:CIY589911 CSU589873:CSU589911 DCQ589873:DCQ589911 DMM589873:DMM589911 DWI589873:DWI589911 EGE589873:EGE589911 EQA589873:EQA589911 EZW589873:EZW589911 FJS589873:FJS589911 FTO589873:FTO589911 GDK589873:GDK589911 GNG589873:GNG589911 GXC589873:GXC589911 HGY589873:HGY589911 HQU589873:HQU589911 IAQ589873:IAQ589911 IKM589873:IKM589911 IUI589873:IUI589911 JEE589873:JEE589911 JOA589873:JOA589911 JXW589873:JXW589911 KHS589873:KHS589911 KRO589873:KRO589911 LBK589873:LBK589911 LLG589873:LLG589911 LVC589873:LVC589911 MEY589873:MEY589911 MOU589873:MOU589911 MYQ589873:MYQ589911 NIM589873:NIM589911 NSI589873:NSI589911 OCE589873:OCE589911 OMA589873:OMA589911 OVW589873:OVW589911 PFS589873:PFS589911 PPO589873:PPO589911 PZK589873:PZK589911 QJG589873:QJG589911 QTC589873:QTC589911 RCY589873:RCY589911 RMU589873:RMU589911 RWQ589873:RWQ589911 SGM589873:SGM589911 SQI589873:SQI589911 TAE589873:TAE589911 TKA589873:TKA589911 TTW589873:TTW589911 UDS589873:UDS589911 UNO589873:UNO589911 UXK589873:UXK589911 VHG589873:VHG589911 VRC589873:VRC589911 WAY589873:WAY589911 WKU589873:WKU589911 WUQ589873:WUQ589911 IE655409:IE655447 SA655409:SA655447 ABW655409:ABW655447 ALS655409:ALS655447 AVO655409:AVO655447 BFK655409:BFK655447 BPG655409:BPG655447 BZC655409:BZC655447 CIY655409:CIY655447 CSU655409:CSU655447 DCQ655409:DCQ655447 DMM655409:DMM655447 DWI655409:DWI655447 EGE655409:EGE655447 EQA655409:EQA655447 EZW655409:EZW655447 FJS655409:FJS655447 FTO655409:FTO655447 GDK655409:GDK655447 GNG655409:GNG655447 GXC655409:GXC655447 HGY655409:HGY655447 HQU655409:HQU655447 IAQ655409:IAQ655447 IKM655409:IKM655447 IUI655409:IUI655447 JEE655409:JEE655447 JOA655409:JOA655447 JXW655409:JXW655447 KHS655409:KHS655447 KRO655409:KRO655447 LBK655409:LBK655447 LLG655409:LLG655447 LVC655409:LVC655447 MEY655409:MEY655447 MOU655409:MOU655447 MYQ655409:MYQ655447 NIM655409:NIM655447 NSI655409:NSI655447 OCE655409:OCE655447 OMA655409:OMA655447 OVW655409:OVW655447 PFS655409:PFS655447 PPO655409:PPO655447 PZK655409:PZK655447 QJG655409:QJG655447 QTC655409:QTC655447 RCY655409:RCY655447 RMU655409:RMU655447 RWQ655409:RWQ655447 SGM655409:SGM655447 SQI655409:SQI655447 TAE655409:TAE655447 TKA655409:TKA655447 TTW655409:TTW655447 UDS655409:UDS655447 UNO655409:UNO655447 UXK655409:UXK655447 VHG655409:VHG655447 VRC655409:VRC655447 WAY655409:WAY655447 WKU655409:WKU655447 WUQ655409:WUQ655447 IE720945:IE720983 SA720945:SA720983 ABW720945:ABW720983 ALS720945:ALS720983 AVO720945:AVO720983 BFK720945:BFK720983 BPG720945:BPG720983 BZC720945:BZC720983 CIY720945:CIY720983 CSU720945:CSU720983 DCQ720945:DCQ720983 DMM720945:DMM720983 DWI720945:DWI720983 EGE720945:EGE720983 EQA720945:EQA720983 EZW720945:EZW720983 FJS720945:FJS720983 FTO720945:FTO720983 GDK720945:GDK720983 GNG720945:GNG720983 GXC720945:GXC720983 HGY720945:HGY720983 HQU720945:HQU720983 IAQ720945:IAQ720983 IKM720945:IKM720983 IUI720945:IUI720983 JEE720945:JEE720983 JOA720945:JOA720983 JXW720945:JXW720983 KHS720945:KHS720983 KRO720945:KRO720983 LBK720945:LBK720983 LLG720945:LLG720983 LVC720945:LVC720983 MEY720945:MEY720983 MOU720945:MOU720983 MYQ720945:MYQ720983 NIM720945:NIM720983 NSI720945:NSI720983 OCE720945:OCE720983 OMA720945:OMA720983 OVW720945:OVW720983 PFS720945:PFS720983 PPO720945:PPO720983 PZK720945:PZK720983 QJG720945:QJG720983 QTC720945:QTC720983 RCY720945:RCY720983 RMU720945:RMU720983 RWQ720945:RWQ720983 SGM720945:SGM720983 SQI720945:SQI720983 TAE720945:TAE720983 TKA720945:TKA720983 TTW720945:TTW720983 UDS720945:UDS720983 UNO720945:UNO720983 UXK720945:UXK720983 VHG720945:VHG720983 VRC720945:VRC720983 WAY720945:WAY720983 WKU720945:WKU720983 WUQ720945:WUQ720983 IE786481:IE786519 SA786481:SA786519 ABW786481:ABW786519 ALS786481:ALS786519 AVO786481:AVO786519 BFK786481:BFK786519 BPG786481:BPG786519 BZC786481:BZC786519 CIY786481:CIY786519 CSU786481:CSU786519 DCQ786481:DCQ786519 DMM786481:DMM786519 DWI786481:DWI786519 EGE786481:EGE786519 EQA786481:EQA786519 EZW786481:EZW786519 FJS786481:FJS786519 FTO786481:FTO786519 GDK786481:GDK786519 GNG786481:GNG786519 GXC786481:GXC786519 HGY786481:HGY786519 HQU786481:HQU786519 IAQ786481:IAQ786519 IKM786481:IKM786519 IUI786481:IUI786519 JEE786481:JEE786519 JOA786481:JOA786519 JXW786481:JXW786519 KHS786481:KHS786519 KRO786481:KRO786519 LBK786481:LBK786519 LLG786481:LLG786519 LVC786481:LVC786519 MEY786481:MEY786519 MOU786481:MOU786519 MYQ786481:MYQ786519 NIM786481:NIM786519 NSI786481:NSI786519 OCE786481:OCE786519 OMA786481:OMA786519 OVW786481:OVW786519 PFS786481:PFS786519 PPO786481:PPO786519 PZK786481:PZK786519 QJG786481:QJG786519 QTC786481:QTC786519 RCY786481:RCY786519 RMU786481:RMU786519 RWQ786481:RWQ786519 SGM786481:SGM786519 SQI786481:SQI786519 TAE786481:TAE786519 TKA786481:TKA786519 TTW786481:TTW786519 UDS786481:UDS786519 UNO786481:UNO786519 UXK786481:UXK786519 VHG786481:VHG786519 VRC786481:VRC786519 WAY786481:WAY786519 WKU786481:WKU786519 WUQ786481:WUQ786519 IE852017:IE852055 SA852017:SA852055 ABW852017:ABW852055 ALS852017:ALS852055 AVO852017:AVO852055 BFK852017:BFK852055 BPG852017:BPG852055 BZC852017:BZC852055 CIY852017:CIY852055 CSU852017:CSU852055 DCQ852017:DCQ852055 DMM852017:DMM852055 DWI852017:DWI852055 EGE852017:EGE852055 EQA852017:EQA852055 EZW852017:EZW852055 FJS852017:FJS852055 FTO852017:FTO852055 GDK852017:GDK852055 GNG852017:GNG852055 GXC852017:GXC852055 HGY852017:HGY852055 HQU852017:HQU852055 IAQ852017:IAQ852055 IKM852017:IKM852055 IUI852017:IUI852055 JEE852017:JEE852055 JOA852017:JOA852055 JXW852017:JXW852055 KHS852017:KHS852055 KRO852017:KRO852055 LBK852017:LBK852055 LLG852017:LLG852055 LVC852017:LVC852055 MEY852017:MEY852055 MOU852017:MOU852055 MYQ852017:MYQ852055 NIM852017:NIM852055 NSI852017:NSI852055 OCE852017:OCE852055 OMA852017:OMA852055 OVW852017:OVW852055 PFS852017:PFS852055 PPO852017:PPO852055 PZK852017:PZK852055 QJG852017:QJG852055 QTC852017:QTC852055 RCY852017:RCY852055 RMU852017:RMU852055 RWQ852017:RWQ852055 SGM852017:SGM852055 SQI852017:SQI852055 TAE852017:TAE852055 TKA852017:TKA852055 TTW852017:TTW852055 UDS852017:UDS852055 UNO852017:UNO852055 UXK852017:UXK852055 VHG852017:VHG852055 VRC852017:VRC852055 WAY852017:WAY852055 WKU852017:WKU852055 WUQ852017:WUQ852055 IE917553:IE917591 SA917553:SA917591 ABW917553:ABW917591 ALS917553:ALS917591 AVO917553:AVO917591 BFK917553:BFK917591 BPG917553:BPG917591 BZC917553:BZC917591 CIY917553:CIY917591 CSU917553:CSU917591 DCQ917553:DCQ917591 DMM917553:DMM917591 DWI917553:DWI917591 EGE917553:EGE917591 EQA917553:EQA917591 EZW917553:EZW917591 FJS917553:FJS917591 FTO917553:FTO917591 GDK917553:GDK917591 GNG917553:GNG917591 GXC917553:GXC917591 HGY917553:HGY917591 HQU917553:HQU917591 IAQ917553:IAQ917591 IKM917553:IKM917591 IUI917553:IUI917591 JEE917553:JEE917591 JOA917553:JOA917591 JXW917553:JXW917591 KHS917553:KHS917591 KRO917553:KRO917591 LBK917553:LBK917591 LLG917553:LLG917591 LVC917553:LVC917591 MEY917553:MEY917591 MOU917553:MOU917591 MYQ917553:MYQ917591 NIM917553:NIM917591 NSI917553:NSI917591 OCE917553:OCE917591 OMA917553:OMA917591 OVW917553:OVW917591 PFS917553:PFS917591 PPO917553:PPO917591 PZK917553:PZK917591 QJG917553:QJG917591 QTC917553:QTC917591 RCY917553:RCY917591 RMU917553:RMU917591 RWQ917553:RWQ917591 SGM917553:SGM917591 SQI917553:SQI917591 TAE917553:TAE917591 TKA917553:TKA917591 TTW917553:TTW917591 UDS917553:UDS917591 UNO917553:UNO917591 UXK917553:UXK917591 VHG917553:VHG917591 VRC917553:VRC917591 WAY917553:WAY917591 WKU917553:WKU917591 WUQ917553:WUQ917591 IE983089:IE983127 SA983089:SA983127 ABW983089:ABW983127 ALS983089:ALS983127 AVO983089:AVO983127 BFK983089:BFK983127 BPG983089:BPG983127 BZC983089:BZC983127 CIY983089:CIY983127 CSU983089:CSU983127 DCQ983089:DCQ983127 DMM983089:DMM983127 DWI983089:DWI983127 EGE983089:EGE983127 EQA983089:EQA983127 EZW983089:EZW983127 FJS983089:FJS983127 FTO983089:FTO983127 GDK983089:GDK983127 GNG983089:GNG983127 GXC983089:GXC983127 HGY983089:HGY983127 HQU983089:HQU983127 IAQ983089:IAQ983127 IKM983089:IKM983127 IUI983089:IUI983127 JEE983089:JEE983127 JOA983089:JOA983127 JXW983089:JXW983127 KHS983089:KHS983127 KRO983089:KRO983127 LBK983089:LBK983127 LLG983089:LLG983127 LVC983089:LVC983127 MEY983089:MEY983127 MOU983089:MOU983127 MYQ983089:MYQ983127 NIM983089:NIM983127 NSI983089:NSI983127 OCE983089:OCE983127 OMA983089:OMA983127 OVW983089:OVW983127 PFS983089:PFS983127 PPO983089:PPO983127 PZK983089:PZK983127 QJG983089:QJG983127 QTC983089:QTC983127 RCY983089:RCY983127 RMU983089:RMU983127 RWQ983089:RWQ983127 SGM983089:SGM983127 SQI983089:SQI983127 TAE983089:TAE983127 TKA983089:TKA983127 TTW983089:TTW983127 UDS983089:UDS983127 UNO983089:UNO983127 UXK983089:UXK983127 VHG983089:VHG983127 VRC983089:VRC983127 WAY983089:WAY983127 WKU983089:WKU983127 WUQ983089:WUQ983127 IE89:IE90 SA89:SA90 ABW89:ABW90 ALS89:ALS90 AVO89:AVO90 BFK89:BFK90 BPG89:BPG90 BZC89:BZC90 CIY89:CIY90 CSU89:CSU90 DCQ89:DCQ90 DMM89:DMM90 DWI89:DWI90 EGE89:EGE90 EQA89:EQA90 EZW89:EZW90 FJS89:FJS90 FTO89:FTO90 GDK89:GDK90 GNG89:GNG90 GXC89:GXC90 HGY89:HGY90 HQU89:HQU90 IAQ89:IAQ90 IKM89:IKM90 IUI89:IUI90 JEE89:JEE90 JOA89:JOA90 JXW89:JXW90 KHS89:KHS90 KRO89:KRO90 LBK89:LBK90 LLG89:LLG90 LVC89:LVC90 MEY89:MEY90 MOU89:MOU90 MYQ89:MYQ90 NIM89:NIM90 NSI89:NSI90 OCE89:OCE90 OMA89:OMA90 OVW89:OVW90 PFS89:PFS90 PPO89:PPO90 PZK89:PZK90 QJG89:QJG90 QTC89:QTC90 RCY89:RCY90 RMU89:RMU90 RWQ89:RWQ90 SGM89:SGM90 SQI89:SQI90 TAE89:TAE90 TKA89:TKA90 TTW89:TTW90 UDS89:UDS90 UNO89:UNO90 UXK89:UXK90 VHG89:VHG90 VRC89:VRC90 WAY89:WAY90 WKU89:WKU90 WUQ89:WUQ90 IE65625:IE65626 SA65625:SA65626 ABW65625:ABW65626 ALS65625:ALS65626 AVO65625:AVO65626 BFK65625:BFK65626 BPG65625:BPG65626 BZC65625:BZC65626 CIY65625:CIY65626 CSU65625:CSU65626 DCQ65625:DCQ65626 DMM65625:DMM65626 DWI65625:DWI65626 EGE65625:EGE65626 EQA65625:EQA65626 EZW65625:EZW65626 FJS65625:FJS65626 FTO65625:FTO65626 GDK65625:GDK65626 GNG65625:GNG65626 GXC65625:GXC65626 HGY65625:HGY65626 HQU65625:HQU65626 IAQ65625:IAQ65626 IKM65625:IKM65626 IUI65625:IUI65626 JEE65625:JEE65626 JOA65625:JOA65626 JXW65625:JXW65626 KHS65625:KHS65626 KRO65625:KRO65626 LBK65625:LBK65626 LLG65625:LLG65626 LVC65625:LVC65626 MEY65625:MEY65626 MOU65625:MOU65626 MYQ65625:MYQ65626 NIM65625:NIM65626 NSI65625:NSI65626 OCE65625:OCE65626 OMA65625:OMA65626 OVW65625:OVW65626 PFS65625:PFS65626 PPO65625:PPO65626 PZK65625:PZK65626 QJG65625:QJG65626 QTC65625:QTC65626 RCY65625:RCY65626 RMU65625:RMU65626 RWQ65625:RWQ65626 SGM65625:SGM65626 SQI65625:SQI65626 TAE65625:TAE65626 TKA65625:TKA65626 TTW65625:TTW65626 UDS65625:UDS65626 UNO65625:UNO65626 UXK65625:UXK65626 VHG65625:VHG65626 VRC65625:VRC65626 WAY65625:WAY65626 WKU65625:WKU65626 WUQ65625:WUQ65626 IE131161:IE131162 SA131161:SA131162 ABW131161:ABW131162 ALS131161:ALS131162 AVO131161:AVO131162 BFK131161:BFK131162 BPG131161:BPG131162 BZC131161:BZC131162 CIY131161:CIY131162 CSU131161:CSU131162 DCQ131161:DCQ131162 DMM131161:DMM131162 DWI131161:DWI131162 EGE131161:EGE131162 EQA131161:EQA131162 EZW131161:EZW131162 FJS131161:FJS131162 FTO131161:FTO131162 GDK131161:GDK131162 GNG131161:GNG131162 GXC131161:GXC131162 HGY131161:HGY131162 HQU131161:HQU131162 IAQ131161:IAQ131162 IKM131161:IKM131162 IUI131161:IUI131162 JEE131161:JEE131162 JOA131161:JOA131162 JXW131161:JXW131162 KHS131161:KHS131162 KRO131161:KRO131162 LBK131161:LBK131162 LLG131161:LLG131162 LVC131161:LVC131162 MEY131161:MEY131162 MOU131161:MOU131162 MYQ131161:MYQ131162 NIM131161:NIM131162 NSI131161:NSI131162 OCE131161:OCE131162 OMA131161:OMA131162 OVW131161:OVW131162 PFS131161:PFS131162 PPO131161:PPO131162 PZK131161:PZK131162 QJG131161:QJG131162 QTC131161:QTC131162 RCY131161:RCY131162 RMU131161:RMU131162 RWQ131161:RWQ131162 SGM131161:SGM131162 SQI131161:SQI131162 TAE131161:TAE131162 TKA131161:TKA131162 TTW131161:TTW131162 UDS131161:UDS131162 UNO131161:UNO131162 UXK131161:UXK131162 VHG131161:VHG131162 VRC131161:VRC131162 WAY131161:WAY131162 WKU131161:WKU131162 WUQ131161:WUQ131162 IE196697:IE196698 SA196697:SA196698 ABW196697:ABW196698 ALS196697:ALS196698 AVO196697:AVO196698 BFK196697:BFK196698 BPG196697:BPG196698 BZC196697:BZC196698 CIY196697:CIY196698 CSU196697:CSU196698 DCQ196697:DCQ196698 DMM196697:DMM196698 DWI196697:DWI196698 EGE196697:EGE196698 EQA196697:EQA196698 EZW196697:EZW196698 FJS196697:FJS196698 FTO196697:FTO196698 GDK196697:GDK196698 GNG196697:GNG196698 GXC196697:GXC196698 HGY196697:HGY196698 HQU196697:HQU196698 IAQ196697:IAQ196698 IKM196697:IKM196698 IUI196697:IUI196698 JEE196697:JEE196698 JOA196697:JOA196698 JXW196697:JXW196698 KHS196697:KHS196698 KRO196697:KRO196698 LBK196697:LBK196698 LLG196697:LLG196698 LVC196697:LVC196698 MEY196697:MEY196698 MOU196697:MOU196698 MYQ196697:MYQ196698 NIM196697:NIM196698 NSI196697:NSI196698 OCE196697:OCE196698 OMA196697:OMA196698 OVW196697:OVW196698 PFS196697:PFS196698 PPO196697:PPO196698 PZK196697:PZK196698 QJG196697:QJG196698 QTC196697:QTC196698 RCY196697:RCY196698 RMU196697:RMU196698 RWQ196697:RWQ196698 SGM196697:SGM196698 SQI196697:SQI196698 TAE196697:TAE196698 TKA196697:TKA196698 TTW196697:TTW196698 UDS196697:UDS196698 UNO196697:UNO196698 UXK196697:UXK196698 VHG196697:VHG196698 VRC196697:VRC196698 WAY196697:WAY196698 WKU196697:WKU196698 WUQ196697:WUQ196698 IE262233:IE262234 SA262233:SA262234 ABW262233:ABW262234 ALS262233:ALS262234 AVO262233:AVO262234 BFK262233:BFK262234 BPG262233:BPG262234 BZC262233:BZC262234 CIY262233:CIY262234 CSU262233:CSU262234 DCQ262233:DCQ262234 DMM262233:DMM262234 DWI262233:DWI262234 EGE262233:EGE262234 EQA262233:EQA262234 EZW262233:EZW262234 FJS262233:FJS262234 FTO262233:FTO262234 GDK262233:GDK262234 GNG262233:GNG262234 GXC262233:GXC262234 HGY262233:HGY262234 HQU262233:HQU262234 IAQ262233:IAQ262234 IKM262233:IKM262234 IUI262233:IUI262234 JEE262233:JEE262234 JOA262233:JOA262234 JXW262233:JXW262234 KHS262233:KHS262234 KRO262233:KRO262234 LBK262233:LBK262234 LLG262233:LLG262234 LVC262233:LVC262234 MEY262233:MEY262234 MOU262233:MOU262234 MYQ262233:MYQ262234 NIM262233:NIM262234 NSI262233:NSI262234 OCE262233:OCE262234 OMA262233:OMA262234 OVW262233:OVW262234 PFS262233:PFS262234 PPO262233:PPO262234 PZK262233:PZK262234 QJG262233:QJG262234 QTC262233:QTC262234 RCY262233:RCY262234 RMU262233:RMU262234 RWQ262233:RWQ262234 SGM262233:SGM262234 SQI262233:SQI262234 TAE262233:TAE262234 TKA262233:TKA262234 TTW262233:TTW262234 UDS262233:UDS262234 UNO262233:UNO262234 UXK262233:UXK262234 VHG262233:VHG262234 VRC262233:VRC262234 WAY262233:WAY262234 WKU262233:WKU262234 WUQ262233:WUQ262234 IE327769:IE327770 SA327769:SA327770 ABW327769:ABW327770 ALS327769:ALS327770 AVO327769:AVO327770 BFK327769:BFK327770 BPG327769:BPG327770 BZC327769:BZC327770 CIY327769:CIY327770 CSU327769:CSU327770 DCQ327769:DCQ327770 DMM327769:DMM327770 DWI327769:DWI327770 EGE327769:EGE327770 EQA327769:EQA327770 EZW327769:EZW327770 FJS327769:FJS327770 FTO327769:FTO327770 GDK327769:GDK327770 GNG327769:GNG327770 GXC327769:GXC327770 HGY327769:HGY327770 HQU327769:HQU327770 IAQ327769:IAQ327770 IKM327769:IKM327770 IUI327769:IUI327770 JEE327769:JEE327770 JOA327769:JOA327770 JXW327769:JXW327770 KHS327769:KHS327770 KRO327769:KRO327770 LBK327769:LBK327770 LLG327769:LLG327770 LVC327769:LVC327770 MEY327769:MEY327770 MOU327769:MOU327770 MYQ327769:MYQ327770 NIM327769:NIM327770 NSI327769:NSI327770 OCE327769:OCE327770 OMA327769:OMA327770 OVW327769:OVW327770 PFS327769:PFS327770 PPO327769:PPO327770 PZK327769:PZK327770 QJG327769:QJG327770 QTC327769:QTC327770 RCY327769:RCY327770 RMU327769:RMU327770 RWQ327769:RWQ327770 SGM327769:SGM327770 SQI327769:SQI327770 TAE327769:TAE327770 TKA327769:TKA327770 TTW327769:TTW327770 UDS327769:UDS327770 UNO327769:UNO327770 UXK327769:UXK327770 VHG327769:VHG327770 VRC327769:VRC327770 WAY327769:WAY327770 WKU327769:WKU327770 WUQ327769:WUQ327770 IE393305:IE393306 SA393305:SA393306 ABW393305:ABW393306 ALS393305:ALS393306 AVO393305:AVO393306 BFK393305:BFK393306 BPG393305:BPG393306 BZC393305:BZC393306 CIY393305:CIY393306 CSU393305:CSU393306 DCQ393305:DCQ393306 DMM393305:DMM393306 DWI393305:DWI393306 EGE393305:EGE393306 EQA393305:EQA393306 EZW393305:EZW393306 FJS393305:FJS393306 FTO393305:FTO393306 GDK393305:GDK393306 GNG393305:GNG393306 GXC393305:GXC393306 HGY393305:HGY393306 HQU393305:HQU393306 IAQ393305:IAQ393306 IKM393305:IKM393306 IUI393305:IUI393306 JEE393305:JEE393306 JOA393305:JOA393306 JXW393305:JXW393306 KHS393305:KHS393306 KRO393305:KRO393306 LBK393305:LBK393306 LLG393305:LLG393306 LVC393305:LVC393306 MEY393305:MEY393306 MOU393305:MOU393306 MYQ393305:MYQ393306 NIM393305:NIM393306 NSI393305:NSI393306 OCE393305:OCE393306 OMA393305:OMA393306 OVW393305:OVW393306 PFS393305:PFS393306 PPO393305:PPO393306 PZK393305:PZK393306 QJG393305:QJG393306 QTC393305:QTC393306 RCY393305:RCY393306 RMU393305:RMU393306 RWQ393305:RWQ393306 SGM393305:SGM393306 SQI393305:SQI393306 TAE393305:TAE393306 TKA393305:TKA393306 TTW393305:TTW393306 UDS393305:UDS393306 UNO393305:UNO393306 UXK393305:UXK393306 VHG393305:VHG393306 VRC393305:VRC393306 WAY393305:WAY393306 WKU393305:WKU393306 WUQ393305:WUQ393306 IE458841:IE458842 SA458841:SA458842 ABW458841:ABW458842 ALS458841:ALS458842 AVO458841:AVO458842 BFK458841:BFK458842 BPG458841:BPG458842 BZC458841:BZC458842 CIY458841:CIY458842 CSU458841:CSU458842 DCQ458841:DCQ458842 DMM458841:DMM458842 DWI458841:DWI458842 EGE458841:EGE458842 EQA458841:EQA458842 EZW458841:EZW458842 FJS458841:FJS458842 FTO458841:FTO458842 GDK458841:GDK458842 GNG458841:GNG458842 GXC458841:GXC458842 HGY458841:HGY458842 HQU458841:HQU458842 IAQ458841:IAQ458842 IKM458841:IKM458842 IUI458841:IUI458842 JEE458841:JEE458842 JOA458841:JOA458842 JXW458841:JXW458842 KHS458841:KHS458842 KRO458841:KRO458842 LBK458841:LBK458842 LLG458841:LLG458842 LVC458841:LVC458842 MEY458841:MEY458842 MOU458841:MOU458842 MYQ458841:MYQ458842 NIM458841:NIM458842 NSI458841:NSI458842 OCE458841:OCE458842 OMA458841:OMA458842 OVW458841:OVW458842 PFS458841:PFS458842 PPO458841:PPO458842 PZK458841:PZK458842 QJG458841:QJG458842 QTC458841:QTC458842 RCY458841:RCY458842 RMU458841:RMU458842 RWQ458841:RWQ458842 SGM458841:SGM458842 SQI458841:SQI458842 TAE458841:TAE458842 TKA458841:TKA458842 TTW458841:TTW458842 UDS458841:UDS458842 UNO458841:UNO458842 UXK458841:UXK458842 VHG458841:VHG458842 VRC458841:VRC458842 WAY458841:WAY458842 WKU458841:WKU458842 WUQ458841:WUQ458842 IE524377:IE524378 SA524377:SA524378 ABW524377:ABW524378 ALS524377:ALS524378 AVO524377:AVO524378 BFK524377:BFK524378 BPG524377:BPG524378 BZC524377:BZC524378 CIY524377:CIY524378 CSU524377:CSU524378 DCQ524377:DCQ524378 DMM524377:DMM524378 DWI524377:DWI524378 EGE524377:EGE524378 EQA524377:EQA524378 EZW524377:EZW524378 FJS524377:FJS524378 FTO524377:FTO524378 GDK524377:GDK524378 GNG524377:GNG524378 GXC524377:GXC524378 HGY524377:HGY524378 HQU524377:HQU524378 IAQ524377:IAQ524378 IKM524377:IKM524378 IUI524377:IUI524378 JEE524377:JEE524378 JOA524377:JOA524378 JXW524377:JXW524378 KHS524377:KHS524378 KRO524377:KRO524378 LBK524377:LBK524378 LLG524377:LLG524378 LVC524377:LVC524378 MEY524377:MEY524378 MOU524377:MOU524378 MYQ524377:MYQ524378 NIM524377:NIM524378 NSI524377:NSI524378 OCE524377:OCE524378 OMA524377:OMA524378 OVW524377:OVW524378 PFS524377:PFS524378 PPO524377:PPO524378 PZK524377:PZK524378 QJG524377:QJG524378 QTC524377:QTC524378 RCY524377:RCY524378 RMU524377:RMU524378 RWQ524377:RWQ524378 SGM524377:SGM524378 SQI524377:SQI524378 TAE524377:TAE524378 TKA524377:TKA524378 TTW524377:TTW524378 UDS524377:UDS524378 UNO524377:UNO524378 UXK524377:UXK524378 VHG524377:VHG524378 VRC524377:VRC524378 WAY524377:WAY524378 WKU524377:WKU524378 WUQ524377:WUQ524378 IE589913:IE589914 SA589913:SA589914 ABW589913:ABW589914 ALS589913:ALS589914 AVO589913:AVO589914 BFK589913:BFK589914 BPG589913:BPG589914 BZC589913:BZC589914 CIY589913:CIY589914 CSU589913:CSU589914 DCQ589913:DCQ589914 DMM589913:DMM589914 DWI589913:DWI589914 EGE589913:EGE589914 EQA589913:EQA589914 EZW589913:EZW589914 FJS589913:FJS589914 FTO589913:FTO589914 GDK589913:GDK589914 GNG589913:GNG589914 GXC589913:GXC589914 HGY589913:HGY589914 HQU589913:HQU589914 IAQ589913:IAQ589914 IKM589913:IKM589914 IUI589913:IUI589914 JEE589913:JEE589914 JOA589913:JOA589914 JXW589913:JXW589914 KHS589913:KHS589914 KRO589913:KRO589914 LBK589913:LBK589914 LLG589913:LLG589914 LVC589913:LVC589914 MEY589913:MEY589914 MOU589913:MOU589914 MYQ589913:MYQ589914 NIM589913:NIM589914 NSI589913:NSI589914 OCE589913:OCE589914 OMA589913:OMA589914 OVW589913:OVW589914 PFS589913:PFS589914 PPO589913:PPO589914 PZK589913:PZK589914 QJG589913:QJG589914 QTC589913:QTC589914 RCY589913:RCY589914 RMU589913:RMU589914 RWQ589913:RWQ589914 SGM589913:SGM589914 SQI589913:SQI589914 TAE589913:TAE589914 TKA589913:TKA589914 TTW589913:TTW589914 UDS589913:UDS589914 UNO589913:UNO589914 UXK589913:UXK589914 VHG589913:VHG589914 VRC589913:VRC589914 WAY589913:WAY589914 WKU589913:WKU589914 WUQ589913:WUQ589914 IE655449:IE655450 SA655449:SA655450 ABW655449:ABW655450 ALS655449:ALS655450 AVO655449:AVO655450 BFK655449:BFK655450 BPG655449:BPG655450 BZC655449:BZC655450 CIY655449:CIY655450 CSU655449:CSU655450 DCQ655449:DCQ655450 DMM655449:DMM655450 DWI655449:DWI655450 EGE655449:EGE655450 EQA655449:EQA655450 EZW655449:EZW655450 FJS655449:FJS655450 FTO655449:FTO655450 GDK655449:GDK655450 GNG655449:GNG655450 GXC655449:GXC655450 HGY655449:HGY655450 HQU655449:HQU655450 IAQ655449:IAQ655450 IKM655449:IKM655450 IUI655449:IUI655450 JEE655449:JEE655450 JOA655449:JOA655450 JXW655449:JXW655450 KHS655449:KHS655450 KRO655449:KRO655450 LBK655449:LBK655450 LLG655449:LLG655450 LVC655449:LVC655450 MEY655449:MEY655450 MOU655449:MOU655450 MYQ655449:MYQ655450 NIM655449:NIM655450 NSI655449:NSI655450 OCE655449:OCE655450 OMA655449:OMA655450 OVW655449:OVW655450 PFS655449:PFS655450 PPO655449:PPO655450 PZK655449:PZK655450 QJG655449:QJG655450 QTC655449:QTC655450 RCY655449:RCY655450 RMU655449:RMU655450 RWQ655449:RWQ655450 SGM655449:SGM655450 SQI655449:SQI655450 TAE655449:TAE655450 TKA655449:TKA655450 TTW655449:TTW655450 UDS655449:UDS655450 UNO655449:UNO655450 UXK655449:UXK655450 VHG655449:VHG655450 VRC655449:VRC655450 WAY655449:WAY655450 WKU655449:WKU655450 WUQ655449:WUQ655450 IE720985:IE720986 SA720985:SA720986 ABW720985:ABW720986 ALS720985:ALS720986 AVO720985:AVO720986 BFK720985:BFK720986 BPG720985:BPG720986 BZC720985:BZC720986 CIY720985:CIY720986 CSU720985:CSU720986 DCQ720985:DCQ720986 DMM720985:DMM720986 DWI720985:DWI720986 EGE720985:EGE720986 EQA720985:EQA720986 EZW720985:EZW720986 FJS720985:FJS720986 FTO720985:FTO720986 GDK720985:GDK720986 GNG720985:GNG720986 GXC720985:GXC720986 HGY720985:HGY720986 HQU720985:HQU720986 IAQ720985:IAQ720986 IKM720985:IKM720986 IUI720985:IUI720986 JEE720985:JEE720986 JOA720985:JOA720986 JXW720985:JXW720986 KHS720985:KHS720986 KRO720985:KRO720986 LBK720985:LBK720986 LLG720985:LLG720986 LVC720985:LVC720986 MEY720985:MEY720986 MOU720985:MOU720986 MYQ720985:MYQ720986 NIM720985:NIM720986 NSI720985:NSI720986 OCE720985:OCE720986 OMA720985:OMA720986 OVW720985:OVW720986 PFS720985:PFS720986 PPO720985:PPO720986 PZK720985:PZK720986 QJG720985:QJG720986 QTC720985:QTC720986 RCY720985:RCY720986 RMU720985:RMU720986 RWQ720985:RWQ720986 SGM720985:SGM720986 SQI720985:SQI720986 TAE720985:TAE720986 TKA720985:TKA720986 TTW720985:TTW720986 UDS720985:UDS720986 UNO720985:UNO720986 UXK720985:UXK720986 VHG720985:VHG720986 VRC720985:VRC720986 WAY720985:WAY720986 WKU720985:WKU720986 WUQ720985:WUQ720986 IE786521:IE786522 SA786521:SA786522 ABW786521:ABW786522 ALS786521:ALS786522 AVO786521:AVO786522 BFK786521:BFK786522 BPG786521:BPG786522 BZC786521:BZC786522 CIY786521:CIY786522 CSU786521:CSU786522 DCQ786521:DCQ786522 DMM786521:DMM786522 DWI786521:DWI786522 EGE786521:EGE786522 EQA786521:EQA786522 EZW786521:EZW786522 FJS786521:FJS786522 FTO786521:FTO786522 GDK786521:GDK786522 GNG786521:GNG786522 GXC786521:GXC786522 HGY786521:HGY786522 HQU786521:HQU786522 IAQ786521:IAQ786522 IKM786521:IKM786522 IUI786521:IUI786522 JEE786521:JEE786522 JOA786521:JOA786522 JXW786521:JXW786522 KHS786521:KHS786522 KRO786521:KRO786522 LBK786521:LBK786522 LLG786521:LLG786522 LVC786521:LVC786522 MEY786521:MEY786522 MOU786521:MOU786522 MYQ786521:MYQ786522 NIM786521:NIM786522 NSI786521:NSI786522 OCE786521:OCE786522 OMA786521:OMA786522 OVW786521:OVW786522 PFS786521:PFS786522 PPO786521:PPO786522 PZK786521:PZK786522 QJG786521:QJG786522 QTC786521:QTC786522 RCY786521:RCY786522 RMU786521:RMU786522 RWQ786521:RWQ786522 SGM786521:SGM786522 SQI786521:SQI786522 TAE786521:TAE786522 TKA786521:TKA786522 TTW786521:TTW786522 UDS786521:UDS786522 UNO786521:UNO786522 UXK786521:UXK786522 VHG786521:VHG786522 VRC786521:VRC786522 WAY786521:WAY786522 WKU786521:WKU786522 WUQ786521:WUQ786522 IE852057:IE852058 SA852057:SA852058 ABW852057:ABW852058 ALS852057:ALS852058 AVO852057:AVO852058 BFK852057:BFK852058 BPG852057:BPG852058 BZC852057:BZC852058 CIY852057:CIY852058 CSU852057:CSU852058 DCQ852057:DCQ852058 DMM852057:DMM852058 DWI852057:DWI852058 EGE852057:EGE852058 EQA852057:EQA852058 EZW852057:EZW852058 FJS852057:FJS852058 FTO852057:FTO852058 GDK852057:GDK852058 GNG852057:GNG852058 GXC852057:GXC852058 HGY852057:HGY852058 HQU852057:HQU852058 IAQ852057:IAQ852058 IKM852057:IKM852058 IUI852057:IUI852058 JEE852057:JEE852058 JOA852057:JOA852058 JXW852057:JXW852058 KHS852057:KHS852058 KRO852057:KRO852058 LBK852057:LBK852058 LLG852057:LLG852058 LVC852057:LVC852058 MEY852057:MEY852058 MOU852057:MOU852058 MYQ852057:MYQ852058 NIM852057:NIM852058 NSI852057:NSI852058 OCE852057:OCE852058 OMA852057:OMA852058 OVW852057:OVW852058 PFS852057:PFS852058 PPO852057:PPO852058 PZK852057:PZK852058 QJG852057:QJG852058 QTC852057:QTC852058 RCY852057:RCY852058 RMU852057:RMU852058 RWQ852057:RWQ852058 SGM852057:SGM852058 SQI852057:SQI852058 TAE852057:TAE852058 TKA852057:TKA852058 TTW852057:TTW852058 UDS852057:UDS852058 UNO852057:UNO852058 UXK852057:UXK852058 VHG852057:VHG852058 VRC852057:VRC852058 WAY852057:WAY852058 WKU852057:WKU852058 WUQ852057:WUQ852058 IE917593:IE917594 SA917593:SA917594 ABW917593:ABW917594 ALS917593:ALS917594 AVO917593:AVO917594 BFK917593:BFK917594 BPG917593:BPG917594 BZC917593:BZC917594 CIY917593:CIY917594 CSU917593:CSU917594 DCQ917593:DCQ917594 DMM917593:DMM917594 DWI917593:DWI917594 EGE917593:EGE917594 EQA917593:EQA917594 EZW917593:EZW917594 FJS917593:FJS917594 FTO917593:FTO917594 GDK917593:GDK917594 GNG917593:GNG917594 GXC917593:GXC917594 HGY917593:HGY917594 HQU917593:HQU917594 IAQ917593:IAQ917594 IKM917593:IKM917594 IUI917593:IUI917594 JEE917593:JEE917594 JOA917593:JOA917594 JXW917593:JXW917594 KHS917593:KHS917594 KRO917593:KRO917594 LBK917593:LBK917594 LLG917593:LLG917594 LVC917593:LVC917594 MEY917593:MEY917594 MOU917593:MOU917594 MYQ917593:MYQ917594 NIM917593:NIM917594 NSI917593:NSI917594 OCE917593:OCE917594 OMA917593:OMA917594 OVW917593:OVW917594 PFS917593:PFS917594 PPO917593:PPO917594 PZK917593:PZK917594 QJG917593:QJG917594 QTC917593:QTC917594 RCY917593:RCY917594 RMU917593:RMU917594 RWQ917593:RWQ917594 SGM917593:SGM917594 SQI917593:SQI917594 TAE917593:TAE917594 TKA917593:TKA917594 TTW917593:TTW917594 UDS917593:UDS917594 UNO917593:UNO917594 UXK917593:UXK917594 VHG917593:VHG917594 VRC917593:VRC917594 WAY917593:WAY917594 WKU917593:WKU917594 WUQ917593:WUQ917594 IE983129:IE983130 SA983129:SA983130 ABW983129:ABW983130 ALS983129:ALS983130 AVO983129:AVO983130 BFK983129:BFK983130 BPG983129:BPG983130 BZC983129:BZC983130 CIY983129:CIY983130 CSU983129:CSU983130 DCQ983129:DCQ983130 DMM983129:DMM983130 DWI983129:DWI983130 EGE983129:EGE983130 EQA983129:EQA983130 EZW983129:EZW983130 FJS983129:FJS983130 FTO983129:FTO983130 GDK983129:GDK983130 GNG983129:GNG983130 GXC983129:GXC983130 HGY983129:HGY983130 HQU983129:HQU983130 IAQ983129:IAQ983130 IKM983129:IKM983130 IUI983129:IUI983130 JEE983129:JEE983130 JOA983129:JOA983130 JXW983129:JXW983130 KHS983129:KHS983130 KRO983129:KRO983130 LBK983129:LBK983130 LLG983129:LLG983130 LVC983129:LVC983130 MEY983129:MEY983130 MOU983129:MOU983130 MYQ983129:MYQ983130 NIM983129:NIM983130 NSI983129:NSI983130 OCE983129:OCE983130 OMA983129:OMA983130 OVW983129:OVW983130 PFS983129:PFS983130 PPO983129:PPO983130 PZK983129:PZK983130 QJG983129:QJG983130 QTC983129:QTC983130 RCY983129:RCY983130 RMU983129:RMU983130 RWQ983129:RWQ983130 SGM983129:SGM983130 SQI983129:SQI983130 TAE983129:TAE983130 TKA983129:TKA983130 TTW983129:TTW983130 UDS983129:UDS983130 UNO983129:UNO983130 UXK983129:UXK983130 VHG983129:VHG983130 VRC983129:VRC983130 WAY983129:WAY983130 WKU983129:WKU983130 WUQ983129:WUQ983130 SA92:SA95 ABW92:ABW95 ALS92:ALS95 AVO92:AVO95 BFK92:BFK95 BPG92:BPG95 BZC92:BZC95 CIY92:CIY95 CSU92:CSU95 DCQ92:DCQ95 DMM92:DMM95 DWI92:DWI95 EGE92:EGE95 EQA92:EQA95 EZW92:EZW95 FJS92:FJS95 FTO92:FTO95 GDK92:GDK95 GNG92:GNG95 GXC92:GXC95 HGY92:HGY95 HQU92:HQU95 IAQ92:IAQ95 IKM92:IKM95 IUI92:IUI95 JEE92:JEE95 JOA92:JOA95 JXW92:JXW95 KHS92:KHS95 KRO92:KRO95 LBK92:LBK95 LLG92:LLG95 LVC92:LVC95 MEY92:MEY95 MOU92:MOU95 MYQ92:MYQ95 NIM92:NIM95 NSI92:NSI95 OCE92:OCE95 OMA92:OMA95 OVW92:OVW95 PFS92:PFS95 PPO92:PPO95 PZK92:PZK95 QJG92:QJG95 QTC92:QTC95 RCY92:RCY95 RMU92:RMU95 RWQ92:RWQ95 SGM92:SGM95 SQI92:SQI95 TAE92:TAE95 TKA92:TKA95 TTW92:TTW95 UDS92:UDS95 UNO92:UNO95 UXK92:UXK95 VHG92:VHG95 VRC92:VRC95 WAY92:WAY95 WKU92:WKU95 WUQ92:WUQ95 IE65628:IE65630 SA65628:SA65630 ABW65628:ABW65630 ALS65628:ALS65630 AVO65628:AVO65630 BFK65628:BFK65630 BPG65628:BPG65630 BZC65628:BZC65630 CIY65628:CIY65630 CSU65628:CSU65630 DCQ65628:DCQ65630 DMM65628:DMM65630 DWI65628:DWI65630 EGE65628:EGE65630 EQA65628:EQA65630 EZW65628:EZW65630 FJS65628:FJS65630 FTO65628:FTO65630 GDK65628:GDK65630 GNG65628:GNG65630 GXC65628:GXC65630 HGY65628:HGY65630 HQU65628:HQU65630 IAQ65628:IAQ65630 IKM65628:IKM65630 IUI65628:IUI65630 JEE65628:JEE65630 JOA65628:JOA65630 JXW65628:JXW65630 KHS65628:KHS65630 KRO65628:KRO65630 LBK65628:LBK65630 LLG65628:LLG65630 LVC65628:LVC65630 MEY65628:MEY65630 MOU65628:MOU65630 MYQ65628:MYQ65630 NIM65628:NIM65630 NSI65628:NSI65630 OCE65628:OCE65630 OMA65628:OMA65630 OVW65628:OVW65630 PFS65628:PFS65630 PPO65628:PPO65630 PZK65628:PZK65630 QJG65628:QJG65630 QTC65628:QTC65630 RCY65628:RCY65630 RMU65628:RMU65630 RWQ65628:RWQ65630 SGM65628:SGM65630 SQI65628:SQI65630 TAE65628:TAE65630 TKA65628:TKA65630 TTW65628:TTW65630 UDS65628:UDS65630 UNO65628:UNO65630 UXK65628:UXK65630 VHG65628:VHG65630 VRC65628:VRC65630 WAY65628:WAY65630 WKU65628:WKU65630 WUQ65628:WUQ65630 IE131164:IE131166 SA131164:SA131166 ABW131164:ABW131166 ALS131164:ALS131166 AVO131164:AVO131166 BFK131164:BFK131166 BPG131164:BPG131166 BZC131164:BZC131166 CIY131164:CIY131166 CSU131164:CSU131166 DCQ131164:DCQ131166 DMM131164:DMM131166 DWI131164:DWI131166 EGE131164:EGE131166 EQA131164:EQA131166 EZW131164:EZW131166 FJS131164:FJS131166 FTO131164:FTO131166 GDK131164:GDK131166 GNG131164:GNG131166 GXC131164:GXC131166 HGY131164:HGY131166 HQU131164:HQU131166 IAQ131164:IAQ131166 IKM131164:IKM131166 IUI131164:IUI131166 JEE131164:JEE131166 JOA131164:JOA131166 JXW131164:JXW131166 KHS131164:KHS131166 KRO131164:KRO131166 LBK131164:LBK131166 LLG131164:LLG131166 LVC131164:LVC131166 MEY131164:MEY131166 MOU131164:MOU131166 MYQ131164:MYQ131166 NIM131164:NIM131166 NSI131164:NSI131166 OCE131164:OCE131166 OMA131164:OMA131166 OVW131164:OVW131166 PFS131164:PFS131166 PPO131164:PPO131166 PZK131164:PZK131166 QJG131164:QJG131166 QTC131164:QTC131166 RCY131164:RCY131166 RMU131164:RMU131166 RWQ131164:RWQ131166 SGM131164:SGM131166 SQI131164:SQI131166 TAE131164:TAE131166 TKA131164:TKA131166 TTW131164:TTW131166 UDS131164:UDS131166 UNO131164:UNO131166 UXK131164:UXK131166 VHG131164:VHG131166 VRC131164:VRC131166 WAY131164:WAY131166 WKU131164:WKU131166 WUQ131164:WUQ131166 IE196700:IE196702 SA196700:SA196702 ABW196700:ABW196702 ALS196700:ALS196702 AVO196700:AVO196702 BFK196700:BFK196702 BPG196700:BPG196702 BZC196700:BZC196702 CIY196700:CIY196702 CSU196700:CSU196702 DCQ196700:DCQ196702 DMM196700:DMM196702 DWI196700:DWI196702 EGE196700:EGE196702 EQA196700:EQA196702 EZW196700:EZW196702 FJS196700:FJS196702 FTO196700:FTO196702 GDK196700:GDK196702 GNG196700:GNG196702 GXC196700:GXC196702 HGY196700:HGY196702 HQU196700:HQU196702 IAQ196700:IAQ196702 IKM196700:IKM196702 IUI196700:IUI196702 JEE196700:JEE196702 JOA196700:JOA196702 JXW196700:JXW196702 KHS196700:KHS196702 KRO196700:KRO196702 LBK196700:LBK196702 LLG196700:LLG196702 LVC196700:LVC196702 MEY196700:MEY196702 MOU196700:MOU196702 MYQ196700:MYQ196702 NIM196700:NIM196702 NSI196700:NSI196702 OCE196700:OCE196702 OMA196700:OMA196702 OVW196700:OVW196702 PFS196700:PFS196702 PPO196700:PPO196702 PZK196700:PZK196702 QJG196700:QJG196702 QTC196700:QTC196702 RCY196700:RCY196702 RMU196700:RMU196702 RWQ196700:RWQ196702 SGM196700:SGM196702 SQI196700:SQI196702 TAE196700:TAE196702 TKA196700:TKA196702 TTW196700:TTW196702 UDS196700:UDS196702 UNO196700:UNO196702 UXK196700:UXK196702 VHG196700:VHG196702 VRC196700:VRC196702 WAY196700:WAY196702 WKU196700:WKU196702 WUQ196700:WUQ196702 IE262236:IE262238 SA262236:SA262238 ABW262236:ABW262238 ALS262236:ALS262238 AVO262236:AVO262238 BFK262236:BFK262238 BPG262236:BPG262238 BZC262236:BZC262238 CIY262236:CIY262238 CSU262236:CSU262238 DCQ262236:DCQ262238 DMM262236:DMM262238 DWI262236:DWI262238 EGE262236:EGE262238 EQA262236:EQA262238 EZW262236:EZW262238 FJS262236:FJS262238 FTO262236:FTO262238 GDK262236:GDK262238 GNG262236:GNG262238 GXC262236:GXC262238 HGY262236:HGY262238 HQU262236:HQU262238 IAQ262236:IAQ262238 IKM262236:IKM262238 IUI262236:IUI262238 JEE262236:JEE262238 JOA262236:JOA262238 JXW262236:JXW262238 KHS262236:KHS262238 KRO262236:KRO262238 LBK262236:LBK262238 LLG262236:LLG262238 LVC262236:LVC262238 MEY262236:MEY262238 MOU262236:MOU262238 MYQ262236:MYQ262238 NIM262236:NIM262238 NSI262236:NSI262238 OCE262236:OCE262238 OMA262236:OMA262238 OVW262236:OVW262238 PFS262236:PFS262238 PPO262236:PPO262238 PZK262236:PZK262238 QJG262236:QJG262238 QTC262236:QTC262238 RCY262236:RCY262238 RMU262236:RMU262238 RWQ262236:RWQ262238 SGM262236:SGM262238 SQI262236:SQI262238 TAE262236:TAE262238 TKA262236:TKA262238 TTW262236:TTW262238 UDS262236:UDS262238 UNO262236:UNO262238 UXK262236:UXK262238 VHG262236:VHG262238 VRC262236:VRC262238 WAY262236:WAY262238 WKU262236:WKU262238 WUQ262236:WUQ262238 IE327772:IE327774 SA327772:SA327774 ABW327772:ABW327774 ALS327772:ALS327774 AVO327772:AVO327774 BFK327772:BFK327774 BPG327772:BPG327774 BZC327772:BZC327774 CIY327772:CIY327774 CSU327772:CSU327774 DCQ327772:DCQ327774 DMM327772:DMM327774 DWI327772:DWI327774 EGE327772:EGE327774 EQA327772:EQA327774 EZW327772:EZW327774 FJS327772:FJS327774 FTO327772:FTO327774 GDK327772:GDK327774 GNG327772:GNG327774 GXC327772:GXC327774 HGY327772:HGY327774 HQU327772:HQU327774 IAQ327772:IAQ327774 IKM327772:IKM327774 IUI327772:IUI327774 JEE327772:JEE327774 JOA327772:JOA327774 JXW327772:JXW327774 KHS327772:KHS327774 KRO327772:KRO327774 LBK327772:LBK327774 LLG327772:LLG327774 LVC327772:LVC327774 MEY327772:MEY327774 MOU327772:MOU327774 MYQ327772:MYQ327774 NIM327772:NIM327774 NSI327772:NSI327774 OCE327772:OCE327774 OMA327772:OMA327774 OVW327772:OVW327774 PFS327772:PFS327774 PPO327772:PPO327774 PZK327772:PZK327774 QJG327772:QJG327774 QTC327772:QTC327774 RCY327772:RCY327774 RMU327772:RMU327774 RWQ327772:RWQ327774 SGM327772:SGM327774 SQI327772:SQI327774 TAE327772:TAE327774 TKA327772:TKA327774 TTW327772:TTW327774 UDS327772:UDS327774 UNO327772:UNO327774 UXK327772:UXK327774 VHG327772:VHG327774 VRC327772:VRC327774 WAY327772:WAY327774 WKU327772:WKU327774 WUQ327772:WUQ327774 IE393308:IE393310 SA393308:SA393310 ABW393308:ABW393310 ALS393308:ALS393310 AVO393308:AVO393310 BFK393308:BFK393310 BPG393308:BPG393310 BZC393308:BZC393310 CIY393308:CIY393310 CSU393308:CSU393310 DCQ393308:DCQ393310 DMM393308:DMM393310 DWI393308:DWI393310 EGE393308:EGE393310 EQA393308:EQA393310 EZW393308:EZW393310 FJS393308:FJS393310 FTO393308:FTO393310 GDK393308:GDK393310 GNG393308:GNG393310 GXC393308:GXC393310 HGY393308:HGY393310 HQU393308:HQU393310 IAQ393308:IAQ393310 IKM393308:IKM393310 IUI393308:IUI393310 JEE393308:JEE393310 JOA393308:JOA393310 JXW393308:JXW393310 KHS393308:KHS393310 KRO393308:KRO393310 LBK393308:LBK393310 LLG393308:LLG393310 LVC393308:LVC393310 MEY393308:MEY393310 MOU393308:MOU393310 MYQ393308:MYQ393310 NIM393308:NIM393310 NSI393308:NSI393310 OCE393308:OCE393310 OMA393308:OMA393310 OVW393308:OVW393310 PFS393308:PFS393310 PPO393308:PPO393310 PZK393308:PZK393310 QJG393308:QJG393310 QTC393308:QTC393310 RCY393308:RCY393310 RMU393308:RMU393310 RWQ393308:RWQ393310 SGM393308:SGM393310 SQI393308:SQI393310 TAE393308:TAE393310 TKA393308:TKA393310 TTW393308:TTW393310 UDS393308:UDS393310 UNO393308:UNO393310 UXK393308:UXK393310 VHG393308:VHG393310 VRC393308:VRC393310 WAY393308:WAY393310 WKU393308:WKU393310 WUQ393308:WUQ393310 IE458844:IE458846 SA458844:SA458846 ABW458844:ABW458846 ALS458844:ALS458846 AVO458844:AVO458846 BFK458844:BFK458846 BPG458844:BPG458846 BZC458844:BZC458846 CIY458844:CIY458846 CSU458844:CSU458846 DCQ458844:DCQ458846 DMM458844:DMM458846 DWI458844:DWI458846 EGE458844:EGE458846 EQA458844:EQA458846 EZW458844:EZW458846 FJS458844:FJS458846 FTO458844:FTO458846 GDK458844:GDK458846 GNG458844:GNG458846 GXC458844:GXC458846 HGY458844:HGY458846 HQU458844:HQU458846 IAQ458844:IAQ458846 IKM458844:IKM458846 IUI458844:IUI458846 JEE458844:JEE458846 JOA458844:JOA458846 JXW458844:JXW458846 KHS458844:KHS458846 KRO458844:KRO458846 LBK458844:LBK458846 LLG458844:LLG458846 LVC458844:LVC458846 MEY458844:MEY458846 MOU458844:MOU458846 MYQ458844:MYQ458846 NIM458844:NIM458846 NSI458844:NSI458846 OCE458844:OCE458846 OMA458844:OMA458846 OVW458844:OVW458846 PFS458844:PFS458846 PPO458844:PPO458846 PZK458844:PZK458846 QJG458844:QJG458846 QTC458844:QTC458846 RCY458844:RCY458846 RMU458844:RMU458846 RWQ458844:RWQ458846 SGM458844:SGM458846 SQI458844:SQI458846 TAE458844:TAE458846 TKA458844:TKA458846 TTW458844:TTW458846 UDS458844:UDS458846 UNO458844:UNO458846 UXK458844:UXK458846 VHG458844:VHG458846 VRC458844:VRC458846 WAY458844:WAY458846 WKU458844:WKU458846 WUQ458844:WUQ458846 IE524380:IE524382 SA524380:SA524382 ABW524380:ABW524382 ALS524380:ALS524382 AVO524380:AVO524382 BFK524380:BFK524382 BPG524380:BPG524382 BZC524380:BZC524382 CIY524380:CIY524382 CSU524380:CSU524382 DCQ524380:DCQ524382 DMM524380:DMM524382 DWI524380:DWI524382 EGE524380:EGE524382 EQA524380:EQA524382 EZW524380:EZW524382 FJS524380:FJS524382 FTO524380:FTO524382 GDK524380:GDK524382 GNG524380:GNG524382 GXC524380:GXC524382 HGY524380:HGY524382 HQU524380:HQU524382 IAQ524380:IAQ524382 IKM524380:IKM524382 IUI524380:IUI524382 JEE524380:JEE524382 JOA524380:JOA524382 JXW524380:JXW524382 KHS524380:KHS524382 KRO524380:KRO524382 LBK524380:LBK524382 LLG524380:LLG524382 LVC524380:LVC524382 MEY524380:MEY524382 MOU524380:MOU524382 MYQ524380:MYQ524382 NIM524380:NIM524382 NSI524380:NSI524382 OCE524380:OCE524382 OMA524380:OMA524382 OVW524380:OVW524382 PFS524380:PFS524382 PPO524380:PPO524382 PZK524380:PZK524382 QJG524380:QJG524382 QTC524380:QTC524382 RCY524380:RCY524382 RMU524380:RMU524382 RWQ524380:RWQ524382 SGM524380:SGM524382 SQI524380:SQI524382 TAE524380:TAE524382 TKA524380:TKA524382 TTW524380:TTW524382 UDS524380:UDS524382 UNO524380:UNO524382 UXK524380:UXK524382 VHG524380:VHG524382 VRC524380:VRC524382 WAY524380:WAY524382 WKU524380:WKU524382 WUQ524380:WUQ524382 IE589916:IE589918 SA589916:SA589918 ABW589916:ABW589918 ALS589916:ALS589918 AVO589916:AVO589918 BFK589916:BFK589918 BPG589916:BPG589918 BZC589916:BZC589918 CIY589916:CIY589918 CSU589916:CSU589918 DCQ589916:DCQ589918 DMM589916:DMM589918 DWI589916:DWI589918 EGE589916:EGE589918 EQA589916:EQA589918 EZW589916:EZW589918 FJS589916:FJS589918 FTO589916:FTO589918 GDK589916:GDK589918 GNG589916:GNG589918 GXC589916:GXC589918 HGY589916:HGY589918 HQU589916:HQU589918 IAQ589916:IAQ589918 IKM589916:IKM589918 IUI589916:IUI589918 JEE589916:JEE589918 JOA589916:JOA589918 JXW589916:JXW589918 KHS589916:KHS589918 KRO589916:KRO589918 LBK589916:LBK589918 LLG589916:LLG589918 LVC589916:LVC589918 MEY589916:MEY589918 MOU589916:MOU589918 MYQ589916:MYQ589918 NIM589916:NIM589918 NSI589916:NSI589918 OCE589916:OCE589918 OMA589916:OMA589918 OVW589916:OVW589918 PFS589916:PFS589918 PPO589916:PPO589918 PZK589916:PZK589918 QJG589916:QJG589918 QTC589916:QTC589918 RCY589916:RCY589918 RMU589916:RMU589918 RWQ589916:RWQ589918 SGM589916:SGM589918 SQI589916:SQI589918 TAE589916:TAE589918 TKA589916:TKA589918 TTW589916:TTW589918 UDS589916:UDS589918 UNO589916:UNO589918 UXK589916:UXK589918 VHG589916:VHG589918 VRC589916:VRC589918 WAY589916:WAY589918 WKU589916:WKU589918 WUQ589916:WUQ589918 IE655452:IE655454 SA655452:SA655454 ABW655452:ABW655454 ALS655452:ALS655454 AVO655452:AVO655454 BFK655452:BFK655454 BPG655452:BPG655454 BZC655452:BZC655454 CIY655452:CIY655454 CSU655452:CSU655454 DCQ655452:DCQ655454 DMM655452:DMM655454 DWI655452:DWI655454 EGE655452:EGE655454 EQA655452:EQA655454 EZW655452:EZW655454 FJS655452:FJS655454 FTO655452:FTO655454 GDK655452:GDK655454 GNG655452:GNG655454 GXC655452:GXC655454 HGY655452:HGY655454 HQU655452:HQU655454 IAQ655452:IAQ655454 IKM655452:IKM655454 IUI655452:IUI655454 JEE655452:JEE655454 JOA655452:JOA655454 JXW655452:JXW655454 KHS655452:KHS655454 KRO655452:KRO655454 LBK655452:LBK655454 LLG655452:LLG655454 LVC655452:LVC655454 MEY655452:MEY655454 MOU655452:MOU655454 MYQ655452:MYQ655454 NIM655452:NIM655454 NSI655452:NSI655454 OCE655452:OCE655454 OMA655452:OMA655454 OVW655452:OVW655454 PFS655452:PFS655454 PPO655452:PPO655454 PZK655452:PZK655454 QJG655452:QJG655454 QTC655452:QTC655454 RCY655452:RCY655454 RMU655452:RMU655454 RWQ655452:RWQ655454 SGM655452:SGM655454 SQI655452:SQI655454 TAE655452:TAE655454 TKA655452:TKA655454 TTW655452:TTW655454 UDS655452:UDS655454 UNO655452:UNO655454 UXK655452:UXK655454 VHG655452:VHG655454 VRC655452:VRC655454 WAY655452:WAY655454 WKU655452:WKU655454 WUQ655452:WUQ655454 IE720988:IE720990 SA720988:SA720990 ABW720988:ABW720990 ALS720988:ALS720990 AVO720988:AVO720990 BFK720988:BFK720990 BPG720988:BPG720990 BZC720988:BZC720990 CIY720988:CIY720990 CSU720988:CSU720990 DCQ720988:DCQ720990 DMM720988:DMM720990 DWI720988:DWI720990 EGE720988:EGE720990 EQA720988:EQA720990 EZW720988:EZW720990 FJS720988:FJS720990 FTO720988:FTO720990 GDK720988:GDK720990 GNG720988:GNG720990 GXC720988:GXC720990 HGY720988:HGY720990 HQU720988:HQU720990 IAQ720988:IAQ720990 IKM720988:IKM720990 IUI720988:IUI720990 JEE720988:JEE720990 JOA720988:JOA720990 JXW720988:JXW720990 KHS720988:KHS720990 KRO720988:KRO720990 LBK720988:LBK720990 LLG720988:LLG720990 LVC720988:LVC720990 MEY720988:MEY720990 MOU720988:MOU720990 MYQ720988:MYQ720990 NIM720988:NIM720990 NSI720988:NSI720990 OCE720988:OCE720990 OMA720988:OMA720990 OVW720988:OVW720990 PFS720988:PFS720990 PPO720988:PPO720990 PZK720988:PZK720990 QJG720988:QJG720990 QTC720988:QTC720990 RCY720988:RCY720990 RMU720988:RMU720990 RWQ720988:RWQ720990 SGM720988:SGM720990 SQI720988:SQI720990 TAE720988:TAE720990 TKA720988:TKA720990 TTW720988:TTW720990 UDS720988:UDS720990 UNO720988:UNO720990 UXK720988:UXK720990 VHG720988:VHG720990 VRC720988:VRC720990 WAY720988:WAY720990 WKU720988:WKU720990 WUQ720988:WUQ720990 IE786524:IE786526 SA786524:SA786526 ABW786524:ABW786526 ALS786524:ALS786526 AVO786524:AVO786526 BFK786524:BFK786526 BPG786524:BPG786526 BZC786524:BZC786526 CIY786524:CIY786526 CSU786524:CSU786526 DCQ786524:DCQ786526 DMM786524:DMM786526 DWI786524:DWI786526 EGE786524:EGE786526 EQA786524:EQA786526 EZW786524:EZW786526 FJS786524:FJS786526 FTO786524:FTO786526 GDK786524:GDK786526 GNG786524:GNG786526 GXC786524:GXC786526 HGY786524:HGY786526 HQU786524:HQU786526 IAQ786524:IAQ786526 IKM786524:IKM786526 IUI786524:IUI786526 JEE786524:JEE786526 JOA786524:JOA786526 JXW786524:JXW786526 KHS786524:KHS786526 KRO786524:KRO786526 LBK786524:LBK786526 LLG786524:LLG786526 LVC786524:LVC786526 MEY786524:MEY786526 MOU786524:MOU786526 MYQ786524:MYQ786526 NIM786524:NIM786526 NSI786524:NSI786526 OCE786524:OCE786526 OMA786524:OMA786526 OVW786524:OVW786526 PFS786524:PFS786526 PPO786524:PPO786526 PZK786524:PZK786526 QJG786524:QJG786526 QTC786524:QTC786526 RCY786524:RCY786526 RMU786524:RMU786526 RWQ786524:RWQ786526 SGM786524:SGM786526 SQI786524:SQI786526 TAE786524:TAE786526 TKA786524:TKA786526 TTW786524:TTW786526 UDS786524:UDS786526 UNO786524:UNO786526 UXK786524:UXK786526 VHG786524:VHG786526 VRC786524:VRC786526 WAY786524:WAY786526 WKU786524:WKU786526 WUQ786524:WUQ786526 IE852060:IE852062 SA852060:SA852062 ABW852060:ABW852062 ALS852060:ALS852062 AVO852060:AVO852062 BFK852060:BFK852062 BPG852060:BPG852062 BZC852060:BZC852062 CIY852060:CIY852062 CSU852060:CSU852062 DCQ852060:DCQ852062 DMM852060:DMM852062 DWI852060:DWI852062 EGE852060:EGE852062 EQA852060:EQA852062 EZW852060:EZW852062 FJS852060:FJS852062 FTO852060:FTO852062 GDK852060:GDK852062 GNG852060:GNG852062 GXC852060:GXC852062 HGY852060:HGY852062 HQU852060:HQU852062 IAQ852060:IAQ852062 IKM852060:IKM852062 IUI852060:IUI852062 JEE852060:JEE852062 JOA852060:JOA852062 JXW852060:JXW852062 KHS852060:KHS852062 KRO852060:KRO852062 LBK852060:LBK852062 LLG852060:LLG852062 LVC852060:LVC852062 MEY852060:MEY852062 MOU852060:MOU852062 MYQ852060:MYQ852062 NIM852060:NIM852062 NSI852060:NSI852062 OCE852060:OCE852062 OMA852060:OMA852062 OVW852060:OVW852062 PFS852060:PFS852062 PPO852060:PPO852062 PZK852060:PZK852062 QJG852060:QJG852062 QTC852060:QTC852062 RCY852060:RCY852062 RMU852060:RMU852062 RWQ852060:RWQ852062 SGM852060:SGM852062 SQI852060:SQI852062 TAE852060:TAE852062 TKA852060:TKA852062 TTW852060:TTW852062 UDS852060:UDS852062 UNO852060:UNO852062 UXK852060:UXK852062 VHG852060:VHG852062 VRC852060:VRC852062 WAY852060:WAY852062 WKU852060:WKU852062 WUQ852060:WUQ852062 IE917596:IE917598 SA917596:SA917598 ABW917596:ABW917598 ALS917596:ALS917598 AVO917596:AVO917598 BFK917596:BFK917598 BPG917596:BPG917598 BZC917596:BZC917598 CIY917596:CIY917598 CSU917596:CSU917598 DCQ917596:DCQ917598 DMM917596:DMM917598 DWI917596:DWI917598 EGE917596:EGE917598 EQA917596:EQA917598 EZW917596:EZW917598 FJS917596:FJS917598 FTO917596:FTO917598 GDK917596:GDK917598 GNG917596:GNG917598 GXC917596:GXC917598 HGY917596:HGY917598 HQU917596:HQU917598 IAQ917596:IAQ917598 IKM917596:IKM917598 IUI917596:IUI917598 JEE917596:JEE917598 JOA917596:JOA917598 JXW917596:JXW917598 KHS917596:KHS917598 KRO917596:KRO917598 LBK917596:LBK917598 LLG917596:LLG917598 LVC917596:LVC917598 MEY917596:MEY917598 MOU917596:MOU917598 MYQ917596:MYQ917598 NIM917596:NIM917598 NSI917596:NSI917598 OCE917596:OCE917598 OMA917596:OMA917598 OVW917596:OVW917598 PFS917596:PFS917598 PPO917596:PPO917598 PZK917596:PZK917598 QJG917596:QJG917598 QTC917596:QTC917598 RCY917596:RCY917598 RMU917596:RMU917598 RWQ917596:RWQ917598 SGM917596:SGM917598 SQI917596:SQI917598 TAE917596:TAE917598 TKA917596:TKA917598 TTW917596:TTW917598 UDS917596:UDS917598 UNO917596:UNO917598 UXK917596:UXK917598 VHG917596:VHG917598 VRC917596:VRC917598 WAY917596:WAY917598 WKU917596:WKU917598 WUQ917596:WUQ917598 IE983132:IE983134 SA983132:SA983134 ABW983132:ABW983134 ALS983132:ALS983134 AVO983132:AVO983134 BFK983132:BFK983134 BPG983132:BPG983134 BZC983132:BZC983134 CIY983132:CIY983134 CSU983132:CSU983134 DCQ983132:DCQ983134 DMM983132:DMM983134 DWI983132:DWI983134 EGE983132:EGE983134 EQA983132:EQA983134 EZW983132:EZW983134 FJS983132:FJS983134 FTO983132:FTO983134 GDK983132:GDK983134 GNG983132:GNG983134 GXC983132:GXC983134 HGY983132:HGY983134 HQU983132:HQU983134 IAQ983132:IAQ983134 IKM983132:IKM983134 IUI983132:IUI983134 JEE983132:JEE983134 JOA983132:JOA983134 JXW983132:JXW983134 KHS983132:KHS983134 KRO983132:KRO983134 LBK983132:LBK983134 LLG983132:LLG983134 LVC983132:LVC983134 MEY983132:MEY983134 MOU983132:MOU983134 MYQ983132:MYQ983134 NIM983132:NIM983134 NSI983132:NSI983134 OCE983132:OCE983134 OMA983132:OMA983134 OVW983132:OVW983134 PFS983132:PFS983134 PPO983132:PPO983134 PZK983132:PZK983134 QJG983132:QJG983134 QTC983132:QTC983134 RCY983132:RCY983134 RMU983132:RMU983134 RWQ983132:RWQ983134 SGM983132:SGM983134 SQI983132:SQI983134 TAE983132:TAE983134 TKA983132:TKA983134 TTW983132:TTW983134 UDS983132:UDS983134 UNO983132:UNO983134 UXK983132:UXK983134 VHG983132:VHG983134 VRC983132:VRC983134 WAY983132:WAY983134 WKU983132:WKU983134 WUQ983132:WUQ983134 IE92:IE95 IE6:IE87 WUQ6:WUQ87 WKU6:WKU87 WAY6:WAY87 VRC6:VRC87 VHG6:VHG87 UXK6:UXK87 UNO6:UNO87 UDS6:UDS87 TTW6:TTW87 TKA6:TKA87 TAE6:TAE87 SQI6:SQI87 SGM6:SGM87 RWQ6:RWQ87 RMU6:RMU87 RCY6:RCY87 QTC6:QTC87 QJG6:QJG87 PZK6:PZK87 PPO6:PPO87 PFS6:PFS87 OVW6:OVW87 OMA6:OMA87 OCE6:OCE87 NSI6:NSI87 NIM6:NIM87 MYQ6:MYQ87 MOU6:MOU87 MEY6:MEY87 LVC6:LVC87 LLG6:LLG87 LBK6:LBK87 KRO6:KRO87 KHS6:KHS87 JXW6:JXW87 JOA6:JOA87 JEE6:JEE87 IUI6:IUI87 IKM6:IKM87 IAQ6:IAQ87 HQU6:HQU87 HGY6:HGY87 GXC6:GXC87 GNG6:GNG87 GDK6:GDK87 FTO6:FTO87 FJS6:FJS87 EZW6:EZW87 EQA6:EQA87 EGE6:EGE87 DWI6:DWI87 DMM6:DMM87 DCQ6:DCQ87 CSU6:CSU87 CIY6:CIY87 BZC6:BZC87 BPG6:BPG87 BFK6:BFK87 AVO6:AVO87 ALS6:ALS87 ABW6:ABW87 SA6:SA87" xr:uid="{00000000-0002-0000-0A00-000000000000}">
      <formula1>"転記,自動"</formula1>
    </dataValidation>
    <dataValidation type="list" allowBlank="1" showInputMessage="1" showErrorMessage="1" sqref="ID65585:ID65623 RZ65585:RZ65623 ABV65585:ABV65623 ALR65585:ALR65623 AVN65585:AVN65623 BFJ65585:BFJ65623 BPF65585:BPF65623 BZB65585:BZB65623 CIX65585:CIX65623 CST65585:CST65623 DCP65585:DCP65623 DML65585:DML65623 DWH65585:DWH65623 EGD65585:EGD65623 EPZ65585:EPZ65623 EZV65585:EZV65623 FJR65585:FJR65623 FTN65585:FTN65623 GDJ65585:GDJ65623 GNF65585:GNF65623 GXB65585:GXB65623 HGX65585:HGX65623 HQT65585:HQT65623 IAP65585:IAP65623 IKL65585:IKL65623 IUH65585:IUH65623 JED65585:JED65623 JNZ65585:JNZ65623 JXV65585:JXV65623 KHR65585:KHR65623 KRN65585:KRN65623 LBJ65585:LBJ65623 LLF65585:LLF65623 LVB65585:LVB65623 MEX65585:MEX65623 MOT65585:MOT65623 MYP65585:MYP65623 NIL65585:NIL65623 NSH65585:NSH65623 OCD65585:OCD65623 OLZ65585:OLZ65623 OVV65585:OVV65623 PFR65585:PFR65623 PPN65585:PPN65623 PZJ65585:PZJ65623 QJF65585:QJF65623 QTB65585:QTB65623 RCX65585:RCX65623 RMT65585:RMT65623 RWP65585:RWP65623 SGL65585:SGL65623 SQH65585:SQH65623 TAD65585:TAD65623 TJZ65585:TJZ65623 TTV65585:TTV65623 UDR65585:UDR65623 UNN65585:UNN65623 UXJ65585:UXJ65623 VHF65585:VHF65623 VRB65585:VRB65623 WAX65585:WAX65623 WKT65585:WKT65623 WUP65585:WUP65623 ID131121:ID131159 RZ131121:RZ131159 ABV131121:ABV131159 ALR131121:ALR131159 AVN131121:AVN131159 BFJ131121:BFJ131159 BPF131121:BPF131159 BZB131121:BZB131159 CIX131121:CIX131159 CST131121:CST131159 DCP131121:DCP131159 DML131121:DML131159 DWH131121:DWH131159 EGD131121:EGD131159 EPZ131121:EPZ131159 EZV131121:EZV131159 FJR131121:FJR131159 FTN131121:FTN131159 GDJ131121:GDJ131159 GNF131121:GNF131159 GXB131121:GXB131159 HGX131121:HGX131159 HQT131121:HQT131159 IAP131121:IAP131159 IKL131121:IKL131159 IUH131121:IUH131159 JED131121:JED131159 JNZ131121:JNZ131159 JXV131121:JXV131159 KHR131121:KHR131159 KRN131121:KRN131159 LBJ131121:LBJ131159 LLF131121:LLF131159 LVB131121:LVB131159 MEX131121:MEX131159 MOT131121:MOT131159 MYP131121:MYP131159 NIL131121:NIL131159 NSH131121:NSH131159 OCD131121:OCD131159 OLZ131121:OLZ131159 OVV131121:OVV131159 PFR131121:PFR131159 PPN131121:PPN131159 PZJ131121:PZJ131159 QJF131121:QJF131159 QTB131121:QTB131159 RCX131121:RCX131159 RMT131121:RMT131159 RWP131121:RWP131159 SGL131121:SGL131159 SQH131121:SQH131159 TAD131121:TAD131159 TJZ131121:TJZ131159 TTV131121:TTV131159 UDR131121:UDR131159 UNN131121:UNN131159 UXJ131121:UXJ131159 VHF131121:VHF131159 VRB131121:VRB131159 WAX131121:WAX131159 WKT131121:WKT131159 WUP131121:WUP131159 ID196657:ID196695 RZ196657:RZ196695 ABV196657:ABV196695 ALR196657:ALR196695 AVN196657:AVN196695 BFJ196657:BFJ196695 BPF196657:BPF196695 BZB196657:BZB196695 CIX196657:CIX196695 CST196657:CST196695 DCP196657:DCP196695 DML196657:DML196695 DWH196657:DWH196695 EGD196657:EGD196695 EPZ196657:EPZ196695 EZV196657:EZV196695 FJR196657:FJR196695 FTN196657:FTN196695 GDJ196657:GDJ196695 GNF196657:GNF196695 GXB196657:GXB196695 HGX196657:HGX196695 HQT196657:HQT196695 IAP196657:IAP196695 IKL196657:IKL196695 IUH196657:IUH196695 JED196657:JED196695 JNZ196657:JNZ196695 JXV196657:JXV196695 KHR196657:KHR196695 KRN196657:KRN196695 LBJ196657:LBJ196695 LLF196657:LLF196695 LVB196657:LVB196695 MEX196657:MEX196695 MOT196657:MOT196695 MYP196657:MYP196695 NIL196657:NIL196695 NSH196657:NSH196695 OCD196657:OCD196695 OLZ196657:OLZ196695 OVV196657:OVV196695 PFR196657:PFR196695 PPN196657:PPN196695 PZJ196657:PZJ196695 QJF196657:QJF196695 QTB196657:QTB196695 RCX196657:RCX196695 RMT196657:RMT196695 RWP196657:RWP196695 SGL196657:SGL196695 SQH196657:SQH196695 TAD196657:TAD196695 TJZ196657:TJZ196695 TTV196657:TTV196695 UDR196657:UDR196695 UNN196657:UNN196695 UXJ196657:UXJ196695 VHF196657:VHF196695 VRB196657:VRB196695 WAX196657:WAX196695 WKT196657:WKT196695 WUP196657:WUP196695 ID262193:ID262231 RZ262193:RZ262231 ABV262193:ABV262231 ALR262193:ALR262231 AVN262193:AVN262231 BFJ262193:BFJ262231 BPF262193:BPF262231 BZB262193:BZB262231 CIX262193:CIX262231 CST262193:CST262231 DCP262193:DCP262231 DML262193:DML262231 DWH262193:DWH262231 EGD262193:EGD262231 EPZ262193:EPZ262231 EZV262193:EZV262231 FJR262193:FJR262231 FTN262193:FTN262231 GDJ262193:GDJ262231 GNF262193:GNF262231 GXB262193:GXB262231 HGX262193:HGX262231 HQT262193:HQT262231 IAP262193:IAP262231 IKL262193:IKL262231 IUH262193:IUH262231 JED262193:JED262231 JNZ262193:JNZ262231 JXV262193:JXV262231 KHR262193:KHR262231 KRN262193:KRN262231 LBJ262193:LBJ262231 LLF262193:LLF262231 LVB262193:LVB262231 MEX262193:MEX262231 MOT262193:MOT262231 MYP262193:MYP262231 NIL262193:NIL262231 NSH262193:NSH262231 OCD262193:OCD262231 OLZ262193:OLZ262231 OVV262193:OVV262231 PFR262193:PFR262231 PPN262193:PPN262231 PZJ262193:PZJ262231 QJF262193:QJF262231 QTB262193:QTB262231 RCX262193:RCX262231 RMT262193:RMT262231 RWP262193:RWP262231 SGL262193:SGL262231 SQH262193:SQH262231 TAD262193:TAD262231 TJZ262193:TJZ262231 TTV262193:TTV262231 UDR262193:UDR262231 UNN262193:UNN262231 UXJ262193:UXJ262231 VHF262193:VHF262231 VRB262193:VRB262231 WAX262193:WAX262231 WKT262193:WKT262231 WUP262193:WUP262231 ID327729:ID327767 RZ327729:RZ327767 ABV327729:ABV327767 ALR327729:ALR327767 AVN327729:AVN327767 BFJ327729:BFJ327767 BPF327729:BPF327767 BZB327729:BZB327767 CIX327729:CIX327767 CST327729:CST327767 DCP327729:DCP327767 DML327729:DML327767 DWH327729:DWH327767 EGD327729:EGD327767 EPZ327729:EPZ327767 EZV327729:EZV327767 FJR327729:FJR327767 FTN327729:FTN327767 GDJ327729:GDJ327767 GNF327729:GNF327767 GXB327729:GXB327767 HGX327729:HGX327767 HQT327729:HQT327767 IAP327729:IAP327767 IKL327729:IKL327767 IUH327729:IUH327767 JED327729:JED327767 JNZ327729:JNZ327767 JXV327729:JXV327767 KHR327729:KHR327767 KRN327729:KRN327767 LBJ327729:LBJ327767 LLF327729:LLF327767 LVB327729:LVB327767 MEX327729:MEX327767 MOT327729:MOT327767 MYP327729:MYP327767 NIL327729:NIL327767 NSH327729:NSH327767 OCD327729:OCD327767 OLZ327729:OLZ327767 OVV327729:OVV327767 PFR327729:PFR327767 PPN327729:PPN327767 PZJ327729:PZJ327767 QJF327729:QJF327767 QTB327729:QTB327767 RCX327729:RCX327767 RMT327729:RMT327767 RWP327729:RWP327767 SGL327729:SGL327767 SQH327729:SQH327767 TAD327729:TAD327767 TJZ327729:TJZ327767 TTV327729:TTV327767 UDR327729:UDR327767 UNN327729:UNN327767 UXJ327729:UXJ327767 VHF327729:VHF327767 VRB327729:VRB327767 WAX327729:WAX327767 WKT327729:WKT327767 WUP327729:WUP327767 ID393265:ID393303 RZ393265:RZ393303 ABV393265:ABV393303 ALR393265:ALR393303 AVN393265:AVN393303 BFJ393265:BFJ393303 BPF393265:BPF393303 BZB393265:BZB393303 CIX393265:CIX393303 CST393265:CST393303 DCP393265:DCP393303 DML393265:DML393303 DWH393265:DWH393303 EGD393265:EGD393303 EPZ393265:EPZ393303 EZV393265:EZV393303 FJR393265:FJR393303 FTN393265:FTN393303 GDJ393265:GDJ393303 GNF393265:GNF393303 GXB393265:GXB393303 HGX393265:HGX393303 HQT393265:HQT393303 IAP393265:IAP393303 IKL393265:IKL393303 IUH393265:IUH393303 JED393265:JED393303 JNZ393265:JNZ393303 JXV393265:JXV393303 KHR393265:KHR393303 KRN393265:KRN393303 LBJ393265:LBJ393303 LLF393265:LLF393303 LVB393265:LVB393303 MEX393265:MEX393303 MOT393265:MOT393303 MYP393265:MYP393303 NIL393265:NIL393303 NSH393265:NSH393303 OCD393265:OCD393303 OLZ393265:OLZ393303 OVV393265:OVV393303 PFR393265:PFR393303 PPN393265:PPN393303 PZJ393265:PZJ393303 QJF393265:QJF393303 QTB393265:QTB393303 RCX393265:RCX393303 RMT393265:RMT393303 RWP393265:RWP393303 SGL393265:SGL393303 SQH393265:SQH393303 TAD393265:TAD393303 TJZ393265:TJZ393303 TTV393265:TTV393303 UDR393265:UDR393303 UNN393265:UNN393303 UXJ393265:UXJ393303 VHF393265:VHF393303 VRB393265:VRB393303 WAX393265:WAX393303 WKT393265:WKT393303 WUP393265:WUP393303 ID458801:ID458839 RZ458801:RZ458839 ABV458801:ABV458839 ALR458801:ALR458839 AVN458801:AVN458839 BFJ458801:BFJ458839 BPF458801:BPF458839 BZB458801:BZB458839 CIX458801:CIX458839 CST458801:CST458839 DCP458801:DCP458839 DML458801:DML458839 DWH458801:DWH458839 EGD458801:EGD458839 EPZ458801:EPZ458839 EZV458801:EZV458839 FJR458801:FJR458839 FTN458801:FTN458839 GDJ458801:GDJ458839 GNF458801:GNF458839 GXB458801:GXB458839 HGX458801:HGX458839 HQT458801:HQT458839 IAP458801:IAP458839 IKL458801:IKL458839 IUH458801:IUH458839 JED458801:JED458839 JNZ458801:JNZ458839 JXV458801:JXV458839 KHR458801:KHR458839 KRN458801:KRN458839 LBJ458801:LBJ458839 LLF458801:LLF458839 LVB458801:LVB458839 MEX458801:MEX458839 MOT458801:MOT458839 MYP458801:MYP458839 NIL458801:NIL458839 NSH458801:NSH458839 OCD458801:OCD458839 OLZ458801:OLZ458839 OVV458801:OVV458839 PFR458801:PFR458839 PPN458801:PPN458839 PZJ458801:PZJ458839 QJF458801:QJF458839 QTB458801:QTB458839 RCX458801:RCX458839 RMT458801:RMT458839 RWP458801:RWP458839 SGL458801:SGL458839 SQH458801:SQH458839 TAD458801:TAD458839 TJZ458801:TJZ458839 TTV458801:TTV458839 UDR458801:UDR458839 UNN458801:UNN458839 UXJ458801:UXJ458839 VHF458801:VHF458839 VRB458801:VRB458839 WAX458801:WAX458839 WKT458801:WKT458839 WUP458801:WUP458839 ID524337:ID524375 RZ524337:RZ524375 ABV524337:ABV524375 ALR524337:ALR524375 AVN524337:AVN524375 BFJ524337:BFJ524375 BPF524337:BPF524375 BZB524337:BZB524375 CIX524337:CIX524375 CST524337:CST524375 DCP524337:DCP524375 DML524337:DML524375 DWH524337:DWH524375 EGD524337:EGD524375 EPZ524337:EPZ524375 EZV524337:EZV524375 FJR524337:FJR524375 FTN524337:FTN524375 GDJ524337:GDJ524375 GNF524337:GNF524375 GXB524337:GXB524375 HGX524337:HGX524375 HQT524337:HQT524375 IAP524337:IAP524375 IKL524337:IKL524375 IUH524337:IUH524375 JED524337:JED524375 JNZ524337:JNZ524375 JXV524337:JXV524375 KHR524337:KHR524375 KRN524337:KRN524375 LBJ524337:LBJ524375 LLF524337:LLF524375 LVB524337:LVB524375 MEX524337:MEX524375 MOT524337:MOT524375 MYP524337:MYP524375 NIL524337:NIL524375 NSH524337:NSH524375 OCD524337:OCD524375 OLZ524337:OLZ524375 OVV524337:OVV524375 PFR524337:PFR524375 PPN524337:PPN524375 PZJ524337:PZJ524375 QJF524337:QJF524375 QTB524337:QTB524375 RCX524337:RCX524375 RMT524337:RMT524375 RWP524337:RWP524375 SGL524337:SGL524375 SQH524337:SQH524375 TAD524337:TAD524375 TJZ524337:TJZ524375 TTV524337:TTV524375 UDR524337:UDR524375 UNN524337:UNN524375 UXJ524337:UXJ524375 VHF524337:VHF524375 VRB524337:VRB524375 WAX524337:WAX524375 WKT524337:WKT524375 WUP524337:WUP524375 ID589873:ID589911 RZ589873:RZ589911 ABV589873:ABV589911 ALR589873:ALR589911 AVN589873:AVN589911 BFJ589873:BFJ589911 BPF589873:BPF589911 BZB589873:BZB589911 CIX589873:CIX589911 CST589873:CST589911 DCP589873:DCP589911 DML589873:DML589911 DWH589873:DWH589911 EGD589873:EGD589911 EPZ589873:EPZ589911 EZV589873:EZV589911 FJR589873:FJR589911 FTN589873:FTN589911 GDJ589873:GDJ589911 GNF589873:GNF589911 GXB589873:GXB589911 HGX589873:HGX589911 HQT589873:HQT589911 IAP589873:IAP589911 IKL589873:IKL589911 IUH589873:IUH589911 JED589873:JED589911 JNZ589873:JNZ589911 JXV589873:JXV589911 KHR589873:KHR589911 KRN589873:KRN589911 LBJ589873:LBJ589911 LLF589873:LLF589911 LVB589873:LVB589911 MEX589873:MEX589911 MOT589873:MOT589911 MYP589873:MYP589911 NIL589873:NIL589911 NSH589873:NSH589911 OCD589873:OCD589911 OLZ589873:OLZ589911 OVV589873:OVV589911 PFR589873:PFR589911 PPN589873:PPN589911 PZJ589873:PZJ589911 QJF589873:QJF589911 QTB589873:QTB589911 RCX589873:RCX589911 RMT589873:RMT589911 RWP589873:RWP589911 SGL589873:SGL589911 SQH589873:SQH589911 TAD589873:TAD589911 TJZ589873:TJZ589911 TTV589873:TTV589911 UDR589873:UDR589911 UNN589873:UNN589911 UXJ589873:UXJ589911 VHF589873:VHF589911 VRB589873:VRB589911 WAX589873:WAX589911 WKT589873:WKT589911 WUP589873:WUP589911 ID655409:ID655447 RZ655409:RZ655447 ABV655409:ABV655447 ALR655409:ALR655447 AVN655409:AVN655447 BFJ655409:BFJ655447 BPF655409:BPF655447 BZB655409:BZB655447 CIX655409:CIX655447 CST655409:CST655447 DCP655409:DCP655447 DML655409:DML655447 DWH655409:DWH655447 EGD655409:EGD655447 EPZ655409:EPZ655447 EZV655409:EZV655447 FJR655409:FJR655447 FTN655409:FTN655447 GDJ655409:GDJ655447 GNF655409:GNF655447 GXB655409:GXB655447 HGX655409:HGX655447 HQT655409:HQT655447 IAP655409:IAP655447 IKL655409:IKL655447 IUH655409:IUH655447 JED655409:JED655447 JNZ655409:JNZ655447 JXV655409:JXV655447 KHR655409:KHR655447 KRN655409:KRN655447 LBJ655409:LBJ655447 LLF655409:LLF655447 LVB655409:LVB655447 MEX655409:MEX655447 MOT655409:MOT655447 MYP655409:MYP655447 NIL655409:NIL655447 NSH655409:NSH655447 OCD655409:OCD655447 OLZ655409:OLZ655447 OVV655409:OVV655447 PFR655409:PFR655447 PPN655409:PPN655447 PZJ655409:PZJ655447 QJF655409:QJF655447 QTB655409:QTB655447 RCX655409:RCX655447 RMT655409:RMT655447 RWP655409:RWP655447 SGL655409:SGL655447 SQH655409:SQH655447 TAD655409:TAD655447 TJZ655409:TJZ655447 TTV655409:TTV655447 UDR655409:UDR655447 UNN655409:UNN655447 UXJ655409:UXJ655447 VHF655409:VHF655447 VRB655409:VRB655447 WAX655409:WAX655447 WKT655409:WKT655447 WUP655409:WUP655447 ID720945:ID720983 RZ720945:RZ720983 ABV720945:ABV720983 ALR720945:ALR720983 AVN720945:AVN720983 BFJ720945:BFJ720983 BPF720945:BPF720983 BZB720945:BZB720983 CIX720945:CIX720983 CST720945:CST720983 DCP720945:DCP720983 DML720945:DML720983 DWH720945:DWH720983 EGD720945:EGD720983 EPZ720945:EPZ720983 EZV720945:EZV720983 FJR720945:FJR720983 FTN720945:FTN720983 GDJ720945:GDJ720983 GNF720945:GNF720983 GXB720945:GXB720983 HGX720945:HGX720983 HQT720945:HQT720983 IAP720945:IAP720983 IKL720945:IKL720983 IUH720945:IUH720983 JED720945:JED720983 JNZ720945:JNZ720983 JXV720945:JXV720983 KHR720945:KHR720983 KRN720945:KRN720983 LBJ720945:LBJ720983 LLF720945:LLF720983 LVB720945:LVB720983 MEX720945:MEX720983 MOT720945:MOT720983 MYP720945:MYP720983 NIL720945:NIL720983 NSH720945:NSH720983 OCD720945:OCD720983 OLZ720945:OLZ720983 OVV720945:OVV720983 PFR720945:PFR720983 PPN720945:PPN720983 PZJ720945:PZJ720983 QJF720945:QJF720983 QTB720945:QTB720983 RCX720945:RCX720983 RMT720945:RMT720983 RWP720945:RWP720983 SGL720945:SGL720983 SQH720945:SQH720983 TAD720945:TAD720983 TJZ720945:TJZ720983 TTV720945:TTV720983 UDR720945:UDR720983 UNN720945:UNN720983 UXJ720945:UXJ720983 VHF720945:VHF720983 VRB720945:VRB720983 WAX720945:WAX720983 WKT720945:WKT720983 WUP720945:WUP720983 ID786481:ID786519 RZ786481:RZ786519 ABV786481:ABV786519 ALR786481:ALR786519 AVN786481:AVN786519 BFJ786481:BFJ786519 BPF786481:BPF786519 BZB786481:BZB786519 CIX786481:CIX786519 CST786481:CST786519 DCP786481:DCP786519 DML786481:DML786519 DWH786481:DWH786519 EGD786481:EGD786519 EPZ786481:EPZ786519 EZV786481:EZV786519 FJR786481:FJR786519 FTN786481:FTN786519 GDJ786481:GDJ786519 GNF786481:GNF786519 GXB786481:GXB786519 HGX786481:HGX786519 HQT786481:HQT786519 IAP786481:IAP786519 IKL786481:IKL786519 IUH786481:IUH786519 JED786481:JED786519 JNZ786481:JNZ786519 JXV786481:JXV786519 KHR786481:KHR786519 KRN786481:KRN786519 LBJ786481:LBJ786519 LLF786481:LLF786519 LVB786481:LVB786519 MEX786481:MEX786519 MOT786481:MOT786519 MYP786481:MYP786519 NIL786481:NIL786519 NSH786481:NSH786519 OCD786481:OCD786519 OLZ786481:OLZ786519 OVV786481:OVV786519 PFR786481:PFR786519 PPN786481:PPN786519 PZJ786481:PZJ786519 QJF786481:QJF786519 QTB786481:QTB786519 RCX786481:RCX786519 RMT786481:RMT786519 RWP786481:RWP786519 SGL786481:SGL786519 SQH786481:SQH786519 TAD786481:TAD786519 TJZ786481:TJZ786519 TTV786481:TTV786519 UDR786481:UDR786519 UNN786481:UNN786519 UXJ786481:UXJ786519 VHF786481:VHF786519 VRB786481:VRB786519 WAX786481:WAX786519 WKT786481:WKT786519 WUP786481:WUP786519 ID852017:ID852055 RZ852017:RZ852055 ABV852017:ABV852055 ALR852017:ALR852055 AVN852017:AVN852055 BFJ852017:BFJ852055 BPF852017:BPF852055 BZB852017:BZB852055 CIX852017:CIX852055 CST852017:CST852055 DCP852017:DCP852055 DML852017:DML852055 DWH852017:DWH852055 EGD852017:EGD852055 EPZ852017:EPZ852055 EZV852017:EZV852055 FJR852017:FJR852055 FTN852017:FTN852055 GDJ852017:GDJ852055 GNF852017:GNF852055 GXB852017:GXB852055 HGX852017:HGX852055 HQT852017:HQT852055 IAP852017:IAP852055 IKL852017:IKL852055 IUH852017:IUH852055 JED852017:JED852055 JNZ852017:JNZ852055 JXV852017:JXV852055 KHR852017:KHR852055 KRN852017:KRN852055 LBJ852017:LBJ852055 LLF852017:LLF852055 LVB852017:LVB852055 MEX852017:MEX852055 MOT852017:MOT852055 MYP852017:MYP852055 NIL852017:NIL852055 NSH852017:NSH852055 OCD852017:OCD852055 OLZ852017:OLZ852055 OVV852017:OVV852055 PFR852017:PFR852055 PPN852017:PPN852055 PZJ852017:PZJ852055 QJF852017:QJF852055 QTB852017:QTB852055 RCX852017:RCX852055 RMT852017:RMT852055 RWP852017:RWP852055 SGL852017:SGL852055 SQH852017:SQH852055 TAD852017:TAD852055 TJZ852017:TJZ852055 TTV852017:TTV852055 UDR852017:UDR852055 UNN852017:UNN852055 UXJ852017:UXJ852055 VHF852017:VHF852055 VRB852017:VRB852055 WAX852017:WAX852055 WKT852017:WKT852055 WUP852017:WUP852055 ID917553:ID917591 RZ917553:RZ917591 ABV917553:ABV917591 ALR917553:ALR917591 AVN917553:AVN917591 BFJ917553:BFJ917591 BPF917553:BPF917591 BZB917553:BZB917591 CIX917553:CIX917591 CST917553:CST917591 DCP917553:DCP917591 DML917553:DML917591 DWH917553:DWH917591 EGD917553:EGD917591 EPZ917553:EPZ917591 EZV917553:EZV917591 FJR917553:FJR917591 FTN917553:FTN917591 GDJ917553:GDJ917591 GNF917553:GNF917591 GXB917553:GXB917591 HGX917553:HGX917591 HQT917553:HQT917591 IAP917553:IAP917591 IKL917553:IKL917591 IUH917553:IUH917591 JED917553:JED917591 JNZ917553:JNZ917591 JXV917553:JXV917591 KHR917553:KHR917591 KRN917553:KRN917591 LBJ917553:LBJ917591 LLF917553:LLF917591 LVB917553:LVB917591 MEX917553:MEX917591 MOT917553:MOT917591 MYP917553:MYP917591 NIL917553:NIL917591 NSH917553:NSH917591 OCD917553:OCD917591 OLZ917553:OLZ917591 OVV917553:OVV917591 PFR917553:PFR917591 PPN917553:PPN917591 PZJ917553:PZJ917591 QJF917553:QJF917591 QTB917553:QTB917591 RCX917553:RCX917591 RMT917553:RMT917591 RWP917553:RWP917591 SGL917553:SGL917591 SQH917553:SQH917591 TAD917553:TAD917591 TJZ917553:TJZ917591 TTV917553:TTV917591 UDR917553:UDR917591 UNN917553:UNN917591 UXJ917553:UXJ917591 VHF917553:VHF917591 VRB917553:VRB917591 WAX917553:WAX917591 WKT917553:WKT917591 WUP917553:WUP917591 ID983089:ID983127 RZ983089:RZ983127 ABV983089:ABV983127 ALR983089:ALR983127 AVN983089:AVN983127 BFJ983089:BFJ983127 BPF983089:BPF983127 BZB983089:BZB983127 CIX983089:CIX983127 CST983089:CST983127 DCP983089:DCP983127 DML983089:DML983127 DWH983089:DWH983127 EGD983089:EGD983127 EPZ983089:EPZ983127 EZV983089:EZV983127 FJR983089:FJR983127 FTN983089:FTN983127 GDJ983089:GDJ983127 GNF983089:GNF983127 GXB983089:GXB983127 HGX983089:HGX983127 HQT983089:HQT983127 IAP983089:IAP983127 IKL983089:IKL983127 IUH983089:IUH983127 JED983089:JED983127 JNZ983089:JNZ983127 JXV983089:JXV983127 KHR983089:KHR983127 KRN983089:KRN983127 LBJ983089:LBJ983127 LLF983089:LLF983127 LVB983089:LVB983127 MEX983089:MEX983127 MOT983089:MOT983127 MYP983089:MYP983127 NIL983089:NIL983127 NSH983089:NSH983127 OCD983089:OCD983127 OLZ983089:OLZ983127 OVV983089:OVV983127 PFR983089:PFR983127 PPN983089:PPN983127 PZJ983089:PZJ983127 QJF983089:QJF983127 QTB983089:QTB983127 RCX983089:RCX983127 RMT983089:RMT983127 RWP983089:RWP983127 SGL983089:SGL983127 SQH983089:SQH983127 TAD983089:TAD983127 TJZ983089:TJZ983127 TTV983089:TTV983127 UDR983089:UDR983127 UNN983089:UNN983127 UXJ983089:UXJ983127 VHF983089:VHF983127 VRB983089:VRB983127 WAX983089:WAX983127 WKT983089:WKT983127 WUP983089:WUP983127 ID89:ID90 RZ89:RZ90 ABV89:ABV90 ALR89:ALR90 AVN89:AVN90 BFJ89:BFJ90 BPF89:BPF90 BZB89:BZB90 CIX89:CIX90 CST89:CST90 DCP89:DCP90 DML89:DML90 DWH89:DWH90 EGD89:EGD90 EPZ89:EPZ90 EZV89:EZV90 FJR89:FJR90 FTN89:FTN90 GDJ89:GDJ90 GNF89:GNF90 GXB89:GXB90 HGX89:HGX90 HQT89:HQT90 IAP89:IAP90 IKL89:IKL90 IUH89:IUH90 JED89:JED90 JNZ89:JNZ90 JXV89:JXV90 KHR89:KHR90 KRN89:KRN90 LBJ89:LBJ90 LLF89:LLF90 LVB89:LVB90 MEX89:MEX90 MOT89:MOT90 MYP89:MYP90 NIL89:NIL90 NSH89:NSH90 OCD89:OCD90 OLZ89:OLZ90 OVV89:OVV90 PFR89:PFR90 PPN89:PPN90 PZJ89:PZJ90 QJF89:QJF90 QTB89:QTB90 RCX89:RCX90 RMT89:RMT90 RWP89:RWP90 SGL89:SGL90 SQH89:SQH90 TAD89:TAD90 TJZ89:TJZ90 TTV89:TTV90 UDR89:UDR90 UNN89:UNN90 UXJ89:UXJ90 VHF89:VHF90 VRB89:VRB90 WAX89:WAX90 WKT89:WKT90 WUP89:WUP90 ID65625:ID65626 RZ65625:RZ65626 ABV65625:ABV65626 ALR65625:ALR65626 AVN65625:AVN65626 BFJ65625:BFJ65626 BPF65625:BPF65626 BZB65625:BZB65626 CIX65625:CIX65626 CST65625:CST65626 DCP65625:DCP65626 DML65625:DML65626 DWH65625:DWH65626 EGD65625:EGD65626 EPZ65625:EPZ65626 EZV65625:EZV65626 FJR65625:FJR65626 FTN65625:FTN65626 GDJ65625:GDJ65626 GNF65625:GNF65626 GXB65625:GXB65626 HGX65625:HGX65626 HQT65625:HQT65626 IAP65625:IAP65626 IKL65625:IKL65626 IUH65625:IUH65626 JED65625:JED65626 JNZ65625:JNZ65626 JXV65625:JXV65626 KHR65625:KHR65626 KRN65625:KRN65626 LBJ65625:LBJ65626 LLF65625:LLF65626 LVB65625:LVB65626 MEX65625:MEX65626 MOT65625:MOT65626 MYP65625:MYP65626 NIL65625:NIL65626 NSH65625:NSH65626 OCD65625:OCD65626 OLZ65625:OLZ65626 OVV65625:OVV65626 PFR65625:PFR65626 PPN65625:PPN65626 PZJ65625:PZJ65626 QJF65625:QJF65626 QTB65625:QTB65626 RCX65625:RCX65626 RMT65625:RMT65626 RWP65625:RWP65626 SGL65625:SGL65626 SQH65625:SQH65626 TAD65625:TAD65626 TJZ65625:TJZ65626 TTV65625:TTV65626 UDR65625:UDR65626 UNN65625:UNN65626 UXJ65625:UXJ65626 VHF65625:VHF65626 VRB65625:VRB65626 WAX65625:WAX65626 WKT65625:WKT65626 WUP65625:WUP65626 ID131161:ID131162 RZ131161:RZ131162 ABV131161:ABV131162 ALR131161:ALR131162 AVN131161:AVN131162 BFJ131161:BFJ131162 BPF131161:BPF131162 BZB131161:BZB131162 CIX131161:CIX131162 CST131161:CST131162 DCP131161:DCP131162 DML131161:DML131162 DWH131161:DWH131162 EGD131161:EGD131162 EPZ131161:EPZ131162 EZV131161:EZV131162 FJR131161:FJR131162 FTN131161:FTN131162 GDJ131161:GDJ131162 GNF131161:GNF131162 GXB131161:GXB131162 HGX131161:HGX131162 HQT131161:HQT131162 IAP131161:IAP131162 IKL131161:IKL131162 IUH131161:IUH131162 JED131161:JED131162 JNZ131161:JNZ131162 JXV131161:JXV131162 KHR131161:KHR131162 KRN131161:KRN131162 LBJ131161:LBJ131162 LLF131161:LLF131162 LVB131161:LVB131162 MEX131161:MEX131162 MOT131161:MOT131162 MYP131161:MYP131162 NIL131161:NIL131162 NSH131161:NSH131162 OCD131161:OCD131162 OLZ131161:OLZ131162 OVV131161:OVV131162 PFR131161:PFR131162 PPN131161:PPN131162 PZJ131161:PZJ131162 QJF131161:QJF131162 QTB131161:QTB131162 RCX131161:RCX131162 RMT131161:RMT131162 RWP131161:RWP131162 SGL131161:SGL131162 SQH131161:SQH131162 TAD131161:TAD131162 TJZ131161:TJZ131162 TTV131161:TTV131162 UDR131161:UDR131162 UNN131161:UNN131162 UXJ131161:UXJ131162 VHF131161:VHF131162 VRB131161:VRB131162 WAX131161:WAX131162 WKT131161:WKT131162 WUP131161:WUP131162 ID196697:ID196698 RZ196697:RZ196698 ABV196697:ABV196698 ALR196697:ALR196698 AVN196697:AVN196698 BFJ196697:BFJ196698 BPF196697:BPF196698 BZB196697:BZB196698 CIX196697:CIX196698 CST196697:CST196698 DCP196697:DCP196698 DML196697:DML196698 DWH196697:DWH196698 EGD196697:EGD196698 EPZ196697:EPZ196698 EZV196697:EZV196698 FJR196697:FJR196698 FTN196697:FTN196698 GDJ196697:GDJ196698 GNF196697:GNF196698 GXB196697:GXB196698 HGX196697:HGX196698 HQT196697:HQT196698 IAP196697:IAP196698 IKL196697:IKL196698 IUH196697:IUH196698 JED196697:JED196698 JNZ196697:JNZ196698 JXV196697:JXV196698 KHR196697:KHR196698 KRN196697:KRN196698 LBJ196697:LBJ196698 LLF196697:LLF196698 LVB196697:LVB196698 MEX196697:MEX196698 MOT196697:MOT196698 MYP196697:MYP196698 NIL196697:NIL196698 NSH196697:NSH196698 OCD196697:OCD196698 OLZ196697:OLZ196698 OVV196697:OVV196698 PFR196697:PFR196698 PPN196697:PPN196698 PZJ196697:PZJ196698 QJF196697:QJF196698 QTB196697:QTB196698 RCX196697:RCX196698 RMT196697:RMT196698 RWP196697:RWP196698 SGL196697:SGL196698 SQH196697:SQH196698 TAD196697:TAD196698 TJZ196697:TJZ196698 TTV196697:TTV196698 UDR196697:UDR196698 UNN196697:UNN196698 UXJ196697:UXJ196698 VHF196697:VHF196698 VRB196697:VRB196698 WAX196697:WAX196698 WKT196697:WKT196698 WUP196697:WUP196698 ID262233:ID262234 RZ262233:RZ262234 ABV262233:ABV262234 ALR262233:ALR262234 AVN262233:AVN262234 BFJ262233:BFJ262234 BPF262233:BPF262234 BZB262233:BZB262234 CIX262233:CIX262234 CST262233:CST262234 DCP262233:DCP262234 DML262233:DML262234 DWH262233:DWH262234 EGD262233:EGD262234 EPZ262233:EPZ262234 EZV262233:EZV262234 FJR262233:FJR262234 FTN262233:FTN262234 GDJ262233:GDJ262234 GNF262233:GNF262234 GXB262233:GXB262234 HGX262233:HGX262234 HQT262233:HQT262234 IAP262233:IAP262234 IKL262233:IKL262234 IUH262233:IUH262234 JED262233:JED262234 JNZ262233:JNZ262234 JXV262233:JXV262234 KHR262233:KHR262234 KRN262233:KRN262234 LBJ262233:LBJ262234 LLF262233:LLF262234 LVB262233:LVB262234 MEX262233:MEX262234 MOT262233:MOT262234 MYP262233:MYP262234 NIL262233:NIL262234 NSH262233:NSH262234 OCD262233:OCD262234 OLZ262233:OLZ262234 OVV262233:OVV262234 PFR262233:PFR262234 PPN262233:PPN262234 PZJ262233:PZJ262234 QJF262233:QJF262234 QTB262233:QTB262234 RCX262233:RCX262234 RMT262233:RMT262234 RWP262233:RWP262234 SGL262233:SGL262234 SQH262233:SQH262234 TAD262233:TAD262234 TJZ262233:TJZ262234 TTV262233:TTV262234 UDR262233:UDR262234 UNN262233:UNN262234 UXJ262233:UXJ262234 VHF262233:VHF262234 VRB262233:VRB262234 WAX262233:WAX262234 WKT262233:WKT262234 WUP262233:WUP262234 ID327769:ID327770 RZ327769:RZ327770 ABV327769:ABV327770 ALR327769:ALR327770 AVN327769:AVN327770 BFJ327769:BFJ327770 BPF327769:BPF327770 BZB327769:BZB327770 CIX327769:CIX327770 CST327769:CST327770 DCP327769:DCP327770 DML327769:DML327770 DWH327769:DWH327770 EGD327769:EGD327770 EPZ327769:EPZ327770 EZV327769:EZV327770 FJR327769:FJR327770 FTN327769:FTN327770 GDJ327769:GDJ327770 GNF327769:GNF327770 GXB327769:GXB327770 HGX327769:HGX327770 HQT327769:HQT327770 IAP327769:IAP327770 IKL327769:IKL327770 IUH327769:IUH327770 JED327769:JED327770 JNZ327769:JNZ327770 JXV327769:JXV327770 KHR327769:KHR327770 KRN327769:KRN327770 LBJ327769:LBJ327770 LLF327769:LLF327770 LVB327769:LVB327770 MEX327769:MEX327770 MOT327769:MOT327770 MYP327769:MYP327770 NIL327769:NIL327770 NSH327769:NSH327770 OCD327769:OCD327770 OLZ327769:OLZ327770 OVV327769:OVV327770 PFR327769:PFR327770 PPN327769:PPN327770 PZJ327769:PZJ327770 QJF327769:QJF327770 QTB327769:QTB327770 RCX327769:RCX327770 RMT327769:RMT327770 RWP327769:RWP327770 SGL327769:SGL327770 SQH327769:SQH327770 TAD327769:TAD327770 TJZ327769:TJZ327770 TTV327769:TTV327770 UDR327769:UDR327770 UNN327769:UNN327770 UXJ327769:UXJ327770 VHF327769:VHF327770 VRB327769:VRB327770 WAX327769:WAX327770 WKT327769:WKT327770 WUP327769:WUP327770 ID393305:ID393306 RZ393305:RZ393306 ABV393305:ABV393306 ALR393305:ALR393306 AVN393305:AVN393306 BFJ393305:BFJ393306 BPF393305:BPF393306 BZB393305:BZB393306 CIX393305:CIX393306 CST393305:CST393306 DCP393305:DCP393306 DML393305:DML393306 DWH393305:DWH393306 EGD393305:EGD393306 EPZ393305:EPZ393306 EZV393305:EZV393306 FJR393305:FJR393306 FTN393305:FTN393306 GDJ393305:GDJ393306 GNF393305:GNF393306 GXB393305:GXB393306 HGX393305:HGX393306 HQT393305:HQT393306 IAP393305:IAP393306 IKL393305:IKL393306 IUH393305:IUH393306 JED393305:JED393306 JNZ393305:JNZ393306 JXV393305:JXV393306 KHR393305:KHR393306 KRN393305:KRN393306 LBJ393305:LBJ393306 LLF393305:LLF393306 LVB393305:LVB393306 MEX393305:MEX393306 MOT393305:MOT393306 MYP393305:MYP393306 NIL393305:NIL393306 NSH393305:NSH393306 OCD393305:OCD393306 OLZ393305:OLZ393306 OVV393305:OVV393306 PFR393305:PFR393306 PPN393305:PPN393306 PZJ393305:PZJ393306 QJF393305:QJF393306 QTB393305:QTB393306 RCX393305:RCX393306 RMT393305:RMT393306 RWP393305:RWP393306 SGL393305:SGL393306 SQH393305:SQH393306 TAD393305:TAD393306 TJZ393305:TJZ393306 TTV393305:TTV393306 UDR393305:UDR393306 UNN393305:UNN393306 UXJ393305:UXJ393306 VHF393305:VHF393306 VRB393305:VRB393306 WAX393305:WAX393306 WKT393305:WKT393306 WUP393305:WUP393306 ID458841:ID458842 RZ458841:RZ458842 ABV458841:ABV458842 ALR458841:ALR458842 AVN458841:AVN458842 BFJ458841:BFJ458842 BPF458841:BPF458842 BZB458841:BZB458842 CIX458841:CIX458842 CST458841:CST458842 DCP458841:DCP458842 DML458841:DML458842 DWH458841:DWH458842 EGD458841:EGD458842 EPZ458841:EPZ458842 EZV458841:EZV458842 FJR458841:FJR458842 FTN458841:FTN458842 GDJ458841:GDJ458842 GNF458841:GNF458842 GXB458841:GXB458842 HGX458841:HGX458842 HQT458841:HQT458842 IAP458841:IAP458842 IKL458841:IKL458842 IUH458841:IUH458842 JED458841:JED458842 JNZ458841:JNZ458842 JXV458841:JXV458842 KHR458841:KHR458842 KRN458841:KRN458842 LBJ458841:LBJ458842 LLF458841:LLF458842 LVB458841:LVB458842 MEX458841:MEX458842 MOT458841:MOT458842 MYP458841:MYP458842 NIL458841:NIL458842 NSH458841:NSH458842 OCD458841:OCD458842 OLZ458841:OLZ458842 OVV458841:OVV458842 PFR458841:PFR458842 PPN458841:PPN458842 PZJ458841:PZJ458842 QJF458841:QJF458842 QTB458841:QTB458842 RCX458841:RCX458842 RMT458841:RMT458842 RWP458841:RWP458842 SGL458841:SGL458842 SQH458841:SQH458842 TAD458841:TAD458842 TJZ458841:TJZ458842 TTV458841:TTV458842 UDR458841:UDR458842 UNN458841:UNN458842 UXJ458841:UXJ458842 VHF458841:VHF458842 VRB458841:VRB458842 WAX458841:WAX458842 WKT458841:WKT458842 WUP458841:WUP458842 ID524377:ID524378 RZ524377:RZ524378 ABV524377:ABV524378 ALR524377:ALR524378 AVN524377:AVN524378 BFJ524377:BFJ524378 BPF524377:BPF524378 BZB524377:BZB524378 CIX524377:CIX524378 CST524377:CST524378 DCP524377:DCP524378 DML524377:DML524378 DWH524377:DWH524378 EGD524377:EGD524378 EPZ524377:EPZ524378 EZV524377:EZV524378 FJR524377:FJR524378 FTN524377:FTN524378 GDJ524377:GDJ524378 GNF524377:GNF524378 GXB524377:GXB524378 HGX524377:HGX524378 HQT524377:HQT524378 IAP524377:IAP524378 IKL524377:IKL524378 IUH524377:IUH524378 JED524377:JED524378 JNZ524377:JNZ524378 JXV524377:JXV524378 KHR524377:KHR524378 KRN524377:KRN524378 LBJ524377:LBJ524378 LLF524377:LLF524378 LVB524377:LVB524378 MEX524377:MEX524378 MOT524377:MOT524378 MYP524377:MYP524378 NIL524377:NIL524378 NSH524377:NSH524378 OCD524377:OCD524378 OLZ524377:OLZ524378 OVV524377:OVV524378 PFR524377:PFR524378 PPN524377:PPN524378 PZJ524377:PZJ524378 QJF524377:QJF524378 QTB524377:QTB524378 RCX524377:RCX524378 RMT524377:RMT524378 RWP524377:RWP524378 SGL524377:SGL524378 SQH524377:SQH524378 TAD524377:TAD524378 TJZ524377:TJZ524378 TTV524377:TTV524378 UDR524377:UDR524378 UNN524377:UNN524378 UXJ524377:UXJ524378 VHF524377:VHF524378 VRB524377:VRB524378 WAX524377:WAX524378 WKT524377:WKT524378 WUP524377:WUP524378 ID589913:ID589914 RZ589913:RZ589914 ABV589913:ABV589914 ALR589913:ALR589914 AVN589913:AVN589914 BFJ589913:BFJ589914 BPF589913:BPF589914 BZB589913:BZB589914 CIX589913:CIX589914 CST589913:CST589914 DCP589913:DCP589914 DML589913:DML589914 DWH589913:DWH589914 EGD589913:EGD589914 EPZ589913:EPZ589914 EZV589913:EZV589914 FJR589913:FJR589914 FTN589913:FTN589914 GDJ589913:GDJ589914 GNF589913:GNF589914 GXB589913:GXB589914 HGX589913:HGX589914 HQT589913:HQT589914 IAP589913:IAP589914 IKL589913:IKL589914 IUH589913:IUH589914 JED589913:JED589914 JNZ589913:JNZ589914 JXV589913:JXV589914 KHR589913:KHR589914 KRN589913:KRN589914 LBJ589913:LBJ589914 LLF589913:LLF589914 LVB589913:LVB589914 MEX589913:MEX589914 MOT589913:MOT589914 MYP589913:MYP589914 NIL589913:NIL589914 NSH589913:NSH589914 OCD589913:OCD589914 OLZ589913:OLZ589914 OVV589913:OVV589914 PFR589913:PFR589914 PPN589913:PPN589914 PZJ589913:PZJ589914 QJF589913:QJF589914 QTB589913:QTB589914 RCX589913:RCX589914 RMT589913:RMT589914 RWP589913:RWP589914 SGL589913:SGL589914 SQH589913:SQH589914 TAD589913:TAD589914 TJZ589913:TJZ589914 TTV589913:TTV589914 UDR589913:UDR589914 UNN589913:UNN589914 UXJ589913:UXJ589914 VHF589913:VHF589914 VRB589913:VRB589914 WAX589913:WAX589914 WKT589913:WKT589914 WUP589913:WUP589914 ID655449:ID655450 RZ655449:RZ655450 ABV655449:ABV655450 ALR655449:ALR655450 AVN655449:AVN655450 BFJ655449:BFJ655450 BPF655449:BPF655450 BZB655449:BZB655450 CIX655449:CIX655450 CST655449:CST655450 DCP655449:DCP655450 DML655449:DML655450 DWH655449:DWH655450 EGD655449:EGD655450 EPZ655449:EPZ655450 EZV655449:EZV655450 FJR655449:FJR655450 FTN655449:FTN655450 GDJ655449:GDJ655450 GNF655449:GNF655450 GXB655449:GXB655450 HGX655449:HGX655450 HQT655449:HQT655450 IAP655449:IAP655450 IKL655449:IKL655450 IUH655449:IUH655450 JED655449:JED655450 JNZ655449:JNZ655450 JXV655449:JXV655450 KHR655449:KHR655450 KRN655449:KRN655450 LBJ655449:LBJ655450 LLF655449:LLF655450 LVB655449:LVB655450 MEX655449:MEX655450 MOT655449:MOT655450 MYP655449:MYP655450 NIL655449:NIL655450 NSH655449:NSH655450 OCD655449:OCD655450 OLZ655449:OLZ655450 OVV655449:OVV655450 PFR655449:PFR655450 PPN655449:PPN655450 PZJ655449:PZJ655450 QJF655449:QJF655450 QTB655449:QTB655450 RCX655449:RCX655450 RMT655449:RMT655450 RWP655449:RWP655450 SGL655449:SGL655450 SQH655449:SQH655450 TAD655449:TAD655450 TJZ655449:TJZ655450 TTV655449:TTV655450 UDR655449:UDR655450 UNN655449:UNN655450 UXJ655449:UXJ655450 VHF655449:VHF655450 VRB655449:VRB655450 WAX655449:WAX655450 WKT655449:WKT655450 WUP655449:WUP655450 ID720985:ID720986 RZ720985:RZ720986 ABV720985:ABV720986 ALR720985:ALR720986 AVN720985:AVN720986 BFJ720985:BFJ720986 BPF720985:BPF720986 BZB720985:BZB720986 CIX720985:CIX720986 CST720985:CST720986 DCP720985:DCP720986 DML720985:DML720986 DWH720985:DWH720986 EGD720985:EGD720986 EPZ720985:EPZ720986 EZV720985:EZV720986 FJR720985:FJR720986 FTN720985:FTN720986 GDJ720985:GDJ720986 GNF720985:GNF720986 GXB720985:GXB720986 HGX720985:HGX720986 HQT720985:HQT720986 IAP720985:IAP720986 IKL720985:IKL720986 IUH720985:IUH720986 JED720985:JED720986 JNZ720985:JNZ720986 JXV720985:JXV720986 KHR720985:KHR720986 KRN720985:KRN720986 LBJ720985:LBJ720986 LLF720985:LLF720986 LVB720985:LVB720986 MEX720985:MEX720986 MOT720985:MOT720986 MYP720985:MYP720986 NIL720985:NIL720986 NSH720985:NSH720986 OCD720985:OCD720986 OLZ720985:OLZ720986 OVV720985:OVV720986 PFR720985:PFR720986 PPN720985:PPN720986 PZJ720985:PZJ720986 QJF720985:QJF720986 QTB720985:QTB720986 RCX720985:RCX720986 RMT720985:RMT720986 RWP720985:RWP720986 SGL720985:SGL720986 SQH720985:SQH720986 TAD720985:TAD720986 TJZ720985:TJZ720986 TTV720985:TTV720986 UDR720985:UDR720986 UNN720985:UNN720986 UXJ720985:UXJ720986 VHF720985:VHF720986 VRB720985:VRB720986 WAX720985:WAX720986 WKT720985:WKT720986 WUP720985:WUP720986 ID786521:ID786522 RZ786521:RZ786522 ABV786521:ABV786522 ALR786521:ALR786522 AVN786521:AVN786522 BFJ786521:BFJ786522 BPF786521:BPF786522 BZB786521:BZB786522 CIX786521:CIX786522 CST786521:CST786522 DCP786521:DCP786522 DML786521:DML786522 DWH786521:DWH786522 EGD786521:EGD786522 EPZ786521:EPZ786522 EZV786521:EZV786522 FJR786521:FJR786522 FTN786521:FTN786522 GDJ786521:GDJ786522 GNF786521:GNF786522 GXB786521:GXB786522 HGX786521:HGX786522 HQT786521:HQT786522 IAP786521:IAP786522 IKL786521:IKL786522 IUH786521:IUH786522 JED786521:JED786522 JNZ786521:JNZ786522 JXV786521:JXV786522 KHR786521:KHR786522 KRN786521:KRN786522 LBJ786521:LBJ786522 LLF786521:LLF786522 LVB786521:LVB786522 MEX786521:MEX786522 MOT786521:MOT786522 MYP786521:MYP786522 NIL786521:NIL786522 NSH786521:NSH786522 OCD786521:OCD786522 OLZ786521:OLZ786522 OVV786521:OVV786522 PFR786521:PFR786522 PPN786521:PPN786522 PZJ786521:PZJ786522 QJF786521:QJF786522 QTB786521:QTB786522 RCX786521:RCX786522 RMT786521:RMT786522 RWP786521:RWP786522 SGL786521:SGL786522 SQH786521:SQH786522 TAD786521:TAD786522 TJZ786521:TJZ786522 TTV786521:TTV786522 UDR786521:UDR786522 UNN786521:UNN786522 UXJ786521:UXJ786522 VHF786521:VHF786522 VRB786521:VRB786522 WAX786521:WAX786522 WKT786521:WKT786522 WUP786521:WUP786522 ID852057:ID852058 RZ852057:RZ852058 ABV852057:ABV852058 ALR852057:ALR852058 AVN852057:AVN852058 BFJ852057:BFJ852058 BPF852057:BPF852058 BZB852057:BZB852058 CIX852057:CIX852058 CST852057:CST852058 DCP852057:DCP852058 DML852057:DML852058 DWH852057:DWH852058 EGD852057:EGD852058 EPZ852057:EPZ852058 EZV852057:EZV852058 FJR852057:FJR852058 FTN852057:FTN852058 GDJ852057:GDJ852058 GNF852057:GNF852058 GXB852057:GXB852058 HGX852057:HGX852058 HQT852057:HQT852058 IAP852057:IAP852058 IKL852057:IKL852058 IUH852057:IUH852058 JED852057:JED852058 JNZ852057:JNZ852058 JXV852057:JXV852058 KHR852057:KHR852058 KRN852057:KRN852058 LBJ852057:LBJ852058 LLF852057:LLF852058 LVB852057:LVB852058 MEX852057:MEX852058 MOT852057:MOT852058 MYP852057:MYP852058 NIL852057:NIL852058 NSH852057:NSH852058 OCD852057:OCD852058 OLZ852057:OLZ852058 OVV852057:OVV852058 PFR852057:PFR852058 PPN852057:PPN852058 PZJ852057:PZJ852058 QJF852057:QJF852058 QTB852057:QTB852058 RCX852057:RCX852058 RMT852057:RMT852058 RWP852057:RWP852058 SGL852057:SGL852058 SQH852057:SQH852058 TAD852057:TAD852058 TJZ852057:TJZ852058 TTV852057:TTV852058 UDR852057:UDR852058 UNN852057:UNN852058 UXJ852057:UXJ852058 VHF852057:VHF852058 VRB852057:VRB852058 WAX852057:WAX852058 WKT852057:WKT852058 WUP852057:WUP852058 ID917593:ID917594 RZ917593:RZ917594 ABV917593:ABV917594 ALR917593:ALR917594 AVN917593:AVN917594 BFJ917593:BFJ917594 BPF917593:BPF917594 BZB917593:BZB917594 CIX917593:CIX917594 CST917593:CST917594 DCP917593:DCP917594 DML917593:DML917594 DWH917593:DWH917594 EGD917593:EGD917594 EPZ917593:EPZ917594 EZV917593:EZV917594 FJR917593:FJR917594 FTN917593:FTN917594 GDJ917593:GDJ917594 GNF917593:GNF917594 GXB917593:GXB917594 HGX917593:HGX917594 HQT917593:HQT917594 IAP917593:IAP917594 IKL917593:IKL917594 IUH917593:IUH917594 JED917593:JED917594 JNZ917593:JNZ917594 JXV917593:JXV917594 KHR917593:KHR917594 KRN917593:KRN917594 LBJ917593:LBJ917594 LLF917593:LLF917594 LVB917593:LVB917594 MEX917593:MEX917594 MOT917593:MOT917594 MYP917593:MYP917594 NIL917593:NIL917594 NSH917593:NSH917594 OCD917593:OCD917594 OLZ917593:OLZ917594 OVV917593:OVV917594 PFR917593:PFR917594 PPN917593:PPN917594 PZJ917593:PZJ917594 QJF917593:QJF917594 QTB917593:QTB917594 RCX917593:RCX917594 RMT917593:RMT917594 RWP917593:RWP917594 SGL917593:SGL917594 SQH917593:SQH917594 TAD917593:TAD917594 TJZ917593:TJZ917594 TTV917593:TTV917594 UDR917593:UDR917594 UNN917593:UNN917594 UXJ917593:UXJ917594 VHF917593:VHF917594 VRB917593:VRB917594 WAX917593:WAX917594 WKT917593:WKT917594 WUP917593:WUP917594 ID983129:ID983130 RZ983129:RZ983130 ABV983129:ABV983130 ALR983129:ALR983130 AVN983129:AVN983130 BFJ983129:BFJ983130 BPF983129:BPF983130 BZB983129:BZB983130 CIX983129:CIX983130 CST983129:CST983130 DCP983129:DCP983130 DML983129:DML983130 DWH983129:DWH983130 EGD983129:EGD983130 EPZ983129:EPZ983130 EZV983129:EZV983130 FJR983129:FJR983130 FTN983129:FTN983130 GDJ983129:GDJ983130 GNF983129:GNF983130 GXB983129:GXB983130 HGX983129:HGX983130 HQT983129:HQT983130 IAP983129:IAP983130 IKL983129:IKL983130 IUH983129:IUH983130 JED983129:JED983130 JNZ983129:JNZ983130 JXV983129:JXV983130 KHR983129:KHR983130 KRN983129:KRN983130 LBJ983129:LBJ983130 LLF983129:LLF983130 LVB983129:LVB983130 MEX983129:MEX983130 MOT983129:MOT983130 MYP983129:MYP983130 NIL983129:NIL983130 NSH983129:NSH983130 OCD983129:OCD983130 OLZ983129:OLZ983130 OVV983129:OVV983130 PFR983129:PFR983130 PPN983129:PPN983130 PZJ983129:PZJ983130 QJF983129:QJF983130 QTB983129:QTB983130 RCX983129:RCX983130 RMT983129:RMT983130 RWP983129:RWP983130 SGL983129:SGL983130 SQH983129:SQH983130 TAD983129:TAD983130 TJZ983129:TJZ983130 TTV983129:TTV983130 UDR983129:UDR983130 UNN983129:UNN983130 UXJ983129:UXJ983130 VHF983129:VHF983130 VRB983129:VRB983130 WAX983129:WAX983130 WKT983129:WKT983130 WUP983129:WUP983130 RZ92:RZ95 ABV92:ABV95 ALR92:ALR95 AVN92:AVN95 BFJ92:BFJ95 BPF92:BPF95 BZB92:BZB95 CIX92:CIX95 CST92:CST95 DCP92:DCP95 DML92:DML95 DWH92:DWH95 EGD92:EGD95 EPZ92:EPZ95 EZV92:EZV95 FJR92:FJR95 FTN92:FTN95 GDJ92:GDJ95 GNF92:GNF95 GXB92:GXB95 HGX92:HGX95 HQT92:HQT95 IAP92:IAP95 IKL92:IKL95 IUH92:IUH95 JED92:JED95 JNZ92:JNZ95 JXV92:JXV95 KHR92:KHR95 KRN92:KRN95 LBJ92:LBJ95 LLF92:LLF95 LVB92:LVB95 MEX92:MEX95 MOT92:MOT95 MYP92:MYP95 NIL92:NIL95 NSH92:NSH95 OCD92:OCD95 OLZ92:OLZ95 OVV92:OVV95 PFR92:PFR95 PPN92:PPN95 PZJ92:PZJ95 QJF92:QJF95 QTB92:QTB95 RCX92:RCX95 RMT92:RMT95 RWP92:RWP95 SGL92:SGL95 SQH92:SQH95 TAD92:TAD95 TJZ92:TJZ95 TTV92:TTV95 UDR92:UDR95 UNN92:UNN95 UXJ92:UXJ95 VHF92:VHF95 VRB92:VRB95 WAX92:WAX95 WKT92:WKT95 WUP92:WUP95 ID65628:ID65630 RZ65628:RZ65630 ABV65628:ABV65630 ALR65628:ALR65630 AVN65628:AVN65630 BFJ65628:BFJ65630 BPF65628:BPF65630 BZB65628:BZB65630 CIX65628:CIX65630 CST65628:CST65630 DCP65628:DCP65630 DML65628:DML65630 DWH65628:DWH65630 EGD65628:EGD65630 EPZ65628:EPZ65630 EZV65628:EZV65630 FJR65628:FJR65630 FTN65628:FTN65630 GDJ65628:GDJ65630 GNF65628:GNF65630 GXB65628:GXB65630 HGX65628:HGX65630 HQT65628:HQT65630 IAP65628:IAP65630 IKL65628:IKL65630 IUH65628:IUH65630 JED65628:JED65630 JNZ65628:JNZ65630 JXV65628:JXV65630 KHR65628:KHR65630 KRN65628:KRN65630 LBJ65628:LBJ65630 LLF65628:LLF65630 LVB65628:LVB65630 MEX65628:MEX65630 MOT65628:MOT65630 MYP65628:MYP65630 NIL65628:NIL65630 NSH65628:NSH65630 OCD65628:OCD65630 OLZ65628:OLZ65630 OVV65628:OVV65630 PFR65628:PFR65630 PPN65628:PPN65630 PZJ65628:PZJ65630 QJF65628:QJF65630 QTB65628:QTB65630 RCX65628:RCX65630 RMT65628:RMT65630 RWP65628:RWP65630 SGL65628:SGL65630 SQH65628:SQH65630 TAD65628:TAD65630 TJZ65628:TJZ65630 TTV65628:TTV65630 UDR65628:UDR65630 UNN65628:UNN65630 UXJ65628:UXJ65630 VHF65628:VHF65630 VRB65628:VRB65630 WAX65628:WAX65630 WKT65628:WKT65630 WUP65628:WUP65630 ID131164:ID131166 RZ131164:RZ131166 ABV131164:ABV131166 ALR131164:ALR131166 AVN131164:AVN131166 BFJ131164:BFJ131166 BPF131164:BPF131166 BZB131164:BZB131166 CIX131164:CIX131166 CST131164:CST131166 DCP131164:DCP131166 DML131164:DML131166 DWH131164:DWH131166 EGD131164:EGD131166 EPZ131164:EPZ131166 EZV131164:EZV131166 FJR131164:FJR131166 FTN131164:FTN131166 GDJ131164:GDJ131166 GNF131164:GNF131166 GXB131164:GXB131166 HGX131164:HGX131166 HQT131164:HQT131166 IAP131164:IAP131166 IKL131164:IKL131166 IUH131164:IUH131166 JED131164:JED131166 JNZ131164:JNZ131166 JXV131164:JXV131166 KHR131164:KHR131166 KRN131164:KRN131166 LBJ131164:LBJ131166 LLF131164:LLF131166 LVB131164:LVB131166 MEX131164:MEX131166 MOT131164:MOT131166 MYP131164:MYP131166 NIL131164:NIL131166 NSH131164:NSH131166 OCD131164:OCD131166 OLZ131164:OLZ131166 OVV131164:OVV131166 PFR131164:PFR131166 PPN131164:PPN131166 PZJ131164:PZJ131166 QJF131164:QJF131166 QTB131164:QTB131166 RCX131164:RCX131166 RMT131164:RMT131166 RWP131164:RWP131166 SGL131164:SGL131166 SQH131164:SQH131166 TAD131164:TAD131166 TJZ131164:TJZ131166 TTV131164:TTV131166 UDR131164:UDR131166 UNN131164:UNN131166 UXJ131164:UXJ131166 VHF131164:VHF131166 VRB131164:VRB131166 WAX131164:WAX131166 WKT131164:WKT131166 WUP131164:WUP131166 ID196700:ID196702 RZ196700:RZ196702 ABV196700:ABV196702 ALR196700:ALR196702 AVN196700:AVN196702 BFJ196700:BFJ196702 BPF196700:BPF196702 BZB196700:BZB196702 CIX196700:CIX196702 CST196700:CST196702 DCP196700:DCP196702 DML196700:DML196702 DWH196700:DWH196702 EGD196700:EGD196702 EPZ196700:EPZ196702 EZV196700:EZV196702 FJR196700:FJR196702 FTN196700:FTN196702 GDJ196700:GDJ196702 GNF196700:GNF196702 GXB196700:GXB196702 HGX196700:HGX196702 HQT196700:HQT196702 IAP196700:IAP196702 IKL196700:IKL196702 IUH196700:IUH196702 JED196700:JED196702 JNZ196700:JNZ196702 JXV196700:JXV196702 KHR196700:KHR196702 KRN196700:KRN196702 LBJ196700:LBJ196702 LLF196700:LLF196702 LVB196700:LVB196702 MEX196700:MEX196702 MOT196700:MOT196702 MYP196700:MYP196702 NIL196700:NIL196702 NSH196700:NSH196702 OCD196700:OCD196702 OLZ196700:OLZ196702 OVV196700:OVV196702 PFR196700:PFR196702 PPN196700:PPN196702 PZJ196700:PZJ196702 QJF196700:QJF196702 QTB196700:QTB196702 RCX196700:RCX196702 RMT196700:RMT196702 RWP196700:RWP196702 SGL196700:SGL196702 SQH196700:SQH196702 TAD196700:TAD196702 TJZ196700:TJZ196702 TTV196700:TTV196702 UDR196700:UDR196702 UNN196700:UNN196702 UXJ196700:UXJ196702 VHF196700:VHF196702 VRB196700:VRB196702 WAX196700:WAX196702 WKT196700:WKT196702 WUP196700:WUP196702 ID262236:ID262238 RZ262236:RZ262238 ABV262236:ABV262238 ALR262236:ALR262238 AVN262236:AVN262238 BFJ262236:BFJ262238 BPF262236:BPF262238 BZB262236:BZB262238 CIX262236:CIX262238 CST262236:CST262238 DCP262236:DCP262238 DML262236:DML262238 DWH262236:DWH262238 EGD262236:EGD262238 EPZ262236:EPZ262238 EZV262236:EZV262238 FJR262236:FJR262238 FTN262236:FTN262238 GDJ262236:GDJ262238 GNF262236:GNF262238 GXB262236:GXB262238 HGX262236:HGX262238 HQT262236:HQT262238 IAP262236:IAP262238 IKL262236:IKL262238 IUH262236:IUH262238 JED262236:JED262238 JNZ262236:JNZ262238 JXV262236:JXV262238 KHR262236:KHR262238 KRN262236:KRN262238 LBJ262236:LBJ262238 LLF262236:LLF262238 LVB262236:LVB262238 MEX262236:MEX262238 MOT262236:MOT262238 MYP262236:MYP262238 NIL262236:NIL262238 NSH262236:NSH262238 OCD262236:OCD262238 OLZ262236:OLZ262238 OVV262236:OVV262238 PFR262236:PFR262238 PPN262236:PPN262238 PZJ262236:PZJ262238 QJF262236:QJF262238 QTB262236:QTB262238 RCX262236:RCX262238 RMT262236:RMT262238 RWP262236:RWP262238 SGL262236:SGL262238 SQH262236:SQH262238 TAD262236:TAD262238 TJZ262236:TJZ262238 TTV262236:TTV262238 UDR262236:UDR262238 UNN262236:UNN262238 UXJ262236:UXJ262238 VHF262236:VHF262238 VRB262236:VRB262238 WAX262236:WAX262238 WKT262236:WKT262238 WUP262236:WUP262238 ID327772:ID327774 RZ327772:RZ327774 ABV327772:ABV327774 ALR327772:ALR327774 AVN327772:AVN327774 BFJ327772:BFJ327774 BPF327772:BPF327774 BZB327772:BZB327774 CIX327772:CIX327774 CST327772:CST327774 DCP327772:DCP327774 DML327772:DML327774 DWH327772:DWH327774 EGD327772:EGD327774 EPZ327772:EPZ327774 EZV327772:EZV327774 FJR327772:FJR327774 FTN327772:FTN327774 GDJ327772:GDJ327774 GNF327772:GNF327774 GXB327772:GXB327774 HGX327772:HGX327774 HQT327772:HQT327774 IAP327772:IAP327774 IKL327772:IKL327774 IUH327772:IUH327774 JED327772:JED327774 JNZ327772:JNZ327774 JXV327772:JXV327774 KHR327772:KHR327774 KRN327772:KRN327774 LBJ327772:LBJ327774 LLF327772:LLF327774 LVB327772:LVB327774 MEX327772:MEX327774 MOT327772:MOT327774 MYP327772:MYP327774 NIL327772:NIL327774 NSH327772:NSH327774 OCD327772:OCD327774 OLZ327772:OLZ327774 OVV327772:OVV327774 PFR327772:PFR327774 PPN327772:PPN327774 PZJ327772:PZJ327774 QJF327772:QJF327774 QTB327772:QTB327774 RCX327772:RCX327774 RMT327772:RMT327774 RWP327772:RWP327774 SGL327772:SGL327774 SQH327772:SQH327774 TAD327772:TAD327774 TJZ327772:TJZ327774 TTV327772:TTV327774 UDR327772:UDR327774 UNN327772:UNN327774 UXJ327772:UXJ327774 VHF327772:VHF327774 VRB327772:VRB327774 WAX327772:WAX327774 WKT327772:WKT327774 WUP327772:WUP327774 ID393308:ID393310 RZ393308:RZ393310 ABV393308:ABV393310 ALR393308:ALR393310 AVN393308:AVN393310 BFJ393308:BFJ393310 BPF393308:BPF393310 BZB393308:BZB393310 CIX393308:CIX393310 CST393308:CST393310 DCP393308:DCP393310 DML393308:DML393310 DWH393308:DWH393310 EGD393308:EGD393310 EPZ393308:EPZ393310 EZV393308:EZV393310 FJR393308:FJR393310 FTN393308:FTN393310 GDJ393308:GDJ393310 GNF393308:GNF393310 GXB393308:GXB393310 HGX393308:HGX393310 HQT393308:HQT393310 IAP393308:IAP393310 IKL393308:IKL393310 IUH393308:IUH393310 JED393308:JED393310 JNZ393308:JNZ393310 JXV393308:JXV393310 KHR393308:KHR393310 KRN393308:KRN393310 LBJ393308:LBJ393310 LLF393308:LLF393310 LVB393308:LVB393310 MEX393308:MEX393310 MOT393308:MOT393310 MYP393308:MYP393310 NIL393308:NIL393310 NSH393308:NSH393310 OCD393308:OCD393310 OLZ393308:OLZ393310 OVV393308:OVV393310 PFR393308:PFR393310 PPN393308:PPN393310 PZJ393308:PZJ393310 QJF393308:QJF393310 QTB393308:QTB393310 RCX393308:RCX393310 RMT393308:RMT393310 RWP393308:RWP393310 SGL393308:SGL393310 SQH393308:SQH393310 TAD393308:TAD393310 TJZ393308:TJZ393310 TTV393308:TTV393310 UDR393308:UDR393310 UNN393308:UNN393310 UXJ393308:UXJ393310 VHF393308:VHF393310 VRB393308:VRB393310 WAX393308:WAX393310 WKT393308:WKT393310 WUP393308:WUP393310 ID458844:ID458846 RZ458844:RZ458846 ABV458844:ABV458846 ALR458844:ALR458846 AVN458844:AVN458846 BFJ458844:BFJ458846 BPF458844:BPF458846 BZB458844:BZB458846 CIX458844:CIX458846 CST458844:CST458846 DCP458844:DCP458846 DML458844:DML458846 DWH458844:DWH458846 EGD458844:EGD458846 EPZ458844:EPZ458846 EZV458844:EZV458846 FJR458844:FJR458846 FTN458844:FTN458846 GDJ458844:GDJ458846 GNF458844:GNF458846 GXB458844:GXB458846 HGX458844:HGX458846 HQT458844:HQT458846 IAP458844:IAP458846 IKL458844:IKL458846 IUH458844:IUH458846 JED458844:JED458846 JNZ458844:JNZ458846 JXV458844:JXV458846 KHR458844:KHR458846 KRN458844:KRN458846 LBJ458844:LBJ458846 LLF458844:LLF458846 LVB458844:LVB458846 MEX458844:MEX458846 MOT458844:MOT458846 MYP458844:MYP458846 NIL458844:NIL458846 NSH458844:NSH458846 OCD458844:OCD458846 OLZ458844:OLZ458846 OVV458844:OVV458846 PFR458844:PFR458846 PPN458844:PPN458846 PZJ458844:PZJ458846 QJF458844:QJF458846 QTB458844:QTB458846 RCX458844:RCX458846 RMT458844:RMT458846 RWP458844:RWP458846 SGL458844:SGL458846 SQH458844:SQH458846 TAD458844:TAD458846 TJZ458844:TJZ458846 TTV458844:TTV458846 UDR458844:UDR458846 UNN458844:UNN458846 UXJ458844:UXJ458846 VHF458844:VHF458846 VRB458844:VRB458846 WAX458844:WAX458846 WKT458844:WKT458846 WUP458844:WUP458846 ID524380:ID524382 RZ524380:RZ524382 ABV524380:ABV524382 ALR524380:ALR524382 AVN524380:AVN524382 BFJ524380:BFJ524382 BPF524380:BPF524382 BZB524380:BZB524382 CIX524380:CIX524382 CST524380:CST524382 DCP524380:DCP524382 DML524380:DML524382 DWH524380:DWH524382 EGD524380:EGD524382 EPZ524380:EPZ524382 EZV524380:EZV524382 FJR524380:FJR524382 FTN524380:FTN524382 GDJ524380:GDJ524382 GNF524380:GNF524382 GXB524380:GXB524382 HGX524380:HGX524382 HQT524380:HQT524382 IAP524380:IAP524382 IKL524380:IKL524382 IUH524380:IUH524382 JED524380:JED524382 JNZ524380:JNZ524382 JXV524380:JXV524382 KHR524380:KHR524382 KRN524380:KRN524382 LBJ524380:LBJ524382 LLF524380:LLF524382 LVB524380:LVB524382 MEX524380:MEX524382 MOT524380:MOT524382 MYP524380:MYP524382 NIL524380:NIL524382 NSH524380:NSH524382 OCD524380:OCD524382 OLZ524380:OLZ524382 OVV524380:OVV524382 PFR524380:PFR524382 PPN524380:PPN524382 PZJ524380:PZJ524382 QJF524380:QJF524382 QTB524380:QTB524382 RCX524380:RCX524382 RMT524380:RMT524382 RWP524380:RWP524382 SGL524380:SGL524382 SQH524380:SQH524382 TAD524380:TAD524382 TJZ524380:TJZ524382 TTV524380:TTV524382 UDR524380:UDR524382 UNN524380:UNN524382 UXJ524380:UXJ524382 VHF524380:VHF524382 VRB524380:VRB524382 WAX524380:WAX524382 WKT524380:WKT524382 WUP524380:WUP524382 ID589916:ID589918 RZ589916:RZ589918 ABV589916:ABV589918 ALR589916:ALR589918 AVN589916:AVN589918 BFJ589916:BFJ589918 BPF589916:BPF589918 BZB589916:BZB589918 CIX589916:CIX589918 CST589916:CST589918 DCP589916:DCP589918 DML589916:DML589918 DWH589916:DWH589918 EGD589916:EGD589918 EPZ589916:EPZ589918 EZV589916:EZV589918 FJR589916:FJR589918 FTN589916:FTN589918 GDJ589916:GDJ589918 GNF589916:GNF589918 GXB589916:GXB589918 HGX589916:HGX589918 HQT589916:HQT589918 IAP589916:IAP589918 IKL589916:IKL589918 IUH589916:IUH589918 JED589916:JED589918 JNZ589916:JNZ589918 JXV589916:JXV589918 KHR589916:KHR589918 KRN589916:KRN589918 LBJ589916:LBJ589918 LLF589916:LLF589918 LVB589916:LVB589918 MEX589916:MEX589918 MOT589916:MOT589918 MYP589916:MYP589918 NIL589916:NIL589918 NSH589916:NSH589918 OCD589916:OCD589918 OLZ589916:OLZ589918 OVV589916:OVV589918 PFR589916:PFR589918 PPN589916:PPN589918 PZJ589916:PZJ589918 QJF589916:QJF589918 QTB589916:QTB589918 RCX589916:RCX589918 RMT589916:RMT589918 RWP589916:RWP589918 SGL589916:SGL589918 SQH589916:SQH589918 TAD589916:TAD589918 TJZ589916:TJZ589918 TTV589916:TTV589918 UDR589916:UDR589918 UNN589916:UNN589918 UXJ589916:UXJ589918 VHF589916:VHF589918 VRB589916:VRB589918 WAX589916:WAX589918 WKT589916:WKT589918 WUP589916:WUP589918 ID655452:ID655454 RZ655452:RZ655454 ABV655452:ABV655454 ALR655452:ALR655454 AVN655452:AVN655454 BFJ655452:BFJ655454 BPF655452:BPF655454 BZB655452:BZB655454 CIX655452:CIX655454 CST655452:CST655454 DCP655452:DCP655454 DML655452:DML655454 DWH655452:DWH655454 EGD655452:EGD655454 EPZ655452:EPZ655454 EZV655452:EZV655454 FJR655452:FJR655454 FTN655452:FTN655454 GDJ655452:GDJ655454 GNF655452:GNF655454 GXB655452:GXB655454 HGX655452:HGX655454 HQT655452:HQT655454 IAP655452:IAP655454 IKL655452:IKL655454 IUH655452:IUH655454 JED655452:JED655454 JNZ655452:JNZ655454 JXV655452:JXV655454 KHR655452:KHR655454 KRN655452:KRN655454 LBJ655452:LBJ655454 LLF655452:LLF655454 LVB655452:LVB655454 MEX655452:MEX655454 MOT655452:MOT655454 MYP655452:MYP655454 NIL655452:NIL655454 NSH655452:NSH655454 OCD655452:OCD655454 OLZ655452:OLZ655454 OVV655452:OVV655454 PFR655452:PFR655454 PPN655452:PPN655454 PZJ655452:PZJ655454 QJF655452:QJF655454 QTB655452:QTB655454 RCX655452:RCX655454 RMT655452:RMT655454 RWP655452:RWP655454 SGL655452:SGL655454 SQH655452:SQH655454 TAD655452:TAD655454 TJZ655452:TJZ655454 TTV655452:TTV655454 UDR655452:UDR655454 UNN655452:UNN655454 UXJ655452:UXJ655454 VHF655452:VHF655454 VRB655452:VRB655454 WAX655452:WAX655454 WKT655452:WKT655454 WUP655452:WUP655454 ID720988:ID720990 RZ720988:RZ720990 ABV720988:ABV720990 ALR720988:ALR720990 AVN720988:AVN720990 BFJ720988:BFJ720990 BPF720988:BPF720990 BZB720988:BZB720990 CIX720988:CIX720990 CST720988:CST720990 DCP720988:DCP720990 DML720988:DML720990 DWH720988:DWH720990 EGD720988:EGD720990 EPZ720988:EPZ720990 EZV720988:EZV720990 FJR720988:FJR720990 FTN720988:FTN720990 GDJ720988:GDJ720990 GNF720988:GNF720990 GXB720988:GXB720990 HGX720988:HGX720990 HQT720988:HQT720990 IAP720988:IAP720990 IKL720988:IKL720990 IUH720988:IUH720990 JED720988:JED720990 JNZ720988:JNZ720990 JXV720988:JXV720990 KHR720988:KHR720990 KRN720988:KRN720990 LBJ720988:LBJ720990 LLF720988:LLF720990 LVB720988:LVB720990 MEX720988:MEX720990 MOT720988:MOT720990 MYP720988:MYP720990 NIL720988:NIL720990 NSH720988:NSH720990 OCD720988:OCD720990 OLZ720988:OLZ720990 OVV720988:OVV720990 PFR720988:PFR720990 PPN720988:PPN720990 PZJ720988:PZJ720990 QJF720988:QJF720990 QTB720988:QTB720990 RCX720988:RCX720990 RMT720988:RMT720990 RWP720988:RWP720990 SGL720988:SGL720990 SQH720988:SQH720990 TAD720988:TAD720990 TJZ720988:TJZ720990 TTV720988:TTV720990 UDR720988:UDR720990 UNN720988:UNN720990 UXJ720988:UXJ720990 VHF720988:VHF720990 VRB720988:VRB720990 WAX720988:WAX720990 WKT720988:WKT720990 WUP720988:WUP720990 ID786524:ID786526 RZ786524:RZ786526 ABV786524:ABV786526 ALR786524:ALR786526 AVN786524:AVN786526 BFJ786524:BFJ786526 BPF786524:BPF786526 BZB786524:BZB786526 CIX786524:CIX786526 CST786524:CST786526 DCP786524:DCP786526 DML786524:DML786526 DWH786524:DWH786526 EGD786524:EGD786526 EPZ786524:EPZ786526 EZV786524:EZV786526 FJR786524:FJR786526 FTN786524:FTN786526 GDJ786524:GDJ786526 GNF786524:GNF786526 GXB786524:GXB786526 HGX786524:HGX786526 HQT786524:HQT786526 IAP786524:IAP786526 IKL786524:IKL786526 IUH786524:IUH786526 JED786524:JED786526 JNZ786524:JNZ786526 JXV786524:JXV786526 KHR786524:KHR786526 KRN786524:KRN786526 LBJ786524:LBJ786526 LLF786524:LLF786526 LVB786524:LVB786526 MEX786524:MEX786526 MOT786524:MOT786526 MYP786524:MYP786526 NIL786524:NIL786526 NSH786524:NSH786526 OCD786524:OCD786526 OLZ786524:OLZ786526 OVV786524:OVV786526 PFR786524:PFR786526 PPN786524:PPN786526 PZJ786524:PZJ786526 QJF786524:QJF786526 QTB786524:QTB786526 RCX786524:RCX786526 RMT786524:RMT786526 RWP786524:RWP786526 SGL786524:SGL786526 SQH786524:SQH786526 TAD786524:TAD786526 TJZ786524:TJZ786526 TTV786524:TTV786526 UDR786524:UDR786526 UNN786524:UNN786526 UXJ786524:UXJ786526 VHF786524:VHF786526 VRB786524:VRB786526 WAX786524:WAX786526 WKT786524:WKT786526 WUP786524:WUP786526 ID852060:ID852062 RZ852060:RZ852062 ABV852060:ABV852062 ALR852060:ALR852062 AVN852060:AVN852062 BFJ852060:BFJ852062 BPF852060:BPF852062 BZB852060:BZB852062 CIX852060:CIX852062 CST852060:CST852062 DCP852060:DCP852062 DML852060:DML852062 DWH852060:DWH852062 EGD852060:EGD852062 EPZ852060:EPZ852062 EZV852060:EZV852062 FJR852060:FJR852062 FTN852060:FTN852062 GDJ852060:GDJ852062 GNF852060:GNF852062 GXB852060:GXB852062 HGX852060:HGX852062 HQT852060:HQT852062 IAP852060:IAP852062 IKL852060:IKL852062 IUH852060:IUH852062 JED852060:JED852062 JNZ852060:JNZ852062 JXV852060:JXV852062 KHR852060:KHR852062 KRN852060:KRN852062 LBJ852060:LBJ852062 LLF852060:LLF852062 LVB852060:LVB852062 MEX852060:MEX852062 MOT852060:MOT852062 MYP852060:MYP852062 NIL852060:NIL852062 NSH852060:NSH852062 OCD852060:OCD852062 OLZ852060:OLZ852062 OVV852060:OVV852062 PFR852060:PFR852062 PPN852060:PPN852062 PZJ852060:PZJ852062 QJF852060:QJF852062 QTB852060:QTB852062 RCX852060:RCX852062 RMT852060:RMT852062 RWP852060:RWP852062 SGL852060:SGL852062 SQH852060:SQH852062 TAD852060:TAD852062 TJZ852060:TJZ852062 TTV852060:TTV852062 UDR852060:UDR852062 UNN852060:UNN852062 UXJ852060:UXJ852062 VHF852060:VHF852062 VRB852060:VRB852062 WAX852060:WAX852062 WKT852060:WKT852062 WUP852060:WUP852062 ID917596:ID917598 RZ917596:RZ917598 ABV917596:ABV917598 ALR917596:ALR917598 AVN917596:AVN917598 BFJ917596:BFJ917598 BPF917596:BPF917598 BZB917596:BZB917598 CIX917596:CIX917598 CST917596:CST917598 DCP917596:DCP917598 DML917596:DML917598 DWH917596:DWH917598 EGD917596:EGD917598 EPZ917596:EPZ917598 EZV917596:EZV917598 FJR917596:FJR917598 FTN917596:FTN917598 GDJ917596:GDJ917598 GNF917596:GNF917598 GXB917596:GXB917598 HGX917596:HGX917598 HQT917596:HQT917598 IAP917596:IAP917598 IKL917596:IKL917598 IUH917596:IUH917598 JED917596:JED917598 JNZ917596:JNZ917598 JXV917596:JXV917598 KHR917596:KHR917598 KRN917596:KRN917598 LBJ917596:LBJ917598 LLF917596:LLF917598 LVB917596:LVB917598 MEX917596:MEX917598 MOT917596:MOT917598 MYP917596:MYP917598 NIL917596:NIL917598 NSH917596:NSH917598 OCD917596:OCD917598 OLZ917596:OLZ917598 OVV917596:OVV917598 PFR917596:PFR917598 PPN917596:PPN917598 PZJ917596:PZJ917598 QJF917596:QJF917598 QTB917596:QTB917598 RCX917596:RCX917598 RMT917596:RMT917598 RWP917596:RWP917598 SGL917596:SGL917598 SQH917596:SQH917598 TAD917596:TAD917598 TJZ917596:TJZ917598 TTV917596:TTV917598 UDR917596:UDR917598 UNN917596:UNN917598 UXJ917596:UXJ917598 VHF917596:VHF917598 VRB917596:VRB917598 WAX917596:WAX917598 WKT917596:WKT917598 WUP917596:WUP917598 ID983132:ID983134 RZ983132:RZ983134 ABV983132:ABV983134 ALR983132:ALR983134 AVN983132:AVN983134 BFJ983132:BFJ983134 BPF983132:BPF983134 BZB983132:BZB983134 CIX983132:CIX983134 CST983132:CST983134 DCP983132:DCP983134 DML983132:DML983134 DWH983132:DWH983134 EGD983132:EGD983134 EPZ983132:EPZ983134 EZV983132:EZV983134 FJR983132:FJR983134 FTN983132:FTN983134 GDJ983132:GDJ983134 GNF983132:GNF983134 GXB983132:GXB983134 HGX983132:HGX983134 HQT983132:HQT983134 IAP983132:IAP983134 IKL983132:IKL983134 IUH983132:IUH983134 JED983132:JED983134 JNZ983132:JNZ983134 JXV983132:JXV983134 KHR983132:KHR983134 KRN983132:KRN983134 LBJ983132:LBJ983134 LLF983132:LLF983134 LVB983132:LVB983134 MEX983132:MEX983134 MOT983132:MOT983134 MYP983132:MYP983134 NIL983132:NIL983134 NSH983132:NSH983134 OCD983132:OCD983134 OLZ983132:OLZ983134 OVV983132:OVV983134 PFR983132:PFR983134 PPN983132:PPN983134 PZJ983132:PZJ983134 QJF983132:QJF983134 QTB983132:QTB983134 RCX983132:RCX983134 RMT983132:RMT983134 RWP983132:RWP983134 SGL983132:SGL983134 SQH983132:SQH983134 TAD983132:TAD983134 TJZ983132:TJZ983134 TTV983132:TTV983134 UDR983132:UDR983134 UNN983132:UNN983134 UXJ983132:UXJ983134 VHF983132:VHF983134 VRB983132:VRB983134 WAX983132:WAX983134 WKT983132:WKT983134 WUP983132:WUP983134 ID92:ID95 ID6:ID87 WUP6:WUP87 WKT6:WKT87 WAX6:WAX87 VRB6:VRB87 VHF6:VHF87 UXJ6:UXJ87 UNN6:UNN87 UDR6:UDR87 TTV6:TTV87 TJZ6:TJZ87 TAD6:TAD87 SQH6:SQH87 SGL6:SGL87 RWP6:RWP87 RMT6:RMT87 RCX6:RCX87 QTB6:QTB87 QJF6:QJF87 PZJ6:PZJ87 PPN6:PPN87 PFR6:PFR87 OVV6:OVV87 OLZ6:OLZ87 OCD6:OCD87 NSH6:NSH87 NIL6:NIL87 MYP6:MYP87 MOT6:MOT87 MEX6:MEX87 LVB6:LVB87 LLF6:LLF87 LBJ6:LBJ87 KRN6:KRN87 KHR6:KHR87 JXV6:JXV87 JNZ6:JNZ87 JED6:JED87 IUH6:IUH87 IKL6:IKL87 IAP6:IAP87 HQT6:HQT87 HGX6:HGX87 GXB6:GXB87 GNF6:GNF87 GDJ6:GDJ87 FTN6:FTN87 FJR6:FJR87 EZV6:EZV87 EPZ6:EPZ87 EGD6:EGD87 DWH6:DWH87 DML6:DML87 DCP6:DCP87 CST6:CST87 CIX6:CIX87 BZB6:BZB87 BPF6:BPF87 BFJ6:BFJ87 AVN6:AVN87 ALR6:ALR87 ABV6:ABV87 RZ6:RZ87" xr:uid="{00000000-0002-0000-0A00-000001000000}">
      <formula1>"有,無"</formula1>
    </dataValidation>
    <dataValidation type="list" allowBlank="1" showInputMessage="1" showErrorMessage="1" sqref="E65585:E65591 IA45:IA81 RW45:RW81 ABS45:ABS81 ALO45:ALO81 AVK45:AVK81 BFG45:BFG81 BPC45:BPC81 BYY45:BYY81 CIU45:CIU81 CSQ45:CSQ81 DCM45:DCM81 DMI45:DMI81 DWE45:DWE81 EGA45:EGA81 EPW45:EPW81 EZS45:EZS81 FJO45:FJO81 FTK45:FTK81 GDG45:GDG81 GNC45:GNC81 GWY45:GWY81 HGU45:HGU81 HQQ45:HQQ81 IAM45:IAM81 IKI45:IKI81 IUE45:IUE81 JEA45:JEA81 JNW45:JNW81 JXS45:JXS81 KHO45:KHO81 KRK45:KRK81 LBG45:LBG81 LLC45:LLC81 LUY45:LUY81 MEU45:MEU81 MOQ45:MOQ81 MYM45:MYM81 NII45:NII81 NSE45:NSE81 OCA45:OCA81 OLW45:OLW81 OVS45:OVS81 PFO45:PFO81 PPK45:PPK81 PZG45:PZG81 QJC45:QJC81 QSY45:QSY81 RCU45:RCU81 RMQ45:RMQ81 RWM45:RWM81 SGI45:SGI81 SQE45:SQE81 TAA45:TAA81 TJW45:TJW81 TTS45:TTS81 UDO45:UDO81 UNK45:UNK81 UXG45:UXG81 VHC45:VHC81 VQY45:VQY81 WAU45:WAU81 WKQ45:WKQ81 WUM45:WUM81 WUM43 IA43 RW43 ABS43 ALO43 AVK43 BFG43 BPC43 BYY43 CIU43 CSQ43 DCM43 DMI43 DWE43 EGA43 EPW43 EZS43 FJO43 FTK43 GDG43 GNC43 GWY43 HGU43 HQQ43 IAM43 IKI43 IUE43 JEA43 JNW43 JXS43 KHO43 KRK43 LBG43 LLC43 LUY43 MEU43 MOQ43 MYM43 NII43 NSE43 OCA43 OLW43 OVS43 PFO43 PPK43 PZG43 QJC43 QSY43 RCU43 RMQ43 RWM43 SGI43 SQE43 TAA43 TJW43 TTS43 UDO43 UNK43 UXG43 VHC43 VQY43 WAU43 WKQ43 WUM983115:WUM983122 WKQ983115:WKQ983122 WAU983115:WAU983122 VQY983115:VQY983122 VHC983115:VHC983122 UXG983115:UXG983122 UNK983115:UNK983122 UDO983115:UDO983122 TTS983115:TTS983122 TJW983115:TJW983122 TAA983115:TAA983122 SQE983115:SQE983122 SGI983115:SGI983122 RWM983115:RWM983122 RMQ983115:RMQ983122 RCU983115:RCU983122 QSY983115:QSY983122 QJC983115:QJC983122 PZG983115:PZG983122 PPK983115:PPK983122 PFO983115:PFO983122 OVS983115:OVS983122 OLW983115:OLW983122 OCA983115:OCA983122 NSE983115:NSE983122 NII983115:NII983122 MYM983115:MYM983122 MOQ983115:MOQ983122 MEU983115:MEU983122 LUY983115:LUY983122 LLC983115:LLC983122 LBG983115:LBG983122 KRK983115:KRK983122 KHO983115:KHO983122 JXS983115:JXS983122 JNW983115:JNW983122 JEA983115:JEA983122 IUE983115:IUE983122 IKI983115:IKI983122 IAM983115:IAM983122 HQQ983115:HQQ983122 HGU983115:HGU983122 GWY983115:GWY983122 GNC983115:GNC983122 GDG983115:GDG983122 FTK983115:FTK983122 FJO983115:FJO983122 EZS983115:EZS983122 EPW983115:EPW983122 EGA983115:EGA983122 DWE983115:DWE983122 DMI983115:DMI983122 DCM983115:DCM983122 CSQ983115:CSQ983122 CIU983115:CIU983122 BYY983115:BYY983122 BPC983115:BPC983122 BFG983115:BFG983122 AVK983115:AVK983122 ALO983115:ALO983122 ABS983115:ABS983122 RW983115:RW983122 IA983115:IA983122 E983115:E983122 WUM917579:WUM917586 WKQ917579:WKQ917586 WAU917579:WAU917586 VQY917579:VQY917586 VHC917579:VHC917586 UXG917579:UXG917586 UNK917579:UNK917586 UDO917579:UDO917586 TTS917579:TTS917586 TJW917579:TJW917586 TAA917579:TAA917586 SQE917579:SQE917586 SGI917579:SGI917586 RWM917579:RWM917586 RMQ917579:RMQ917586 RCU917579:RCU917586 QSY917579:QSY917586 QJC917579:QJC917586 PZG917579:PZG917586 PPK917579:PPK917586 PFO917579:PFO917586 OVS917579:OVS917586 OLW917579:OLW917586 OCA917579:OCA917586 NSE917579:NSE917586 NII917579:NII917586 MYM917579:MYM917586 MOQ917579:MOQ917586 MEU917579:MEU917586 LUY917579:LUY917586 LLC917579:LLC917586 LBG917579:LBG917586 KRK917579:KRK917586 KHO917579:KHO917586 JXS917579:JXS917586 JNW917579:JNW917586 JEA917579:JEA917586 IUE917579:IUE917586 IKI917579:IKI917586 IAM917579:IAM917586 HQQ917579:HQQ917586 HGU917579:HGU917586 GWY917579:GWY917586 GNC917579:GNC917586 GDG917579:GDG917586 FTK917579:FTK917586 FJO917579:FJO917586 EZS917579:EZS917586 EPW917579:EPW917586 EGA917579:EGA917586 DWE917579:DWE917586 DMI917579:DMI917586 DCM917579:DCM917586 CSQ917579:CSQ917586 CIU917579:CIU917586 BYY917579:BYY917586 BPC917579:BPC917586 BFG917579:BFG917586 AVK917579:AVK917586 ALO917579:ALO917586 ABS917579:ABS917586 RW917579:RW917586 IA917579:IA917586 E917579:E917586 WUM852043:WUM852050 WKQ852043:WKQ852050 WAU852043:WAU852050 VQY852043:VQY852050 VHC852043:VHC852050 UXG852043:UXG852050 UNK852043:UNK852050 UDO852043:UDO852050 TTS852043:TTS852050 TJW852043:TJW852050 TAA852043:TAA852050 SQE852043:SQE852050 SGI852043:SGI852050 RWM852043:RWM852050 RMQ852043:RMQ852050 RCU852043:RCU852050 QSY852043:QSY852050 QJC852043:QJC852050 PZG852043:PZG852050 PPK852043:PPK852050 PFO852043:PFO852050 OVS852043:OVS852050 OLW852043:OLW852050 OCA852043:OCA852050 NSE852043:NSE852050 NII852043:NII852050 MYM852043:MYM852050 MOQ852043:MOQ852050 MEU852043:MEU852050 LUY852043:LUY852050 LLC852043:LLC852050 LBG852043:LBG852050 KRK852043:KRK852050 KHO852043:KHO852050 JXS852043:JXS852050 JNW852043:JNW852050 JEA852043:JEA852050 IUE852043:IUE852050 IKI852043:IKI852050 IAM852043:IAM852050 HQQ852043:HQQ852050 HGU852043:HGU852050 GWY852043:GWY852050 GNC852043:GNC852050 GDG852043:GDG852050 FTK852043:FTK852050 FJO852043:FJO852050 EZS852043:EZS852050 EPW852043:EPW852050 EGA852043:EGA852050 DWE852043:DWE852050 DMI852043:DMI852050 DCM852043:DCM852050 CSQ852043:CSQ852050 CIU852043:CIU852050 BYY852043:BYY852050 BPC852043:BPC852050 BFG852043:BFG852050 AVK852043:AVK852050 ALO852043:ALO852050 ABS852043:ABS852050 RW852043:RW852050 IA852043:IA852050 E852043:E852050 WUM786507:WUM786514 WKQ786507:WKQ786514 WAU786507:WAU786514 VQY786507:VQY786514 VHC786507:VHC786514 UXG786507:UXG786514 UNK786507:UNK786514 UDO786507:UDO786514 TTS786507:TTS786514 TJW786507:TJW786514 TAA786507:TAA786514 SQE786507:SQE786514 SGI786507:SGI786514 RWM786507:RWM786514 RMQ786507:RMQ786514 RCU786507:RCU786514 QSY786507:QSY786514 QJC786507:QJC786514 PZG786507:PZG786514 PPK786507:PPK786514 PFO786507:PFO786514 OVS786507:OVS786514 OLW786507:OLW786514 OCA786507:OCA786514 NSE786507:NSE786514 NII786507:NII786514 MYM786507:MYM786514 MOQ786507:MOQ786514 MEU786507:MEU786514 LUY786507:LUY786514 LLC786507:LLC786514 LBG786507:LBG786514 KRK786507:KRK786514 KHO786507:KHO786514 JXS786507:JXS786514 JNW786507:JNW786514 JEA786507:JEA786514 IUE786507:IUE786514 IKI786507:IKI786514 IAM786507:IAM786514 HQQ786507:HQQ786514 HGU786507:HGU786514 GWY786507:GWY786514 GNC786507:GNC786514 GDG786507:GDG786514 FTK786507:FTK786514 FJO786507:FJO786514 EZS786507:EZS786514 EPW786507:EPW786514 EGA786507:EGA786514 DWE786507:DWE786514 DMI786507:DMI786514 DCM786507:DCM786514 CSQ786507:CSQ786514 CIU786507:CIU786514 BYY786507:BYY786514 BPC786507:BPC786514 BFG786507:BFG786514 AVK786507:AVK786514 ALO786507:ALO786514 ABS786507:ABS786514 RW786507:RW786514 IA786507:IA786514 E786507:E786514 WUM720971:WUM720978 WKQ720971:WKQ720978 WAU720971:WAU720978 VQY720971:VQY720978 VHC720971:VHC720978 UXG720971:UXG720978 UNK720971:UNK720978 UDO720971:UDO720978 TTS720971:TTS720978 TJW720971:TJW720978 TAA720971:TAA720978 SQE720971:SQE720978 SGI720971:SGI720978 RWM720971:RWM720978 RMQ720971:RMQ720978 RCU720971:RCU720978 QSY720971:QSY720978 QJC720971:QJC720978 PZG720971:PZG720978 PPK720971:PPK720978 PFO720971:PFO720978 OVS720971:OVS720978 OLW720971:OLW720978 OCA720971:OCA720978 NSE720971:NSE720978 NII720971:NII720978 MYM720971:MYM720978 MOQ720971:MOQ720978 MEU720971:MEU720978 LUY720971:LUY720978 LLC720971:LLC720978 LBG720971:LBG720978 KRK720971:KRK720978 KHO720971:KHO720978 JXS720971:JXS720978 JNW720971:JNW720978 JEA720971:JEA720978 IUE720971:IUE720978 IKI720971:IKI720978 IAM720971:IAM720978 HQQ720971:HQQ720978 HGU720971:HGU720978 GWY720971:GWY720978 GNC720971:GNC720978 GDG720971:GDG720978 FTK720971:FTK720978 FJO720971:FJO720978 EZS720971:EZS720978 EPW720971:EPW720978 EGA720971:EGA720978 DWE720971:DWE720978 DMI720971:DMI720978 DCM720971:DCM720978 CSQ720971:CSQ720978 CIU720971:CIU720978 BYY720971:BYY720978 BPC720971:BPC720978 BFG720971:BFG720978 AVK720971:AVK720978 ALO720971:ALO720978 ABS720971:ABS720978 RW720971:RW720978 IA720971:IA720978 E720971:E720978 WUM655435:WUM655442 WKQ655435:WKQ655442 WAU655435:WAU655442 VQY655435:VQY655442 VHC655435:VHC655442 UXG655435:UXG655442 UNK655435:UNK655442 UDO655435:UDO655442 TTS655435:TTS655442 TJW655435:TJW655442 TAA655435:TAA655442 SQE655435:SQE655442 SGI655435:SGI655442 RWM655435:RWM655442 RMQ655435:RMQ655442 RCU655435:RCU655442 QSY655435:QSY655442 QJC655435:QJC655442 PZG655435:PZG655442 PPK655435:PPK655442 PFO655435:PFO655442 OVS655435:OVS655442 OLW655435:OLW655442 OCA655435:OCA655442 NSE655435:NSE655442 NII655435:NII655442 MYM655435:MYM655442 MOQ655435:MOQ655442 MEU655435:MEU655442 LUY655435:LUY655442 LLC655435:LLC655442 LBG655435:LBG655442 KRK655435:KRK655442 KHO655435:KHO655442 JXS655435:JXS655442 JNW655435:JNW655442 JEA655435:JEA655442 IUE655435:IUE655442 IKI655435:IKI655442 IAM655435:IAM655442 HQQ655435:HQQ655442 HGU655435:HGU655442 GWY655435:GWY655442 GNC655435:GNC655442 GDG655435:GDG655442 FTK655435:FTK655442 FJO655435:FJO655442 EZS655435:EZS655442 EPW655435:EPW655442 EGA655435:EGA655442 DWE655435:DWE655442 DMI655435:DMI655442 DCM655435:DCM655442 CSQ655435:CSQ655442 CIU655435:CIU655442 BYY655435:BYY655442 BPC655435:BPC655442 BFG655435:BFG655442 AVK655435:AVK655442 ALO655435:ALO655442 ABS655435:ABS655442 RW655435:RW655442 IA655435:IA655442 E655435:E655442 WUM589899:WUM589906 WKQ589899:WKQ589906 WAU589899:WAU589906 VQY589899:VQY589906 VHC589899:VHC589906 UXG589899:UXG589906 UNK589899:UNK589906 UDO589899:UDO589906 TTS589899:TTS589906 TJW589899:TJW589906 TAA589899:TAA589906 SQE589899:SQE589906 SGI589899:SGI589906 RWM589899:RWM589906 RMQ589899:RMQ589906 RCU589899:RCU589906 QSY589899:QSY589906 QJC589899:QJC589906 PZG589899:PZG589906 PPK589899:PPK589906 PFO589899:PFO589906 OVS589899:OVS589906 OLW589899:OLW589906 OCA589899:OCA589906 NSE589899:NSE589906 NII589899:NII589906 MYM589899:MYM589906 MOQ589899:MOQ589906 MEU589899:MEU589906 LUY589899:LUY589906 LLC589899:LLC589906 LBG589899:LBG589906 KRK589899:KRK589906 KHO589899:KHO589906 JXS589899:JXS589906 JNW589899:JNW589906 JEA589899:JEA589906 IUE589899:IUE589906 IKI589899:IKI589906 IAM589899:IAM589906 HQQ589899:HQQ589906 HGU589899:HGU589906 GWY589899:GWY589906 GNC589899:GNC589906 GDG589899:GDG589906 FTK589899:FTK589906 FJO589899:FJO589906 EZS589899:EZS589906 EPW589899:EPW589906 EGA589899:EGA589906 DWE589899:DWE589906 DMI589899:DMI589906 DCM589899:DCM589906 CSQ589899:CSQ589906 CIU589899:CIU589906 BYY589899:BYY589906 BPC589899:BPC589906 BFG589899:BFG589906 AVK589899:AVK589906 ALO589899:ALO589906 ABS589899:ABS589906 RW589899:RW589906 IA589899:IA589906 E589899:E589906 WUM524363:WUM524370 WKQ524363:WKQ524370 WAU524363:WAU524370 VQY524363:VQY524370 VHC524363:VHC524370 UXG524363:UXG524370 UNK524363:UNK524370 UDO524363:UDO524370 TTS524363:TTS524370 TJW524363:TJW524370 TAA524363:TAA524370 SQE524363:SQE524370 SGI524363:SGI524370 RWM524363:RWM524370 RMQ524363:RMQ524370 RCU524363:RCU524370 QSY524363:QSY524370 QJC524363:QJC524370 PZG524363:PZG524370 PPK524363:PPK524370 PFO524363:PFO524370 OVS524363:OVS524370 OLW524363:OLW524370 OCA524363:OCA524370 NSE524363:NSE524370 NII524363:NII524370 MYM524363:MYM524370 MOQ524363:MOQ524370 MEU524363:MEU524370 LUY524363:LUY524370 LLC524363:LLC524370 LBG524363:LBG524370 KRK524363:KRK524370 KHO524363:KHO524370 JXS524363:JXS524370 JNW524363:JNW524370 JEA524363:JEA524370 IUE524363:IUE524370 IKI524363:IKI524370 IAM524363:IAM524370 HQQ524363:HQQ524370 HGU524363:HGU524370 GWY524363:GWY524370 GNC524363:GNC524370 GDG524363:GDG524370 FTK524363:FTK524370 FJO524363:FJO524370 EZS524363:EZS524370 EPW524363:EPW524370 EGA524363:EGA524370 DWE524363:DWE524370 DMI524363:DMI524370 DCM524363:DCM524370 CSQ524363:CSQ524370 CIU524363:CIU524370 BYY524363:BYY524370 BPC524363:BPC524370 BFG524363:BFG524370 AVK524363:AVK524370 ALO524363:ALO524370 ABS524363:ABS524370 RW524363:RW524370 IA524363:IA524370 E524363:E524370 WUM458827:WUM458834 WKQ458827:WKQ458834 WAU458827:WAU458834 VQY458827:VQY458834 VHC458827:VHC458834 UXG458827:UXG458834 UNK458827:UNK458834 UDO458827:UDO458834 TTS458827:TTS458834 TJW458827:TJW458834 TAA458827:TAA458834 SQE458827:SQE458834 SGI458827:SGI458834 RWM458827:RWM458834 RMQ458827:RMQ458834 RCU458827:RCU458834 QSY458827:QSY458834 QJC458827:QJC458834 PZG458827:PZG458834 PPK458827:PPK458834 PFO458827:PFO458834 OVS458827:OVS458834 OLW458827:OLW458834 OCA458827:OCA458834 NSE458827:NSE458834 NII458827:NII458834 MYM458827:MYM458834 MOQ458827:MOQ458834 MEU458827:MEU458834 LUY458827:LUY458834 LLC458827:LLC458834 LBG458827:LBG458834 KRK458827:KRK458834 KHO458827:KHO458834 JXS458827:JXS458834 JNW458827:JNW458834 JEA458827:JEA458834 IUE458827:IUE458834 IKI458827:IKI458834 IAM458827:IAM458834 HQQ458827:HQQ458834 HGU458827:HGU458834 GWY458827:GWY458834 GNC458827:GNC458834 GDG458827:GDG458834 FTK458827:FTK458834 FJO458827:FJO458834 EZS458827:EZS458834 EPW458827:EPW458834 EGA458827:EGA458834 DWE458827:DWE458834 DMI458827:DMI458834 DCM458827:DCM458834 CSQ458827:CSQ458834 CIU458827:CIU458834 BYY458827:BYY458834 BPC458827:BPC458834 BFG458827:BFG458834 AVK458827:AVK458834 ALO458827:ALO458834 ABS458827:ABS458834 RW458827:RW458834 IA458827:IA458834 E458827:E458834 WUM393291:WUM393298 WKQ393291:WKQ393298 WAU393291:WAU393298 VQY393291:VQY393298 VHC393291:VHC393298 UXG393291:UXG393298 UNK393291:UNK393298 UDO393291:UDO393298 TTS393291:TTS393298 TJW393291:TJW393298 TAA393291:TAA393298 SQE393291:SQE393298 SGI393291:SGI393298 RWM393291:RWM393298 RMQ393291:RMQ393298 RCU393291:RCU393298 QSY393291:QSY393298 QJC393291:QJC393298 PZG393291:PZG393298 PPK393291:PPK393298 PFO393291:PFO393298 OVS393291:OVS393298 OLW393291:OLW393298 OCA393291:OCA393298 NSE393291:NSE393298 NII393291:NII393298 MYM393291:MYM393298 MOQ393291:MOQ393298 MEU393291:MEU393298 LUY393291:LUY393298 LLC393291:LLC393298 LBG393291:LBG393298 KRK393291:KRK393298 KHO393291:KHO393298 JXS393291:JXS393298 JNW393291:JNW393298 JEA393291:JEA393298 IUE393291:IUE393298 IKI393291:IKI393298 IAM393291:IAM393298 HQQ393291:HQQ393298 HGU393291:HGU393298 GWY393291:GWY393298 GNC393291:GNC393298 GDG393291:GDG393298 FTK393291:FTK393298 FJO393291:FJO393298 EZS393291:EZS393298 EPW393291:EPW393298 EGA393291:EGA393298 DWE393291:DWE393298 DMI393291:DMI393298 DCM393291:DCM393298 CSQ393291:CSQ393298 CIU393291:CIU393298 BYY393291:BYY393298 BPC393291:BPC393298 BFG393291:BFG393298 AVK393291:AVK393298 ALO393291:ALO393298 ABS393291:ABS393298 RW393291:RW393298 IA393291:IA393298 E393291:E393298 WUM327755:WUM327762 WKQ327755:WKQ327762 WAU327755:WAU327762 VQY327755:VQY327762 VHC327755:VHC327762 UXG327755:UXG327762 UNK327755:UNK327762 UDO327755:UDO327762 TTS327755:TTS327762 TJW327755:TJW327762 TAA327755:TAA327762 SQE327755:SQE327762 SGI327755:SGI327762 RWM327755:RWM327762 RMQ327755:RMQ327762 RCU327755:RCU327762 QSY327755:QSY327762 QJC327755:QJC327762 PZG327755:PZG327762 PPK327755:PPK327762 PFO327755:PFO327762 OVS327755:OVS327762 OLW327755:OLW327762 OCA327755:OCA327762 NSE327755:NSE327762 NII327755:NII327762 MYM327755:MYM327762 MOQ327755:MOQ327762 MEU327755:MEU327762 LUY327755:LUY327762 LLC327755:LLC327762 LBG327755:LBG327762 KRK327755:KRK327762 KHO327755:KHO327762 JXS327755:JXS327762 JNW327755:JNW327762 JEA327755:JEA327762 IUE327755:IUE327762 IKI327755:IKI327762 IAM327755:IAM327762 HQQ327755:HQQ327762 HGU327755:HGU327762 GWY327755:GWY327762 GNC327755:GNC327762 GDG327755:GDG327762 FTK327755:FTK327762 FJO327755:FJO327762 EZS327755:EZS327762 EPW327755:EPW327762 EGA327755:EGA327762 DWE327755:DWE327762 DMI327755:DMI327762 DCM327755:DCM327762 CSQ327755:CSQ327762 CIU327755:CIU327762 BYY327755:BYY327762 BPC327755:BPC327762 BFG327755:BFG327762 AVK327755:AVK327762 ALO327755:ALO327762 ABS327755:ABS327762 RW327755:RW327762 IA327755:IA327762 E327755:E327762 WUM262219:WUM262226 WKQ262219:WKQ262226 WAU262219:WAU262226 VQY262219:VQY262226 VHC262219:VHC262226 UXG262219:UXG262226 UNK262219:UNK262226 UDO262219:UDO262226 TTS262219:TTS262226 TJW262219:TJW262226 TAA262219:TAA262226 SQE262219:SQE262226 SGI262219:SGI262226 RWM262219:RWM262226 RMQ262219:RMQ262226 RCU262219:RCU262226 QSY262219:QSY262226 QJC262219:QJC262226 PZG262219:PZG262226 PPK262219:PPK262226 PFO262219:PFO262226 OVS262219:OVS262226 OLW262219:OLW262226 OCA262219:OCA262226 NSE262219:NSE262226 NII262219:NII262226 MYM262219:MYM262226 MOQ262219:MOQ262226 MEU262219:MEU262226 LUY262219:LUY262226 LLC262219:LLC262226 LBG262219:LBG262226 KRK262219:KRK262226 KHO262219:KHO262226 JXS262219:JXS262226 JNW262219:JNW262226 JEA262219:JEA262226 IUE262219:IUE262226 IKI262219:IKI262226 IAM262219:IAM262226 HQQ262219:HQQ262226 HGU262219:HGU262226 GWY262219:GWY262226 GNC262219:GNC262226 GDG262219:GDG262226 FTK262219:FTK262226 FJO262219:FJO262226 EZS262219:EZS262226 EPW262219:EPW262226 EGA262219:EGA262226 DWE262219:DWE262226 DMI262219:DMI262226 DCM262219:DCM262226 CSQ262219:CSQ262226 CIU262219:CIU262226 BYY262219:BYY262226 BPC262219:BPC262226 BFG262219:BFG262226 AVK262219:AVK262226 ALO262219:ALO262226 ABS262219:ABS262226 RW262219:RW262226 IA262219:IA262226 E262219:E262226 WUM196683:WUM196690 WKQ196683:WKQ196690 WAU196683:WAU196690 VQY196683:VQY196690 VHC196683:VHC196690 UXG196683:UXG196690 UNK196683:UNK196690 UDO196683:UDO196690 TTS196683:TTS196690 TJW196683:TJW196690 TAA196683:TAA196690 SQE196683:SQE196690 SGI196683:SGI196690 RWM196683:RWM196690 RMQ196683:RMQ196690 RCU196683:RCU196690 QSY196683:QSY196690 QJC196683:QJC196690 PZG196683:PZG196690 PPK196683:PPK196690 PFO196683:PFO196690 OVS196683:OVS196690 OLW196683:OLW196690 OCA196683:OCA196690 NSE196683:NSE196690 NII196683:NII196690 MYM196683:MYM196690 MOQ196683:MOQ196690 MEU196683:MEU196690 LUY196683:LUY196690 LLC196683:LLC196690 LBG196683:LBG196690 KRK196683:KRK196690 KHO196683:KHO196690 JXS196683:JXS196690 JNW196683:JNW196690 JEA196683:JEA196690 IUE196683:IUE196690 IKI196683:IKI196690 IAM196683:IAM196690 HQQ196683:HQQ196690 HGU196683:HGU196690 GWY196683:GWY196690 GNC196683:GNC196690 GDG196683:GDG196690 FTK196683:FTK196690 FJO196683:FJO196690 EZS196683:EZS196690 EPW196683:EPW196690 EGA196683:EGA196690 DWE196683:DWE196690 DMI196683:DMI196690 DCM196683:DCM196690 CSQ196683:CSQ196690 CIU196683:CIU196690 BYY196683:BYY196690 BPC196683:BPC196690 BFG196683:BFG196690 AVK196683:AVK196690 ALO196683:ALO196690 ABS196683:ABS196690 RW196683:RW196690 IA196683:IA196690 E196683:E196690 WUM131147:WUM131154 WKQ131147:WKQ131154 WAU131147:WAU131154 VQY131147:VQY131154 VHC131147:VHC131154 UXG131147:UXG131154 UNK131147:UNK131154 UDO131147:UDO131154 TTS131147:TTS131154 TJW131147:TJW131154 TAA131147:TAA131154 SQE131147:SQE131154 SGI131147:SGI131154 RWM131147:RWM131154 RMQ131147:RMQ131154 RCU131147:RCU131154 QSY131147:QSY131154 QJC131147:QJC131154 PZG131147:PZG131154 PPK131147:PPK131154 PFO131147:PFO131154 OVS131147:OVS131154 OLW131147:OLW131154 OCA131147:OCA131154 NSE131147:NSE131154 NII131147:NII131154 MYM131147:MYM131154 MOQ131147:MOQ131154 MEU131147:MEU131154 LUY131147:LUY131154 LLC131147:LLC131154 LBG131147:LBG131154 KRK131147:KRK131154 KHO131147:KHO131154 JXS131147:JXS131154 JNW131147:JNW131154 JEA131147:JEA131154 IUE131147:IUE131154 IKI131147:IKI131154 IAM131147:IAM131154 HQQ131147:HQQ131154 HGU131147:HGU131154 GWY131147:GWY131154 GNC131147:GNC131154 GDG131147:GDG131154 FTK131147:FTK131154 FJO131147:FJO131154 EZS131147:EZS131154 EPW131147:EPW131154 EGA131147:EGA131154 DWE131147:DWE131154 DMI131147:DMI131154 DCM131147:DCM131154 CSQ131147:CSQ131154 CIU131147:CIU131154 BYY131147:BYY131154 BPC131147:BPC131154 BFG131147:BFG131154 AVK131147:AVK131154 ALO131147:ALO131154 ABS131147:ABS131154 RW131147:RW131154 IA131147:IA131154 E131147:E131154 WUM65611:WUM65618 WKQ65611:WKQ65618 WAU65611:WAU65618 VQY65611:VQY65618 VHC65611:VHC65618 UXG65611:UXG65618 UNK65611:UNK65618 UDO65611:UDO65618 TTS65611:TTS65618 TJW65611:TJW65618 TAA65611:TAA65618 SQE65611:SQE65618 SGI65611:SGI65618 RWM65611:RWM65618 RMQ65611:RMQ65618 RCU65611:RCU65618 QSY65611:QSY65618 QJC65611:QJC65618 PZG65611:PZG65618 PPK65611:PPK65618 PFO65611:PFO65618 OVS65611:OVS65618 OLW65611:OLW65618 OCA65611:OCA65618 NSE65611:NSE65618 NII65611:NII65618 MYM65611:MYM65618 MOQ65611:MOQ65618 MEU65611:MEU65618 LUY65611:LUY65618 LLC65611:LLC65618 LBG65611:LBG65618 KRK65611:KRK65618 KHO65611:KHO65618 JXS65611:JXS65618 JNW65611:JNW65618 JEA65611:JEA65618 IUE65611:IUE65618 IKI65611:IKI65618 IAM65611:IAM65618 HQQ65611:HQQ65618 HGU65611:HGU65618 GWY65611:GWY65618 GNC65611:GNC65618 GDG65611:GDG65618 FTK65611:FTK65618 FJO65611:FJO65618 EZS65611:EZS65618 EPW65611:EPW65618 EGA65611:EGA65618 DWE65611:DWE65618 DMI65611:DMI65618 DCM65611:DCM65618 CSQ65611:CSQ65618 CIU65611:CIU65618 BYY65611:BYY65618 BPC65611:BPC65618 BFG65611:BFG65618 AVK65611:AVK65618 ALO65611:ALO65618 ABS65611:ABS65618 RW65611:RW65618 IA65611:IA65618 E65611:E65618 WUM983109:WUM983111 WKQ983109:WKQ983111 WAU983109:WAU983111 VQY983109:VQY983111 VHC983109:VHC983111 UXG983109:UXG983111 UNK983109:UNK983111 UDO983109:UDO983111 TTS983109:TTS983111 TJW983109:TJW983111 TAA983109:TAA983111 SQE983109:SQE983111 SGI983109:SGI983111 RWM983109:RWM983111 RMQ983109:RMQ983111 RCU983109:RCU983111 QSY983109:QSY983111 QJC983109:QJC983111 PZG983109:PZG983111 PPK983109:PPK983111 PFO983109:PFO983111 OVS983109:OVS983111 OLW983109:OLW983111 OCA983109:OCA983111 NSE983109:NSE983111 NII983109:NII983111 MYM983109:MYM983111 MOQ983109:MOQ983111 MEU983109:MEU983111 LUY983109:LUY983111 LLC983109:LLC983111 LBG983109:LBG983111 KRK983109:KRK983111 KHO983109:KHO983111 JXS983109:JXS983111 JNW983109:JNW983111 JEA983109:JEA983111 IUE983109:IUE983111 IKI983109:IKI983111 IAM983109:IAM983111 HQQ983109:HQQ983111 HGU983109:HGU983111 GWY983109:GWY983111 GNC983109:GNC983111 GDG983109:GDG983111 FTK983109:FTK983111 FJO983109:FJO983111 EZS983109:EZS983111 EPW983109:EPW983111 EGA983109:EGA983111 DWE983109:DWE983111 DMI983109:DMI983111 DCM983109:DCM983111 CSQ983109:CSQ983111 CIU983109:CIU983111 BYY983109:BYY983111 BPC983109:BPC983111 BFG983109:BFG983111 AVK983109:AVK983111 ALO983109:ALO983111 ABS983109:ABS983111 RW983109:RW983111 IA983109:IA983111 E983109:E983111 WUM917573:WUM917575 WKQ917573:WKQ917575 WAU917573:WAU917575 VQY917573:VQY917575 VHC917573:VHC917575 UXG917573:UXG917575 UNK917573:UNK917575 UDO917573:UDO917575 TTS917573:TTS917575 TJW917573:TJW917575 TAA917573:TAA917575 SQE917573:SQE917575 SGI917573:SGI917575 RWM917573:RWM917575 RMQ917573:RMQ917575 RCU917573:RCU917575 QSY917573:QSY917575 QJC917573:QJC917575 PZG917573:PZG917575 PPK917573:PPK917575 PFO917573:PFO917575 OVS917573:OVS917575 OLW917573:OLW917575 OCA917573:OCA917575 NSE917573:NSE917575 NII917573:NII917575 MYM917573:MYM917575 MOQ917573:MOQ917575 MEU917573:MEU917575 LUY917573:LUY917575 LLC917573:LLC917575 LBG917573:LBG917575 KRK917573:KRK917575 KHO917573:KHO917575 JXS917573:JXS917575 JNW917573:JNW917575 JEA917573:JEA917575 IUE917573:IUE917575 IKI917573:IKI917575 IAM917573:IAM917575 HQQ917573:HQQ917575 HGU917573:HGU917575 GWY917573:GWY917575 GNC917573:GNC917575 GDG917573:GDG917575 FTK917573:FTK917575 FJO917573:FJO917575 EZS917573:EZS917575 EPW917573:EPW917575 EGA917573:EGA917575 DWE917573:DWE917575 DMI917573:DMI917575 DCM917573:DCM917575 CSQ917573:CSQ917575 CIU917573:CIU917575 BYY917573:BYY917575 BPC917573:BPC917575 BFG917573:BFG917575 AVK917573:AVK917575 ALO917573:ALO917575 ABS917573:ABS917575 RW917573:RW917575 IA917573:IA917575 E917573:E917575 WUM852037:WUM852039 WKQ852037:WKQ852039 WAU852037:WAU852039 VQY852037:VQY852039 VHC852037:VHC852039 UXG852037:UXG852039 UNK852037:UNK852039 UDO852037:UDO852039 TTS852037:TTS852039 TJW852037:TJW852039 TAA852037:TAA852039 SQE852037:SQE852039 SGI852037:SGI852039 RWM852037:RWM852039 RMQ852037:RMQ852039 RCU852037:RCU852039 QSY852037:QSY852039 QJC852037:QJC852039 PZG852037:PZG852039 PPK852037:PPK852039 PFO852037:PFO852039 OVS852037:OVS852039 OLW852037:OLW852039 OCA852037:OCA852039 NSE852037:NSE852039 NII852037:NII852039 MYM852037:MYM852039 MOQ852037:MOQ852039 MEU852037:MEU852039 LUY852037:LUY852039 LLC852037:LLC852039 LBG852037:LBG852039 KRK852037:KRK852039 KHO852037:KHO852039 JXS852037:JXS852039 JNW852037:JNW852039 JEA852037:JEA852039 IUE852037:IUE852039 IKI852037:IKI852039 IAM852037:IAM852039 HQQ852037:HQQ852039 HGU852037:HGU852039 GWY852037:GWY852039 GNC852037:GNC852039 GDG852037:GDG852039 FTK852037:FTK852039 FJO852037:FJO852039 EZS852037:EZS852039 EPW852037:EPW852039 EGA852037:EGA852039 DWE852037:DWE852039 DMI852037:DMI852039 DCM852037:DCM852039 CSQ852037:CSQ852039 CIU852037:CIU852039 BYY852037:BYY852039 BPC852037:BPC852039 BFG852037:BFG852039 AVK852037:AVK852039 ALO852037:ALO852039 ABS852037:ABS852039 RW852037:RW852039 IA852037:IA852039 E852037:E852039 WUM786501:WUM786503 WKQ786501:WKQ786503 WAU786501:WAU786503 VQY786501:VQY786503 VHC786501:VHC786503 UXG786501:UXG786503 UNK786501:UNK786503 UDO786501:UDO786503 TTS786501:TTS786503 TJW786501:TJW786503 TAA786501:TAA786503 SQE786501:SQE786503 SGI786501:SGI786503 RWM786501:RWM786503 RMQ786501:RMQ786503 RCU786501:RCU786503 QSY786501:QSY786503 QJC786501:QJC786503 PZG786501:PZG786503 PPK786501:PPK786503 PFO786501:PFO786503 OVS786501:OVS786503 OLW786501:OLW786503 OCA786501:OCA786503 NSE786501:NSE786503 NII786501:NII786503 MYM786501:MYM786503 MOQ786501:MOQ786503 MEU786501:MEU786503 LUY786501:LUY786503 LLC786501:LLC786503 LBG786501:LBG786503 KRK786501:KRK786503 KHO786501:KHO786503 JXS786501:JXS786503 JNW786501:JNW786503 JEA786501:JEA786503 IUE786501:IUE786503 IKI786501:IKI786503 IAM786501:IAM786503 HQQ786501:HQQ786503 HGU786501:HGU786503 GWY786501:GWY786503 GNC786501:GNC786503 GDG786501:GDG786503 FTK786501:FTK786503 FJO786501:FJO786503 EZS786501:EZS786503 EPW786501:EPW786503 EGA786501:EGA786503 DWE786501:DWE786503 DMI786501:DMI786503 DCM786501:DCM786503 CSQ786501:CSQ786503 CIU786501:CIU786503 BYY786501:BYY786503 BPC786501:BPC786503 BFG786501:BFG786503 AVK786501:AVK786503 ALO786501:ALO786503 ABS786501:ABS786503 RW786501:RW786503 IA786501:IA786503 E786501:E786503 WUM720965:WUM720967 WKQ720965:WKQ720967 WAU720965:WAU720967 VQY720965:VQY720967 VHC720965:VHC720967 UXG720965:UXG720967 UNK720965:UNK720967 UDO720965:UDO720967 TTS720965:TTS720967 TJW720965:TJW720967 TAA720965:TAA720967 SQE720965:SQE720967 SGI720965:SGI720967 RWM720965:RWM720967 RMQ720965:RMQ720967 RCU720965:RCU720967 QSY720965:QSY720967 QJC720965:QJC720967 PZG720965:PZG720967 PPK720965:PPK720967 PFO720965:PFO720967 OVS720965:OVS720967 OLW720965:OLW720967 OCA720965:OCA720967 NSE720965:NSE720967 NII720965:NII720967 MYM720965:MYM720967 MOQ720965:MOQ720967 MEU720965:MEU720967 LUY720965:LUY720967 LLC720965:LLC720967 LBG720965:LBG720967 KRK720965:KRK720967 KHO720965:KHO720967 JXS720965:JXS720967 JNW720965:JNW720967 JEA720965:JEA720967 IUE720965:IUE720967 IKI720965:IKI720967 IAM720965:IAM720967 HQQ720965:HQQ720967 HGU720965:HGU720967 GWY720965:GWY720967 GNC720965:GNC720967 GDG720965:GDG720967 FTK720965:FTK720967 FJO720965:FJO720967 EZS720965:EZS720967 EPW720965:EPW720967 EGA720965:EGA720967 DWE720965:DWE720967 DMI720965:DMI720967 DCM720965:DCM720967 CSQ720965:CSQ720967 CIU720965:CIU720967 BYY720965:BYY720967 BPC720965:BPC720967 BFG720965:BFG720967 AVK720965:AVK720967 ALO720965:ALO720967 ABS720965:ABS720967 RW720965:RW720967 IA720965:IA720967 E720965:E720967 WUM655429:WUM655431 WKQ655429:WKQ655431 WAU655429:WAU655431 VQY655429:VQY655431 VHC655429:VHC655431 UXG655429:UXG655431 UNK655429:UNK655431 UDO655429:UDO655431 TTS655429:TTS655431 TJW655429:TJW655431 TAA655429:TAA655431 SQE655429:SQE655431 SGI655429:SGI655431 RWM655429:RWM655431 RMQ655429:RMQ655431 RCU655429:RCU655431 QSY655429:QSY655431 QJC655429:QJC655431 PZG655429:PZG655431 PPK655429:PPK655431 PFO655429:PFO655431 OVS655429:OVS655431 OLW655429:OLW655431 OCA655429:OCA655431 NSE655429:NSE655431 NII655429:NII655431 MYM655429:MYM655431 MOQ655429:MOQ655431 MEU655429:MEU655431 LUY655429:LUY655431 LLC655429:LLC655431 LBG655429:LBG655431 KRK655429:KRK655431 KHO655429:KHO655431 JXS655429:JXS655431 JNW655429:JNW655431 JEA655429:JEA655431 IUE655429:IUE655431 IKI655429:IKI655431 IAM655429:IAM655431 HQQ655429:HQQ655431 HGU655429:HGU655431 GWY655429:GWY655431 GNC655429:GNC655431 GDG655429:GDG655431 FTK655429:FTK655431 FJO655429:FJO655431 EZS655429:EZS655431 EPW655429:EPW655431 EGA655429:EGA655431 DWE655429:DWE655431 DMI655429:DMI655431 DCM655429:DCM655431 CSQ655429:CSQ655431 CIU655429:CIU655431 BYY655429:BYY655431 BPC655429:BPC655431 BFG655429:BFG655431 AVK655429:AVK655431 ALO655429:ALO655431 ABS655429:ABS655431 RW655429:RW655431 IA655429:IA655431 E655429:E655431 WUM589893:WUM589895 WKQ589893:WKQ589895 WAU589893:WAU589895 VQY589893:VQY589895 VHC589893:VHC589895 UXG589893:UXG589895 UNK589893:UNK589895 UDO589893:UDO589895 TTS589893:TTS589895 TJW589893:TJW589895 TAA589893:TAA589895 SQE589893:SQE589895 SGI589893:SGI589895 RWM589893:RWM589895 RMQ589893:RMQ589895 RCU589893:RCU589895 QSY589893:QSY589895 QJC589893:QJC589895 PZG589893:PZG589895 PPK589893:PPK589895 PFO589893:PFO589895 OVS589893:OVS589895 OLW589893:OLW589895 OCA589893:OCA589895 NSE589893:NSE589895 NII589893:NII589895 MYM589893:MYM589895 MOQ589893:MOQ589895 MEU589893:MEU589895 LUY589893:LUY589895 LLC589893:LLC589895 LBG589893:LBG589895 KRK589893:KRK589895 KHO589893:KHO589895 JXS589893:JXS589895 JNW589893:JNW589895 JEA589893:JEA589895 IUE589893:IUE589895 IKI589893:IKI589895 IAM589893:IAM589895 HQQ589893:HQQ589895 HGU589893:HGU589895 GWY589893:GWY589895 GNC589893:GNC589895 GDG589893:GDG589895 FTK589893:FTK589895 FJO589893:FJO589895 EZS589893:EZS589895 EPW589893:EPW589895 EGA589893:EGA589895 DWE589893:DWE589895 DMI589893:DMI589895 DCM589893:DCM589895 CSQ589893:CSQ589895 CIU589893:CIU589895 BYY589893:BYY589895 BPC589893:BPC589895 BFG589893:BFG589895 AVK589893:AVK589895 ALO589893:ALO589895 ABS589893:ABS589895 RW589893:RW589895 IA589893:IA589895 E589893:E589895 WUM524357:WUM524359 WKQ524357:WKQ524359 WAU524357:WAU524359 VQY524357:VQY524359 VHC524357:VHC524359 UXG524357:UXG524359 UNK524357:UNK524359 UDO524357:UDO524359 TTS524357:TTS524359 TJW524357:TJW524359 TAA524357:TAA524359 SQE524357:SQE524359 SGI524357:SGI524359 RWM524357:RWM524359 RMQ524357:RMQ524359 RCU524357:RCU524359 QSY524357:QSY524359 QJC524357:QJC524359 PZG524357:PZG524359 PPK524357:PPK524359 PFO524357:PFO524359 OVS524357:OVS524359 OLW524357:OLW524359 OCA524357:OCA524359 NSE524357:NSE524359 NII524357:NII524359 MYM524357:MYM524359 MOQ524357:MOQ524359 MEU524357:MEU524359 LUY524357:LUY524359 LLC524357:LLC524359 LBG524357:LBG524359 KRK524357:KRK524359 KHO524357:KHO524359 JXS524357:JXS524359 JNW524357:JNW524359 JEA524357:JEA524359 IUE524357:IUE524359 IKI524357:IKI524359 IAM524357:IAM524359 HQQ524357:HQQ524359 HGU524357:HGU524359 GWY524357:GWY524359 GNC524357:GNC524359 GDG524357:GDG524359 FTK524357:FTK524359 FJO524357:FJO524359 EZS524357:EZS524359 EPW524357:EPW524359 EGA524357:EGA524359 DWE524357:DWE524359 DMI524357:DMI524359 DCM524357:DCM524359 CSQ524357:CSQ524359 CIU524357:CIU524359 BYY524357:BYY524359 BPC524357:BPC524359 BFG524357:BFG524359 AVK524357:AVK524359 ALO524357:ALO524359 ABS524357:ABS524359 RW524357:RW524359 IA524357:IA524359 E524357:E524359 WUM458821:WUM458823 WKQ458821:WKQ458823 WAU458821:WAU458823 VQY458821:VQY458823 VHC458821:VHC458823 UXG458821:UXG458823 UNK458821:UNK458823 UDO458821:UDO458823 TTS458821:TTS458823 TJW458821:TJW458823 TAA458821:TAA458823 SQE458821:SQE458823 SGI458821:SGI458823 RWM458821:RWM458823 RMQ458821:RMQ458823 RCU458821:RCU458823 QSY458821:QSY458823 QJC458821:QJC458823 PZG458821:PZG458823 PPK458821:PPK458823 PFO458821:PFO458823 OVS458821:OVS458823 OLW458821:OLW458823 OCA458821:OCA458823 NSE458821:NSE458823 NII458821:NII458823 MYM458821:MYM458823 MOQ458821:MOQ458823 MEU458821:MEU458823 LUY458821:LUY458823 LLC458821:LLC458823 LBG458821:LBG458823 KRK458821:KRK458823 KHO458821:KHO458823 JXS458821:JXS458823 JNW458821:JNW458823 JEA458821:JEA458823 IUE458821:IUE458823 IKI458821:IKI458823 IAM458821:IAM458823 HQQ458821:HQQ458823 HGU458821:HGU458823 GWY458821:GWY458823 GNC458821:GNC458823 GDG458821:GDG458823 FTK458821:FTK458823 FJO458821:FJO458823 EZS458821:EZS458823 EPW458821:EPW458823 EGA458821:EGA458823 DWE458821:DWE458823 DMI458821:DMI458823 DCM458821:DCM458823 CSQ458821:CSQ458823 CIU458821:CIU458823 BYY458821:BYY458823 BPC458821:BPC458823 BFG458821:BFG458823 AVK458821:AVK458823 ALO458821:ALO458823 ABS458821:ABS458823 RW458821:RW458823 IA458821:IA458823 E458821:E458823 WUM393285:WUM393287 WKQ393285:WKQ393287 WAU393285:WAU393287 VQY393285:VQY393287 VHC393285:VHC393287 UXG393285:UXG393287 UNK393285:UNK393287 UDO393285:UDO393287 TTS393285:TTS393287 TJW393285:TJW393287 TAA393285:TAA393287 SQE393285:SQE393287 SGI393285:SGI393287 RWM393285:RWM393287 RMQ393285:RMQ393287 RCU393285:RCU393287 QSY393285:QSY393287 QJC393285:QJC393287 PZG393285:PZG393287 PPK393285:PPK393287 PFO393285:PFO393287 OVS393285:OVS393287 OLW393285:OLW393287 OCA393285:OCA393287 NSE393285:NSE393287 NII393285:NII393287 MYM393285:MYM393287 MOQ393285:MOQ393287 MEU393285:MEU393287 LUY393285:LUY393287 LLC393285:LLC393287 LBG393285:LBG393287 KRK393285:KRK393287 KHO393285:KHO393287 JXS393285:JXS393287 JNW393285:JNW393287 JEA393285:JEA393287 IUE393285:IUE393287 IKI393285:IKI393287 IAM393285:IAM393287 HQQ393285:HQQ393287 HGU393285:HGU393287 GWY393285:GWY393287 GNC393285:GNC393287 GDG393285:GDG393287 FTK393285:FTK393287 FJO393285:FJO393287 EZS393285:EZS393287 EPW393285:EPW393287 EGA393285:EGA393287 DWE393285:DWE393287 DMI393285:DMI393287 DCM393285:DCM393287 CSQ393285:CSQ393287 CIU393285:CIU393287 BYY393285:BYY393287 BPC393285:BPC393287 BFG393285:BFG393287 AVK393285:AVK393287 ALO393285:ALO393287 ABS393285:ABS393287 RW393285:RW393287 IA393285:IA393287 E393285:E393287 WUM327749:WUM327751 WKQ327749:WKQ327751 WAU327749:WAU327751 VQY327749:VQY327751 VHC327749:VHC327751 UXG327749:UXG327751 UNK327749:UNK327751 UDO327749:UDO327751 TTS327749:TTS327751 TJW327749:TJW327751 TAA327749:TAA327751 SQE327749:SQE327751 SGI327749:SGI327751 RWM327749:RWM327751 RMQ327749:RMQ327751 RCU327749:RCU327751 QSY327749:QSY327751 QJC327749:QJC327751 PZG327749:PZG327751 PPK327749:PPK327751 PFO327749:PFO327751 OVS327749:OVS327751 OLW327749:OLW327751 OCA327749:OCA327751 NSE327749:NSE327751 NII327749:NII327751 MYM327749:MYM327751 MOQ327749:MOQ327751 MEU327749:MEU327751 LUY327749:LUY327751 LLC327749:LLC327751 LBG327749:LBG327751 KRK327749:KRK327751 KHO327749:KHO327751 JXS327749:JXS327751 JNW327749:JNW327751 JEA327749:JEA327751 IUE327749:IUE327751 IKI327749:IKI327751 IAM327749:IAM327751 HQQ327749:HQQ327751 HGU327749:HGU327751 GWY327749:GWY327751 GNC327749:GNC327751 GDG327749:GDG327751 FTK327749:FTK327751 FJO327749:FJO327751 EZS327749:EZS327751 EPW327749:EPW327751 EGA327749:EGA327751 DWE327749:DWE327751 DMI327749:DMI327751 DCM327749:DCM327751 CSQ327749:CSQ327751 CIU327749:CIU327751 BYY327749:BYY327751 BPC327749:BPC327751 BFG327749:BFG327751 AVK327749:AVK327751 ALO327749:ALO327751 ABS327749:ABS327751 RW327749:RW327751 IA327749:IA327751 E327749:E327751 WUM262213:WUM262215 WKQ262213:WKQ262215 WAU262213:WAU262215 VQY262213:VQY262215 VHC262213:VHC262215 UXG262213:UXG262215 UNK262213:UNK262215 UDO262213:UDO262215 TTS262213:TTS262215 TJW262213:TJW262215 TAA262213:TAA262215 SQE262213:SQE262215 SGI262213:SGI262215 RWM262213:RWM262215 RMQ262213:RMQ262215 RCU262213:RCU262215 QSY262213:QSY262215 QJC262213:QJC262215 PZG262213:PZG262215 PPK262213:PPK262215 PFO262213:PFO262215 OVS262213:OVS262215 OLW262213:OLW262215 OCA262213:OCA262215 NSE262213:NSE262215 NII262213:NII262215 MYM262213:MYM262215 MOQ262213:MOQ262215 MEU262213:MEU262215 LUY262213:LUY262215 LLC262213:LLC262215 LBG262213:LBG262215 KRK262213:KRK262215 KHO262213:KHO262215 JXS262213:JXS262215 JNW262213:JNW262215 JEA262213:JEA262215 IUE262213:IUE262215 IKI262213:IKI262215 IAM262213:IAM262215 HQQ262213:HQQ262215 HGU262213:HGU262215 GWY262213:GWY262215 GNC262213:GNC262215 GDG262213:GDG262215 FTK262213:FTK262215 FJO262213:FJO262215 EZS262213:EZS262215 EPW262213:EPW262215 EGA262213:EGA262215 DWE262213:DWE262215 DMI262213:DMI262215 DCM262213:DCM262215 CSQ262213:CSQ262215 CIU262213:CIU262215 BYY262213:BYY262215 BPC262213:BPC262215 BFG262213:BFG262215 AVK262213:AVK262215 ALO262213:ALO262215 ABS262213:ABS262215 RW262213:RW262215 IA262213:IA262215 E262213:E262215 WUM196677:WUM196679 WKQ196677:WKQ196679 WAU196677:WAU196679 VQY196677:VQY196679 VHC196677:VHC196679 UXG196677:UXG196679 UNK196677:UNK196679 UDO196677:UDO196679 TTS196677:TTS196679 TJW196677:TJW196679 TAA196677:TAA196679 SQE196677:SQE196679 SGI196677:SGI196679 RWM196677:RWM196679 RMQ196677:RMQ196679 RCU196677:RCU196679 QSY196677:QSY196679 QJC196677:QJC196679 PZG196677:PZG196679 PPK196677:PPK196679 PFO196677:PFO196679 OVS196677:OVS196679 OLW196677:OLW196679 OCA196677:OCA196679 NSE196677:NSE196679 NII196677:NII196679 MYM196677:MYM196679 MOQ196677:MOQ196679 MEU196677:MEU196679 LUY196677:LUY196679 LLC196677:LLC196679 LBG196677:LBG196679 KRK196677:KRK196679 KHO196677:KHO196679 JXS196677:JXS196679 JNW196677:JNW196679 JEA196677:JEA196679 IUE196677:IUE196679 IKI196677:IKI196679 IAM196677:IAM196679 HQQ196677:HQQ196679 HGU196677:HGU196679 GWY196677:GWY196679 GNC196677:GNC196679 GDG196677:GDG196679 FTK196677:FTK196679 FJO196677:FJO196679 EZS196677:EZS196679 EPW196677:EPW196679 EGA196677:EGA196679 DWE196677:DWE196679 DMI196677:DMI196679 DCM196677:DCM196679 CSQ196677:CSQ196679 CIU196677:CIU196679 BYY196677:BYY196679 BPC196677:BPC196679 BFG196677:BFG196679 AVK196677:AVK196679 ALO196677:ALO196679 ABS196677:ABS196679 RW196677:RW196679 IA196677:IA196679 E196677:E196679 WUM131141:WUM131143 WKQ131141:WKQ131143 WAU131141:WAU131143 VQY131141:VQY131143 VHC131141:VHC131143 UXG131141:UXG131143 UNK131141:UNK131143 UDO131141:UDO131143 TTS131141:TTS131143 TJW131141:TJW131143 TAA131141:TAA131143 SQE131141:SQE131143 SGI131141:SGI131143 RWM131141:RWM131143 RMQ131141:RMQ131143 RCU131141:RCU131143 QSY131141:QSY131143 QJC131141:QJC131143 PZG131141:PZG131143 PPK131141:PPK131143 PFO131141:PFO131143 OVS131141:OVS131143 OLW131141:OLW131143 OCA131141:OCA131143 NSE131141:NSE131143 NII131141:NII131143 MYM131141:MYM131143 MOQ131141:MOQ131143 MEU131141:MEU131143 LUY131141:LUY131143 LLC131141:LLC131143 LBG131141:LBG131143 KRK131141:KRK131143 KHO131141:KHO131143 JXS131141:JXS131143 JNW131141:JNW131143 JEA131141:JEA131143 IUE131141:IUE131143 IKI131141:IKI131143 IAM131141:IAM131143 HQQ131141:HQQ131143 HGU131141:HGU131143 GWY131141:GWY131143 GNC131141:GNC131143 GDG131141:GDG131143 FTK131141:FTK131143 FJO131141:FJO131143 EZS131141:EZS131143 EPW131141:EPW131143 EGA131141:EGA131143 DWE131141:DWE131143 DMI131141:DMI131143 DCM131141:DCM131143 CSQ131141:CSQ131143 CIU131141:CIU131143 BYY131141:BYY131143 BPC131141:BPC131143 BFG131141:BFG131143 AVK131141:AVK131143 ALO131141:ALO131143 ABS131141:ABS131143 RW131141:RW131143 IA131141:IA131143 E131141:E131143 WUM65605:WUM65607 WKQ65605:WKQ65607 WAU65605:WAU65607 VQY65605:VQY65607 VHC65605:VHC65607 UXG65605:UXG65607 UNK65605:UNK65607 UDO65605:UDO65607 TTS65605:TTS65607 TJW65605:TJW65607 TAA65605:TAA65607 SQE65605:SQE65607 SGI65605:SGI65607 RWM65605:RWM65607 RMQ65605:RMQ65607 RCU65605:RCU65607 QSY65605:QSY65607 QJC65605:QJC65607 PZG65605:PZG65607 PPK65605:PPK65607 PFO65605:PFO65607 OVS65605:OVS65607 OLW65605:OLW65607 OCA65605:OCA65607 NSE65605:NSE65607 NII65605:NII65607 MYM65605:MYM65607 MOQ65605:MOQ65607 MEU65605:MEU65607 LUY65605:LUY65607 LLC65605:LLC65607 LBG65605:LBG65607 KRK65605:KRK65607 KHO65605:KHO65607 JXS65605:JXS65607 JNW65605:JNW65607 JEA65605:JEA65607 IUE65605:IUE65607 IKI65605:IKI65607 IAM65605:IAM65607 HQQ65605:HQQ65607 HGU65605:HGU65607 GWY65605:GWY65607 GNC65605:GNC65607 GDG65605:GDG65607 FTK65605:FTK65607 FJO65605:FJO65607 EZS65605:EZS65607 EPW65605:EPW65607 EGA65605:EGA65607 DWE65605:DWE65607 DMI65605:DMI65607 DCM65605:DCM65607 CSQ65605:CSQ65607 CIU65605:CIU65607 BYY65605:BYY65607 BPC65605:BPC65607 BFG65605:BFG65607 AVK65605:AVK65607 ALO65605:ALO65607 ABS65605:ABS65607 RW65605:RW65607 IA65605:IA65607 E65605:E65607 WUM983098:WUM983107 WKQ983098:WKQ983107 WAU983098:WAU983107 VQY983098:VQY983107 VHC983098:VHC983107 UXG983098:UXG983107 UNK983098:UNK983107 UDO983098:UDO983107 TTS983098:TTS983107 TJW983098:TJW983107 TAA983098:TAA983107 SQE983098:SQE983107 SGI983098:SGI983107 RWM983098:RWM983107 RMQ983098:RMQ983107 RCU983098:RCU983107 QSY983098:QSY983107 QJC983098:QJC983107 PZG983098:PZG983107 PPK983098:PPK983107 PFO983098:PFO983107 OVS983098:OVS983107 OLW983098:OLW983107 OCA983098:OCA983107 NSE983098:NSE983107 NII983098:NII983107 MYM983098:MYM983107 MOQ983098:MOQ983107 MEU983098:MEU983107 LUY983098:LUY983107 LLC983098:LLC983107 LBG983098:LBG983107 KRK983098:KRK983107 KHO983098:KHO983107 JXS983098:JXS983107 JNW983098:JNW983107 JEA983098:JEA983107 IUE983098:IUE983107 IKI983098:IKI983107 IAM983098:IAM983107 HQQ983098:HQQ983107 HGU983098:HGU983107 GWY983098:GWY983107 GNC983098:GNC983107 GDG983098:GDG983107 FTK983098:FTK983107 FJO983098:FJO983107 EZS983098:EZS983107 EPW983098:EPW983107 EGA983098:EGA983107 DWE983098:DWE983107 DMI983098:DMI983107 DCM983098:DCM983107 CSQ983098:CSQ983107 CIU983098:CIU983107 BYY983098:BYY983107 BPC983098:BPC983107 BFG983098:BFG983107 AVK983098:AVK983107 ALO983098:ALO983107 ABS983098:ABS983107 RW983098:RW983107 IA983098:IA983107 E983098:E983107 WUM917562:WUM917571 WKQ917562:WKQ917571 WAU917562:WAU917571 VQY917562:VQY917571 VHC917562:VHC917571 UXG917562:UXG917571 UNK917562:UNK917571 UDO917562:UDO917571 TTS917562:TTS917571 TJW917562:TJW917571 TAA917562:TAA917571 SQE917562:SQE917571 SGI917562:SGI917571 RWM917562:RWM917571 RMQ917562:RMQ917571 RCU917562:RCU917571 QSY917562:QSY917571 QJC917562:QJC917571 PZG917562:PZG917571 PPK917562:PPK917571 PFO917562:PFO917571 OVS917562:OVS917571 OLW917562:OLW917571 OCA917562:OCA917571 NSE917562:NSE917571 NII917562:NII917571 MYM917562:MYM917571 MOQ917562:MOQ917571 MEU917562:MEU917571 LUY917562:LUY917571 LLC917562:LLC917571 LBG917562:LBG917571 KRK917562:KRK917571 KHO917562:KHO917571 JXS917562:JXS917571 JNW917562:JNW917571 JEA917562:JEA917571 IUE917562:IUE917571 IKI917562:IKI917571 IAM917562:IAM917571 HQQ917562:HQQ917571 HGU917562:HGU917571 GWY917562:GWY917571 GNC917562:GNC917571 GDG917562:GDG917571 FTK917562:FTK917571 FJO917562:FJO917571 EZS917562:EZS917571 EPW917562:EPW917571 EGA917562:EGA917571 DWE917562:DWE917571 DMI917562:DMI917571 DCM917562:DCM917571 CSQ917562:CSQ917571 CIU917562:CIU917571 BYY917562:BYY917571 BPC917562:BPC917571 BFG917562:BFG917571 AVK917562:AVK917571 ALO917562:ALO917571 ABS917562:ABS917571 RW917562:RW917571 IA917562:IA917571 E917562:E917571 WUM852026:WUM852035 WKQ852026:WKQ852035 WAU852026:WAU852035 VQY852026:VQY852035 VHC852026:VHC852035 UXG852026:UXG852035 UNK852026:UNK852035 UDO852026:UDO852035 TTS852026:TTS852035 TJW852026:TJW852035 TAA852026:TAA852035 SQE852026:SQE852035 SGI852026:SGI852035 RWM852026:RWM852035 RMQ852026:RMQ852035 RCU852026:RCU852035 QSY852026:QSY852035 QJC852026:QJC852035 PZG852026:PZG852035 PPK852026:PPK852035 PFO852026:PFO852035 OVS852026:OVS852035 OLW852026:OLW852035 OCA852026:OCA852035 NSE852026:NSE852035 NII852026:NII852035 MYM852026:MYM852035 MOQ852026:MOQ852035 MEU852026:MEU852035 LUY852026:LUY852035 LLC852026:LLC852035 LBG852026:LBG852035 KRK852026:KRK852035 KHO852026:KHO852035 JXS852026:JXS852035 JNW852026:JNW852035 JEA852026:JEA852035 IUE852026:IUE852035 IKI852026:IKI852035 IAM852026:IAM852035 HQQ852026:HQQ852035 HGU852026:HGU852035 GWY852026:GWY852035 GNC852026:GNC852035 GDG852026:GDG852035 FTK852026:FTK852035 FJO852026:FJO852035 EZS852026:EZS852035 EPW852026:EPW852035 EGA852026:EGA852035 DWE852026:DWE852035 DMI852026:DMI852035 DCM852026:DCM852035 CSQ852026:CSQ852035 CIU852026:CIU852035 BYY852026:BYY852035 BPC852026:BPC852035 BFG852026:BFG852035 AVK852026:AVK852035 ALO852026:ALO852035 ABS852026:ABS852035 RW852026:RW852035 IA852026:IA852035 E852026:E852035 WUM786490:WUM786499 WKQ786490:WKQ786499 WAU786490:WAU786499 VQY786490:VQY786499 VHC786490:VHC786499 UXG786490:UXG786499 UNK786490:UNK786499 UDO786490:UDO786499 TTS786490:TTS786499 TJW786490:TJW786499 TAA786490:TAA786499 SQE786490:SQE786499 SGI786490:SGI786499 RWM786490:RWM786499 RMQ786490:RMQ786499 RCU786490:RCU786499 QSY786490:QSY786499 QJC786490:QJC786499 PZG786490:PZG786499 PPK786490:PPK786499 PFO786490:PFO786499 OVS786490:OVS786499 OLW786490:OLW786499 OCA786490:OCA786499 NSE786490:NSE786499 NII786490:NII786499 MYM786490:MYM786499 MOQ786490:MOQ786499 MEU786490:MEU786499 LUY786490:LUY786499 LLC786490:LLC786499 LBG786490:LBG786499 KRK786490:KRK786499 KHO786490:KHO786499 JXS786490:JXS786499 JNW786490:JNW786499 JEA786490:JEA786499 IUE786490:IUE786499 IKI786490:IKI786499 IAM786490:IAM786499 HQQ786490:HQQ786499 HGU786490:HGU786499 GWY786490:GWY786499 GNC786490:GNC786499 GDG786490:GDG786499 FTK786490:FTK786499 FJO786490:FJO786499 EZS786490:EZS786499 EPW786490:EPW786499 EGA786490:EGA786499 DWE786490:DWE786499 DMI786490:DMI786499 DCM786490:DCM786499 CSQ786490:CSQ786499 CIU786490:CIU786499 BYY786490:BYY786499 BPC786490:BPC786499 BFG786490:BFG786499 AVK786490:AVK786499 ALO786490:ALO786499 ABS786490:ABS786499 RW786490:RW786499 IA786490:IA786499 E786490:E786499 WUM720954:WUM720963 WKQ720954:WKQ720963 WAU720954:WAU720963 VQY720954:VQY720963 VHC720954:VHC720963 UXG720954:UXG720963 UNK720954:UNK720963 UDO720954:UDO720963 TTS720954:TTS720963 TJW720954:TJW720963 TAA720954:TAA720963 SQE720954:SQE720963 SGI720954:SGI720963 RWM720954:RWM720963 RMQ720954:RMQ720963 RCU720954:RCU720963 QSY720954:QSY720963 QJC720954:QJC720963 PZG720954:PZG720963 PPK720954:PPK720963 PFO720954:PFO720963 OVS720954:OVS720963 OLW720954:OLW720963 OCA720954:OCA720963 NSE720954:NSE720963 NII720954:NII720963 MYM720954:MYM720963 MOQ720954:MOQ720963 MEU720954:MEU720963 LUY720954:LUY720963 LLC720954:LLC720963 LBG720954:LBG720963 KRK720954:KRK720963 KHO720954:KHO720963 JXS720954:JXS720963 JNW720954:JNW720963 JEA720954:JEA720963 IUE720954:IUE720963 IKI720954:IKI720963 IAM720954:IAM720963 HQQ720954:HQQ720963 HGU720954:HGU720963 GWY720954:GWY720963 GNC720954:GNC720963 GDG720954:GDG720963 FTK720954:FTK720963 FJO720954:FJO720963 EZS720954:EZS720963 EPW720954:EPW720963 EGA720954:EGA720963 DWE720954:DWE720963 DMI720954:DMI720963 DCM720954:DCM720963 CSQ720954:CSQ720963 CIU720954:CIU720963 BYY720954:BYY720963 BPC720954:BPC720963 BFG720954:BFG720963 AVK720954:AVK720963 ALO720954:ALO720963 ABS720954:ABS720963 RW720954:RW720963 IA720954:IA720963 E720954:E720963 WUM655418:WUM655427 WKQ655418:WKQ655427 WAU655418:WAU655427 VQY655418:VQY655427 VHC655418:VHC655427 UXG655418:UXG655427 UNK655418:UNK655427 UDO655418:UDO655427 TTS655418:TTS655427 TJW655418:TJW655427 TAA655418:TAA655427 SQE655418:SQE655427 SGI655418:SGI655427 RWM655418:RWM655427 RMQ655418:RMQ655427 RCU655418:RCU655427 QSY655418:QSY655427 QJC655418:QJC655427 PZG655418:PZG655427 PPK655418:PPK655427 PFO655418:PFO655427 OVS655418:OVS655427 OLW655418:OLW655427 OCA655418:OCA655427 NSE655418:NSE655427 NII655418:NII655427 MYM655418:MYM655427 MOQ655418:MOQ655427 MEU655418:MEU655427 LUY655418:LUY655427 LLC655418:LLC655427 LBG655418:LBG655427 KRK655418:KRK655427 KHO655418:KHO655427 JXS655418:JXS655427 JNW655418:JNW655427 JEA655418:JEA655427 IUE655418:IUE655427 IKI655418:IKI655427 IAM655418:IAM655427 HQQ655418:HQQ655427 HGU655418:HGU655427 GWY655418:GWY655427 GNC655418:GNC655427 GDG655418:GDG655427 FTK655418:FTK655427 FJO655418:FJO655427 EZS655418:EZS655427 EPW655418:EPW655427 EGA655418:EGA655427 DWE655418:DWE655427 DMI655418:DMI655427 DCM655418:DCM655427 CSQ655418:CSQ655427 CIU655418:CIU655427 BYY655418:BYY655427 BPC655418:BPC655427 BFG655418:BFG655427 AVK655418:AVK655427 ALO655418:ALO655427 ABS655418:ABS655427 RW655418:RW655427 IA655418:IA655427 E655418:E655427 WUM589882:WUM589891 WKQ589882:WKQ589891 WAU589882:WAU589891 VQY589882:VQY589891 VHC589882:VHC589891 UXG589882:UXG589891 UNK589882:UNK589891 UDO589882:UDO589891 TTS589882:TTS589891 TJW589882:TJW589891 TAA589882:TAA589891 SQE589882:SQE589891 SGI589882:SGI589891 RWM589882:RWM589891 RMQ589882:RMQ589891 RCU589882:RCU589891 QSY589882:QSY589891 QJC589882:QJC589891 PZG589882:PZG589891 PPK589882:PPK589891 PFO589882:PFO589891 OVS589882:OVS589891 OLW589882:OLW589891 OCA589882:OCA589891 NSE589882:NSE589891 NII589882:NII589891 MYM589882:MYM589891 MOQ589882:MOQ589891 MEU589882:MEU589891 LUY589882:LUY589891 LLC589882:LLC589891 LBG589882:LBG589891 KRK589882:KRK589891 KHO589882:KHO589891 JXS589882:JXS589891 JNW589882:JNW589891 JEA589882:JEA589891 IUE589882:IUE589891 IKI589882:IKI589891 IAM589882:IAM589891 HQQ589882:HQQ589891 HGU589882:HGU589891 GWY589882:GWY589891 GNC589882:GNC589891 GDG589882:GDG589891 FTK589882:FTK589891 FJO589882:FJO589891 EZS589882:EZS589891 EPW589882:EPW589891 EGA589882:EGA589891 DWE589882:DWE589891 DMI589882:DMI589891 DCM589882:DCM589891 CSQ589882:CSQ589891 CIU589882:CIU589891 BYY589882:BYY589891 BPC589882:BPC589891 BFG589882:BFG589891 AVK589882:AVK589891 ALO589882:ALO589891 ABS589882:ABS589891 RW589882:RW589891 IA589882:IA589891 E589882:E589891 WUM524346:WUM524355 WKQ524346:WKQ524355 WAU524346:WAU524355 VQY524346:VQY524355 VHC524346:VHC524355 UXG524346:UXG524355 UNK524346:UNK524355 UDO524346:UDO524355 TTS524346:TTS524355 TJW524346:TJW524355 TAA524346:TAA524355 SQE524346:SQE524355 SGI524346:SGI524355 RWM524346:RWM524355 RMQ524346:RMQ524355 RCU524346:RCU524355 QSY524346:QSY524355 QJC524346:QJC524355 PZG524346:PZG524355 PPK524346:PPK524355 PFO524346:PFO524355 OVS524346:OVS524355 OLW524346:OLW524355 OCA524346:OCA524355 NSE524346:NSE524355 NII524346:NII524355 MYM524346:MYM524355 MOQ524346:MOQ524355 MEU524346:MEU524355 LUY524346:LUY524355 LLC524346:LLC524355 LBG524346:LBG524355 KRK524346:KRK524355 KHO524346:KHO524355 JXS524346:JXS524355 JNW524346:JNW524355 JEA524346:JEA524355 IUE524346:IUE524355 IKI524346:IKI524355 IAM524346:IAM524355 HQQ524346:HQQ524355 HGU524346:HGU524355 GWY524346:GWY524355 GNC524346:GNC524355 GDG524346:GDG524355 FTK524346:FTK524355 FJO524346:FJO524355 EZS524346:EZS524355 EPW524346:EPW524355 EGA524346:EGA524355 DWE524346:DWE524355 DMI524346:DMI524355 DCM524346:DCM524355 CSQ524346:CSQ524355 CIU524346:CIU524355 BYY524346:BYY524355 BPC524346:BPC524355 BFG524346:BFG524355 AVK524346:AVK524355 ALO524346:ALO524355 ABS524346:ABS524355 RW524346:RW524355 IA524346:IA524355 E524346:E524355 WUM458810:WUM458819 WKQ458810:WKQ458819 WAU458810:WAU458819 VQY458810:VQY458819 VHC458810:VHC458819 UXG458810:UXG458819 UNK458810:UNK458819 UDO458810:UDO458819 TTS458810:TTS458819 TJW458810:TJW458819 TAA458810:TAA458819 SQE458810:SQE458819 SGI458810:SGI458819 RWM458810:RWM458819 RMQ458810:RMQ458819 RCU458810:RCU458819 QSY458810:QSY458819 QJC458810:QJC458819 PZG458810:PZG458819 PPK458810:PPK458819 PFO458810:PFO458819 OVS458810:OVS458819 OLW458810:OLW458819 OCA458810:OCA458819 NSE458810:NSE458819 NII458810:NII458819 MYM458810:MYM458819 MOQ458810:MOQ458819 MEU458810:MEU458819 LUY458810:LUY458819 LLC458810:LLC458819 LBG458810:LBG458819 KRK458810:KRK458819 KHO458810:KHO458819 JXS458810:JXS458819 JNW458810:JNW458819 JEA458810:JEA458819 IUE458810:IUE458819 IKI458810:IKI458819 IAM458810:IAM458819 HQQ458810:HQQ458819 HGU458810:HGU458819 GWY458810:GWY458819 GNC458810:GNC458819 GDG458810:GDG458819 FTK458810:FTK458819 FJO458810:FJO458819 EZS458810:EZS458819 EPW458810:EPW458819 EGA458810:EGA458819 DWE458810:DWE458819 DMI458810:DMI458819 DCM458810:DCM458819 CSQ458810:CSQ458819 CIU458810:CIU458819 BYY458810:BYY458819 BPC458810:BPC458819 BFG458810:BFG458819 AVK458810:AVK458819 ALO458810:ALO458819 ABS458810:ABS458819 RW458810:RW458819 IA458810:IA458819 E458810:E458819 WUM393274:WUM393283 WKQ393274:WKQ393283 WAU393274:WAU393283 VQY393274:VQY393283 VHC393274:VHC393283 UXG393274:UXG393283 UNK393274:UNK393283 UDO393274:UDO393283 TTS393274:TTS393283 TJW393274:TJW393283 TAA393274:TAA393283 SQE393274:SQE393283 SGI393274:SGI393283 RWM393274:RWM393283 RMQ393274:RMQ393283 RCU393274:RCU393283 QSY393274:QSY393283 QJC393274:QJC393283 PZG393274:PZG393283 PPK393274:PPK393283 PFO393274:PFO393283 OVS393274:OVS393283 OLW393274:OLW393283 OCA393274:OCA393283 NSE393274:NSE393283 NII393274:NII393283 MYM393274:MYM393283 MOQ393274:MOQ393283 MEU393274:MEU393283 LUY393274:LUY393283 LLC393274:LLC393283 LBG393274:LBG393283 KRK393274:KRK393283 KHO393274:KHO393283 JXS393274:JXS393283 JNW393274:JNW393283 JEA393274:JEA393283 IUE393274:IUE393283 IKI393274:IKI393283 IAM393274:IAM393283 HQQ393274:HQQ393283 HGU393274:HGU393283 GWY393274:GWY393283 GNC393274:GNC393283 GDG393274:GDG393283 FTK393274:FTK393283 FJO393274:FJO393283 EZS393274:EZS393283 EPW393274:EPW393283 EGA393274:EGA393283 DWE393274:DWE393283 DMI393274:DMI393283 DCM393274:DCM393283 CSQ393274:CSQ393283 CIU393274:CIU393283 BYY393274:BYY393283 BPC393274:BPC393283 BFG393274:BFG393283 AVK393274:AVK393283 ALO393274:ALO393283 ABS393274:ABS393283 RW393274:RW393283 IA393274:IA393283 E393274:E393283 WUM327738:WUM327747 WKQ327738:WKQ327747 WAU327738:WAU327747 VQY327738:VQY327747 VHC327738:VHC327747 UXG327738:UXG327747 UNK327738:UNK327747 UDO327738:UDO327747 TTS327738:TTS327747 TJW327738:TJW327747 TAA327738:TAA327747 SQE327738:SQE327747 SGI327738:SGI327747 RWM327738:RWM327747 RMQ327738:RMQ327747 RCU327738:RCU327747 QSY327738:QSY327747 QJC327738:QJC327747 PZG327738:PZG327747 PPK327738:PPK327747 PFO327738:PFO327747 OVS327738:OVS327747 OLW327738:OLW327747 OCA327738:OCA327747 NSE327738:NSE327747 NII327738:NII327747 MYM327738:MYM327747 MOQ327738:MOQ327747 MEU327738:MEU327747 LUY327738:LUY327747 LLC327738:LLC327747 LBG327738:LBG327747 KRK327738:KRK327747 KHO327738:KHO327747 JXS327738:JXS327747 JNW327738:JNW327747 JEA327738:JEA327747 IUE327738:IUE327747 IKI327738:IKI327747 IAM327738:IAM327747 HQQ327738:HQQ327747 HGU327738:HGU327747 GWY327738:GWY327747 GNC327738:GNC327747 GDG327738:GDG327747 FTK327738:FTK327747 FJO327738:FJO327747 EZS327738:EZS327747 EPW327738:EPW327747 EGA327738:EGA327747 DWE327738:DWE327747 DMI327738:DMI327747 DCM327738:DCM327747 CSQ327738:CSQ327747 CIU327738:CIU327747 BYY327738:BYY327747 BPC327738:BPC327747 BFG327738:BFG327747 AVK327738:AVK327747 ALO327738:ALO327747 ABS327738:ABS327747 RW327738:RW327747 IA327738:IA327747 E327738:E327747 WUM262202:WUM262211 WKQ262202:WKQ262211 WAU262202:WAU262211 VQY262202:VQY262211 VHC262202:VHC262211 UXG262202:UXG262211 UNK262202:UNK262211 UDO262202:UDO262211 TTS262202:TTS262211 TJW262202:TJW262211 TAA262202:TAA262211 SQE262202:SQE262211 SGI262202:SGI262211 RWM262202:RWM262211 RMQ262202:RMQ262211 RCU262202:RCU262211 QSY262202:QSY262211 QJC262202:QJC262211 PZG262202:PZG262211 PPK262202:PPK262211 PFO262202:PFO262211 OVS262202:OVS262211 OLW262202:OLW262211 OCA262202:OCA262211 NSE262202:NSE262211 NII262202:NII262211 MYM262202:MYM262211 MOQ262202:MOQ262211 MEU262202:MEU262211 LUY262202:LUY262211 LLC262202:LLC262211 LBG262202:LBG262211 KRK262202:KRK262211 KHO262202:KHO262211 JXS262202:JXS262211 JNW262202:JNW262211 JEA262202:JEA262211 IUE262202:IUE262211 IKI262202:IKI262211 IAM262202:IAM262211 HQQ262202:HQQ262211 HGU262202:HGU262211 GWY262202:GWY262211 GNC262202:GNC262211 GDG262202:GDG262211 FTK262202:FTK262211 FJO262202:FJO262211 EZS262202:EZS262211 EPW262202:EPW262211 EGA262202:EGA262211 DWE262202:DWE262211 DMI262202:DMI262211 DCM262202:DCM262211 CSQ262202:CSQ262211 CIU262202:CIU262211 BYY262202:BYY262211 BPC262202:BPC262211 BFG262202:BFG262211 AVK262202:AVK262211 ALO262202:ALO262211 ABS262202:ABS262211 RW262202:RW262211 IA262202:IA262211 E262202:E262211 WUM196666:WUM196675 WKQ196666:WKQ196675 WAU196666:WAU196675 VQY196666:VQY196675 VHC196666:VHC196675 UXG196666:UXG196675 UNK196666:UNK196675 UDO196666:UDO196675 TTS196666:TTS196675 TJW196666:TJW196675 TAA196666:TAA196675 SQE196666:SQE196675 SGI196666:SGI196675 RWM196666:RWM196675 RMQ196666:RMQ196675 RCU196666:RCU196675 QSY196666:QSY196675 QJC196666:QJC196675 PZG196666:PZG196675 PPK196666:PPK196675 PFO196666:PFO196675 OVS196666:OVS196675 OLW196666:OLW196675 OCA196666:OCA196675 NSE196666:NSE196675 NII196666:NII196675 MYM196666:MYM196675 MOQ196666:MOQ196675 MEU196666:MEU196675 LUY196666:LUY196675 LLC196666:LLC196675 LBG196666:LBG196675 KRK196666:KRK196675 KHO196666:KHO196675 JXS196666:JXS196675 JNW196666:JNW196675 JEA196666:JEA196675 IUE196666:IUE196675 IKI196666:IKI196675 IAM196666:IAM196675 HQQ196666:HQQ196675 HGU196666:HGU196675 GWY196666:GWY196675 GNC196666:GNC196675 GDG196666:GDG196675 FTK196666:FTK196675 FJO196666:FJO196675 EZS196666:EZS196675 EPW196666:EPW196675 EGA196666:EGA196675 DWE196666:DWE196675 DMI196666:DMI196675 DCM196666:DCM196675 CSQ196666:CSQ196675 CIU196666:CIU196675 BYY196666:BYY196675 BPC196666:BPC196675 BFG196666:BFG196675 AVK196666:AVK196675 ALO196666:ALO196675 ABS196666:ABS196675 RW196666:RW196675 IA196666:IA196675 E196666:E196675 WUM131130:WUM131139 WKQ131130:WKQ131139 WAU131130:WAU131139 VQY131130:VQY131139 VHC131130:VHC131139 UXG131130:UXG131139 UNK131130:UNK131139 UDO131130:UDO131139 TTS131130:TTS131139 TJW131130:TJW131139 TAA131130:TAA131139 SQE131130:SQE131139 SGI131130:SGI131139 RWM131130:RWM131139 RMQ131130:RMQ131139 RCU131130:RCU131139 QSY131130:QSY131139 QJC131130:QJC131139 PZG131130:PZG131139 PPK131130:PPK131139 PFO131130:PFO131139 OVS131130:OVS131139 OLW131130:OLW131139 OCA131130:OCA131139 NSE131130:NSE131139 NII131130:NII131139 MYM131130:MYM131139 MOQ131130:MOQ131139 MEU131130:MEU131139 LUY131130:LUY131139 LLC131130:LLC131139 LBG131130:LBG131139 KRK131130:KRK131139 KHO131130:KHO131139 JXS131130:JXS131139 JNW131130:JNW131139 JEA131130:JEA131139 IUE131130:IUE131139 IKI131130:IKI131139 IAM131130:IAM131139 HQQ131130:HQQ131139 HGU131130:HGU131139 GWY131130:GWY131139 GNC131130:GNC131139 GDG131130:GDG131139 FTK131130:FTK131139 FJO131130:FJO131139 EZS131130:EZS131139 EPW131130:EPW131139 EGA131130:EGA131139 DWE131130:DWE131139 DMI131130:DMI131139 DCM131130:DCM131139 CSQ131130:CSQ131139 CIU131130:CIU131139 BYY131130:BYY131139 BPC131130:BPC131139 BFG131130:BFG131139 AVK131130:AVK131139 ALO131130:ALO131139 ABS131130:ABS131139 RW131130:RW131139 IA131130:IA131139 E131130:E131139 WUM65594:WUM65603 WKQ65594:WKQ65603 WAU65594:WAU65603 VQY65594:VQY65603 VHC65594:VHC65603 UXG65594:UXG65603 UNK65594:UNK65603 UDO65594:UDO65603 TTS65594:TTS65603 TJW65594:TJW65603 TAA65594:TAA65603 SQE65594:SQE65603 SGI65594:SGI65603 RWM65594:RWM65603 RMQ65594:RMQ65603 RCU65594:RCU65603 QSY65594:QSY65603 QJC65594:QJC65603 PZG65594:PZG65603 PPK65594:PPK65603 PFO65594:PFO65603 OVS65594:OVS65603 OLW65594:OLW65603 OCA65594:OCA65603 NSE65594:NSE65603 NII65594:NII65603 MYM65594:MYM65603 MOQ65594:MOQ65603 MEU65594:MEU65603 LUY65594:LUY65603 LLC65594:LLC65603 LBG65594:LBG65603 KRK65594:KRK65603 KHO65594:KHO65603 JXS65594:JXS65603 JNW65594:JNW65603 JEA65594:JEA65603 IUE65594:IUE65603 IKI65594:IKI65603 IAM65594:IAM65603 HQQ65594:HQQ65603 HGU65594:HGU65603 GWY65594:GWY65603 GNC65594:GNC65603 GDG65594:GDG65603 FTK65594:FTK65603 FJO65594:FJO65603 EZS65594:EZS65603 EPW65594:EPW65603 EGA65594:EGA65603 DWE65594:DWE65603 DMI65594:DMI65603 DCM65594:DCM65603 CSQ65594:CSQ65603 CIU65594:CIU65603 BYY65594:BYY65603 BPC65594:BPC65603 BFG65594:BFG65603 AVK65594:AVK65603 ALO65594:ALO65603 ABS65594:ABS65603 RW65594:RW65603 IA65594:IA65603 E65594:E65603 WUM983089:WUM983095 WKQ983089:WKQ983095 WAU983089:WAU983095 VQY983089:VQY983095 VHC983089:VHC983095 UXG983089:UXG983095 UNK983089:UNK983095 UDO983089:UDO983095 TTS983089:TTS983095 TJW983089:TJW983095 TAA983089:TAA983095 SQE983089:SQE983095 SGI983089:SGI983095 RWM983089:RWM983095 RMQ983089:RMQ983095 RCU983089:RCU983095 QSY983089:QSY983095 QJC983089:QJC983095 PZG983089:PZG983095 PPK983089:PPK983095 PFO983089:PFO983095 OVS983089:OVS983095 OLW983089:OLW983095 OCA983089:OCA983095 NSE983089:NSE983095 NII983089:NII983095 MYM983089:MYM983095 MOQ983089:MOQ983095 MEU983089:MEU983095 LUY983089:LUY983095 LLC983089:LLC983095 LBG983089:LBG983095 KRK983089:KRK983095 KHO983089:KHO983095 JXS983089:JXS983095 JNW983089:JNW983095 JEA983089:JEA983095 IUE983089:IUE983095 IKI983089:IKI983095 IAM983089:IAM983095 HQQ983089:HQQ983095 HGU983089:HGU983095 GWY983089:GWY983095 GNC983089:GNC983095 GDG983089:GDG983095 FTK983089:FTK983095 FJO983089:FJO983095 EZS983089:EZS983095 EPW983089:EPW983095 EGA983089:EGA983095 DWE983089:DWE983095 DMI983089:DMI983095 DCM983089:DCM983095 CSQ983089:CSQ983095 CIU983089:CIU983095 BYY983089:BYY983095 BPC983089:BPC983095 BFG983089:BFG983095 AVK983089:AVK983095 ALO983089:ALO983095 ABS983089:ABS983095 RW983089:RW983095 IA983089:IA983095 E983089:E983095 WUM917553:WUM917559 WKQ917553:WKQ917559 WAU917553:WAU917559 VQY917553:VQY917559 VHC917553:VHC917559 UXG917553:UXG917559 UNK917553:UNK917559 UDO917553:UDO917559 TTS917553:TTS917559 TJW917553:TJW917559 TAA917553:TAA917559 SQE917553:SQE917559 SGI917553:SGI917559 RWM917553:RWM917559 RMQ917553:RMQ917559 RCU917553:RCU917559 QSY917553:QSY917559 QJC917553:QJC917559 PZG917553:PZG917559 PPK917553:PPK917559 PFO917553:PFO917559 OVS917553:OVS917559 OLW917553:OLW917559 OCA917553:OCA917559 NSE917553:NSE917559 NII917553:NII917559 MYM917553:MYM917559 MOQ917553:MOQ917559 MEU917553:MEU917559 LUY917553:LUY917559 LLC917553:LLC917559 LBG917553:LBG917559 KRK917553:KRK917559 KHO917553:KHO917559 JXS917553:JXS917559 JNW917553:JNW917559 JEA917553:JEA917559 IUE917553:IUE917559 IKI917553:IKI917559 IAM917553:IAM917559 HQQ917553:HQQ917559 HGU917553:HGU917559 GWY917553:GWY917559 GNC917553:GNC917559 GDG917553:GDG917559 FTK917553:FTK917559 FJO917553:FJO917559 EZS917553:EZS917559 EPW917553:EPW917559 EGA917553:EGA917559 DWE917553:DWE917559 DMI917553:DMI917559 DCM917553:DCM917559 CSQ917553:CSQ917559 CIU917553:CIU917559 BYY917553:BYY917559 BPC917553:BPC917559 BFG917553:BFG917559 AVK917553:AVK917559 ALO917553:ALO917559 ABS917553:ABS917559 RW917553:RW917559 IA917553:IA917559 E917553:E917559 WUM852017:WUM852023 WKQ852017:WKQ852023 WAU852017:WAU852023 VQY852017:VQY852023 VHC852017:VHC852023 UXG852017:UXG852023 UNK852017:UNK852023 UDO852017:UDO852023 TTS852017:TTS852023 TJW852017:TJW852023 TAA852017:TAA852023 SQE852017:SQE852023 SGI852017:SGI852023 RWM852017:RWM852023 RMQ852017:RMQ852023 RCU852017:RCU852023 QSY852017:QSY852023 QJC852017:QJC852023 PZG852017:PZG852023 PPK852017:PPK852023 PFO852017:PFO852023 OVS852017:OVS852023 OLW852017:OLW852023 OCA852017:OCA852023 NSE852017:NSE852023 NII852017:NII852023 MYM852017:MYM852023 MOQ852017:MOQ852023 MEU852017:MEU852023 LUY852017:LUY852023 LLC852017:LLC852023 LBG852017:LBG852023 KRK852017:KRK852023 KHO852017:KHO852023 JXS852017:JXS852023 JNW852017:JNW852023 JEA852017:JEA852023 IUE852017:IUE852023 IKI852017:IKI852023 IAM852017:IAM852023 HQQ852017:HQQ852023 HGU852017:HGU852023 GWY852017:GWY852023 GNC852017:GNC852023 GDG852017:GDG852023 FTK852017:FTK852023 FJO852017:FJO852023 EZS852017:EZS852023 EPW852017:EPW852023 EGA852017:EGA852023 DWE852017:DWE852023 DMI852017:DMI852023 DCM852017:DCM852023 CSQ852017:CSQ852023 CIU852017:CIU852023 BYY852017:BYY852023 BPC852017:BPC852023 BFG852017:BFG852023 AVK852017:AVK852023 ALO852017:ALO852023 ABS852017:ABS852023 RW852017:RW852023 IA852017:IA852023 E852017:E852023 WUM786481:WUM786487 WKQ786481:WKQ786487 WAU786481:WAU786487 VQY786481:VQY786487 VHC786481:VHC786487 UXG786481:UXG786487 UNK786481:UNK786487 UDO786481:UDO786487 TTS786481:TTS786487 TJW786481:TJW786487 TAA786481:TAA786487 SQE786481:SQE786487 SGI786481:SGI786487 RWM786481:RWM786487 RMQ786481:RMQ786487 RCU786481:RCU786487 QSY786481:QSY786487 QJC786481:QJC786487 PZG786481:PZG786487 PPK786481:PPK786487 PFO786481:PFO786487 OVS786481:OVS786487 OLW786481:OLW786487 OCA786481:OCA786487 NSE786481:NSE786487 NII786481:NII786487 MYM786481:MYM786487 MOQ786481:MOQ786487 MEU786481:MEU786487 LUY786481:LUY786487 LLC786481:LLC786487 LBG786481:LBG786487 KRK786481:KRK786487 KHO786481:KHO786487 JXS786481:JXS786487 JNW786481:JNW786487 JEA786481:JEA786487 IUE786481:IUE786487 IKI786481:IKI786487 IAM786481:IAM786487 HQQ786481:HQQ786487 HGU786481:HGU786487 GWY786481:GWY786487 GNC786481:GNC786487 GDG786481:GDG786487 FTK786481:FTK786487 FJO786481:FJO786487 EZS786481:EZS786487 EPW786481:EPW786487 EGA786481:EGA786487 DWE786481:DWE786487 DMI786481:DMI786487 DCM786481:DCM786487 CSQ786481:CSQ786487 CIU786481:CIU786487 BYY786481:BYY786487 BPC786481:BPC786487 BFG786481:BFG786487 AVK786481:AVK786487 ALO786481:ALO786487 ABS786481:ABS786487 RW786481:RW786487 IA786481:IA786487 E786481:E786487 WUM720945:WUM720951 WKQ720945:WKQ720951 WAU720945:WAU720951 VQY720945:VQY720951 VHC720945:VHC720951 UXG720945:UXG720951 UNK720945:UNK720951 UDO720945:UDO720951 TTS720945:TTS720951 TJW720945:TJW720951 TAA720945:TAA720951 SQE720945:SQE720951 SGI720945:SGI720951 RWM720945:RWM720951 RMQ720945:RMQ720951 RCU720945:RCU720951 QSY720945:QSY720951 QJC720945:QJC720951 PZG720945:PZG720951 PPK720945:PPK720951 PFO720945:PFO720951 OVS720945:OVS720951 OLW720945:OLW720951 OCA720945:OCA720951 NSE720945:NSE720951 NII720945:NII720951 MYM720945:MYM720951 MOQ720945:MOQ720951 MEU720945:MEU720951 LUY720945:LUY720951 LLC720945:LLC720951 LBG720945:LBG720951 KRK720945:KRK720951 KHO720945:KHO720951 JXS720945:JXS720951 JNW720945:JNW720951 JEA720945:JEA720951 IUE720945:IUE720951 IKI720945:IKI720951 IAM720945:IAM720951 HQQ720945:HQQ720951 HGU720945:HGU720951 GWY720945:GWY720951 GNC720945:GNC720951 GDG720945:GDG720951 FTK720945:FTK720951 FJO720945:FJO720951 EZS720945:EZS720951 EPW720945:EPW720951 EGA720945:EGA720951 DWE720945:DWE720951 DMI720945:DMI720951 DCM720945:DCM720951 CSQ720945:CSQ720951 CIU720945:CIU720951 BYY720945:BYY720951 BPC720945:BPC720951 BFG720945:BFG720951 AVK720945:AVK720951 ALO720945:ALO720951 ABS720945:ABS720951 RW720945:RW720951 IA720945:IA720951 E720945:E720951 WUM655409:WUM655415 WKQ655409:WKQ655415 WAU655409:WAU655415 VQY655409:VQY655415 VHC655409:VHC655415 UXG655409:UXG655415 UNK655409:UNK655415 UDO655409:UDO655415 TTS655409:TTS655415 TJW655409:TJW655415 TAA655409:TAA655415 SQE655409:SQE655415 SGI655409:SGI655415 RWM655409:RWM655415 RMQ655409:RMQ655415 RCU655409:RCU655415 QSY655409:QSY655415 QJC655409:QJC655415 PZG655409:PZG655415 PPK655409:PPK655415 PFO655409:PFO655415 OVS655409:OVS655415 OLW655409:OLW655415 OCA655409:OCA655415 NSE655409:NSE655415 NII655409:NII655415 MYM655409:MYM655415 MOQ655409:MOQ655415 MEU655409:MEU655415 LUY655409:LUY655415 LLC655409:LLC655415 LBG655409:LBG655415 KRK655409:KRK655415 KHO655409:KHO655415 JXS655409:JXS655415 JNW655409:JNW655415 JEA655409:JEA655415 IUE655409:IUE655415 IKI655409:IKI655415 IAM655409:IAM655415 HQQ655409:HQQ655415 HGU655409:HGU655415 GWY655409:GWY655415 GNC655409:GNC655415 GDG655409:GDG655415 FTK655409:FTK655415 FJO655409:FJO655415 EZS655409:EZS655415 EPW655409:EPW655415 EGA655409:EGA655415 DWE655409:DWE655415 DMI655409:DMI655415 DCM655409:DCM655415 CSQ655409:CSQ655415 CIU655409:CIU655415 BYY655409:BYY655415 BPC655409:BPC655415 BFG655409:BFG655415 AVK655409:AVK655415 ALO655409:ALO655415 ABS655409:ABS655415 RW655409:RW655415 IA655409:IA655415 E655409:E655415 WUM589873:WUM589879 WKQ589873:WKQ589879 WAU589873:WAU589879 VQY589873:VQY589879 VHC589873:VHC589879 UXG589873:UXG589879 UNK589873:UNK589879 UDO589873:UDO589879 TTS589873:TTS589879 TJW589873:TJW589879 TAA589873:TAA589879 SQE589873:SQE589879 SGI589873:SGI589879 RWM589873:RWM589879 RMQ589873:RMQ589879 RCU589873:RCU589879 QSY589873:QSY589879 QJC589873:QJC589879 PZG589873:PZG589879 PPK589873:PPK589879 PFO589873:PFO589879 OVS589873:OVS589879 OLW589873:OLW589879 OCA589873:OCA589879 NSE589873:NSE589879 NII589873:NII589879 MYM589873:MYM589879 MOQ589873:MOQ589879 MEU589873:MEU589879 LUY589873:LUY589879 LLC589873:LLC589879 LBG589873:LBG589879 KRK589873:KRK589879 KHO589873:KHO589879 JXS589873:JXS589879 JNW589873:JNW589879 JEA589873:JEA589879 IUE589873:IUE589879 IKI589873:IKI589879 IAM589873:IAM589879 HQQ589873:HQQ589879 HGU589873:HGU589879 GWY589873:GWY589879 GNC589873:GNC589879 GDG589873:GDG589879 FTK589873:FTK589879 FJO589873:FJO589879 EZS589873:EZS589879 EPW589873:EPW589879 EGA589873:EGA589879 DWE589873:DWE589879 DMI589873:DMI589879 DCM589873:DCM589879 CSQ589873:CSQ589879 CIU589873:CIU589879 BYY589873:BYY589879 BPC589873:BPC589879 BFG589873:BFG589879 AVK589873:AVK589879 ALO589873:ALO589879 ABS589873:ABS589879 RW589873:RW589879 IA589873:IA589879 E589873:E589879 WUM524337:WUM524343 WKQ524337:WKQ524343 WAU524337:WAU524343 VQY524337:VQY524343 VHC524337:VHC524343 UXG524337:UXG524343 UNK524337:UNK524343 UDO524337:UDO524343 TTS524337:TTS524343 TJW524337:TJW524343 TAA524337:TAA524343 SQE524337:SQE524343 SGI524337:SGI524343 RWM524337:RWM524343 RMQ524337:RMQ524343 RCU524337:RCU524343 QSY524337:QSY524343 QJC524337:QJC524343 PZG524337:PZG524343 PPK524337:PPK524343 PFO524337:PFO524343 OVS524337:OVS524343 OLW524337:OLW524343 OCA524337:OCA524343 NSE524337:NSE524343 NII524337:NII524343 MYM524337:MYM524343 MOQ524337:MOQ524343 MEU524337:MEU524343 LUY524337:LUY524343 LLC524337:LLC524343 LBG524337:LBG524343 KRK524337:KRK524343 KHO524337:KHO524343 JXS524337:JXS524343 JNW524337:JNW524343 JEA524337:JEA524343 IUE524337:IUE524343 IKI524337:IKI524343 IAM524337:IAM524343 HQQ524337:HQQ524343 HGU524337:HGU524343 GWY524337:GWY524343 GNC524337:GNC524343 GDG524337:GDG524343 FTK524337:FTK524343 FJO524337:FJO524343 EZS524337:EZS524343 EPW524337:EPW524343 EGA524337:EGA524343 DWE524337:DWE524343 DMI524337:DMI524343 DCM524337:DCM524343 CSQ524337:CSQ524343 CIU524337:CIU524343 BYY524337:BYY524343 BPC524337:BPC524343 BFG524337:BFG524343 AVK524337:AVK524343 ALO524337:ALO524343 ABS524337:ABS524343 RW524337:RW524343 IA524337:IA524343 E524337:E524343 WUM458801:WUM458807 WKQ458801:WKQ458807 WAU458801:WAU458807 VQY458801:VQY458807 VHC458801:VHC458807 UXG458801:UXG458807 UNK458801:UNK458807 UDO458801:UDO458807 TTS458801:TTS458807 TJW458801:TJW458807 TAA458801:TAA458807 SQE458801:SQE458807 SGI458801:SGI458807 RWM458801:RWM458807 RMQ458801:RMQ458807 RCU458801:RCU458807 QSY458801:QSY458807 QJC458801:QJC458807 PZG458801:PZG458807 PPK458801:PPK458807 PFO458801:PFO458807 OVS458801:OVS458807 OLW458801:OLW458807 OCA458801:OCA458807 NSE458801:NSE458807 NII458801:NII458807 MYM458801:MYM458807 MOQ458801:MOQ458807 MEU458801:MEU458807 LUY458801:LUY458807 LLC458801:LLC458807 LBG458801:LBG458807 KRK458801:KRK458807 KHO458801:KHO458807 JXS458801:JXS458807 JNW458801:JNW458807 JEA458801:JEA458807 IUE458801:IUE458807 IKI458801:IKI458807 IAM458801:IAM458807 HQQ458801:HQQ458807 HGU458801:HGU458807 GWY458801:GWY458807 GNC458801:GNC458807 GDG458801:GDG458807 FTK458801:FTK458807 FJO458801:FJO458807 EZS458801:EZS458807 EPW458801:EPW458807 EGA458801:EGA458807 DWE458801:DWE458807 DMI458801:DMI458807 DCM458801:DCM458807 CSQ458801:CSQ458807 CIU458801:CIU458807 BYY458801:BYY458807 BPC458801:BPC458807 BFG458801:BFG458807 AVK458801:AVK458807 ALO458801:ALO458807 ABS458801:ABS458807 RW458801:RW458807 IA458801:IA458807 E458801:E458807 WUM393265:WUM393271 WKQ393265:WKQ393271 WAU393265:WAU393271 VQY393265:VQY393271 VHC393265:VHC393271 UXG393265:UXG393271 UNK393265:UNK393271 UDO393265:UDO393271 TTS393265:TTS393271 TJW393265:TJW393271 TAA393265:TAA393271 SQE393265:SQE393271 SGI393265:SGI393271 RWM393265:RWM393271 RMQ393265:RMQ393271 RCU393265:RCU393271 QSY393265:QSY393271 QJC393265:QJC393271 PZG393265:PZG393271 PPK393265:PPK393271 PFO393265:PFO393271 OVS393265:OVS393271 OLW393265:OLW393271 OCA393265:OCA393271 NSE393265:NSE393271 NII393265:NII393271 MYM393265:MYM393271 MOQ393265:MOQ393271 MEU393265:MEU393271 LUY393265:LUY393271 LLC393265:LLC393271 LBG393265:LBG393271 KRK393265:KRK393271 KHO393265:KHO393271 JXS393265:JXS393271 JNW393265:JNW393271 JEA393265:JEA393271 IUE393265:IUE393271 IKI393265:IKI393271 IAM393265:IAM393271 HQQ393265:HQQ393271 HGU393265:HGU393271 GWY393265:GWY393271 GNC393265:GNC393271 GDG393265:GDG393271 FTK393265:FTK393271 FJO393265:FJO393271 EZS393265:EZS393271 EPW393265:EPW393271 EGA393265:EGA393271 DWE393265:DWE393271 DMI393265:DMI393271 DCM393265:DCM393271 CSQ393265:CSQ393271 CIU393265:CIU393271 BYY393265:BYY393271 BPC393265:BPC393271 BFG393265:BFG393271 AVK393265:AVK393271 ALO393265:ALO393271 ABS393265:ABS393271 RW393265:RW393271 IA393265:IA393271 E393265:E393271 WUM327729:WUM327735 WKQ327729:WKQ327735 WAU327729:WAU327735 VQY327729:VQY327735 VHC327729:VHC327735 UXG327729:UXG327735 UNK327729:UNK327735 UDO327729:UDO327735 TTS327729:TTS327735 TJW327729:TJW327735 TAA327729:TAA327735 SQE327729:SQE327735 SGI327729:SGI327735 RWM327729:RWM327735 RMQ327729:RMQ327735 RCU327729:RCU327735 QSY327729:QSY327735 QJC327729:QJC327735 PZG327729:PZG327735 PPK327729:PPK327735 PFO327729:PFO327735 OVS327729:OVS327735 OLW327729:OLW327735 OCA327729:OCA327735 NSE327729:NSE327735 NII327729:NII327735 MYM327729:MYM327735 MOQ327729:MOQ327735 MEU327729:MEU327735 LUY327729:LUY327735 LLC327729:LLC327735 LBG327729:LBG327735 KRK327729:KRK327735 KHO327729:KHO327735 JXS327729:JXS327735 JNW327729:JNW327735 JEA327729:JEA327735 IUE327729:IUE327735 IKI327729:IKI327735 IAM327729:IAM327735 HQQ327729:HQQ327735 HGU327729:HGU327735 GWY327729:GWY327735 GNC327729:GNC327735 GDG327729:GDG327735 FTK327729:FTK327735 FJO327729:FJO327735 EZS327729:EZS327735 EPW327729:EPW327735 EGA327729:EGA327735 DWE327729:DWE327735 DMI327729:DMI327735 DCM327729:DCM327735 CSQ327729:CSQ327735 CIU327729:CIU327735 BYY327729:BYY327735 BPC327729:BPC327735 BFG327729:BFG327735 AVK327729:AVK327735 ALO327729:ALO327735 ABS327729:ABS327735 RW327729:RW327735 IA327729:IA327735 E327729:E327735 WUM262193:WUM262199 WKQ262193:WKQ262199 WAU262193:WAU262199 VQY262193:VQY262199 VHC262193:VHC262199 UXG262193:UXG262199 UNK262193:UNK262199 UDO262193:UDO262199 TTS262193:TTS262199 TJW262193:TJW262199 TAA262193:TAA262199 SQE262193:SQE262199 SGI262193:SGI262199 RWM262193:RWM262199 RMQ262193:RMQ262199 RCU262193:RCU262199 QSY262193:QSY262199 QJC262193:QJC262199 PZG262193:PZG262199 PPK262193:PPK262199 PFO262193:PFO262199 OVS262193:OVS262199 OLW262193:OLW262199 OCA262193:OCA262199 NSE262193:NSE262199 NII262193:NII262199 MYM262193:MYM262199 MOQ262193:MOQ262199 MEU262193:MEU262199 LUY262193:LUY262199 LLC262193:LLC262199 LBG262193:LBG262199 KRK262193:KRK262199 KHO262193:KHO262199 JXS262193:JXS262199 JNW262193:JNW262199 JEA262193:JEA262199 IUE262193:IUE262199 IKI262193:IKI262199 IAM262193:IAM262199 HQQ262193:HQQ262199 HGU262193:HGU262199 GWY262193:GWY262199 GNC262193:GNC262199 GDG262193:GDG262199 FTK262193:FTK262199 FJO262193:FJO262199 EZS262193:EZS262199 EPW262193:EPW262199 EGA262193:EGA262199 DWE262193:DWE262199 DMI262193:DMI262199 DCM262193:DCM262199 CSQ262193:CSQ262199 CIU262193:CIU262199 BYY262193:BYY262199 BPC262193:BPC262199 BFG262193:BFG262199 AVK262193:AVK262199 ALO262193:ALO262199 ABS262193:ABS262199 RW262193:RW262199 IA262193:IA262199 E262193:E262199 WUM196657:WUM196663 WKQ196657:WKQ196663 WAU196657:WAU196663 VQY196657:VQY196663 VHC196657:VHC196663 UXG196657:UXG196663 UNK196657:UNK196663 UDO196657:UDO196663 TTS196657:TTS196663 TJW196657:TJW196663 TAA196657:TAA196663 SQE196657:SQE196663 SGI196657:SGI196663 RWM196657:RWM196663 RMQ196657:RMQ196663 RCU196657:RCU196663 QSY196657:QSY196663 QJC196657:QJC196663 PZG196657:PZG196663 PPK196657:PPK196663 PFO196657:PFO196663 OVS196657:OVS196663 OLW196657:OLW196663 OCA196657:OCA196663 NSE196657:NSE196663 NII196657:NII196663 MYM196657:MYM196663 MOQ196657:MOQ196663 MEU196657:MEU196663 LUY196657:LUY196663 LLC196657:LLC196663 LBG196657:LBG196663 KRK196657:KRK196663 KHO196657:KHO196663 JXS196657:JXS196663 JNW196657:JNW196663 JEA196657:JEA196663 IUE196657:IUE196663 IKI196657:IKI196663 IAM196657:IAM196663 HQQ196657:HQQ196663 HGU196657:HGU196663 GWY196657:GWY196663 GNC196657:GNC196663 GDG196657:GDG196663 FTK196657:FTK196663 FJO196657:FJO196663 EZS196657:EZS196663 EPW196657:EPW196663 EGA196657:EGA196663 DWE196657:DWE196663 DMI196657:DMI196663 DCM196657:DCM196663 CSQ196657:CSQ196663 CIU196657:CIU196663 BYY196657:BYY196663 BPC196657:BPC196663 BFG196657:BFG196663 AVK196657:AVK196663 ALO196657:ALO196663 ABS196657:ABS196663 RW196657:RW196663 IA196657:IA196663 E196657:E196663 WUM131121:WUM131127 WKQ131121:WKQ131127 WAU131121:WAU131127 VQY131121:VQY131127 VHC131121:VHC131127 UXG131121:UXG131127 UNK131121:UNK131127 UDO131121:UDO131127 TTS131121:TTS131127 TJW131121:TJW131127 TAA131121:TAA131127 SQE131121:SQE131127 SGI131121:SGI131127 RWM131121:RWM131127 RMQ131121:RMQ131127 RCU131121:RCU131127 QSY131121:QSY131127 QJC131121:QJC131127 PZG131121:PZG131127 PPK131121:PPK131127 PFO131121:PFO131127 OVS131121:OVS131127 OLW131121:OLW131127 OCA131121:OCA131127 NSE131121:NSE131127 NII131121:NII131127 MYM131121:MYM131127 MOQ131121:MOQ131127 MEU131121:MEU131127 LUY131121:LUY131127 LLC131121:LLC131127 LBG131121:LBG131127 KRK131121:KRK131127 KHO131121:KHO131127 JXS131121:JXS131127 JNW131121:JNW131127 JEA131121:JEA131127 IUE131121:IUE131127 IKI131121:IKI131127 IAM131121:IAM131127 HQQ131121:HQQ131127 HGU131121:HGU131127 GWY131121:GWY131127 GNC131121:GNC131127 GDG131121:GDG131127 FTK131121:FTK131127 FJO131121:FJO131127 EZS131121:EZS131127 EPW131121:EPW131127 EGA131121:EGA131127 DWE131121:DWE131127 DMI131121:DMI131127 DCM131121:DCM131127 CSQ131121:CSQ131127 CIU131121:CIU131127 BYY131121:BYY131127 BPC131121:BPC131127 BFG131121:BFG131127 AVK131121:AVK131127 ALO131121:ALO131127 ABS131121:ABS131127 RW131121:RW131127 IA131121:IA131127 E131121:E131127 WUM65585:WUM65591 WKQ65585:WKQ65591 WAU65585:WAU65591 VQY65585:VQY65591 VHC65585:VHC65591 UXG65585:UXG65591 UNK65585:UNK65591 UDO65585:UDO65591 TTS65585:TTS65591 TJW65585:TJW65591 TAA65585:TAA65591 SQE65585:SQE65591 SGI65585:SGI65591 RWM65585:RWM65591 RMQ65585:RMQ65591 RCU65585:RCU65591 QSY65585:QSY65591 QJC65585:QJC65591 PZG65585:PZG65591 PPK65585:PPK65591 PFO65585:PFO65591 OVS65585:OVS65591 OLW65585:OLW65591 OCA65585:OCA65591 NSE65585:NSE65591 NII65585:NII65591 MYM65585:MYM65591 MOQ65585:MOQ65591 MEU65585:MEU65591 LUY65585:LUY65591 LLC65585:LLC65591 LBG65585:LBG65591 KRK65585:KRK65591 KHO65585:KHO65591 JXS65585:JXS65591 JNW65585:JNW65591 JEA65585:JEA65591 IUE65585:IUE65591 IKI65585:IKI65591 IAM65585:IAM65591 HQQ65585:HQQ65591 HGU65585:HGU65591 GWY65585:GWY65591 GNC65585:GNC65591 GDG65585:GDG65591 FTK65585:FTK65591 FJO65585:FJO65591 EZS65585:EZS65591 EPW65585:EPW65591 EGA65585:EGA65591 DWE65585:DWE65591 DMI65585:DMI65591 DCM65585:DCM65591 CSQ65585:CSQ65591 CIU65585:CIU65591 BYY65585:BYY65591 BPC65585:BPC65591 BFG65585:BFG65591 AVK65585:AVK65591 ALO65585:ALO65591 ABS65585:ABS65591 RW65585:RW65591 IA65585:IA65591 WUM6:WUM41 WKQ6:WKQ41 WAU6:WAU41 VQY6:VQY41 VHC6:VHC41 UXG6:UXG41 UNK6:UNK41 UDO6:UDO41 TTS6:TTS41 TJW6:TJW41 TAA6:TAA41 SQE6:SQE41 SGI6:SGI41 RWM6:RWM41 RMQ6:RMQ41 RCU6:RCU41 QSY6:QSY41 QJC6:QJC41 PZG6:PZG41 PPK6:PPK41 PFO6:PFO41 OVS6:OVS41 OLW6:OLW41 OCA6:OCA41 NSE6:NSE41 NII6:NII41 MYM6:MYM41 MOQ6:MOQ41 MEU6:MEU41 LUY6:LUY41 LLC6:LLC41 LBG6:LBG41 KRK6:KRK41 KHO6:KHO41 JXS6:JXS41 JNW6:JNW41 JEA6:JEA41 IUE6:IUE41 IKI6:IKI41 IAM6:IAM41 HQQ6:HQQ41 HGU6:HGU41 GWY6:GWY41 GNC6:GNC41 GDG6:GDG41 FTK6:FTK41 FJO6:FJO41 EZS6:EZS41 EPW6:EPW41 EGA6:EGA41 DWE6:DWE41 DMI6:DMI41 DCM6:DCM41 CSQ6:CSQ41 CIU6:CIU41 BYY6:BYY41 BPC6:BPC41 BFG6:BFG41 AVK6:AVK41 ALO6:ALO41 ABS6:ABS41 RW6:RW41 IA6:IA41" xr:uid="{00000000-0002-0000-0A00-000002000000}">
      <formula1>$O$9:$O$10</formula1>
    </dataValidation>
    <dataValidation type="list" allowBlank="1" showInputMessage="1" showErrorMessage="1" sqref="E65592:E65593 WUM983108 WKQ983108 WAU983108 VQY983108 VHC983108 UXG983108 UNK983108 UDO983108 TTS983108 TJW983108 TAA983108 SQE983108 SGI983108 RWM983108 RMQ983108 RCU983108 QSY983108 QJC983108 PZG983108 PPK983108 PFO983108 OVS983108 OLW983108 OCA983108 NSE983108 NII983108 MYM983108 MOQ983108 MEU983108 LUY983108 LLC983108 LBG983108 KRK983108 KHO983108 JXS983108 JNW983108 JEA983108 IUE983108 IKI983108 IAM983108 HQQ983108 HGU983108 GWY983108 GNC983108 GDG983108 FTK983108 FJO983108 EZS983108 EPW983108 EGA983108 DWE983108 DMI983108 DCM983108 CSQ983108 CIU983108 BYY983108 BPC983108 BFG983108 AVK983108 ALO983108 ABS983108 RW983108 IA983108 E983108 WUM917572 WKQ917572 WAU917572 VQY917572 VHC917572 UXG917572 UNK917572 UDO917572 TTS917572 TJW917572 TAA917572 SQE917572 SGI917572 RWM917572 RMQ917572 RCU917572 QSY917572 QJC917572 PZG917572 PPK917572 PFO917572 OVS917572 OLW917572 OCA917572 NSE917572 NII917572 MYM917572 MOQ917572 MEU917572 LUY917572 LLC917572 LBG917572 KRK917572 KHO917572 JXS917572 JNW917572 JEA917572 IUE917572 IKI917572 IAM917572 HQQ917572 HGU917572 GWY917572 GNC917572 GDG917572 FTK917572 FJO917572 EZS917572 EPW917572 EGA917572 DWE917572 DMI917572 DCM917572 CSQ917572 CIU917572 BYY917572 BPC917572 BFG917572 AVK917572 ALO917572 ABS917572 RW917572 IA917572 E917572 WUM852036 WKQ852036 WAU852036 VQY852036 VHC852036 UXG852036 UNK852036 UDO852036 TTS852036 TJW852036 TAA852036 SQE852036 SGI852036 RWM852036 RMQ852036 RCU852036 QSY852036 QJC852036 PZG852036 PPK852036 PFO852036 OVS852036 OLW852036 OCA852036 NSE852036 NII852036 MYM852036 MOQ852036 MEU852036 LUY852036 LLC852036 LBG852036 KRK852036 KHO852036 JXS852036 JNW852036 JEA852036 IUE852036 IKI852036 IAM852036 HQQ852036 HGU852036 GWY852036 GNC852036 GDG852036 FTK852036 FJO852036 EZS852036 EPW852036 EGA852036 DWE852036 DMI852036 DCM852036 CSQ852036 CIU852036 BYY852036 BPC852036 BFG852036 AVK852036 ALO852036 ABS852036 RW852036 IA852036 E852036 WUM786500 WKQ786500 WAU786500 VQY786500 VHC786500 UXG786500 UNK786500 UDO786500 TTS786500 TJW786500 TAA786500 SQE786500 SGI786500 RWM786500 RMQ786500 RCU786500 QSY786500 QJC786500 PZG786500 PPK786500 PFO786500 OVS786500 OLW786500 OCA786500 NSE786500 NII786500 MYM786500 MOQ786500 MEU786500 LUY786500 LLC786500 LBG786500 KRK786500 KHO786500 JXS786500 JNW786500 JEA786500 IUE786500 IKI786500 IAM786500 HQQ786500 HGU786500 GWY786500 GNC786500 GDG786500 FTK786500 FJO786500 EZS786500 EPW786500 EGA786500 DWE786500 DMI786500 DCM786500 CSQ786500 CIU786500 BYY786500 BPC786500 BFG786500 AVK786500 ALO786500 ABS786500 RW786500 IA786500 E786500 WUM720964 WKQ720964 WAU720964 VQY720964 VHC720964 UXG720964 UNK720964 UDO720964 TTS720964 TJW720964 TAA720964 SQE720964 SGI720964 RWM720964 RMQ720964 RCU720964 QSY720964 QJC720964 PZG720964 PPK720964 PFO720964 OVS720964 OLW720964 OCA720964 NSE720964 NII720964 MYM720964 MOQ720964 MEU720964 LUY720964 LLC720964 LBG720964 KRK720964 KHO720964 JXS720964 JNW720964 JEA720964 IUE720964 IKI720964 IAM720964 HQQ720964 HGU720964 GWY720964 GNC720964 GDG720964 FTK720964 FJO720964 EZS720964 EPW720964 EGA720964 DWE720964 DMI720964 DCM720964 CSQ720964 CIU720964 BYY720964 BPC720964 BFG720964 AVK720964 ALO720964 ABS720964 RW720964 IA720964 E720964 WUM655428 WKQ655428 WAU655428 VQY655428 VHC655428 UXG655428 UNK655428 UDO655428 TTS655428 TJW655428 TAA655428 SQE655428 SGI655428 RWM655428 RMQ655428 RCU655428 QSY655428 QJC655428 PZG655428 PPK655428 PFO655428 OVS655428 OLW655428 OCA655428 NSE655428 NII655428 MYM655428 MOQ655428 MEU655428 LUY655428 LLC655428 LBG655428 KRK655428 KHO655428 JXS655428 JNW655428 JEA655428 IUE655428 IKI655428 IAM655428 HQQ655428 HGU655428 GWY655428 GNC655428 GDG655428 FTK655428 FJO655428 EZS655428 EPW655428 EGA655428 DWE655428 DMI655428 DCM655428 CSQ655428 CIU655428 BYY655428 BPC655428 BFG655428 AVK655428 ALO655428 ABS655428 RW655428 IA655428 E655428 WUM589892 WKQ589892 WAU589892 VQY589892 VHC589892 UXG589892 UNK589892 UDO589892 TTS589892 TJW589892 TAA589892 SQE589892 SGI589892 RWM589892 RMQ589892 RCU589892 QSY589892 QJC589892 PZG589892 PPK589892 PFO589892 OVS589892 OLW589892 OCA589892 NSE589892 NII589892 MYM589892 MOQ589892 MEU589892 LUY589892 LLC589892 LBG589892 KRK589892 KHO589892 JXS589892 JNW589892 JEA589892 IUE589892 IKI589892 IAM589892 HQQ589892 HGU589892 GWY589892 GNC589892 GDG589892 FTK589892 FJO589892 EZS589892 EPW589892 EGA589892 DWE589892 DMI589892 DCM589892 CSQ589892 CIU589892 BYY589892 BPC589892 BFG589892 AVK589892 ALO589892 ABS589892 RW589892 IA589892 E589892 WUM524356 WKQ524356 WAU524356 VQY524356 VHC524356 UXG524356 UNK524356 UDO524356 TTS524356 TJW524356 TAA524356 SQE524356 SGI524356 RWM524356 RMQ524356 RCU524356 QSY524356 QJC524356 PZG524356 PPK524356 PFO524356 OVS524356 OLW524356 OCA524356 NSE524356 NII524356 MYM524356 MOQ524356 MEU524356 LUY524356 LLC524356 LBG524356 KRK524356 KHO524356 JXS524356 JNW524356 JEA524356 IUE524356 IKI524356 IAM524356 HQQ524356 HGU524356 GWY524356 GNC524356 GDG524356 FTK524356 FJO524356 EZS524356 EPW524356 EGA524356 DWE524356 DMI524356 DCM524356 CSQ524356 CIU524356 BYY524356 BPC524356 BFG524356 AVK524356 ALO524356 ABS524356 RW524356 IA524356 E524356 WUM458820 WKQ458820 WAU458820 VQY458820 VHC458820 UXG458820 UNK458820 UDO458820 TTS458820 TJW458820 TAA458820 SQE458820 SGI458820 RWM458820 RMQ458820 RCU458820 QSY458820 QJC458820 PZG458820 PPK458820 PFO458820 OVS458820 OLW458820 OCA458820 NSE458820 NII458820 MYM458820 MOQ458820 MEU458820 LUY458820 LLC458820 LBG458820 KRK458820 KHO458820 JXS458820 JNW458820 JEA458820 IUE458820 IKI458820 IAM458820 HQQ458820 HGU458820 GWY458820 GNC458820 GDG458820 FTK458820 FJO458820 EZS458820 EPW458820 EGA458820 DWE458820 DMI458820 DCM458820 CSQ458820 CIU458820 BYY458820 BPC458820 BFG458820 AVK458820 ALO458820 ABS458820 RW458820 IA458820 E458820 WUM393284 WKQ393284 WAU393284 VQY393284 VHC393284 UXG393284 UNK393284 UDO393284 TTS393284 TJW393284 TAA393284 SQE393284 SGI393284 RWM393284 RMQ393284 RCU393284 QSY393284 QJC393284 PZG393284 PPK393284 PFO393284 OVS393284 OLW393284 OCA393284 NSE393284 NII393284 MYM393284 MOQ393284 MEU393284 LUY393284 LLC393284 LBG393284 KRK393284 KHO393284 JXS393284 JNW393284 JEA393284 IUE393284 IKI393284 IAM393284 HQQ393284 HGU393284 GWY393284 GNC393284 GDG393284 FTK393284 FJO393284 EZS393284 EPW393284 EGA393284 DWE393284 DMI393284 DCM393284 CSQ393284 CIU393284 BYY393284 BPC393284 BFG393284 AVK393284 ALO393284 ABS393284 RW393284 IA393284 E393284 WUM327748 WKQ327748 WAU327748 VQY327748 VHC327748 UXG327748 UNK327748 UDO327748 TTS327748 TJW327748 TAA327748 SQE327748 SGI327748 RWM327748 RMQ327748 RCU327748 QSY327748 QJC327748 PZG327748 PPK327748 PFO327748 OVS327748 OLW327748 OCA327748 NSE327748 NII327748 MYM327748 MOQ327748 MEU327748 LUY327748 LLC327748 LBG327748 KRK327748 KHO327748 JXS327748 JNW327748 JEA327748 IUE327748 IKI327748 IAM327748 HQQ327748 HGU327748 GWY327748 GNC327748 GDG327748 FTK327748 FJO327748 EZS327748 EPW327748 EGA327748 DWE327748 DMI327748 DCM327748 CSQ327748 CIU327748 BYY327748 BPC327748 BFG327748 AVK327748 ALO327748 ABS327748 RW327748 IA327748 E327748 WUM262212 WKQ262212 WAU262212 VQY262212 VHC262212 UXG262212 UNK262212 UDO262212 TTS262212 TJW262212 TAA262212 SQE262212 SGI262212 RWM262212 RMQ262212 RCU262212 QSY262212 QJC262212 PZG262212 PPK262212 PFO262212 OVS262212 OLW262212 OCA262212 NSE262212 NII262212 MYM262212 MOQ262212 MEU262212 LUY262212 LLC262212 LBG262212 KRK262212 KHO262212 JXS262212 JNW262212 JEA262212 IUE262212 IKI262212 IAM262212 HQQ262212 HGU262212 GWY262212 GNC262212 GDG262212 FTK262212 FJO262212 EZS262212 EPW262212 EGA262212 DWE262212 DMI262212 DCM262212 CSQ262212 CIU262212 BYY262212 BPC262212 BFG262212 AVK262212 ALO262212 ABS262212 RW262212 IA262212 E262212 WUM196676 WKQ196676 WAU196676 VQY196676 VHC196676 UXG196676 UNK196676 UDO196676 TTS196676 TJW196676 TAA196676 SQE196676 SGI196676 RWM196676 RMQ196676 RCU196676 QSY196676 QJC196676 PZG196676 PPK196676 PFO196676 OVS196676 OLW196676 OCA196676 NSE196676 NII196676 MYM196676 MOQ196676 MEU196676 LUY196676 LLC196676 LBG196676 KRK196676 KHO196676 JXS196676 JNW196676 JEA196676 IUE196676 IKI196676 IAM196676 HQQ196676 HGU196676 GWY196676 GNC196676 GDG196676 FTK196676 FJO196676 EZS196676 EPW196676 EGA196676 DWE196676 DMI196676 DCM196676 CSQ196676 CIU196676 BYY196676 BPC196676 BFG196676 AVK196676 ALO196676 ABS196676 RW196676 IA196676 E196676 WUM131140 WKQ131140 WAU131140 VQY131140 VHC131140 UXG131140 UNK131140 UDO131140 TTS131140 TJW131140 TAA131140 SQE131140 SGI131140 RWM131140 RMQ131140 RCU131140 QSY131140 QJC131140 PZG131140 PPK131140 PFO131140 OVS131140 OLW131140 OCA131140 NSE131140 NII131140 MYM131140 MOQ131140 MEU131140 LUY131140 LLC131140 LBG131140 KRK131140 KHO131140 JXS131140 JNW131140 JEA131140 IUE131140 IKI131140 IAM131140 HQQ131140 HGU131140 GWY131140 GNC131140 GDG131140 FTK131140 FJO131140 EZS131140 EPW131140 EGA131140 DWE131140 DMI131140 DCM131140 CSQ131140 CIU131140 BYY131140 BPC131140 BFG131140 AVK131140 ALO131140 ABS131140 RW131140 IA131140 E131140 WUM65604 WKQ65604 WAU65604 VQY65604 VHC65604 UXG65604 UNK65604 UDO65604 TTS65604 TJW65604 TAA65604 SQE65604 SGI65604 RWM65604 RMQ65604 RCU65604 QSY65604 QJC65604 PZG65604 PPK65604 PFO65604 OVS65604 OLW65604 OCA65604 NSE65604 NII65604 MYM65604 MOQ65604 MEU65604 LUY65604 LLC65604 LBG65604 KRK65604 KHO65604 JXS65604 JNW65604 JEA65604 IUE65604 IKI65604 IAM65604 HQQ65604 HGU65604 GWY65604 GNC65604 GDG65604 FTK65604 FJO65604 EZS65604 EPW65604 EGA65604 DWE65604 DMI65604 DCM65604 CSQ65604 CIU65604 BYY65604 BPC65604 BFG65604 AVK65604 ALO65604 ABS65604 RW65604 IA65604 E65604 WUM42 WKQ42 WAU42 VQY42 VHC42 UXG42 UNK42 UDO42 TTS42 TJW42 TAA42 SQE42 SGI42 RWM42 RMQ42 RCU42 QSY42 QJC42 PZG42 PPK42 PFO42 OVS42 OLW42 OCA42 NSE42 NII42 MYM42 MOQ42 MEU42 LUY42 LLC42 LBG42 KRK42 KHO42 JXS42 JNW42 JEA42 IUE42 IKI42 IAM42 HQQ42 HGU42 GWY42 GNC42 GDG42 FTK42 FJO42 EZS42 EPW42 EGA42 DWE42 DMI42 DCM42 CSQ42 CIU42 BYY42 BPC42 BFG42 AVK42 ALO42 ABS42 RW42 IA42 WUM983096:WUM983097 WKQ983096:WKQ983097 WAU983096:WAU983097 VQY983096:VQY983097 VHC983096:VHC983097 UXG983096:UXG983097 UNK983096:UNK983097 UDO983096:UDO983097 TTS983096:TTS983097 TJW983096:TJW983097 TAA983096:TAA983097 SQE983096:SQE983097 SGI983096:SGI983097 RWM983096:RWM983097 RMQ983096:RMQ983097 RCU983096:RCU983097 QSY983096:QSY983097 QJC983096:QJC983097 PZG983096:PZG983097 PPK983096:PPK983097 PFO983096:PFO983097 OVS983096:OVS983097 OLW983096:OLW983097 OCA983096:OCA983097 NSE983096:NSE983097 NII983096:NII983097 MYM983096:MYM983097 MOQ983096:MOQ983097 MEU983096:MEU983097 LUY983096:LUY983097 LLC983096:LLC983097 LBG983096:LBG983097 KRK983096:KRK983097 KHO983096:KHO983097 JXS983096:JXS983097 JNW983096:JNW983097 JEA983096:JEA983097 IUE983096:IUE983097 IKI983096:IKI983097 IAM983096:IAM983097 HQQ983096:HQQ983097 HGU983096:HGU983097 GWY983096:GWY983097 GNC983096:GNC983097 GDG983096:GDG983097 FTK983096:FTK983097 FJO983096:FJO983097 EZS983096:EZS983097 EPW983096:EPW983097 EGA983096:EGA983097 DWE983096:DWE983097 DMI983096:DMI983097 DCM983096:DCM983097 CSQ983096:CSQ983097 CIU983096:CIU983097 BYY983096:BYY983097 BPC983096:BPC983097 BFG983096:BFG983097 AVK983096:AVK983097 ALO983096:ALO983097 ABS983096:ABS983097 RW983096:RW983097 IA983096:IA983097 E983096:E983097 WUM917560:WUM917561 WKQ917560:WKQ917561 WAU917560:WAU917561 VQY917560:VQY917561 VHC917560:VHC917561 UXG917560:UXG917561 UNK917560:UNK917561 UDO917560:UDO917561 TTS917560:TTS917561 TJW917560:TJW917561 TAA917560:TAA917561 SQE917560:SQE917561 SGI917560:SGI917561 RWM917560:RWM917561 RMQ917560:RMQ917561 RCU917560:RCU917561 QSY917560:QSY917561 QJC917560:QJC917561 PZG917560:PZG917561 PPK917560:PPK917561 PFO917560:PFO917561 OVS917560:OVS917561 OLW917560:OLW917561 OCA917560:OCA917561 NSE917560:NSE917561 NII917560:NII917561 MYM917560:MYM917561 MOQ917560:MOQ917561 MEU917560:MEU917561 LUY917560:LUY917561 LLC917560:LLC917561 LBG917560:LBG917561 KRK917560:KRK917561 KHO917560:KHO917561 JXS917560:JXS917561 JNW917560:JNW917561 JEA917560:JEA917561 IUE917560:IUE917561 IKI917560:IKI917561 IAM917560:IAM917561 HQQ917560:HQQ917561 HGU917560:HGU917561 GWY917560:GWY917561 GNC917560:GNC917561 GDG917560:GDG917561 FTK917560:FTK917561 FJO917560:FJO917561 EZS917560:EZS917561 EPW917560:EPW917561 EGA917560:EGA917561 DWE917560:DWE917561 DMI917560:DMI917561 DCM917560:DCM917561 CSQ917560:CSQ917561 CIU917560:CIU917561 BYY917560:BYY917561 BPC917560:BPC917561 BFG917560:BFG917561 AVK917560:AVK917561 ALO917560:ALO917561 ABS917560:ABS917561 RW917560:RW917561 IA917560:IA917561 E917560:E917561 WUM852024:WUM852025 WKQ852024:WKQ852025 WAU852024:WAU852025 VQY852024:VQY852025 VHC852024:VHC852025 UXG852024:UXG852025 UNK852024:UNK852025 UDO852024:UDO852025 TTS852024:TTS852025 TJW852024:TJW852025 TAA852024:TAA852025 SQE852024:SQE852025 SGI852024:SGI852025 RWM852024:RWM852025 RMQ852024:RMQ852025 RCU852024:RCU852025 QSY852024:QSY852025 QJC852024:QJC852025 PZG852024:PZG852025 PPK852024:PPK852025 PFO852024:PFO852025 OVS852024:OVS852025 OLW852024:OLW852025 OCA852024:OCA852025 NSE852024:NSE852025 NII852024:NII852025 MYM852024:MYM852025 MOQ852024:MOQ852025 MEU852024:MEU852025 LUY852024:LUY852025 LLC852024:LLC852025 LBG852024:LBG852025 KRK852024:KRK852025 KHO852024:KHO852025 JXS852024:JXS852025 JNW852024:JNW852025 JEA852024:JEA852025 IUE852024:IUE852025 IKI852024:IKI852025 IAM852024:IAM852025 HQQ852024:HQQ852025 HGU852024:HGU852025 GWY852024:GWY852025 GNC852024:GNC852025 GDG852024:GDG852025 FTK852024:FTK852025 FJO852024:FJO852025 EZS852024:EZS852025 EPW852024:EPW852025 EGA852024:EGA852025 DWE852024:DWE852025 DMI852024:DMI852025 DCM852024:DCM852025 CSQ852024:CSQ852025 CIU852024:CIU852025 BYY852024:BYY852025 BPC852024:BPC852025 BFG852024:BFG852025 AVK852024:AVK852025 ALO852024:ALO852025 ABS852024:ABS852025 RW852024:RW852025 IA852024:IA852025 E852024:E852025 WUM786488:WUM786489 WKQ786488:WKQ786489 WAU786488:WAU786489 VQY786488:VQY786489 VHC786488:VHC786489 UXG786488:UXG786489 UNK786488:UNK786489 UDO786488:UDO786489 TTS786488:TTS786489 TJW786488:TJW786489 TAA786488:TAA786489 SQE786488:SQE786489 SGI786488:SGI786489 RWM786488:RWM786489 RMQ786488:RMQ786489 RCU786488:RCU786489 QSY786488:QSY786489 QJC786488:QJC786489 PZG786488:PZG786489 PPK786488:PPK786489 PFO786488:PFO786489 OVS786488:OVS786489 OLW786488:OLW786489 OCA786488:OCA786489 NSE786488:NSE786489 NII786488:NII786489 MYM786488:MYM786489 MOQ786488:MOQ786489 MEU786488:MEU786489 LUY786488:LUY786489 LLC786488:LLC786489 LBG786488:LBG786489 KRK786488:KRK786489 KHO786488:KHO786489 JXS786488:JXS786489 JNW786488:JNW786489 JEA786488:JEA786489 IUE786488:IUE786489 IKI786488:IKI786489 IAM786488:IAM786489 HQQ786488:HQQ786489 HGU786488:HGU786489 GWY786488:GWY786489 GNC786488:GNC786489 GDG786488:GDG786489 FTK786488:FTK786489 FJO786488:FJO786489 EZS786488:EZS786489 EPW786488:EPW786489 EGA786488:EGA786489 DWE786488:DWE786489 DMI786488:DMI786489 DCM786488:DCM786489 CSQ786488:CSQ786489 CIU786488:CIU786489 BYY786488:BYY786489 BPC786488:BPC786489 BFG786488:BFG786489 AVK786488:AVK786489 ALO786488:ALO786489 ABS786488:ABS786489 RW786488:RW786489 IA786488:IA786489 E786488:E786489 WUM720952:WUM720953 WKQ720952:WKQ720953 WAU720952:WAU720953 VQY720952:VQY720953 VHC720952:VHC720953 UXG720952:UXG720953 UNK720952:UNK720953 UDO720952:UDO720953 TTS720952:TTS720953 TJW720952:TJW720953 TAA720952:TAA720953 SQE720952:SQE720953 SGI720952:SGI720953 RWM720952:RWM720953 RMQ720952:RMQ720953 RCU720952:RCU720953 QSY720952:QSY720953 QJC720952:QJC720953 PZG720952:PZG720953 PPK720952:PPK720953 PFO720952:PFO720953 OVS720952:OVS720953 OLW720952:OLW720953 OCA720952:OCA720953 NSE720952:NSE720953 NII720952:NII720953 MYM720952:MYM720953 MOQ720952:MOQ720953 MEU720952:MEU720953 LUY720952:LUY720953 LLC720952:LLC720953 LBG720952:LBG720953 KRK720952:KRK720953 KHO720952:KHO720953 JXS720952:JXS720953 JNW720952:JNW720953 JEA720952:JEA720953 IUE720952:IUE720953 IKI720952:IKI720953 IAM720952:IAM720953 HQQ720952:HQQ720953 HGU720952:HGU720953 GWY720952:GWY720953 GNC720952:GNC720953 GDG720952:GDG720953 FTK720952:FTK720953 FJO720952:FJO720953 EZS720952:EZS720953 EPW720952:EPW720953 EGA720952:EGA720953 DWE720952:DWE720953 DMI720952:DMI720953 DCM720952:DCM720953 CSQ720952:CSQ720953 CIU720952:CIU720953 BYY720952:BYY720953 BPC720952:BPC720953 BFG720952:BFG720953 AVK720952:AVK720953 ALO720952:ALO720953 ABS720952:ABS720953 RW720952:RW720953 IA720952:IA720953 E720952:E720953 WUM655416:WUM655417 WKQ655416:WKQ655417 WAU655416:WAU655417 VQY655416:VQY655417 VHC655416:VHC655417 UXG655416:UXG655417 UNK655416:UNK655417 UDO655416:UDO655417 TTS655416:TTS655417 TJW655416:TJW655417 TAA655416:TAA655417 SQE655416:SQE655417 SGI655416:SGI655417 RWM655416:RWM655417 RMQ655416:RMQ655417 RCU655416:RCU655417 QSY655416:QSY655417 QJC655416:QJC655417 PZG655416:PZG655417 PPK655416:PPK655417 PFO655416:PFO655417 OVS655416:OVS655417 OLW655416:OLW655417 OCA655416:OCA655417 NSE655416:NSE655417 NII655416:NII655417 MYM655416:MYM655417 MOQ655416:MOQ655417 MEU655416:MEU655417 LUY655416:LUY655417 LLC655416:LLC655417 LBG655416:LBG655417 KRK655416:KRK655417 KHO655416:KHO655417 JXS655416:JXS655417 JNW655416:JNW655417 JEA655416:JEA655417 IUE655416:IUE655417 IKI655416:IKI655417 IAM655416:IAM655417 HQQ655416:HQQ655417 HGU655416:HGU655417 GWY655416:GWY655417 GNC655416:GNC655417 GDG655416:GDG655417 FTK655416:FTK655417 FJO655416:FJO655417 EZS655416:EZS655417 EPW655416:EPW655417 EGA655416:EGA655417 DWE655416:DWE655417 DMI655416:DMI655417 DCM655416:DCM655417 CSQ655416:CSQ655417 CIU655416:CIU655417 BYY655416:BYY655417 BPC655416:BPC655417 BFG655416:BFG655417 AVK655416:AVK655417 ALO655416:ALO655417 ABS655416:ABS655417 RW655416:RW655417 IA655416:IA655417 E655416:E655417 WUM589880:WUM589881 WKQ589880:WKQ589881 WAU589880:WAU589881 VQY589880:VQY589881 VHC589880:VHC589881 UXG589880:UXG589881 UNK589880:UNK589881 UDO589880:UDO589881 TTS589880:TTS589881 TJW589880:TJW589881 TAA589880:TAA589881 SQE589880:SQE589881 SGI589880:SGI589881 RWM589880:RWM589881 RMQ589880:RMQ589881 RCU589880:RCU589881 QSY589880:QSY589881 QJC589880:QJC589881 PZG589880:PZG589881 PPK589880:PPK589881 PFO589880:PFO589881 OVS589880:OVS589881 OLW589880:OLW589881 OCA589880:OCA589881 NSE589880:NSE589881 NII589880:NII589881 MYM589880:MYM589881 MOQ589880:MOQ589881 MEU589880:MEU589881 LUY589880:LUY589881 LLC589880:LLC589881 LBG589880:LBG589881 KRK589880:KRK589881 KHO589880:KHO589881 JXS589880:JXS589881 JNW589880:JNW589881 JEA589880:JEA589881 IUE589880:IUE589881 IKI589880:IKI589881 IAM589880:IAM589881 HQQ589880:HQQ589881 HGU589880:HGU589881 GWY589880:GWY589881 GNC589880:GNC589881 GDG589880:GDG589881 FTK589880:FTK589881 FJO589880:FJO589881 EZS589880:EZS589881 EPW589880:EPW589881 EGA589880:EGA589881 DWE589880:DWE589881 DMI589880:DMI589881 DCM589880:DCM589881 CSQ589880:CSQ589881 CIU589880:CIU589881 BYY589880:BYY589881 BPC589880:BPC589881 BFG589880:BFG589881 AVK589880:AVK589881 ALO589880:ALO589881 ABS589880:ABS589881 RW589880:RW589881 IA589880:IA589881 E589880:E589881 WUM524344:WUM524345 WKQ524344:WKQ524345 WAU524344:WAU524345 VQY524344:VQY524345 VHC524344:VHC524345 UXG524344:UXG524345 UNK524344:UNK524345 UDO524344:UDO524345 TTS524344:TTS524345 TJW524344:TJW524345 TAA524344:TAA524345 SQE524344:SQE524345 SGI524344:SGI524345 RWM524344:RWM524345 RMQ524344:RMQ524345 RCU524344:RCU524345 QSY524344:QSY524345 QJC524344:QJC524345 PZG524344:PZG524345 PPK524344:PPK524345 PFO524344:PFO524345 OVS524344:OVS524345 OLW524344:OLW524345 OCA524344:OCA524345 NSE524344:NSE524345 NII524344:NII524345 MYM524344:MYM524345 MOQ524344:MOQ524345 MEU524344:MEU524345 LUY524344:LUY524345 LLC524344:LLC524345 LBG524344:LBG524345 KRK524344:KRK524345 KHO524344:KHO524345 JXS524344:JXS524345 JNW524344:JNW524345 JEA524344:JEA524345 IUE524344:IUE524345 IKI524344:IKI524345 IAM524344:IAM524345 HQQ524344:HQQ524345 HGU524344:HGU524345 GWY524344:GWY524345 GNC524344:GNC524345 GDG524344:GDG524345 FTK524344:FTK524345 FJO524344:FJO524345 EZS524344:EZS524345 EPW524344:EPW524345 EGA524344:EGA524345 DWE524344:DWE524345 DMI524344:DMI524345 DCM524344:DCM524345 CSQ524344:CSQ524345 CIU524344:CIU524345 BYY524344:BYY524345 BPC524344:BPC524345 BFG524344:BFG524345 AVK524344:AVK524345 ALO524344:ALO524345 ABS524344:ABS524345 RW524344:RW524345 IA524344:IA524345 E524344:E524345 WUM458808:WUM458809 WKQ458808:WKQ458809 WAU458808:WAU458809 VQY458808:VQY458809 VHC458808:VHC458809 UXG458808:UXG458809 UNK458808:UNK458809 UDO458808:UDO458809 TTS458808:TTS458809 TJW458808:TJW458809 TAA458808:TAA458809 SQE458808:SQE458809 SGI458808:SGI458809 RWM458808:RWM458809 RMQ458808:RMQ458809 RCU458808:RCU458809 QSY458808:QSY458809 QJC458808:QJC458809 PZG458808:PZG458809 PPK458808:PPK458809 PFO458808:PFO458809 OVS458808:OVS458809 OLW458808:OLW458809 OCA458808:OCA458809 NSE458808:NSE458809 NII458808:NII458809 MYM458808:MYM458809 MOQ458808:MOQ458809 MEU458808:MEU458809 LUY458808:LUY458809 LLC458808:LLC458809 LBG458808:LBG458809 KRK458808:KRK458809 KHO458808:KHO458809 JXS458808:JXS458809 JNW458808:JNW458809 JEA458808:JEA458809 IUE458808:IUE458809 IKI458808:IKI458809 IAM458808:IAM458809 HQQ458808:HQQ458809 HGU458808:HGU458809 GWY458808:GWY458809 GNC458808:GNC458809 GDG458808:GDG458809 FTK458808:FTK458809 FJO458808:FJO458809 EZS458808:EZS458809 EPW458808:EPW458809 EGA458808:EGA458809 DWE458808:DWE458809 DMI458808:DMI458809 DCM458808:DCM458809 CSQ458808:CSQ458809 CIU458808:CIU458809 BYY458808:BYY458809 BPC458808:BPC458809 BFG458808:BFG458809 AVK458808:AVK458809 ALO458808:ALO458809 ABS458808:ABS458809 RW458808:RW458809 IA458808:IA458809 E458808:E458809 WUM393272:WUM393273 WKQ393272:WKQ393273 WAU393272:WAU393273 VQY393272:VQY393273 VHC393272:VHC393273 UXG393272:UXG393273 UNK393272:UNK393273 UDO393272:UDO393273 TTS393272:TTS393273 TJW393272:TJW393273 TAA393272:TAA393273 SQE393272:SQE393273 SGI393272:SGI393273 RWM393272:RWM393273 RMQ393272:RMQ393273 RCU393272:RCU393273 QSY393272:QSY393273 QJC393272:QJC393273 PZG393272:PZG393273 PPK393272:PPK393273 PFO393272:PFO393273 OVS393272:OVS393273 OLW393272:OLW393273 OCA393272:OCA393273 NSE393272:NSE393273 NII393272:NII393273 MYM393272:MYM393273 MOQ393272:MOQ393273 MEU393272:MEU393273 LUY393272:LUY393273 LLC393272:LLC393273 LBG393272:LBG393273 KRK393272:KRK393273 KHO393272:KHO393273 JXS393272:JXS393273 JNW393272:JNW393273 JEA393272:JEA393273 IUE393272:IUE393273 IKI393272:IKI393273 IAM393272:IAM393273 HQQ393272:HQQ393273 HGU393272:HGU393273 GWY393272:GWY393273 GNC393272:GNC393273 GDG393272:GDG393273 FTK393272:FTK393273 FJO393272:FJO393273 EZS393272:EZS393273 EPW393272:EPW393273 EGA393272:EGA393273 DWE393272:DWE393273 DMI393272:DMI393273 DCM393272:DCM393273 CSQ393272:CSQ393273 CIU393272:CIU393273 BYY393272:BYY393273 BPC393272:BPC393273 BFG393272:BFG393273 AVK393272:AVK393273 ALO393272:ALO393273 ABS393272:ABS393273 RW393272:RW393273 IA393272:IA393273 E393272:E393273 WUM327736:WUM327737 WKQ327736:WKQ327737 WAU327736:WAU327737 VQY327736:VQY327737 VHC327736:VHC327737 UXG327736:UXG327737 UNK327736:UNK327737 UDO327736:UDO327737 TTS327736:TTS327737 TJW327736:TJW327737 TAA327736:TAA327737 SQE327736:SQE327737 SGI327736:SGI327737 RWM327736:RWM327737 RMQ327736:RMQ327737 RCU327736:RCU327737 QSY327736:QSY327737 QJC327736:QJC327737 PZG327736:PZG327737 PPK327736:PPK327737 PFO327736:PFO327737 OVS327736:OVS327737 OLW327736:OLW327737 OCA327736:OCA327737 NSE327736:NSE327737 NII327736:NII327737 MYM327736:MYM327737 MOQ327736:MOQ327737 MEU327736:MEU327737 LUY327736:LUY327737 LLC327736:LLC327737 LBG327736:LBG327737 KRK327736:KRK327737 KHO327736:KHO327737 JXS327736:JXS327737 JNW327736:JNW327737 JEA327736:JEA327737 IUE327736:IUE327737 IKI327736:IKI327737 IAM327736:IAM327737 HQQ327736:HQQ327737 HGU327736:HGU327737 GWY327736:GWY327737 GNC327736:GNC327737 GDG327736:GDG327737 FTK327736:FTK327737 FJO327736:FJO327737 EZS327736:EZS327737 EPW327736:EPW327737 EGA327736:EGA327737 DWE327736:DWE327737 DMI327736:DMI327737 DCM327736:DCM327737 CSQ327736:CSQ327737 CIU327736:CIU327737 BYY327736:BYY327737 BPC327736:BPC327737 BFG327736:BFG327737 AVK327736:AVK327737 ALO327736:ALO327737 ABS327736:ABS327737 RW327736:RW327737 IA327736:IA327737 E327736:E327737 WUM262200:WUM262201 WKQ262200:WKQ262201 WAU262200:WAU262201 VQY262200:VQY262201 VHC262200:VHC262201 UXG262200:UXG262201 UNK262200:UNK262201 UDO262200:UDO262201 TTS262200:TTS262201 TJW262200:TJW262201 TAA262200:TAA262201 SQE262200:SQE262201 SGI262200:SGI262201 RWM262200:RWM262201 RMQ262200:RMQ262201 RCU262200:RCU262201 QSY262200:QSY262201 QJC262200:QJC262201 PZG262200:PZG262201 PPK262200:PPK262201 PFO262200:PFO262201 OVS262200:OVS262201 OLW262200:OLW262201 OCA262200:OCA262201 NSE262200:NSE262201 NII262200:NII262201 MYM262200:MYM262201 MOQ262200:MOQ262201 MEU262200:MEU262201 LUY262200:LUY262201 LLC262200:LLC262201 LBG262200:LBG262201 KRK262200:KRK262201 KHO262200:KHO262201 JXS262200:JXS262201 JNW262200:JNW262201 JEA262200:JEA262201 IUE262200:IUE262201 IKI262200:IKI262201 IAM262200:IAM262201 HQQ262200:HQQ262201 HGU262200:HGU262201 GWY262200:GWY262201 GNC262200:GNC262201 GDG262200:GDG262201 FTK262200:FTK262201 FJO262200:FJO262201 EZS262200:EZS262201 EPW262200:EPW262201 EGA262200:EGA262201 DWE262200:DWE262201 DMI262200:DMI262201 DCM262200:DCM262201 CSQ262200:CSQ262201 CIU262200:CIU262201 BYY262200:BYY262201 BPC262200:BPC262201 BFG262200:BFG262201 AVK262200:AVK262201 ALO262200:ALO262201 ABS262200:ABS262201 RW262200:RW262201 IA262200:IA262201 E262200:E262201 WUM196664:WUM196665 WKQ196664:WKQ196665 WAU196664:WAU196665 VQY196664:VQY196665 VHC196664:VHC196665 UXG196664:UXG196665 UNK196664:UNK196665 UDO196664:UDO196665 TTS196664:TTS196665 TJW196664:TJW196665 TAA196664:TAA196665 SQE196664:SQE196665 SGI196664:SGI196665 RWM196664:RWM196665 RMQ196664:RMQ196665 RCU196664:RCU196665 QSY196664:QSY196665 QJC196664:QJC196665 PZG196664:PZG196665 PPK196664:PPK196665 PFO196664:PFO196665 OVS196664:OVS196665 OLW196664:OLW196665 OCA196664:OCA196665 NSE196664:NSE196665 NII196664:NII196665 MYM196664:MYM196665 MOQ196664:MOQ196665 MEU196664:MEU196665 LUY196664:LUY196665 LLC196664:LLC196665 LBG196664:LBG196665 KRK196664:KRK196665 KHO196664:KHO196665 JXS196664:JXS196665 JNW196664:JNW196665 JEA196664:JEA196665 IUE196664:IUE196665 IKI196664:IKI196665 IAM196664:IAM196665 HQQ196664:HQQ196665 HGU196664:HGU196665 GWY196664:GWY196665 GNC196664:GNC196665 GDG196664:GDG196665 FTK196664:FTK196665 FJO196664:FJO196665 EZS196664:EZS196665 EPW196664:EPW196665 EGA196664:EGA196665 DWE196664:DWE196665 DMI196664:DMI196665 DCM196664:DCM196665 CSQ196664:CSQ196665 CIU196664:CIU196665 BYY196664:BYY196665 BPC196664:BPC196665 BFG196664:BFG196665 AVK196664:AVK196665 ALO196664:ALO196665 ABS196664:ABS196665 RW196664:RW196665 IA196664:IA196665 E196664:E196665 WUM131128:WUM131129 WKQ131128:WKQ131129 WAU131128:WAU131129 VQY131128:VQY131129 VHC131128:VHC131129 UXG131128:UXG131129 UNK131128:UNK131129 UDO131128:UDO131129 TTS131128:TTS131129 TJW131128:TJW131129 TAA131128:TAA131129 SQE131128:SQE131129 SGI131128:SGI131129 RWM131128:RWM131129 RMQ131128:RMQ131129 RCU131128:RCU131129 QSY131128:QSY131129 QJC131128:QJC131129 PZG131128:PZG131129 PPK131128:PPK131129 PFO131128:PFO131129 OVS131128:OVS131129 OLW131128:OLW131129 OCA131128:OCA131129 NSE131128:NSE131129 NII131128:NII131129 MYM131128:MYM131129 MOQ131128:MOQ131129 MEU131128:MEU131129 LUY131128:LUY131129 LLC131128:LLC131129 LBG131128:LBG131129 KRK131128:KRK131129 KHO131128:KHO131129 JXS131128:JXS131129 JNW131128:JNW131129 JEA131128:JEA131129 IUE131128:IUE131129 IKI131128:IKI131129 IAM131128:IAM131129 HQQ131128:HQQ131129 HGU131128:HGU131129 GWY131128:GWY131129 GNC131128:GNC131129 GDG131128:GDG131129 FTK131128:FTK131129 FJO131128:FJO131129 EZS131128:EZS131129 EPW131128:EPW131129 EGA131128:EGA131129 DWE131128:DWE131129 DMI131128:DMI131129 DCM131128:DCM131129 CSQ131128:CSQ131129 CIU131128:CIU131129 BYY131128:BYY131129 BPC131128:BPC131129 BFG131128:BFG131129 AVK131128:AVK131129 ALO131128:ALO131129 ABS131128:ABS131129 RW131128:RW131129 IA131128:IA131129 E131128:E131129 WUM65592:WUM65593 WKQ65592:WKQ65593 WAU65592:WAU65593 VQY65592:VQY65593 VHC65592:VHC65593 UXG65592:UXG65593 UNK65592:UNK65593 UDO65592:UDO65593 TTS65592:TTS65593 TJW65592:TJW65593 TAA65592:TAA65593 SQE65592:SQE65593 SGI65592:SGI65593 RWM65592:RWM65593 RMQ65592:RMQ65593 RCU65592:RCU65593 QSY65592:QSY65593 QJC65592:QJC65593 PZG65592:PZG65593 PPK65592:PPK65593 PFO65592:PFO65593 OVS65592:OVS65593 OLW65592:OLW65593 OCA65592:OCA65593 NSE65592:NSE65593 NII65592:NII65593 MYM65592:MYM65593 MOQ65592:MOQ65593 MEU65592:MEU65593 LUY65592:LUY65593 LLC65592:LLC65593 LBG65592:LBG65593 KRK65592:KRK65593 KHO65592:KHO65593 JXS65592:JXS65593 JNW65592:JNW65593 JEA65592:JEA65593 IUE65592:IUE65593 IKI65592:IKI65593 IAM65592:IAM65593 HQQ65592:HQQ65593 HGU65592:HGU65593 GWY65592:GWY65593 GNC65592:GNC65593 GDG65592:GDG65593 FTK65592:FTK65593 FJO65592:FJO65593 EZS65592:EZS65593 EPW65592:EPW65593 EGA65592:EGA65593 DWE65592:DWE65593 DMI65592:DMI65593 DCM65592:DCM65593 CSQ65592:CSQ65593 CIU65592:CIU65593 BYY65592:BYY65593 BPC65592:BPC65593 BFG65592:BFG65593 AVK65592:AVK65593 ALO65592:ALO65593 ABS65592:ABS65593 RW65592:RW65593 IA65592:IA65593" xr:uid="{00000000-0002-0000-0A00-000003000000}">
      <formula1>$O$6:$O$8</formula1>
    </dataValidation>
    <dataValidation type="list" allowBlank="1" showInputMessage="1" showErrorMessage="1" sqref="RW44 ABS44 ALO44 AVK44 BFG44 BPC44 BYY44 CIU44 CSQ44 DCM44 DMI44 DWE44 EGA44 EPW44 EZS44 FJO44 FTK44 GDG44 GNC44 GWY44 HGU44 HQQ44 IAM44 IKI44 IUE44 JEA44 JNW44 JXS44 KHO44 KRK44 LBG44 LLC44 LUY44 MEU44 MOQ44 MYM44 NII44 NSE44 OCA44 OLW44 OVS44 PFO44 PPK44 PZG44 QJC44 QSY44 RCU44 RMQ44 RWM44 SGI44 SQE44 TAA44 TJW44 TTS44 UDO44 UNK44 UXG44 VHC44 VQY44 WAU44 WKQ44 WUM44 E65608:E65610 IA65608:IA65610 RW65608:RW65610 ABS65608:ABS65610 ALO65608:ALO65610 AVK65608:AVK65610 BFG65608:BFG65610 BPC65608:BPC65610 BYY65608:BYY65610 CIU65608:CIU65610 CSQ65608:CSQ65610 DCM65608:DCM65610 DMI65608:DMI65610 DWE65608:DWE65610 EGA65608:EGA65610 EPW65608:EPW65610 EZS65608:EZS65610 FJO65608:FJO65610 FTK65608:FTK65610 GDG65608:GDG65610 GNC65608:GNC65610 GWY65608:GWY65610 HGU65608:HGU65610 HQQ65608:HQQ65610 IAM65608:IAM65610 IKI65608:IKI65610 IUE65608:IUE65610 JEA65608:JEA65610 JNW65608:JNW65610 JXS65608:JXS65610 KHO65608:KHO65610 KRK65608:KRK65610 LBG65608:LBG65610 LLC65608:LLC65610 LUY65608:LUY65610 MEU65608:MEU65610 MOQ65608:MOQ65610 MYM65608:MYM65610 NII65608:NII65610 NSE65608:NSE65610 OCA65608:OCA65610 OLW65608:OLW65610 OVS65608:OVS65610 PFO65608:PFO65610 PPK65608:PPK65610 PZG65608:PZG65610 QJC65608:QJC65610 QSY65608:QSY65610 RCU65608:RCU65610 RMQ65608:RMQ65610 RWM65608:RWM65610 SGI65608:SGI65610 SQE65608:SQE65610 TAA65608:TAA65610 TJW65608:TJW65610 TTS65608:TTS65610 UDO65608:UDO65610 UNK65608:UNK65610 UXG65608:UXG65610 VHC65608:VHC65610 VQY65608:VQY65610 WAU65608:WAU65610 WKQ65608:WKQ65610 WUM65608:WUM65610 E131144:E131146 IA131144:IA131146 RW131144:RW131146 ABS131144:ABS131146 ALO131144:ALO131146 AVK131144:AVK131146 BFG131144:BFG131146 BPC131144:BPC131146 BYY131144:BYY131146 CIU131144:CIU131146 CSQ131144:CSQ131146 DCM131144:DCM131146 DMI131144:DMI131146 DWE131144:DWE131146 EGA131144:EGA131146 EPW131144:EPW131146 EZS131144:EZS131146 FJO131144:FJO131146 FTK131144:FTK131146 GDG131144:GDG131146 GNC131144:GNC131146 GWY131144:GWY131146 HGU131144:HGU131146 HQQ131144:HQQ131146 IAM131144:IAM131146 IKI131144:IKI131146 IUE131144:IUE131146 JEA131144:JEA131146 JNW131144:JNW131146 JXS131144:JXS131146 KHO131144:KHO131146 KRK131144:KRK131146 LBG131144:LBG131146 LLC131144:LLC131146 LUY131144:LUY131146 MEU131144:MEU131146 MOQ131144:MOQ131146 MYM131144:MYM131146 NII131144:NII131146 NSE131144:NSE131146 OCA131144:OCA131146 OLW131144:OLW131146 OVS131144:OVS131146 PFO131144:PFO131146 PPK131144:PPK131146 PZG131144:PZG131146 QJC131144:QJC131146 QSY131144:QSY131146 RCU131144:RCU131146 RMQ131144:RMQ131146 RWM131144:RWM131146 SGI131144:SGI131146 SQE131144:SQE131146 TAA131144:TAA131146 TJW131144:TJW131146 TTS131144:TTS131146 UDO131144:UDO131146 UNK131144:UNK131146 UXG131144:UXG131146 VHC131144:VHC131146 VQY131144:VQY131146 WAU131144:WAU131146 WKQ131144:WKQ131146 WUM131144:WUM131146 E196680:E196682 IA196680:IA196682 RW196680:RW196682 ABS196680:ABS196682 ALO196680:ALO196682 AVK196680:AVK196682 BFG196680:BFG196682 BPC196680:BPC196682 BYY196680:BYY196682 CIU196680:CIU196682 CSQ196680:CSQ196682 DCM196680:DCM196682 DMI196680:DMI196682 DWE196680:DWE196682 EGA196680:EGA196682 EPW196680:EPW196682 EZS196680:EZS196682 FJO196680:FJO196682 FTK196680:FTK196682 GDG196680:GDG196682 GNC196680:GNC196682 GWY196680:GWY196682 HGU196680:HGU196682 HQQ196680:HQQ196682 IAM196680:IAM196682 IKI196680:IKI196682 IUE196680:IUE196682 JEA196680:JEA196682 JNW196680:JNW196682 JXS196680:JXS196682 KHO196680:KHO196682 KRK196680:KRK196682 LBG196680:LBG196682 LLC196680:LLC196682 LUY196680:LUY196682 MEU196680:MEU196682 MOQ196680:MOQ196682 MYM196680:MYM196682 NII196680:NII196682 NSE196680:NSE196682 OCA196680:OCA196682 OLW196680:OLW196682 OVS196680:OVS196682 PFO196680:PFO196682 PPK196680:PPK196682 PZG196680:PZG196682 QJC196680:QJC196682 QSY196680:QSY196682 RCU196680:RCU196682 RMQ196680:RMQ196682 RWM196680:RWM196682 SGI196680:SGI196682 SQE196680:SQE196682 TAA196680:TAA196682 TJW196680:TJW196682 TTS196680:TTS196682 UDO196680:UDO196682 UNK196680:UNK196682 UXG196680:UXG196682 VHC196680:VHC196682 VQY196680:VQY196682 WAU196680:WAU196682 WKQ196680:WKQ196682 WUM196680:WUM196682 E262216:E262218 IA262216:IA262218 RW262216:RW262218 ABS262216:ABS262218 ALO262216:ALO262218 AVK262216:AVK262218 BFG262216:BFG262218 BPC262216:BPC262218 BYY262216:BYY262218 CIU262216:CIU262218 CSQ262216:CSQ262218 DCM262216:DCM262218 DMI262216:DMI262218 DWE262216:DWE262218 EGA262216:EGA262218 EPW262216:EPW262218 EZS262216:EZS262218 FJO262216:FJO262218 FTK262216:FTK262218 GDG262216:GDG262218 GNC262216:GNC262218 GWY262216:GWY262218 HGU262216:HGU262218 HQQ262216:HQQ262218 IAM262216:IAM262218 IKI262216:IKI262218 IUE262216:IUE262218 JEA262216:JEA262218 JNW262216:JNW262218 JXS262216:JXS262218 KHO262216:KHO262218 KRK262216:KRK262218 LBG262216:LBG262218 LLC262216:LLC262218 LUY262216:LUY262218 MEU262216:MEU262218 MOQ262216:MOQ262218 MYM262216:MYM262218 NII262216:NII262218 NSE262216:NSE262218 OCA262216:OCA262218 OLW262216:OLW262218 OVS262216:OVS262218 PFO262216:PFO262218 PPK262216:PPK262218 PZG262216:PZG262218 QJC262216:QJC262218 QSY262216:QSY262218 RCU262216:RCU262218 RMQ262216:RMQ262218 RWM262216:RWM262218 SGI262216:SGI262218 SQE262216:SQE262218 TAA262216:TAA262218 TJW262216:TJW262218 TTS262216:TTS262218 UDO262216:UDO262218 UNK262216:UNK262218 UXG262216:UXG262218 VHC262216:VHC262218 VQY262216:VQY262218 WAU262216:WAU262218 WKQ262216:WKQ262218 WUM262216:WUM262218 E327752:E327754 IA327752:IA327754 RW327752:RW327754 ABS327752:ABS327754 ALO327752:ALO327754 AVK327752:AVK327754 BFG327752:BFG327754 BPC327752:BPC327754 BYY327752:BYY327754 CIU327752:CIU327754 CSQ327752:CSQ327754 DCM327752:DCM327754 DMI327752:DMI327754 DWE327752:DWE327754 EGA327752:EGA327754 EPW327752:EPW327754 EZS327752:EZS327754 FJO327752:FJO327754 FTK327752:FTK327754 GDG327752:GDG327754 GNC327752:GNC327754 GWY327752:GWY327754 HGU327752:HGU327754 HQQ327752:HQQ327754 IAM327752:IAM327754 IKI327752:IKI327754 IUE327752:IUE327754 JEA327752:JEA327754 JNW327752:JNW327754 JXS327752:JXS327754 KHO327752:KHO327754 KRK327752:KRK327754 LBG327752:LBG327754 LLC327752:LLC327754 LUY327752:LUY327754 MEU327752:MEU327754 MOQ327752:MOQ327754 MYM327752:MYM327754 NII327752:NII327754 NSE327752:NSE327754 OCA327752:OCA327754 OLW327752:OLW327754 OVS327752:OVS327754 PFO327752:PFO327754 PPK327752:PPK327754 PZG327752:PZG327754 QJC327752:QJC327754 QSY327752:QSY327754 RCU327752:RCU327754 RMQ327752:RMQ327754 RWM327752:RWM327754 SGI327752:SGI327754 SQE327752:SQE327754 TAA327752:TAA327754 TJW327752:TJW327754 TTS327752:TTS327754 UDO327752:UDO327754 UNK327752:UNK327754 UXG327752:UXG327754 VHC327752:VHC327754 VQY327752:VQY327754 WAU327752:WAU327754 WKQ327752:WKQ327754 WUM327752:WUM327754 E393288:E393290 IA393288:IA393290 RW393288:RW393290 ABS393288:ABS393290 ALO393288:ALO393290 AVK393288:AVK393290 BFG393288:BFG393290 BPC393288:BPC393290 BYY393288:BYY393290 CIU393288:CIU393290 CSQ393288:CSQ393290 DCM393288:DCM393290 DMI393288:DMI393290 DWE393288:DWE393290 EGA393288:EGA393290 EPW393288:EPW393290 EZS393288:EZS393290 FJO393288:FJO393290 FTK393288:FTK393290 GDG393288:GDG393290 GNC393288:GNC393290 GWY393288:GWY393290 HGU393288:HGU393290 HQQ393288:HQQ393290 IAM393288:IAM393290 IKI393288:IKI393290 IUE393288:IUE393290 JEA393288:JEA393290 JNW393288:JNW393290 JXS393288:JXS393290 KHO393288:KHO393290 KRK393288:KRK393290 LBG393288:LBG393290 LLC393288:LLC393290 LUY393288:LUY393290 MEU393288:MEU393290 MOQ393288:MOQ393290 MYM393288:MYM393290 NII393288:NII393290 NSE393288:NSE393290 OCA393288:OCA393290 OLW393288:OLW393290 OVS393288:OVS393290 PFO393288:PFO393290 PPK393288:PPK393290 PZG393288:PZG393290 QJC393288:QJC393290 QSY393288:QSY393290 RCU393288:RCU393290 RMQ393288:RMQ393290 RWM393288:RWM393290 SGI393288:SGI393290 SQE393288:SQE393290 TAA393288:TAA393290 TJW393288:TJW393290 TTS393288:TTS393290 UDO393288:UDO393290 UNK393288:UNK393290 UXG393288:UXG393290 VHC393288:VHC393290 VQY393288:VQY393290 WAU393288:WAU393290 WKQ393288:WKQ393290 WUM393288:WUM393290 E458824:E458826 IA458824:IA458826 RW458824:RW458826 ABS458824:ABS458826 ALO458824:ALO458826 AVK458824:AVK458826 BFG458824:BFG458826 BPC458824:BPC458826 BYY458824:BYY458826 CIU458824:CIU458826 CSQ458824:CSQ458826 DCM458824:DCM458826 DMI458824:DMI458826 DWE458824:DWE458826 EGA458824:EGA458826 EPW458824:EPW458826 EZS458824:EZS458826 FJO458824:FJO458826 FTK458824:FTK458826 GDG458824:GDG458826 GNC458824:GNC458826 GWY458824:GWY458826 HGU458824:HGU458826 HQQ458824:HQQ458826 IAM458824:IAM458826 IKI458824:IKI458826 IUE458824:IUE458826 JEA458824:JEA458826 JNW458824:JNW458826 JXS458824:JXS458826 KHO458824:KHO458826 KRK458824:KRK458826 LBG458824:LBG458826 LLC458824:LLC458826 LUY458824:LUY458826 MEU458824:MEU458826 MOQ458824:MOQ458826 MYM458824:MYM458826 NII458824:NII458826 NSE458824:NSE458826 OCA458824:OCA458826 OLW458824:OLW458826 OVS458824:OVS458826 PFO458824:PFO458826 PPK458824:PPK458826 PZG458824:PZG458826 QJC458824:QJC458826 QSY458824:QSY458826 RCU458824:RCU458826 RMQ458824:RMQ458826 RWM458824:RWM458826 SGI458824:SGI458826 SQE458824:SQE458826 TAA458824:TAA458826 TJW458824:TJW458826 TTS458824:TTS458826 UDO458824:UDO458826 UNK458824:UNK458826 UXG458824:UXG458826 VHC458824:VHC458826 VQY458824:VQY458826 WAU458824:WAU458826 WKQ458824:WKQ458826 WUM458824:WUM458826 E524360:E524362 IA524360:IA524362 RW524360:RW524362 ABS524360:ABS524362 ALO524360:ALO524362 AVK524360:AVK524362 BFG524360:BFG524362 BPC524360:BPC524362 BYY524360:BYY524362 CIU524360:CIU524362 CSQ524360:CSQ524362 DCM524360:DCM524362 DMI524360:DMI524362 DWE524360:DWE524362 EGA524360:EGA524362 EPW524360:EPW524362 EZS524360:EZS524362 FJO524360:FJO524362 FTK524360:FTK524362 GDG524360:GDG524362 GNC524360:GNC524362 GWY524360:GWY524362 HGU524360:HGU524362 HQQ524360:HQQ524362 IAM524360:IAM524362 IKI524360:IKI524362 IUE524360:IUE524362 JEA524360:JEA524362 JNW524360:JNW524362 JXS524360:JXS524362 KHO524360:KHO524362 KRK524360:KRK524362 LBG524360:LBG524362 LLC524360:LLC524362 LUY524360:LUY524362 MEU524360:MEU524362 MOQ524360:MOQ524362 MYM524360:MYM524362 NII524360:NII524362 NSE524360:NSE524362 OCA524360:OCA524362 OLW524360:OLW524362 OVS524360:OVS524362 PFO524360:PFO524362 PPK524360:PPK524362 PZG524360:PZG524362 QJC524360:QJC524362 QSY524360:QSY524362 RCU524360:RCU524362 RMQ524360:RMQ524362 RWM524360:RWM524362 SGI524360:SGI524362 SQE524360:SQE524362 TAA524360:TAA524362 TJW524360:TJW524362 TTS524360:TTS524362 UDO524360:UDO524362 UNK524360:UNK524362 UXG524360:UXG524362 VHC524360:VHC524362 VQY524360:VQY524362 WAU524360:WAU524362 WKQ524360:WKQ524362 WUM524360:WUM524362 E589896:E589898 IA589896:IA589898 RW589896:RW589898 ABS589896:ABS589898 ALO589896:ALO589898 AVK589896:AVK589898 BFG589896:BFG589898 BPC589896:BPC589898 BYY589896:BYY589898 CIU589896:CIU589898 CSQ589896:CSQ589898 DCM589896:DCM589898 DMI589896:DMI589898 DWE589896:DWE589898 EGA589896:EGA589898 EPW589896:EPW589898 EZS589896:EZS589898 FJO589896:FJO589898 FTK589896:FTK589898 GDG589896:GDG589898 GNC589896:GNC589898 GWY589896:GWY589898 HGU589896:HGU589898 HQQ589896:HQQ589898 IAM589896:IAM589898 IKI589896:IKI589898 IUE589896:IUE589898 JEA589896:JEA589898 JNW589896:JNW589898 JXS589896:JXS589898 KHO589896:KHO589898 KRK589896:KRK589898 LBG589896:LBG589898 LLC589896:LLC589898 LUY589896:LUY589898 MEU589896:MEU589898 MOQ589896:MOQ589898 MYM589896:MYM589898 NII589896:NII589898 NSE589896:NSE589898 OCA589896:OCA589898 OLW589896:OLW589898 OVS589896:OVS589898 PFO589896:PFO589898 PPK589896:PPK589898 PZG589896:PZG589898 QJC589896:QJC589898 QSY589896:QSY589898 RCU589896:RCU589898 RMQ589896:RMQ589898 RWM589896:RWM589898 SGI589896:SGI589898 SQE589896:SQE589898 TAA589896:TAA589898 TJW589896:TJW589898 TTS589896:TTS589898 UDO589896:UDO589898 UNK589896:UNK589898 UXG589896:UXG589898 VHC589896:VHC589898 VQY589896:VQY589898 WAU589896:WAU589898 WKQ589896:WKQ589898 WUM589896:WUM589898 E655432:E655434 IA655432:IA655434 RW655432:RW655434 ABS655432:ABS655434 ALO655432:ALO655434 AVK655432:AVK655434 BFG655432:BFG655434 BPC655432:BPC655434 BYY655432:BYY655434 CIU655432:CIU655434 CSQ655432:CSQ655434 DCM655432:DCM655434 DMI655432:DMI655434 DWE655432:DWE655434 EGA655432:EGA655434 EPW655432:EPW655434 EZS655432:EZS655434 FJO655432:FJO655434 FTK655432:FTK655434 GDG655432:GDG655434 GNC655432:GNC655434 GWY655432:GWY655434 HGU655432:HGU655434 HQQ655432:HQQ655434 IAM655432:IAM655434 IKI655432:IKI655434 IUE655432:IUE655434 JEA655432:JEA655434 JNW655432:JNW655434 JXS655432:JXS655434 KHO655432:KHO655434 KRK655432:KRK655434 LBG655432:LBG655434 LLC655432:LLC655434 LUY655432:LUY655434 MEU655432:MEU655434 MOQ655432:MOQ655434 MYM655432:MYM655434 NII655432:NII655434 NSE655432:NSE655434 OCA655432:OCA655434 OLW655432:OLW655434 OVS655432:OVS655434 PFO655432:PFO655434 PPK655432:PPK655434 PZG655432:PZG655434 QJC655432:QJC655434 QSY655432:QSY655434 RCU655432:RCU655434 RMQ655432:RMQ655434 RWM655432:RWM655434 SGI655432:SGI655434 SQE655432:SQE655434 TAA655432:TAA655434 TJW655432:TJW655434 TTS655432:TTS655434 UDO655432:UDO655434 UNK655432:UNK655434 UXG655432:UXG655434 VHC655432:VHC655434 VQY655432:VQY655434 WAU655432:WAU655434 WKQ655432:WKQ655434 WUM655432:WUM655434 E720968:E720970 IA720968:IA720970 RW720968:RW720970 ABS720968:ABS720970 ALO720968:ALO720970 AVK720968:AVK720970 BFG720968:BFG720970 BPC720968:BPC720970 BYY720968:BYY720970 CIU720968:CIU720970 CSQ720968:CSQ720970 DCM720968:DCM720970 DMI720968:DMI720970 DWE720968:DWE720970 EGA720968:EGA720970 EPW720968:EPW720970 EZS720968:EZS720970 FJO720968:FJO720970 FTK720968:FTK720970 GDG720968:GDG720970 GNC720968:GNC720970 GWY720968:GWY720970 HGU720968:HGU720970 HQQ720968:HQQ720970 IAM720968:IAM720970 IKI720968:IKI720970 IUE720968:IUE720970 JEA720968:JEA720970 JNW720968:JNW720970 JXS720968:JXS720970 KHO720968:KHO720970 KRK720968:KRK720970 LBG720968:LBG720970 LLC720968:LLC720970 LUY720968:LUY720970 MEU720968:MEU720970 MOQ720968:MOQ720970 MYM720968:MYM720970 NII720968:NII720970 NSE720968:NSE720970 OCA720968:OCA720970 OLW720968:OLW720970 OVS720968:OVS720970 PFO720968:PFO720970 PPK720968:PPK720970 PZG720968:PZG720970 QJC720968:QJC720970 QSY720968:QSY720970 RCU720968:RCU720970 RMQ720968:RMQ720970 RWM720968:RWM720970 SGI720968:SGI720970 SQE720968:SQE720970 TAA720968:TAA720970 TJW720968:TJW720970 TTS720968:TTS720970 UDO720968:UDO720970 UNK720968:UNK720970 UXG720968:UXG720970 VHC720968:VHC720970 VQY720968:VQY720970 WAU720968:WAU720970 WKQ720968:WKQ720970 WUM720968:WUM720970 E786504:E786506 IA786504:IA786506 RW786504:RW786506 ABS786504:ABS786506 ALO786504:ALO786506 AVK786504:AVK786506 BFG786504:BFG786506 BPC786504:BPC786506 BYY786504:BYY786506 CIU786504:CIU786506 CSQ786504:CSQ786506 DCM786504:DCM786506 DMI786504:DMI786506 DWE786504:DWE786506 EGA786504:EGA786506 EPW786504:EPW786506 EZS786504:EZS786506 FJO786504:FJO786506 FTK786504:FTK786506 GDG786504:GDG786506 GNC786504:GNC786506 GWY786504:GWY786506 HGU786504:HGU786506 HQQ786504:HQQ786506 IAM786504:IAM786506 IKI786504:IKI786506 IUE786504:IUE786506 JEA786504:JEA786506 JNW786504:JNW786506 JXS786504:JXS786506 KHO786504:KHO786506 KRK786504:KRK786506 LBG786504:LBG786506 LLC786504:LLC786506 LUY786504:LUY786506 MEU786504:MEU786506 MOQ786504:MOQ786506 MYM786504:MYM786506 NII786504:NII786506 NSE786504:NSE786506 OCA786504:OCA786506 OLW786504:OLW786506 OVS786504:OVS786506 PFO786504:PFO786506 PPK786504:PPK786506 PZG786504:PZG786506 QJC786504:QJC786506 QSY786504:QSY786506 RCU786504:RCU786506 RMQ786504:RMQ786506 RWM786504:RWM786506 SGI786504:SGI786506 SQE786504:SQE786506 TAA786504:TAA786506 TJW786504:TJW786506 TTS786504:TTS786506 UDO786504:UDO786506 UNK786504:UNK786506 UXG786504:UXG786506 VHC786504:VHC786506 VQY786504:VQY786506 WAU786504:WAU786506 WKQ786504:WKQ786506 WUM786504:WUM786506 E852040:E852042 IA852040:IA852042 RW852040:RW852042 ABS852040:ABS852042 ALO852040:ALO852042 AVK852040:AVK852042 BFG852040:BFG852042 BPC852040:BPC852042 BYY852040:BYY852042 CIU852040:CIU852042 CSQ852040:CSQ852042 DCM852040:DCM852042 DMI852040:DMI852042 DWE852040:DWE852042 EGA852040:EGA852042 EPW852040:EPW852042 EZS852040:EZS852042 FJO852040:FJO852042 FTK852040:FTK852042 GDG852040:GDG852042 GNC852040:GNC852042 GWY852040:GWY852042 HGU852040:HGU852042 HQQ852040:HQQ852042 IAM852040:IAM852042 IKI852040:IKI852042 IUE852040:IUE852042 JEA852040:JEA852042 JNW852040:JNW852042 JXS852040:JXS852042 KHO852040:KHO852042 KRK852040:KRK852042 LBG852040:LBG852042 LLC852040:LLC852042 LUY852040:LUY852042 MEU852040:MEU852042 MOQ852040:MOQ852042 MYM852040:MYM852042 NII852040:NII852042 NSE852040:NSE852042 OCA852040:OCA852042 OLW852040:OLW852042 OVS852040:OVS852042 PFO852040:PFO852042 PPK852040:PPK852042 PZG852040:PZG852042 QJC852040:QJC852042 QSY852040:QSY852042 RCU852040:RCU852042 RMQ852040:RMQ852042 RWM852040:RWM852042 SGI852040:SGI852042 SQE852040:SQE852042 TAA852040:TAA852042 TJW852040:TJW852042 TTS852040:TTS852042 UDO852040:UDO852042 UNK852040:UNK852042 UXG852040:UXG852042 VHC852040:VHC852042 VQY852040:VQY852042 WAU852040:WAU852042 WKQ852040:WKQ852042 WUM852040:WUM852042 E917576:E917578 IA917576:IA917578 RW917576:RW917578 ABS917576:ABS917578 ALO917576:ALO917578 AVK917576:AVK917578 BFG917576:BFG917578 BPC917576:BPC917578 BYY917576:BYY917578 CIU917576:CIU917578 CSQ917576:CSQ917578 DCM917576:DCM917578 DMI917576:DMI917578 DWE917576:DWE917578 EGA917576:EGA917578 EPW917576:EPW917578 EZS917576:EZS917578 FJO917576:FJO917578 FTK917576:FTK917578 GDG917576:GDG917578 GNC917576:GNC917578 GWY917576:GWY917578 HGU917576:HGU917578 HQQ917576:HQQ917578 IAM917576:IAM917578 IKI917576:IKI917578 IUE917576:IUE917578 JEA917576:JEA917578 JNW917576:JNW917578 JXS917576:JXS917578 KHO917576:KHO917578 KRK917576:KRK917578 LBG917576:LBG917578 LLC917576:LLC917578 LUY917576:LUY917578 MEU917576:MEU917578 MOQ917576:MOQ917578 MYM917576:MYM917578 NII917576:NII917578 NSE917576:NSE917578 OCA917576:OCA917578 OLW917576:OLW917578 OVS917576:OVS917578 PFO917576:PFO917578 PPK917576:PPK917578 PZG917576:PZG917578 QJC917576:QJC917578 QSY917576:QSY917578 RCU917576:RCU917578 RMQ917576:RMQ917578 RWM917576:RWM917578 SGI917576:SGI917578 SQE917576:SQE917578 TAA917576:TAA917578 TJW917576:TJW917578 TTS917576:TTS917578 UDO917576:UDO917578 UNK917576:UNK917578 UXG917576:UXG917578 VHC917576:VHC917578 VQY917576:VQY917578 WAU917576:WAU917578 WKQ917576:WKQ917578 WUM917576:WUM917578 E983112:E983114 IA983112:IA983114 RW983112:RW983114 ABS983112:ABS983114 ALO983112:ALO983114 AVK983112:AVK983114 BFG983112:BFG983114 BPC983112:BPC983114 BYY983112:BYY983114 CIU983112:CIU983114 CSQ983112:CSQ983114 DCM983112:DCM983114 DMI983112:DMI983114 DWE983112:DWE983114 EGA983112:EGA983114 EPW983112:EPW983114 EZS983112:EZS983114 FJO983112:FJO983114 FTK983112:FTK983114 GDG983112:GDG983114 GNC983112:GNC983114 GWY983112:GWY983114 HGU983112:HGU983114 HQQ983112:HQQ983114 IAM983112:IAM983114 IKI983112:IKI983114 IUE983112:IUE983114 JEA983112:JEA983114 JNW983112:JNW983114 JXS983112:JXS983114 KHO983112:KHO983114 KRK983112:KRK983114 LBG983112:LBG983114 LLC983112:LLC983114 LUY983112:LUY983114 MEU983112:MEU983114 MOQ983112:MOQ983114 MYM983112:MYM983114 NII983112:NII983114 NSE983112:NSE983114 OCA983112:OCA983114 OLW983112:OLW983114 OVS983112:OVS983114 PFO983112:PFO983114 PPK983112:PPK983114 PZG983112:PZG983114 QJC983112:QJC983114 QSY983112:QSY983114 RCU983112:RCU983114 RMQ983112:RMQ983114 RWM983112:RWM983114 SGI983112:SGI983114 SQE983112:SQE983114 TAA983112:TAA983114 TJW983112:TJW983114 TTS983112:TTS983114 UDO983112:UDO983114 UNK983112:UNK983114 UXG983112:UXG983114 VHC983112:VHC983114 VQY983112:VQY983114 WAU983112:WAU983114 WKQ983112:WKQ983114 WUM983112:WUM983114 IA44" xr:uid="{00000000-0002-0000-0A00-000004000000}">
      <formula1>$O$12:$O$14</formula1>
    </dataValidation>
    <dataValidation type="list" allowBlank="1" showInputMessage="1" showErrorMessage="1" sqref="IA82:IA85 WUM983123:WUM983125 WKQ983123:WKQ983125 WAU983123:WAU983125 VQY983123:VQY983125 VHC983123:VHC983125 UXG983123:UXG983125 UNK983123:UNK983125 UDO983123:UDO983125 TTS983123:TTS983125 TJW983123:TJW983125 TAA983123:TAA983125 SQE983123:SQE983125 SGI983123:SGI983125 RWM983123:RWM983125 RMQ983123:RMQ983125 RCU983123:RCU983125 QSY983123:QSY983125 QJC983123:QJC983125 PZG983123:PZG983125 PPK983123:PPK983125 PFO983123:PFO983125 OVS983123:OVS983125 OLW983123:OLW983125 OCA983123:OCA983125 NSE983123:NSE983125 NII983123:NII983125 MYM983123:MYM983125 MOQ983123:MOQ983125 MEU983123:MEU983125 LUY983123:LUY983125 LLC983123:LLC983125 LBG983123:LBG983125 KRK983123:KRK983125 KHO983123:KHO983125 JXS983123:JXS983125 JNW983123:JNW983125 JEA983123:JEA983125 IUE983123:IUE983125 IKI983123:IKI983125 IAM983123:IAM983125 HQQ983123:HQQ983125 HGU983123:HGU983125 GWY983123:GWY983125 GNC983123:GNC983125 GDG983123:GDG983125 FTK983123:FTK983125 FJO983123:FJO983125 EZS983123:EZS983125 EPW983123:EPW983125 EGA983123:EGA983125 DWE983123:DWE983125 DMI983123:DMI983125 DCM983123:DCM983125 CSQ983123:CSQ983125 CIU983123:CIU983125 BYY983123:BYY983125 BPC983123:BPC983125 BFG983123:BFG983125 AVK983123:AVK983125 ALO983123:ALO983125 ABS983123:ABS983125 RW983123:RW983125 IA983123:IA983125 E983123:E983125 WUM917587:WUM917589 WKQ917587:WKQ917589 WAU917587:WAU917589 VQY917587:VQY917589 VHC917587:VHC917589 UXG917587:UXG917589 UNK917587:UNK917589 UDO917587:UDO917589 TTS917587:TTS917589 TJW917587:TJW917589 TAA917587:TAA917589 SQE917587:SQE917589 SGI917587:SGI917589 RWM917587:RWM917589 RMQ917587:RMQ917589 RCU917587:RCU917589 QSY917587:QSY917589 QJC917587:QJC917589 PZG917587:PZG917589 PPK917587:PPK917589 PFO917587:PFO917589 OVS917587:OVS917589 OLW917587:OLW917589 OCA917587:OCA917589 NSE917587:NSE917589 NII917587:NII917589 MYM917587:MYM917589 MOQ917587:MOQ917589 MEU917587:MEU917589 LUY917587:LUY917589 LLC917587:LLC917589 LBG917587:LBG917589 KRK917587:KRK917589 KHO917587:KHO917589 JXS917587:JXS917589 JNW917587:JNW917589 JEA917587:JEA917589 IUE917587:IUE917589 IKI917587:IKI917589 IAM917587:IAM917589 HQQ917587:HQQ917589 HGU917587:HGU917589 GWY917587:GWY917589 GNC917587:GNC917589 GDG917587:GDG917589 FTK917587:FTK917589 FJO917587:FJO917589 EZS917587:EZS917589 EPW917587:EPW917589 EGA917587:EGA917589 DWE917587:DWE917589 DMI917587:DMI917589 DCM917587:DCM917589 CSQ917587:CSQ917589 CIU917587:CIU917589 BYY917587:BYY917589 BPC917587:BPC917589 BFG917587:BFG917589 AVK917587:AVK917589 ALO917587:ALO917589 ABS917587:ABS917589 RW917587:RW917589 IA917587:IA917589 E917587:E917589 WUM852051:WUM852053 WKQ852051:WKQ852053 WAU852051:WAU852053 VQY852051:VQY852053 VHC852051:VHC852053 UXG852051:UXG852053 UNK852051:UNK852053 UDO852051:UDO852053 TTS852051:TTS852053 TJW852051:TJW852053 TAA852051:TAA852053 SQE852051:SQE852053 SGI852051:SGI852053 RWM852051:RWM852053 RMQ852051:RMQ852053 RCU852051:RCU852053 QSY852051:QSY852053 QJC852051:QJC852053 PZG852051:PZG852053 PPK852051:PPK852053 PFO852051:PFO852053 OVS852051:OVS852053 OLW852051:OLW852053 OCA852051:OCA852053 NSE852051:NSE852053 NII852051:NII852053 MYM852051:MYM852053 MOQ852051:MOQ852053 MEU852051:MEU852053 LUY852051:LUY852053 LLC852051:LLC852053 LBG852051:LBG852053 KRK852051:KRK852053 KHO852051:KHO852053 JXS852051:JXS852053 JNW852051:JNW852053 JEA852051:JEA852053 IUE852051:IUE852053 IKI852051:IKI852053 IAM852051:IAM852053 HQQ852051:HQQ852053 HGU852051:HGU852053 GWY852051:GWY852053 GNC852051:GNC852053 GDG852051:GDG852053 FTK852051:FTK852053 FJO852051:FJO852053 EZS852051:EZS852053 EPW852051:EPW852053 EGA852051:EGA852053 DWE852051:DWE852053 DMI852051:DMI852053 DCM852051:DCM852053 CSQ852051:CSQ852053 CIU852051:CIU852053 BYY852051:BYY852053 BPC852051:BPC852053 BFG852051:BFG852053 AVK852051:AVK852053 ALO852051:ALO852053 ABS852051:ABS852053 RW852051:RW852053 IA852051:IA852053 E852051:E852053 WUM786515:WUM786517 WKQ786515:WKQ786517 WAU786515:WAU786517 VQY786515:VQY786517 VHC786515:VHC786517 UXG786515:UXG786517 UNK786515:UNK786517 UDO786515:UDO786517 TTS786515:TTS786517 TJW786515:TJW786517 TAA786515:TAA786517 SQE786515:SQE786517 SGI786515:SGI786517 RWM786515:RWM786517 RMQ786515:RMQ786517 RCU786515:RCU786517 QSY786515:QSY786517 QJC786515:QJC786517 PZG786515:PZG786517 PPK786515:PPK786517 PFO786515:PFO786517 OVS786515:OVS786517 OLW786515:OLW786517 OCA786515:OCA786517 NSE786515:NSE786517 NII786515:NII786517 MYM786515:MYM786517 MOQ786515:MOQ786517 MEU786515:MEU786517 LUY786515:LUY786517 LLC786515:LLC786517 LBG786515:LBG786517 KRK786515:KRK786517 KHO786515:KHO786517 JXS786515:JXS786517 JNW786515:JNW786517 JEA786515:JEA786517 IUE786515:IUE786517 IKI786515:IKI786517 IAM786515:IAM786517 HQQ786515:HQQ786517 HGU786515:HGU786517 GWY786515:GWY786517 GNC786515:GNC786517 GDG786515:GDG786517 FTK786515:FTK786517 FJO786515:FJO786517 EZS786515:EZS786517 EPW786515:EPW786517 EGA786515:EGA786517 DWE786515:DWE786517 DMI786515:DMI786517 DCM786515:DCM786517 CSQ786515:CSQ786517 CIU786515:CIU786517 BYY786515:BYY786517 BPC786515:BPC786517 BFG786515:BFG786517 AVK786515:AVK786517 ALO786515:ALO786517 ABS786515:ABS786517 RW786515:RW786517 IA786515:IA786517 E786515:E786517 WUM720979:WUM720981 WKQ720979:WKQ720981 WAU720979:WAU720981 VQY720979:VQY720981 VHC720979:VHC720981 UXG720979:UXG720981 UNK720979:UNK720981 UDO720979:UDO720981 TTS720979:TTS720981 TJW720979:TJW720981 TAA720979:TAA720981 SQE720979:SQE720981 SGI720979:SGI720981 RWM720979:RWM720981 RMQ720979:RMQ720981 RCU720979:RCU720981 QSY720979:QSY720981 QJC720979:QJC720981 PZG720979:PZG720981 PPK720979:PPK720981 PFO720979:PFO720981 OVS720979:OVS720981 OLW720979:OLW720981 OCA720979:OCA720981 NSE720979:NSE720981 NII720979:NII720981 MYM720979:MYM720981 MOQ720979:MOQ720981 MEU720979:MEU720981 LUY720979:LUY720981 LLC720979:LLC720981 LBG720979:LBG720981 KRK720979:KRK720981 KHO720979:KHO720981 JXS720979:JXS720981 JNW720979:JNW720981 JEA720979:JEA720981 IUE720979:IUE720981 IKI720979:IKI720981 IAM720979:IAM720981 HQQ720979:HQQ720981 HGU720979:HGU720981 GWY720979:GWY720981 GNC720979:GNC720981 GDG720979:GDG720981 FTK720979:FTK720981 FJO720979:FJO720981 EZS720979:EZS720981 EPW720979:EPW720981 EGA720979:EGA720981 DWE720979:DWE720981 DMI720979:DMI720981 DCM720979:DCM720981 CSQ720979:CSQ720981 CIU720979:CIU720981 BYY720979:BYY720981 BPC720979:BPC720981 BFG720979:BFG720981 AVK720979:AVK720981 ALO720979:ALO720981 ABS720979:ABS720981 RW720979:RW720981 IA720979:IA720981 E720979:E720981 WUM655443:WUM655445 WKQ655443:WKQ655445 WAU655443:WAU655445 VQY655443:VQY655445 VHC655443:VHC655445 UXG655443:UXG655445 UNK655443:UNK655445 UDO655443:UDO655445 TTS655443:TTS655445 TJW655443:TJW655445 TAA655443:TAA655445 SQE655443:SQE655445 SGI655443:SGI655445 RWM655443:RWM655445 RMQ655443:RMQ655445 RCU655443:RCU655445 QSY655443:QSY655445 QJC655443:QJC655445 PZG655443:PZG655445 PPK655443:PPK655445 PFO655443:PFO655445 OVS655443:OVS655445 OLW655443:OLW655445 OCA655443:OCA655445 NSE655443:NSE655445 NII655443:NII655445 MYM655443:MYM655445 MOQ655443:MOQ655445 MEU655443:MEU655445 LUY655443:LUY655445 LLC655443:LLC655445 LBG655443:LBG655445 KRK655443:KRK655445 KHO655443:KHO655445 JXS655443:JXS655445 JNW655443:JNW655445 JEA655443:JEA655445 IUE655443:IUE655445 IKI655443:IKI655445 IAM655443:IAM655445 HQQ655443:HQQ655445 HGU655443:HGU655445 GWY655443:GWY655445 GNC655443:GNC655445 GDG655443:GDG655445 FTK655443:FTK655445 FJO655443:FJO655445 EZS655443:EZS655445 EPW655443:EPW655445 EGA655443:EGA655445 DWE655443:DWE655445 DMI655443:DMI655445 DCM655443:DCM655445 CSQ655443:CSQ655445 CIU655443:CIU655445 BYY655443:BYY655445 BPC655443:BPC655445 BFG655443:BFG655445 AVK655443:AVK655445 ALO655443:ALO655445 ABS655443:ABS655445 RW655443:RW655445 IA655443:IA655445 E655443:E655445 WUM589907:WUM589909 WKQ589907:WKQ589909 WAU589907:WAU589909 VQY589907:VQY589909 VHC589907:VHC589909 UXG589907:UXG589909 UNK589907:UNK589909 UDO589907:UDO589909 TTS589907:TTS589909 TJW589907:TJW589909 TAA589907:TAA589909 SQE589907:SQE589909 SGI589907:SGI589909 RWM589907:RWM589909 RMQ589907:RMQ589909 RCU589907:RCU589909 QSY589907:QSY589909 QJC589907:QJC589909 PZG589907:PZG589909 PPK589907:PPK589909 PFO589907:PFO589909 OVS589907:OVS589909 OLW589907:OLW589909 OCA589907:OCA589909 NSE589907:NSE589909 NII589907:NII589909 MYM589907:MYM589909 MOQ589907:MOQ589909 MEU589907:MEU589909 LUY589907:LUY589909 LLC589907:LLC589909 LBG589907:LBG589909 KRK589907:KRK589909 KHO589907:KHO589909 JXS589907:JXS589909 JNW589907:JNW589909 JEA589907:JEA589909 IUE589907:IUE589909 IKI589907:IKI589909 IAM589907:IAM589909 HQQ589907:HQQ589909 HGU589907:HGU589909 GWY589907:GWY589909 GNC589907:GNC589909 GDG589907:GDG589909 FTK589907:FTK589909 FJO589907:FJO589909 EZS589907:EZS589909 EPW589907:EPW589909 EGA589907:EGA589909 DWE589907:DWE589909 DMI589907:DMI589909 DCM589907:DCM589909 CSQ589907:CSQ589909 CIU589907:CIU589909 BYY589907:BYY589909 BPC589907:BPC589909 BFG589907:BFG589909 AVK589907:AVK589909 ALO589907:ALO589909 ABS589907:ABS589909 RW589907:RW589909 IA589907:IA589909 E589907:E589909 WUM524371:WUM524373 WKQ524371:WKQ524373 WAU524371:WAU524373 VQY524371:VQY524373 VHC524371:VHC524373 UXG524371:UXG524373 UNK524371:UNK524373 UDO524371:UDO524373 TTS524371:TTS524373 TJW524371:TJW524373 TAA524371:TAA524373 SQE524371:SQE524373 SGI524371:SGI524373 RWM524371:RWM524373 RMQ524371:RMQ524373 RCU524371:RCU524373 QSY524371:QSY524373 QJC524371:QJC524373 PZG524371:PZG524373 PPK524371:PPK524373 PFO524371:PFO524373 OVS524371:OVS524373 OLW524371:OLW524373 OCA524371:OCA524373 NSE524371:NSE524373 NII524371:NII524373 MYM524371:MYM524373 MOQ524371:MOQ524373 MEU524371:MEU524373 LUY524371:LUY524373 LLC524371:LLC524373 LBG524371:LBG524373 KRK524371:KRK524373 KHO524371:KHO524373 JXS524371:JXS524373 JNW524371:JNW524373 JEA524371:JEA524373 IUE524371:IUE524373 IKI524371:IKI524373 IAM524371:IAM524373 HQQ524371:HQQ524373 HGU524371:HGU524373 GWY524371:GWY524373 GNC524371:GNC524373 GDG524371:GDG524373 FTK524371:FTK524373 FJO524371:FJO524373 EZS524371:EZS524373 EPW524371:EPW524373 EGA524371:EGA524373 DWE524371:DWE524373 DMI524371:DMI524373 DCM524371:DCM524373 CSQ524371:CSQ524373 CIU524371:CIU524373 BYY524371:BYY524373 BPC524371:BPC524373 BFG524371:BFG524373 AVK524371:AVK524373 ALO524371:ALO524373 ABS524371:ABS524373 RW524371:RW524373 IA524371:IA524373 E524371:E524373 WUM458835:WUM458837 WKQ458835:WKQ458837 WAU458835:WAU458837 VQY458835:VQY458837 VHC458835:VHC458837 UXG458835:UXG458837 UNK458835:UNK458837 UDO458835:UDO458837 TTS458835:TTS458837 TJW458835:TJW458837 TAA458835:TAA458837 SQE458835:SQE458837 SGI458835:SGI458837 RWM458835:RWM458837 RMQ458835:RMQ458837 RCU458835:RCU458837 QSY458835:QSY458837 QJC458835:QJC458837 PZG458835:PZG458837 PPK458835:PPK458837 PFO458835:PFO458837 OVS458835:OVS458837 OLW458835:OLW458837 OCA458835:OCA458837 NSE458835:NSE458837 NII458835:NII458837 MYM458835:MYM458837 MOQ458835:MOQ458837 MEU458835:MEU458837 LUY458835:LUY458837 LLC458835:LLC458837 LBG458835:LBG458837 KRK458835:KRK458837 KHO458835:KHO458837 JXS458835:JXS458837 JNW458835:JNW458837 JEA458835:JEA458837 IUE458835:IUE458837 IKI458835:IKI458837 IAM458835:IAM458837 HQQ458835:HQQ458837 HGU458835:HGU458837 GWY458835:GWY458837 GNC458835:GNC458837 GDG458835:GDG458837 FTK458835:FTK458837 FJO458835:FJO458837 EZS458835:EZS458837 EPW458835:EPW458837 EGA458835:EGA458837 DWE458835:DWE458837 DMI458835:DMI458837 DCM458835:DCM458837 CSQ458835:CSQ458837 CIU458835:CIU458837 BYY458835:BYY458837 BPC458835:BPC458837 BFG458835:BFG458837 AVK458835:AVK458837 ALO458835:ALO458837 ABS458835:ABS458837 RW458835:RW458837 IA458835:IA458837 E458835:E458837 WUM393299:WUM393301 WKQ393299:WKQ393301 WAU393299:WAU393301 VQY393299:VQY393301 VHC393299:VHC393301 UXG393299:UXG393301 UNK393299:UNK393301 UDO393299:UDO393301 TTS393299:TTS393301 TJW393299:TJW393301 TAA393299:TAA393301 SQE393299:SQE393301 SGI393299:SGI393301 RWM393299:RWM393301 RMQ393299:RMQ393301 RCU393299:RCU393301 QSY393299:QSY393301 QJC393299:QJC393301 PZG393299:PZG393301 PPK393299:PPK393301 PFO393299:PFO393301 OVS393299:OVS393301 OLW393299:OLW393301 OCA393299:OCA393301 NSE393299:NSE393301 NII393299:NII393301 MYM393299:MYM393301 MOQ393299:MOQ393301 MEU393299:MEU393301 LUY393299:LUY393301 LLC393299:LLC393301 LBG393299:LBG393301 KRK393299:KRK393301 KHO393299:KHO393301 JXS393299:JXS393301 JNW393299:JNW393301 JEA393299:JEA393301 IUE393299:IUE393301 IKI393299:IKI393301 IAM393299:IAM393301 HQQ393299:HQQ393301 HGU393299:HGU393301 GWY393299:GWY393301 GNC393299:GNC393301 GDG393299:GDG393301 FTK393299:FTK393301 FJO393299:FJO393301 EZS393299:EZS393301 EPW393299:EPW393301 EGA393299:EGA393301 DWE393299:DWE393301 DMI393299:DMI393301 DCM393299:DCM393301 CSQ393299:CSQ393301 CIU393299:CIU393301 BYY393299:BYY393301 BPC393299:BPC393301 BFG393299:BFG393301 AVK393299:AVK393301 ALO393299:ALO393301 ABS393299:ABS393301 RW393299:RW393301 IA393299:IA393301 E393299:E393301 WUM327763:WUM327765 WKQ327763:WKQ327765 WAU327763:WAU327765 VQY327763:VQY327765 VHC327763:VHC327765 UXG327763:UXG327765 UNK327763:UNK327765 UDO327763:UDO327765 TTS327763:TTS327765 TJW327763:TJW327765 TAA327763:TAA327765 SQE327763:SQE327765 SGI327763:SGI327765 RWM327763:RWM327765 RMQ327763:RMQ327765 RCU327763:RCU327765 QSY327763:QSY327765 QJC327763:QJC327765 PZG327763:PZG327765 PPK327763:PPK327765 PFO327763:PFO327765 OVS327763:OVS327765 OLW327763:OLW327765 OCA327763:OCA327765 NSE327763:NSE327765 NII327763:NII327765 MYM327763:MYM327765 MOQ327763:MOQ327765 MEU327763:MEU327765 LUY327763:LUY327765 LLC327763:LLC327765 LBG327763:LBG327765 KRK327763:KRK327765 KHO327763:KHO327765 JXS327763:JXS327765 JNW327763:JNW327765 JEA327763:JEA327765 IUE327763:IUE327765 IKI327763:IKI327765 IAM327763:IAM327765 HQQ327763:HQQ327765 HGU327763:HGU327765 GWY327763:GWY327765 GNC327763:GNC327765 GDG327763:GDG327765 FTK327763:FTK327765 FJO327763:FJO327765 EZS327763:EZS327765 EPW327763:EPW327765 EGA327763:EGA327765 DWE327763:DWE327765 DMI327763:DMI327765 DCM327763:DCM327765 CSQ327763:CSQ327765 CIU327763:CIU327765 BYY327763:BYY327765 BPC327763:BPC327765 BFG327763:BFG327765 AVK327763:AVK327765 ALO327763:ALO327765 ABS327763:ABS327765 RW327763:RW327765 IA327763:IA327765 E327763:E327765 WUM262227:WUM262229 WKQ262227:WKQ262229 WAU262227:WAU262229 VQY262227:VQY262229 VHC262227:VHC262229 UXG262227:UXG262229 UNK262227:UNK262229 UDO262227:UDO262229 TTS262227:TTS262229 TJW262227:TJW262229 TAA262227:TAA262229 SQE262227:SQE262229 SGI262227:SGI262229 RWM262227:RWM262229 RMQ262227:RMQ262229 RCU262227:RCU262229 QSY262227:QSY262229 QJC262227:QJC262229 PZG262227:PZG262229 PPK262227:PPK262229 PFO262227:PFO262229 OVS262227:OVS262229 OLW262227:OLW262229 OCA262227:OCA262229 NSE262227:NSE262229 NII262227:NII262229 MYM262227:MYM262229 MOQ262227:MOQ262229 MEU262227:MEU262229 LUY262227:LUY262229 LLC262227:LLC262229 LBG262227:LBG262229 KRK262227:KRK262229 KHO262227:KHO262229 JXS262227:JXS262229 JNW262227:JNW262229 JEA262227:JEA262229 IUE262227:IUE262229 IKI262227:IKI262229 IAM262227:IAM262229 HQQ262227:HQQ262229 HGU262227:HGU262229 GWY262227:GWY262229 GNC262227:GNC262229 GDG262227:GDG262229 FTK262227:FTK262229 FJO262227:FJO262229 EZS262227:EZS262229 EPW262227:EPW262229 EGA262227:EGA262229 DWE262227:DWE262229 DMI262227:DMI262229 DCM262227:DCM262229 CSQ262227:CSQ262229 CIU262227:CIU262229 BYY262227:BYY262229 BPC262227:BPC262229 BFG262227:BFG262229 AVK262227:AVK262229 ALO262227:ALO262229 ABS262227:ABS262229 RW262227:RW262229 IA262227:IA262229 E262227:E262229 WUM196691:WUM196693 WKQ196691:WKQ196693 WAU196691:WAU196693 VQY196691:VQY196693 VHC196691:VHC196693 UXG196691:UXG196693 UNK196691:UNK196693 UDO196691:UDO196693 TTS196691:TTS196693 TJW196691:TJW196693 TAA196691:TAA196693 SQE196691:SQE196693 SGI196691:SGI196693 RWM196691:RWM196693 RMQ196691:RMQ196693 RCU196691:RCU196693 QSY196691:QSY196693 QJC196691:QJC196693 PZG196691:PZG196693 PPK196691:PPK196693 PFO196691:PFO196693 OVS196691:OVS196693 OLW196691:OLW196693 OCA196691:OCA196693 NSE196691:NSE196693 NII196691:NII196693 MYM196691:MYM196693 MOQ196691:MOQ196693 MEU196691:MEU196693 LUY196691:LUY196693 LLC196691:LLC196693 LBG196691:LBG196693 KRK196691:KRK196693 KHO196691:KHO196693 JXS196691:JXS196693 JNW196691:JNW196693 JEA196691:JEA196693 IUE196691:IUE196693 IKI196691:IKI196693 IAM196691:IAM196693 HQQ196691:HQQ196693 HGU196691:HGU196693 GWY196691:GWY196693 GNC196691:GNC196693 GDG196691:GDG196693 FTK196691:FTK196693 FJO196691:FJO196693 EZS196691:EZS196693 EPW196691:EPW196693 EGA196691:EGA196693 DWE196691:DWE196693 DMI196691:DMI196693 DCM196691:DCM196693 CSQ196691:CSQ196693 CIU196691:CIU196693 BYY196691:BYY196693 BPC196691:BPC196693 BFG196691:BFG196693 AVK196691:AVK196693 ALO196691:ALO196693 ABS196691:ABS196693 RW196691:RW196693 IA196691:IA196693 E196691:E196693 WUM131155:WUM131157 WKQ131155:WKQ131157 WAU131155:WAU131157 VQY131155:VQY131157 VHC131155:VHC131157 UXG131155:UXG131157 UNK131155:UNK131157 UDO131155:UDO131157 TTS131155:TTS131157 TJW131155:TJW131157 TAA131155:TAA131157 SQE131155:SQE131157 SGI131155:SGI131157 RWM131155:RWM131157 RMQ131155:RMQ131157 RCU131155:RCU131157 QSY131155:QSY131157 QJC131155:QJC131157 PZG131155:PZG131157 PPK131155:PPK131157 PFO131155:PFO131157 OVS131155:OVS131157 OLW131155:OLW131157 OCA131155:OCA131157 NSE131155:NSE131157 NII131155:NII131157 MYM131155:MYM131157 MOQ131155:MOQ131157 MEU131155:MEU131157 LUY131155:LUY131157 LLC131155:LLC131157 LBG131155:LBG131157 KRK131155:KRK131157 KHO131155:KHO131157 JXS131155:JXS131157 JNW131155:JNW131157 JEA131155:JEA131157 IUE131155:IUE131157 IKI131155:IKI131157 IAM131155:IAM131157 HQQ131155:HQQ131157 HGU131155:HGU131157 GWY131155:GWY131157 GNC131155:GNC131157 GDG131155:GDG131157 FTK131155:FTK131157 FJO131155:FJO131157 EZS131155:EZS131157 EPW131155:EPW131157 EGA131155:EGA131157 DWE131155:DWE131157 DMI131155:DMI131157 DCM131155:DCM131157 CSQ131155:CSQ131157 CIU131155:CIU131157 BYY131155:BYY131157 BPC131155:BPC131157 BFG131155:BFG131157 AVK131155:AVK131157 ALO131155:ALO131157 ABS131155:ABS131157 RW131155:RW131157 IA131155:IA131157 E131155:E131157 WUM65619:WUM65621 WKQ65619:WKQ65621 WAU65619:WAU65621 VQY65619:VQY65621 VHC65619:VHC65621 UXG65619:UXG65621 UNK65619:UNK65621 UDO65619:UDO65621 TTS65619:TTS65621 TJW65619:TJW65621 TAA65619:TAA65621 SQE65619:SQE65621 SGI65619:SGI65621 RWM65619:RWM65621 RMQ65619:RMQ65621 RCU65619:RCU65621 QSY65619:QSY65621 QJC65619:QJC65621 PZG65619:PZG65621 PPK65619:PPK65621 PFO65619:PFO65621 OVS65619:OVS65621 OLW65619:OLW65621 OCA65619:OCA65621 NSE65619:NSE65621 NII65619:NII65621 MYM65619:MYM65621 MOQ65619:MOQ65621 MEU65619:MEU65621 LUY65619:LUY65621 LLC65619:LLC65621 LBG65619:LBG65621 KRK65619:KRK65621 KHO65619:KHO65621 JXS65619:JXS65621 JNW65619:JNW65621 JEA65619:JEA65621 IUE65619:IUE65621 IKI65619:IKI65621 IAM65619:IAM65621 HQQ65619:HQQ65621 HGU65619:HGU65621 GWY65619:GWY65621 GNC65619:GNC65621 GDG65619:GDG65621 FTK65619:FTK65621 FJO65619:FJO65621 EZS65619:EZS65621 EPW65619:EPW65621 EGA65619:EGA65621 DWE65619:DWE65621 DMI65619:DMI65621 DCM65619:DCM65621 CSQ65619:CSQ65621 CIU65619:CIU65621 BYY65619:BYY65621 BPC65619:BPC65621 BFG65619:BFG65621 AVK65619:AVK65621 ALO65619:ALO65621 ABS65619:ABS65621 RW65619:RW65621 IA65619:IA65621 E65619:E65621 WUM82:WUM85 WKQ82:WKQ85 WAU82:WAU85 VQY82:VQY85 VHC82:VHC85 UXG82:UXG85 UNK82:UNK85 UDO82:UDO85 TTS82:TTS85 TJW82:TJW85 TAA82:TAA85 SQE82:SQE85 SGI82:SGI85 RWM82:RWM85 RMQ82:RMQ85 RCU82:RCU85 QSY82:QSY85 QJC82:QJC85 PZG82:PZG85 PPK82:PPK85 PFO82:PFO85 OVS82:OVS85 OLW82:OLW85 OCA82:OCA85 NSE82:NSE85 NII82:NII85 MYM82:MYM85 MOQ82:MOQ85 MEU82:MEU85 LUY82:LUY85 LLC82:LLC85 LBG82:LBG85 KRK82:KRK85 KHO82:KHO85 JXS82:JXS85 JNW82:JNW85 JEA82:JEA85 IUE82:IUE85 IKI82:IKI85 IAM82:IAM85 HQQ82:HQQ85 HGU82:HGU85 GWY82:GWY85 GNC82:GNC85 GDG82:GDG85 FTK82:FTK85 FJO82:FJO85 EZS82:EZS85 EPW82:EPW85 EGA82:EGA85 DWE82:DWE85 DMI82:DMI85 DCM82:DCM85 CSQ82:CSQ85 CIU82:CIU85 BYY82:BYY85 BPC82:BPC85 BFG82:BFG85 AVK82:AVK85 ALO82:ALO85 ABS82:ABS85 RW82:RW85" xr:uid="{00000000-0002-0000-0A00-000005000000}">
      <formula1>$O$6:$O$21</formula1>
    </dataValidation>
    <dataValidation type="list" allowBlank="1" showInputMessage="1" showErrorMessage="1" sqref="E6:E14 E24:E49 E55:E84" xr:uid="{00000000-0002-0000-0A00-000006000000}">
      <formula1>INDIRECT(N6)</formula1>
    </dataValidation>
    <dataValidation imeMode="disabled" allowBlank="1" showInputMessage="1" showErrorMessage="1" sqref="F6:F14 F24:F49 F55:F84 I82:I84 F86:F87 I89:I90 I92:I93 F92:F95 F89:F90" xr:uid="{00000000-0002-0000-0A00-000007000000}"/>
  </dataValidations>
  <pageMargins left="0.78740157480314965" right="0.59055118110236227" top="0.78740157480314965" bottom="0.59055118110236227" header="0.31496062992125984" footer="0.31496062992125984"/>
  <pageSetup paperSize="9" scale="5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62"/>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4.125" defaultRowHeight="18"/>
  <cols>
    <col min="1" max="2" width="6.25" style="474" customWidth="1"/>
    <col min="3" max="3" width="19.125" style="474" customWidth="1"/>
    <col min="4" max="5" width="35.625" style="474" customWidth="1"/>
    <col min="6" max="6" width="14.625" style="474" customWidth="1"/>
    <col min="7" max="7" width="10.25" style="474" customWidth="1"/>
    <col min="8" max="8" width="20.25" style="474" customWidth="1"/>
    <col min="9" max="9" width="23.5" style="474" customWidth="1"/>
    <col min="10" max="11" width="9" style="474" customWidth="1"/>
    <col min="12" max="12" width="16.375" style="474" customWidth="1"/>
    <col min="13" max="245" width="9" style="474" customWidth="1"/>
    <col min="246" max="246" width="1.625" style="474" customWidth="1"/>
    <col min="247" max="247" width="1.875" style="474" customWidth="1"/>
    <col min="248" max="16384" width="4.125" style="474"/>
  </cols>
  <sheetData>
    <row r="1" spans="1:12" ht="18.75" customHeight="1">
      <c r="A1" s="3" t="s">
        <v>655</v>
      </c>
      <c r="B1" s="4"/>
      <c r="C1" s="4"/>
      <c r="D1" s="4"/>
      <c r="E1" s="4"/>
      <c r="F1" s="4"/>
      <c r="G1" s="4"/>
      <c r="H1" s="133" t="s">
        <v>0</v>
      </c>
      <c r="I1" s="212" t="str">
        <f>IF(事業所概要_算定体制!D13="","",事業所概要_算定体制!D13)</f>
        <v/>
      </c>
    </row>
    <row r="2" spans="1:12">
      <c r="A2" s="942" t="s">
        <v>2082</v>
      </c>
      <c r="B2" s="942"/>
      <c r="C2" s="942"/>
      <c r="D2" s="942"/>
      <c r="E2" s="942"/>
      <c r="F2" s="4"/>
      <c r="G2" s="4"/>
      <c r="H2" s="4"/>
      <c r="I2" s="190" t="str">
        <f>CONCATENATE(事業所概要_算定体制!$B$3,事業所概要_算定体制!$C$3,"年度")</f>
        <v>令和７年度</v>
      </c>
    </row>
    <row r="3" spans="1:12" ht="23.25" customHeight="1" thickBot="1">
      <c r="A3" s="4"/>
      <c r="B3" s="4"/>
      <c r="C3" s="4"/>
      <c r="D3" s="4"/>
      <c r="E3" s="4"/>
      <c r="F3" s="5"/>
      <c r="G3" s="4"/>
      <c r="H3" s="147"/>
      <c r="I3" s="6"/>
    </row>
    <row r="4" spans="1:12" ht="50.1" customHeight="1">
      <c r="A4" s="7"/>
      <c r="B4" s="844" t="s">
        <v>1</v>
      </c>
      <c r="C4" s="913"/>
      <c r="D4" s="913"/>
      <c r="E4" s="914"/>
      <c r="F4" s="918" t="s">
        <v>317</v>
      </c>
      <c r="G4" s="919"/>
      <c r="H4" s="148" t="s">
        <v>641</v>
      </c>
      <c r="I4" s="142" t="s">
        <v>3</v>
      </c>
    </row>
    <row r="5" spans="1:12" ht="33" customHeight="1" thickBot="1">
      <c r="A5" s="10"/>
      <c r="B5" s="915"/>
      <c r="C5" s="916"/>
      <c r="D5" s="916"/>
      <c r="E5" s="917"/>
      <c r="F5" s="11"/>
      <c r="G5" s="12"/>
      <c r="H5" s="145" t="s">
        <v>194</v>
      </c>
      <c r="I5" s="223" t="s">
        <v>190</v>
      </c>
      <c r="L5" s="478"/>
    </row>
    <row r="6" spans="1:12" ht="30.2" customHeight="1">
      <c r="A6" s="921" t="s">
        <v>319</v>
      </c>
      <c r="B6" s="924" t="s">
        <v>198</v>
      </c>
      <c r="C6" s="657" t="s">
        <v>9</v>
      </c>
      <c r="D6" s="658"/>
      <c r="E6" s="926"/>
      <c r="F6" s="349" t="str">
        <f>IF(COUNTIFS(燃料!$AQ:$AQ,ROW())=0,"",ROUND(SUMIFS(燃料!$AL:$AL,燃料!$AQ:$AQ,ROW()),0))</f>
        <v/>
      </c>
      <c r="G6" s="350" t="s">
        <v>8</v>
      </c>
      <c r="H6" s="351" t="str">
        <f>IF(COUNTIFS(燃料!$AQ:$AQ,ROW())=0,"",SUMIFS(燃料!$AN:$AN,燃料!$AQ:$AQ,ROW()))</f>
        <v/>
      </c>
      <c r="I6" s="352" t="str">
        <f>IF(COUNTIFS(燃料!$AQ:$AQ,ROW())=0,"",SUMIFS(燃料!$AP:$AP,燃料!$AQ:$AQ,ROW()))</f>
        <v/>
      </c>
    </row>
    <row r="7" spans="1:12" ht="30.2" customHeight="1">
      <c r="A7" s="922"/>
      <c r="B7" s="925"/>
      <c r="C7" s="663" t="s">
        <v>10</v>
      </c>
      <c r="D7" s="664"/>
      <c r="E7" s="920"/>
      <c r="F7" s="349" t="str">
        <f>IF(COUNTIFS(燃料!$AQ:$AQ,ROW())=0,"",ROUND(SUMIFS(燃料!$AL:$AL,燃料!$AQ:$AQ,ROW()),0))</f>
        <v/>
      </c>
      <c r="G7" s="353" t="s">
        <v>8</v>
      </c>
      <c r="H7" s="351" t="str">
        <f>IF(COUNTIFS(燃料!$AQ:$AQ,ROW())=0,"",SUMIFS(燃料!$AN:$AN,燃料!$AQ:$AQ,ROW()))</f>
        <v/>
      </c>
      <c r="I7" s="352" t="str">
        <f>IF(COUNTIFS(燃料!$AQ:$AQ,ROW())=0,"",SUMIFS(燃料!$AP:$AP,燃料!$AQ:$AQ,ROW()))</f>
        <v/>
      </c>
    </row>
    <row r="8" spans="1:12" ht="30.2" customHeight="1">
      <c r="A8" s="922"/>
      <c r="B8" s="925"/>
      <c r="C8" s="663" t="s">
        <v>11</v>
      </c>
      <c r="D8" s="664"/>
      <c r="E8" s="920"/>
      <c r="F8" s="349" t="str">
        <f>IF(COUNTIFS(燃料!$AQ:$AQ,ROW())=0,"",ROUND(SUMIFS(燃料!$AL:$AL,燃料!$AQ:$AQ,ROW()),0))</f>
        <v/>
      </c>
      <c r="G8" s="353" t="s">
        <v>8</v>
      </c>
      <c r="H8" s="351" t="str">
        <f>IF(COUNTIFS(燃料!$AQ:$AQ,ROW())=0,"",SUMIFS(燃料!$AN:$AN,燃料!$AQ:$AQ,ROW()))</f>
        <v/>
      </c>
      <c r="I8" s="352" t="str">
        <f>IF(COUNTIFS(燃料!$AQ:$AQ,ROW())=0,"",SUMIFS(燃料!$AP:$AP,燃料!$AQ:$AQ,ROW()))</f>
        <v/>
      </c>
    </row>
    <row r="9" spans="1:12" ht="30.2" customHeight="1">
      <c r="A9" s="922"/>
      <c r="B9" s="925"/>
      <c r="C9" s="663" t="s">
        <v>13</v>
      </c>
      <c r="D9" s="664"/>
      <c r="E9" s="920"/>
      <c r="F9" s="349" t="str">
        <f>IF(COUNTIFS(燃料!$AQ:$AQ,ROW())=0,"",ROUND(SUMIFS(燃料!$AL:$AL,燃料!$AQ:$AQ,ROW()),0))</f>
        <v/>
      </c>
      <c r="G9" s="353" t="s">
        <v>8</v>
      </c>
      <c r="H9" s="351" t="str">
        <f>IF(COUNTIFS(燃料!$AQ:$AQ,ROW())=0,"",SUMIFS(燃料!$AN:$AN,燃料!$AQ:$AQ,ROW()))</f>
        <v/>
      </c>
      <c r="I9" s="352" t="str">
        <f>IF(COUNTIFS(燃料!$AQ:$AQ,ROW())=0,"",SUMIFS(燃料!$AP:$AP,燃料!$AQ:$AQ,ROW()))</f>
        <v/>
      </c>
    </row>
    <row r="10" spans="1:12" ht="30.2" customHeight="1">
      <c r="A10" s="922"/>
      <c r="B10" s="925"/>
      <c r="C10" s="663" t="s">
        <v>14</v>
      </c>
      <c r="D10" s="664"/>
      <c r="E10" s="920"/>
      <c r="F10" s="349" t="str">
        <f>IF(COUNTIFS(燃料!$AQ:$AQ,ROW())=0,"",ROUND(SUMIFS(燃料!$AL:$AL,燃料!$AQ:$AQ,ROW()),0))</f>
        <v/>
      </c>
      <c r="G10" s="353" t="s">
        <v>8</v>
      </c>
      <c r="H10" s="351" t="str">
        <f>IF(COUNTIFS(燃料!$AQ:$AQ,ROW())=0,"",SUMIFS(燃料!$AN:$AN,燃料!$AQ:$AQ,ROW()))</f>
        <v/>
      </c>
      <c r="I10" s="352" t="str">
        <f>IF(COUNTIFS(燃料!$AQ:$AQ,ROW())=0,"",SUMIFS(燃料!$AP:$AP,燃料!$AQ:$AQ,ROW()))</f>
        <v/>
      </c>
    </row>
    <row r="11" spans="1:12" ht="30.2" customHeight="1">
      <c r="A11" s="922"/>
      <c r="B11" s="925"/>
      <c r="C11" s="663" t="s">
        <v>15</v>
      </c>
      <c r="D11" s="664"/>
      <c r="E11" s="920"/>
      <c r="F11" s="349" t="str">
        <f>IF(COUNTIFS(燃料!$AQ:$AQ,ROW())=0,"",ROUND(SUMIFS(燃料!$AL:$AL,燃料!$AQ:$AQ,ROW()),0))</f>
        <v/>
      </c>
      <c r="G11" s="353" t="s">
        <v>8</v>
      </c>
      <c r="H11" s="351" t="str">
        <f>IF(COUNTIFS(燃料!$AQ:$AQ,ROW())=0,"",SUMIFS(燃料!$AN:$AN,燃料!$AQ:$AQ,ROW()))</f>
        <v/>
      </c>
      <c r="I11" s="352" t="str">
        <f>IF(COUNTIFS(燃料!$AQ:$AQ,ROW())=0,"",SUMIFS(燃料!$AP:$AP,燃料!$AQ:$AQ,ROW()))</f>
        <v/>
      </c>
    </row>
    <row r="12" spans="1:12" ht="30.2" customHeight="1">
      <c r="A12" s="922"/>
      <c r="B12" s="925"/>
      <c r="C12" s="663" t="s">
        <v>16</v>
      </c>
      <c r="D12" s="664"/>
      <c r="E12" s="920"/>
      <c r="F12" s="349" t="str">
        <f>IF(COUNTIFS(燃料!$AQ:$AQ,ROW())=0,"",ROUND(SUMIFS(燃料!$AL:$AL,燃料!$AQ:$AQ,ROW()),0))</f>
        <v/>
      </c>
      <c r="G12" s="353" t="s">
        <v>8</v>
      </c>
      <c r="H12" s="351" t="str">
        <f>IF(COUNTIFS(燃料!$AQ:$AQ,ROW())=0,"",SUMIFS(燃料!$AN:$AN,燃料!$AQ:$AQ,ROW()))</f>
        <v/>
      </c>
      <c r="I12" s="352" t="str">
        <f>IF(COUNTIFS(燃料!$AQ:$AQ,ROW())=0,"",SUMIFS(燃料!$AP:$AP,燃料!$AQ:$AQ,ROW()))</f>
        <v/>
      </c>
    </row>
    <row r="13" spans="1:12" ht="30.2" customHeight="1">
      <c r="A13" s="922"/>
      <c r="B13" s="925"/>
      <c r="C13" s="663" t="s">
        <v>17</v>
      </c>
      <c r="D13" s="664"/>
      <c r="E13" s="920"/>
      <c r="F13" s="349" t="str">
        <f>IF(COUNTIFS(燃料!$AQ:$AQ,ROW())=0,"",ROUND(SUMIFS(燃料!$AL:$AL,燃料!$AQ:$AQ,ROW()),0))</f>
        <v/>
      </c>
      <c r="G13" s="353" t="s">
        <v>8</v>
      </c>
      <c r="H13" s="351" t="str">
        <f>IF(COUNTIFS(燃料!$AQ:$AQ,ROW())=0,"",SUMIFS(燃料!$AN:$AN,燃料!$AQ:$AQ,ROW()))</f>
        <v/>
      </c>
      <c r="I13" s="352" t="str">
        <f>IF(COUNTIFS(燃料!$AQ:$AQ,ROW())=0,"",SUMIFS(燃料!$AP:$AP,燃料!$AQ:$AQ,ROW()))</f>
        <v/>
      </c>
    </row>
    <row r="14" spans="1:12" ht="30.2" customHeight="1">
      <c r="A14" s="922"/>
      <c r="B14" s="925"/>
      <c r="C14" s="663" t="s">
        <v>18</v>
      </c>
      <c r="D14" s="664"/>
      <c r="E14" s="920"/>
      <c r="F14" s="349" t="str">
        <f>IF(COUNTIFS(燃料!$AQ:$AQ,ROW())=0,"",ROUND(SUMIFS(燃料!$AL:$AL,燃料!$AQ:$AQ,ROW()),0))</f>
        <v/>
      </c>
      <c r="G14" s="353" t="s">
        <v>19</v>
      </c>
      <c r="H14" s="351" t="str">
        <f>IF(COUNTIFS(燃料!$AQ:$AQ,ROW())=0,"",SUMIFS(燃料!$AN:$AN,燃料!$AQ:$AQ,ROW()))</f>
        <v/>
      </c>
      <c r="I14" s="352" t="str">
        <f>IF(COUNTIFS(燃料!$AQ:$AQ,ROW())=0,"",SUMIFS(燃料!$AP:$AP,燃料!$AQ:$AQ,ROW()))</f>
        <v/>
      </c>
    </row>
    <row r="15" spans="1:12" ht="30.2" customHeight="1">
      <c r="A15" s="922"/>
      <c r="B15" s="925"/>
      <c r="C15" s="663" t="s">
        <v>20</v>
      </c>
      <c r="D15" s="664"/>
      <c r="E15" s="920"/>
      <c r="F15" s="349" t="str">
        <f>IF(COUNTIFS(燃料!$AQ:$AQ,ROW())=0,"",ROUND(SUMIFS(燃料!$AL:$AL,燃料!$AQ:$AQ,ROW()),0))</f>
        <v/>
      </c>
      <c r="G15" s="353" t="s">
        <v>19</v>
      </c>
      <c r="H15" s="351" t="str">
        <f>IF(COUNTIFS(燃料!$AQ:$AQ,ROW())=0,"",SUMIFS(燃料!$AN:$AN,燃料!$AQ:$AQ,ROW()))</f>
        <v/>
      </c>
      <c r="I15" s="352" t="str">
        <f>IF(COUNTIFS(燃料!$AQ:$AQ,ROW())=0,"",SUMIFS(燃料!$AP:$AP,燃料!$AQ:$AQ,ROW()))</f>
        <v/>
      </c>
    </row>
    <row r="16" spans="1:12" ht="30.2" customHeight="1">
      <c r="A16" s="922"/>
      <c r="B16" s="925"/>
      <c r="C16" s="940" t="s">
        <v>21</v>
      </c>
      <c r="D16" s="663" t="s">
        <v>22</v>
      </c>
      <c r="E16" s="920"/>
      <c r="F16" s="349" t="str">
        <f>IF(COUNTIFS(燃料!$AQ:$AQ,ROW())=0,"",ROUND(SUMIFS(燃料!$AL:$AL,燃料!$AQ:$AQ,ROW()),0))</f>
        <v/>
      </c>
      <c r="G16" s="353" t="s">
        <v>19</v>
      </c>
      <c r="H16" s="351" t="str">
        <f>IF(COUNTIFS(燃料!$AQ:$AQ,ROW())=0,"",SUMIFS(燃料!$AN:$AN,燃料!$AQ:$AQ,ROW()))</f>
        <v/>
      </c>
      <c r="I16" s="352" t="str">
        <f>IF(COUNTIFS(燃料!$AQ:$AQ,ROW())=0,"",SUMIFS(燃料!$AP:$AP,燃料!$AQ:$AQ,ROW()))</f>
        <v/>
      </c>
    </row>
    <row r="17" spans="1:9" ht="30.2" customHeight="1">
      <c r="A17" s="922"/>
      <c r="B17" s="925"/>
      <c r="C17" s="941"/>
      <c r="D17" s="663" t="s">
        <v>23</v>
      </c>
      <c r="E17" s="920"/>
      <c r="F17" s="349" t="str">
        <f>IF(COUNTIFS(燃料!$AQ:$AQ,ROW())=0,"",ROUND(SUMIFS(燃料!$AL:$AL,燃料!$AQ:$AQ,ROW()),0))</f>
        <v/>
      </c>
      <c r="G17" s="353" t="s">
        <v>654</v>
      </c>
      <c r="H17" s="351" t="str">
        <f>IF(COUNTIFS(燃料!$AQ:$AQ,ROW())=0,"",SUMIFS(燃料!$AN:$AN,燃料!$AQ:$AQ,ROW()))</f>
        <v/>
      </c>
      <c r="I17" s="352" t="str">
        <f>IF(COUNTIFS(燃料!$AQ:$AQ,ROW())=0,"",SUMIFS(燃料!$AP:$AP,燃料!$AQ:$AQ,ROW()))</f>
        <v/>
      </c>
    </row>
    <row r="18" spans="1:9" ht="30.2" customHeight="1">
      <c r="A18" s="922"/>
      <c r="B18" s="925"/>
      <c r="C18" s="949" t="s">
        <v>24</v>
      </c>
      <c r="D18" s="663" t="s">
        <v>25</v>
      </c>
      <c r="E18" s="920"/>
      <c r="F18" s="349" t="str">
        <f>IF(COUNTIFS(燃料!$AQ:$AQ,ROW())=0,"",ROUND(SUMIFS(燃料!$AL:$AL,燃料!$AQ:$AQ,ROW()),0))</f>
        <v/>
      </c>
      <c r="G18" s="353" t="s">
        <v>19</v>
      </c>
      <c r="H18" s="351" t="str">
        <f>IF(COUNTIFS(燃料!$AQ:$AQ,ROW())=0,"",SUMIFS(燃料!$AN:$AN,燃料!$AQ:$AQ,ROW()))</f>
        <v/>
      </c>
      <c r="I18" s="352" t="str">
        <f>IF(COUNTIFS(燃料!$AQ:$AQ,ROW())=0,"",SUMIFS(燃料!$AP:$AP,燃料!$AQ:$AQ,ROW()))</f>
        <v/>
      </c>
    </row>
    <row r="19" spans="1:9" ht="30.2" customHeight="1">
      <c r="A19" s="922"/>
      <c r="B19" s="925"/>
      <c r="C19" s="941"/>
      <c r="D19" s="663" t="s">
        <v>26</v>
      </c>
      <c r="E19" s="920"/>
      <c r="F19" s="349" t="str">
        <f>IF(COUNTIFS(燃料!$AQ:$AQ,ROW())=0,"",ROUND(SUMIFS(燃料!$AL:$AL,燃料!$AQ:$AQ,ROW()),0))</f>
        <v/>
      </c>
      <c r="G19" s="353" t="s">
        <v>654</v>
      </c>
      <c r="H19" s="351" t="str">
        <f>IF(COUNTIFS(燃料!$AQ:$AQ,ROW())=0,"",SUMIFS(燃料!$AN:$AN,燃料!$AQ:$AQ,ROW()))</f>
        <v/>
      </c>
      <c r="I19" s="352" t="str">
        <f>IF(COUNTIFS(燃料!$AQ:$AQ,ROW())=0,"",SUMIFS(燃料!$AP:$AP,燃料!$AQ:$AQ,ROW()))</f>
        <v/>
      </c>
    </row>
    <row r="20" spans="1:9" ht="30.2" customHeight="1">
      <c r="A20" s="922"/>
      <c r="B20" s="925"/>
      <c r="C20" s="1108" t="s">
        <v>68</v>
      </c>
      <c r="D20" s="663" t="s">
        <v>642</v>
      </c>
      <c r="E20" s="920"/>
      <c r="F20" s="349" t="str">
        <f>IF(COUNTIFS(燃料!$AQ:$AQ,ROW())=0,"",ROUND(SUMIFS(燃料!$AL:$AL,燃料!$AQ:$AQ,ROW()),0))</f>
        <v/>
      </c>
      <c r="G20" s="353" t="s">
        <v>19</v>
      </c>
      <c r="H20" s="351" t="str">
        <f>IF(COUNTIFS(燃料!$AQ:$AQ,ROW())=0,"",SUMIFS(燃料!$AN:$AN,燃料!$AQ:$AQ,ROW()))</f>
        <v/>
      </c>
      <c r="I20" s="352" t="str">
        <f>IF(COUNTIFS(燃料!$AQ:$AQ,ROW())=0,"",SUMIFS(燃料!$AP:$AP,燃料!$AQ:$AQ,ROW()))</f>
        <v/>
      </c>
    </row>
    <row r="21" spans="1:9" ht="30.2" customHeight="1">
      <c r="A21" s="922"/>
      <c r="B21" s="925"/>
      <c r="C21" s="1109"/>
      <c r="D21" s="663" t="s">
        <v>643</v>
      </c>
      <c r="E21" s="920"/>
      <c r="F21" s="349" t="str">
        <f>IF(COUNTIFS(燃料!$AQ:$AQ,ROW())=0,"",ROUND(SUMIFS(燃料!$AL:$AL,燃料!$AQ:$AQ,ROW()),0))</f>
        <v/>
      </c>
      <c r="G21" s="353" t="s">
        <v>19</v>
      </c>
      <c r="H21" s="351" t="str">
        <f>IF(COUNTIFS(燃料!$AQ:$AQ,ROW())=0,"",SUMIFS(燃料!$AN:$AN,燃料!$AQ:$AQ,ROW()))</f>
        <v/>
      </c>
      <c r="I21" s="352" t="str">
        <f>IF(COUNTIFS(燃料!$AQ:$AQ,ROW())=0,"",SUMIFS(燃料!$AP:$AP,燃料!$AQ:$AQ,ROW()))</f>
        <v/>
      </c>
    </row>
    <row r="22" spans="1:9" ht="30.2" customHeight="1">
      <c r="A22" s="922"/>
      <c r="B22" s="925"/>
      <c r="C22" s="1110"/>
      <c r="D22" s="663" t="s">
        <v>644</v>
      </c>
      <c r="E22" s="920"/>
      <c r="F22" s="349" t="str">
        <f>IF(COUNTIFS(燃料!$AQ:$AQ,ROW())=0,"",ROUND(SUMIFS(燃料!$AL:$AL,燃料!$AQ:$AQ,ROW()),0))</f>
        <v/>
      </c>
      <c r="G22" s="353" t="s">
        <v>19</v>
      </c>
      <c r="H22" s="351" t="str">
        <f>IF(COUNTIFS(燃料!$AQ:$AQ,ROW())=0,"",SUMIFS(燃料!$AN:$AN,燃料!$AQ:$AQ,ROW()))</f>
        <v/>
      </c>
      <c r="I22" s="352" t="str">
        <f>IF(COUNTIFS(燃料!$AQ:$AQ,ROW())=0,"",SUMIFS(燃料!$AP:$AP,燃料!$AQ:$AQ,ROW()))</f>
        <v/>
      </c>
    </row>
    <row r="23" spans="1:9" ht="30.2" customHeight="1">
      <c r="A23" s="922"/>
      <c r="B23" s="925"/>
      <c r="C23" s="663" t="s">
        <v>27</v>
      </c>
      <c r="D23" s="664"/>
      <c r="E23" s="920"/>
      <c r="F23" s="349" t="str">
        <f>IF(COUNTIFS(燃料!$AQ:$AQ,ROW())=0,"",ROUND(SUMIFS(燃料!$AL:$AL,燃料!$AQ:$AQ,ROW()),0))</f>
        <v/>
      </c>
      <c r="G23" s="354" t="s">
        <v>19</v>
      </c>
      <c r="H23" s="351" t="str">
        <f>IF(COUNTIFS(燃料!$AQ:$AQ,ROW())=0,"",SUMIFS(燃料!$AN:$AN,燃料!$AQ:$AQ,ROW()))</f>
        <v/>
      </c>
      <c r="I23" s="352" t="str">
        <f>IF(COUNTIFS(燃料!$AQ:$AQ,ROW())=0,"",SUMIFS(燃料!$AP:$AP,燃料!$AQ:$AQ,ROW()))</f>
        <v/>
      </c>
    </row>
    <row r="24" spans="1:9" ht="30.2" customHeight="1">
      <c r="A24" s="922"/>
      <c r="B24" s="925"/>
      <c r="C24" s="663" t="s">
        <v>28</v>
      </c>
      <c r="D24" s="664"/>
      <c r="E24" s="920"/>
      <c r="F24" s="349" t="str">
        <f>IF(COUNTIFS(燃料!$AQ:$AQ,ROW())=0,"",ROUND(SUMIFS(燃料!$AL:$AL,燃料!$AQ:$AQ,ROW()),0))</f>
        <v/>
      </c>
      <c r="G24" s="354" t="s">
        <v>19</v>
      </c>
      <c r="H24" s="351" t="str">
        <f>IF(COUNTIFS(燃料!$AQ:$AQ,ROW())=0,"",SUMIFS(燃料!$AN:$AN,燃料!$AQ:$AQ,ROW()))</f>
        <v/>
      </c>
      <c r="I24" s="352" t="str">
        <f>IF(COUNTIFS(燃料!$AQ:$AQ,ROW())=0,"",SUMIFS(燃料!$AP:$AP,燃料!$AQ:$AQ,ROW()))</f>
        <v/>
      </c>
    </row>
    <row r="25" spans="1:9" ht="30.2" customHeight="1">
      <c r="A25" s="922"/>
      <c r="B25" s="925"/>
      <c r="C25" s="663" t="s">
        <v>84</v>
      </c>
      <c r="D25" s="664"/>
      <c r="E25" s="920"/>
      <c r="F25" s="349" t="str">
        <f>IF(COUNTIFS(燃料!$AQ:$AQ,ROW())=0,"",ROUND(SUMIFS(燃料!$AL:$AL,燃料!$AQ:$AQ,ROW()),0))</f>
        <v/>
      </c>
      <c r="G25" s="353" t="s">
        <v>654</v>
      </c>
      <c r="H25" s="351" t="str">
        <f>IF(COUNTIFS(燃料!$AQ:$AQ,ROW())=0,"",SUMIFS(燃料!$AN:$AN,燃料!$AQ:$AQ,ROW()))</f>
        <v/>
      </c>
      <c r="I25" s="352" t="str">
        <f>IF(COUNTIFS(燃料!$AQ:$AQ,ROW())=0,"",SUMIFS(燃料!$AP:$AP,燃料!$AQ:$AQ,ROW()))</f>
        <v/>
      </c>
    </row>
    <row r="26" spans="1:9" ht="30.2" customHeight="1">
      <c r="A26" s="922"/>
      <c r="B26" s="925"/>
      <c r="C26" s="663" t="s">
        <v>645</v>
      </c>
      <c r="D26" s="664"/>
      <c r="E26" s="920"/>
      <c r="F26" s="349" t="str">
        <f>IF(COUNTIFS(燃料!$AQ:$AQ,ROW())=0,"",ROUND(SUMIFS(燃料!$AL:$AL,燃料!$AQ:$AQ,ROW()),0))</f>
        <v/>
      </c>
      <c r="G26" s="353" t="s">
        <v>654</v>
      </c>
      <c r="H26" s="351" t="str">
        <f>IF(COUNTIFS(燃料!$AQ:$AQ,ROW())=0,"",SUMIFS(燃料!$AN:$AN,燃料!$AQ:$AQ,ROW()))</f>
        <v/>
      </c>
      <c r="I26" s="352" t="str">
        <f>IF(COUNTIFS(燃料!$AQ:$AQ,ROW())=0,"",SUMIFS(燃料!$AP:$AP,燃料!$AQ:$AQ,ROW()))</f>
        <v/>
      </c>
    </row>
    <row r="27" spans="1:9" ht="30.2" customHeight="1">
      <c r="A27" s="922"/>
      <c r="B27" s="925"/>
      <c r="C27" s="663" t="s">
        <v>30</v>
      </c>
      <c r="D27" s="664"/>
      <c r="E27" s="920"/>
      <c r="F27" s="349" t="str">
        <f>IF(COUNTIFS(燃料!$AQ:$AQ,ROW())=0,"",ROUND(SUMIFS(燃料!$AL:$AL,燃料!$AQ:$AQ,ROW()),0))</f>
        <v/>
      </c>
      <c r="G27" s="353" t="s">
        <v>654</v>
      </c>
      <c r="H27" s="351" t="str">
        <f>IF(COUNTIFS(燃料!$AQ:$AQ,ROW())=0,"",SUMIFS(燃料!$AN:$AN,燃料!$AQ:$AQ,ROW()))</f>
        <v/>
      </c>
      <c r="I27" s="352" t="str">
        <f>IF(COUNTIFS(燃料!$AQ:$AQ,ROW())=0,"",SUMIFS(燃料!$AP:$AP,燃料!$AQ:$AQ,ROW()))</f>
        <v/>
      </c>
    </row>
    <row r="28" spans="1:9" ht="30.2" customHeight="1">
      <c r="A28" s="922"/>
      <c r="B28" s="925"/>
      <c r="C28" s="663" t="s">
        <v>50</v>
      </c>
      <c r="D28" s="664"/>
      <c r="E28" s="920"/>
      <c r="F28" s="349" t="str">
        <f>IF(COUNTIFS(燃料!$AQ:$AQ,ROW())=0,"",ROUND(SUMIFS(燃料!$AL:$AL,燃料!$AQ:$AQ,ROW()),0))</f>
        <v/>
      </c>
      <c r="G28" s="353" t="s">
        <v>8</v>
      </c>
      <c r="H28" s="351" t="str">
        <f>IF(COUNTIFS(燃料!$AQ:$AQ,ROW())=0,"",SUMIFS(燃料!$AN:$AN,燃料!$AQ:$AQ,ROW()))</f>
        <v/>
      </c>
      <c r="I28" s="352" t="str">
        <f>IF(COUNTIFS(燃料!$AQ:$AQ,ROW())=0,"",SUMIFS(燃料!$AP:$AP,燃料!$AQ:$AQ,ROW()))</f>
        <v/>
      </c>
    </row>
    <row r="29" spans="1:9" ht="30.2" customHeight="1">
      <c r="A29" s="922"/>
      <c r="B29" s="925"/>
      <c r="C29" s="1105" t="s">
        <v>32</v>
      </c>
      <c r="D29" s="1106"/>
      <c r="E29" s="1107"/>
      <c r="F29" s="349" t="str">
        <f>IF(COUNTIFS(電気・熱_都市ガス!$BH:$BH,ROW())=0,"",ROUND(SUMIFS(電気・熱_都市ガス!$BD:$BD,電気・熱_都市ガス!$BH:$BH,ROW()),0))</f>
        <v/>
      </c>
      <c r="G29" s="353" t="s">
        <v>654</v>
      </c>
      <c r="H29" s="351" t="str">
        <f>IF(COUNTIFS(電気・熱_都市ガス!$BH:$BH,ROW())=0,"",SUMIFS(電気・熱_都市ガス!$BE:$BE,電気・熱_都市ガス!$BH:$BH,ROW()))</f>
        <v/>
      </c>
      <c r="I29" s="352" t="str">
        <f>IF(COUNTIFS(電気・熱_都市ガス!$BH:$BH,ROW())=0,"",SUMIFS(電気・熱_都市ガス!$BG:$BG,電気・熱_都市ガス!$BH:$BH,ROW()))</f>
        <v/>
      </c>
    </row>
    <row r="30" spans="1:9" ht="30.2" customHeight="1">
      <c r="A30" s="922"/>
      <c r="B30" s="925"/>
      <c r="C30" s="754" t="s">
        <v>31</v>
      </c>
      <c r="D30" s="956" t="str">
        <f>IF(事業所概要_算定体制!J35="","その他燃料①",事業所概要_算定体制!J35)</f>
        <v>その他燃料①</v>
      </c>
      <c r="E30" s="957"/>
      <c r="F30" s="349" t="str">
        <f>IF(COUNTIFS(燃料!$AQ:$AQ,ROW())=0,"",ROUND(SUMIFS(燃料!$AL:$AL,燃料!$AQ:$AQ,ROW()),0))</f>
        <v/>
      </c>
      <c r="G30" s="356" t="str">
        <f>IF(事業所概要_算定体制!L31="","",事業所概要_算定体制!L31)</f>
        <v/>
      </c>
      <c r="H30" s="351" t="str">
        <f>IF(COUNTIFS(燃料!$AQ:$AQ,ROW())=0,"",SUMIFS(燃料!$AN:$AN,燃料!$AQ:$AQ,ROW()))</f>
        <v/>
      </c>
      <c r="I30" s="352" t="str">
        <f>IF(COUNTIFS(燃料!$AQ:$AQ,ROW())=0,"",SUMIFS(燃料!$AP:$AP,燃料!$AQ:$AQ,ROW()))</f>
        <v/>
      </c>
    </row>
    <row r="31" spans="1:9" ht="30.2" customHeight="1">
      <c r="A31" s="922"/>
      <c r="B31" s="925"/>
      <c r="C31" s="754"/>
      <c r="D31" s="956" t="str">
        <f>IF(事業所概要_算定体制!J36="","その他燃料②",事業所概要_算定体制!J36)</f>
        <v>その他燃料②</v>
      </c>
      <c r="E31" s="957"/>
      <c r="F31" s="349" t="str">
        <f>IF(COUNTIFS(燃料!$AQ:$AQ,ROW())=0,"",ROUND(SUMIFS(燃料!$AL:$AL,燃料!$AQ:$AQ,ROW()),0))</f>
        <v/>
      </c>
      <c r="G31" s="356" t="str">
        <f>IF(事業所概要_算定体制!L32="","",事業所概要_算定体制!L32)</f>
        <v/>
      </c>
      <c r="H31" s="351" t="str">
        <f>IF(COUNTIFS(燃料!$AQ:$AQ,ROW())=0,"",SUMIFS(燃料!$AN:$AN,燃料!$AQ:$AQ,ROW()))</f>
        <v/>
      </c>
      <c r="I31" s="352" t="str">
        <f>IF(COUNTIFS(燃料!$AQ:$AQ,ROW())=0,"",SUMIFS(燃料!$AP:$AP,燃料!$AQ:$AQ,ROW()))</f>
        <v/>
      </c>
    </row>
    <row r="32" spans="1:9" ht="30.2" customHeight="1" thickBot="1">
      <c r="A32" s="922"/>
      <c r="B32" s="205"/>
      <c r="C32" s="958" t="s">
        <v>37</v>
      </c>
      <c r="D32" s="959"/>
      <c r="E32" s="960"/>
      <c r="F32" s="961"/>
      <c r="G32" s="962"/>
      <c r="H32" s="357" t="str">
        <f>IF(COUNT(H6:H31)=0,"",SUM(H6:H31))</f>
        <v/>
      </c>
      <c r="I32" s="359" t="str">
        <f>IF(COUNT(I6:I31)=0,"",SUM(I6:I31))</f>
        <v/>
      </c>
    </row>
    <row r="33" spans="1:9" ht="30.2" customHeight="1" thickTop="1">
      <c r="A33" s="922"/>
      <c r="B33" s="934" t="s">
        <v>329</v>
      </c>
      <c r="C33" s="937" t="s">
        <v>201</v>
      </c>
      <c r="D33" s="965" t="s">
        <v>33</v>
      </c>
      <c r="E33" s="966"/>
      <c r="F33" s="396" t="str">
        <f>IF(COUNTIFS(電気・熱_都市ガス!$BH:$BH,ROW())=0,"",ROUND(SUMIFS(電気・熱_都市ガス!$BD:$BD,電気・熱_都市ガス!$BH:$BH,ROW()),0))</f>
        <v/>
      </c>
      <c r="G33" s="361" t="s">
        <v>7</v>
      </c>
      <c r="H33" s="397"/>
      <c r="I33" s="363" t="str">
        <f>IF(COUNTIFS(電気・熱_都市ガス!$BH:$BH,ROW())=0,"",SUMIFS(電気・熱_都市ガス!$BG:$BG,電気・熱_都市ガス!$BH:$BH,ROW()))</f>
        <v/>
      </c>
    </row>
    <row r="34" spans="1:9" ht="30.2" customHeight="1">
      <c r="A34" s="922"/>
      <c r="B34" s="935"/>
      <c r="C34" s="938"/>
      <c r="D34" s="967" t="s">
        <v>34</v>
      </c>
      <c r="E34" s="968"/>
      <c r="F34" s="398" t="str">
        <f>IF(COUNTIFS(電気・熱_都市ガス!$BH:$BH,ROW())=0,"",ROUND(SUMIFS(電気・熱_都市ガス!$BD:$BD,電気・熱_都市ガス!$BH:$BH,ROW()),0))</f>
        <v/>
      </c>
      <c r="G34" s="353" t="s">
        <v>7</v>
      </c>
      <c r="H34" s="373"/>
      <c r="I34" s="352" t="str">
        <f>IF(COUNTIFS(電気・熱_都市ガス!$BH:$BH,ROW())=0,"",SUMIFS(電気・熱_都市ガス!$BG:$BG,電気・熱_都市ガス!$BH:$BH,ROW()))</f>
        <v/>
      </c>
    </row>
    <row r="35" spans="1:9" ht="30.2" customHeight="1">
      <c r="A35" s="922"/>
      <c r="B35" s="935"/>
      <c r="C35" s="938"/>
      <c r="D35" s="663" t="s">
        <v>35</v>
      </c>
      <c r="E35" s="920"/>
      <c r="F35" s="398" t="str">
        <f>IF(COUNTIFS(電気・熱_都市ガス!$BH:$BH,ROW())=0,"",ROUND(SUMIFS(電気・熱_都市ガス!$BD:$BD,電気・熱_都市ガス!$BH:$BH,ROW()),0))</f>
        <v/>
      </c>
      <c r="G35" s="353" t="s">
        <v>7</v>
      </c>
      <c r="H35" s="373"/>
      <c r="I35" s="352" t="str">
        <f>IF(COUNTIFS(電気・熱_都市ガス!$BH:$BH,ROW())=0,"",SUMIFS(電気・熱_都市ガス!$BG:$BG,電気・熱_都市ガス!$BH:$BH,ROW()))</f>
        <v/>
      </c>
    </row>
    <row r="36" spans="1:9" ht="30.2" customHeight="1">
      <c r="A36" s="922"/>
      <c r="B36" s="935"/>
      <c r="C36" s="939"/>
      <c r="D36" s="663" t="s">
        <v>36</v>
      </c>
      <c r="E36" s="920"/>
      <c r="F36" s="398" t="str">
        <f>IF(COUNTIFS(電気・熱_都市ガス!$BH:$BH,ROW())=0,"",ROUND(SUMIFS(電気・熱_都市ガス!$BD:$BD,電気・熱_都市ガス!$BH:$BH,ROW()),0))</f>
        <v/>
      </c>
      <c r="G36" s="353" t="s">
        <v>7</v>
      </c>
      <c r="H36" s="373"/>
      <c r="I36" s="352" t="str">
        <f>IF(COUNTIFS(電気・熱_都市ガス!$BH:$BH,ROW())=0,"",SUMIFS(電気・熱_都市ガス!$BG:$BG,電気・熱_都市ガス!$BH:$BH,ROW()))</f>
        <v/>
      </c>
    </row>
    <row r="37" spans="1:9" ht="30.2" customHeight="1">
      <c r="A37" s="922"/>
      <c r="B37" s="935"/>
      <c r="C37" s="969" t="s">
        <v>202</v>
      </c>
      <c r="D37" s="951" t="s">
        <v>58</v>
      </c>
      <c r="E37" s="14" t="s">
        <v>56</v>
      </c>
      <c r="F37" s="364" t="str">
        <f>IF(COUNTIFS(再エネ電気・熱!$BE:$BE,ROW())=0,"",ROUND(SUMIFS(再エネ電気・熱!$AT:$AT,再エネ電気・熱!$BE:$BE,ROW()),0))</f>
        <v/>
      </c>
      <c r="G37" s="353" t="s">
        <v>7</v>
      </c>
      <c r="H37" s="365"/>
      <c r="I37" s="352" t="str">
        <f>IF(COUNTIFS(再エネ電気・熱!$BE:$BE,ROW())=0,"",SUMIFS(再エネ電気・熱!$BR:$BR,再エネ電気・熱!$BE:$BE,ROW()))</f>
        <v/>
      </c>
    </row>
    <row r="38" spans="1:9" ht="30.2" customHeight="1">
      <c r="A38" s="922"/>
      <c r="B38" s="935"/>
      <c r="C38" s="970"/>
      <c r="D38" s="952"/>
      <c r="E38" s="14" t="s">
        <v>57</v>
      </c>
      <c r="F38" s="364" t="str">
        <f>IF(COUNTIFS(再エネ電気・熱!$BE:$BE,ROW())=0,"",ROUND(SUMIFS(再エネ電気・熱!$AT:$AT,再エネ電気・熱!$BE:$BE,ROW()),0))</f>
        <v/>
      </c>
      <c r="G38" s="353" t="s">
        <v>7</v>
      </c>
      <c r="H38" s="366"/>
      <c r="I38" s="352" t="str">
        <f>IF(COUNTIFS(再エネ電気・熱!$BE:$BE,ROW())=0,"",SUMIFS(再エネ電気・熱!$BR:$BR,再エネ電気・熱!$BE:$BE,ROW()))</f>
        <v/>
      </c>
    </row>
    <row r="39" spans="1:9" ht="30.2" customHeight="1">
      <c r="A39" s="922"/>
      <c r="B39" s="935"/>
      <c r="C39" s="970"/>
      <c r="D39" s="951" t="s">
        <v>65</v>
      </c>
      <c r="E39" s="14" t="s">
        <v>56</v>
      </c>
      <c r="F39" s="364" t="str">
        <f>IF(COUNTIFS(再エネ電気・熱!$BE:$BE,ROW())=0,"",ROUND(SUMIFS(再エネ電気・熱!$AT:$AT,再エネ電気・熱!$BE:$BE,ROW()),0))</f>
        <v/>
      </c>
      <c r="G39" s="353" t="s">
        <v>7</v>
      </c>
      <c r="H39" s="366"/>
      <c r="I39" s="352" t="str">
        <f>IF(COUNTIFS(再エネ電気・熱!$BE:$BE,ROW())=0,"",SUMIFS(再エネ電気・熱!$BR:$BR,再エネ電気・熱!$BE:$BE,ROW()))</f>
        <v/>
      </c>
    </row>
    <row r="40" spans="1:9" ht="30.2" customHeight="1">
      <c r="A40" s="922"/>
      <c r="B40" s="935"/>
      <c r="C40" s="970"/>
      <c r="D40" s="952"/>
      <c r="E40" s="14" t="s">
        <v>57</v>
      </c>
      <c r="F40" s="364" t="str">
        <f>IF(COUNTIFS(再エネ電気・熱!$BE:$BE,ROW())=0,"",ROUND(SUMIFS(再エネ電気・熱!$AT:$AT,再エネ電気・熱!$BE:$BE,ROW()),0))</f>
        <v/>
      </c>
      <c r="G40" s="353" t="s">
        <v>7</v>
      </c>
      <c r="H40" s="366"/>
      <c r="I40" s="352" t="str">
        <f>IF(COUNTIFS(再エネ電気・熱!$BE:$BE,ROW())=0,"",SUMIFS(再エネ電気・熱!$BR:$BR,再エネ電気・熱!$BE:$BE,ROW()))</f>
        <v/>
      </c>
    </row>
    <row r="41" spans="1:9" ht="45" customHeight="1">
      <c r="A41" s="922"/>
      <c r="B41" s="935"/>
      <c r="C41" s="971"/>
      <c r="D41" s="932" t="s">
        <v>199</v>
      </c>
      <c r="E41" s="933"/>
      <c r="F41" s="364" t="str">
        <f>IF(COUNTIFS(再エネ電気・熱!$BE:$BE,ROW())=0,"",ROUND(SUMIFS(再エネ電気・熱!$AT:$AT,再エネ電気・熱!$BE:$BE,ROW()),0))</f>
        <v/>
      </c>
      <c r="G41" s="353" t="s">
        <v>7</v>
      </c>
      <c r="H41" s="365"/>
      <c r="I41" s="352" t="str">
        <f>IF(COUNTIFS(再エネ電気・熱!$BE:$BE,ROW())=0,"",SUMIFS(再エネ電気・熱!$BR:$BR,再エネ電気・熱!$BE:$BE,ROW()))</f>
        <v/>
      </c>
    </row>
    <row r="42" spans="1:9" ht="35.1" customHeight="1" thickBot="1">
      <c r="A42" s="922"/>
      <c r="B42" s="936"/>
      <c r="C42" s="953" t="s">
        <v>37</v>
      </c>
      <c r="D42" s="954"/>
      <c r="E42" s="955"/>
      <c r="F42" s="963"/>
      <c r="G42" s="964"/>
      <c r="H42" s="399"/>
      <c r="I42" s="359" t="str">
        <f>IF(COUNT(I33:I41)=0,"",SUM(I33:I41))</f>
        <v/>
      </c>
    </row>
    <row r="43" spans="1:9" ht="35.25" customHeight="1" thickTop="1">
      <c r="A43" s="922"/>
      <c r="B43" s="928" t="s">
        <v>330</v>
      </c>
      <c r="C43" s="206" t="s">
        <v>205</v>
      </c>
      <c r="D43" s="930" t="s">
        <v>203</v>
      </c>
      <c r="E43" s="931"/>
      <c r="F43" s="349" t="str">
        <f>IF(COUNTIFS(電気・熱_都市ガス!$BH:$BH,ROW())=0,"",ROUND(SUMIFS(電気・熱_都市ガス!$BD:$BD,電気・熱_都市ガス!$BH:$BH,ROW()),0))</f>
        <v/>
      </c>
      <c r="G43" s="353" t="s">
        <v>38</v>
      </c>
      <c r="H43" s="394"/>
      <c r="I43" s="371" t="str">
        <f>IF(COUNTIFS(電気・熱_都市ガス!$BH:$BH,ROW())=0,"",SUMIFS(電気・熱_都市ガス!$BG:$BG,電気・熱_都市ガス!$BH:$BH,ROW()))</f>
        <v/>
      </c>
    </row>
    <row r="44" spans="1:9" ht="30" customHeight="1">
      <c r="A44" s="922"/>
      <c r="B44" s="928"/>
      <c r="C44" s="969" t="s">
        <v>202</v>
      </c>
      <c r="D44" s="951" t="s">
        <v>66</v>
      </c>
      <c r="E44" s="14" t="s">
        <v>56</v>
      </c>
      <c r="F44" s="355" t="str">
        <f>IF(COUNTIFS(再エネ電気・熱!$BE:$BE,ROW())=0,"",ROUND(SUMIFS(再エネ電気・熱!$AT:$AT,再エネ電気・熱!$BE:$BE,ROW()),0))</f>
        <v/>
      </c>
      <c r="G44" s="353" t="s">
        <v>38</v>
      </c>
      <c r="H44" s="365"/>
      <c r="I44" s="352" t="str">
        <f>IF(COUNTIFS(再エネ電気・熱!$BE:$BE,ROW())=0,"",SUMIFS(再エネ電気・熱!$BR:$BR,再エネ電気・熱!$BE:$BE,ROW()))</f>
        <v/>
      </c>
    </row>
    <row r="45" spans="1:9" ht="30.2" customHeight="1">
      <c r="A45" s="922"/>
      <c r="B45" s="928"/>
      <c r="C45" s="970"/>
      <c r="D45" s="952"/>
      <c r="E45" s="14" t="s">
        <v>57</v>
      </c>
      <c r="F45" s="349" t="str">
        <f>IF(COUNTIFS(再エネ電気・熱!$BE:$BE,ROW())=0,"",ROUND(SUMIFS(再エネ電気・熱!$AT:$AT,再エネ電気・熱!$BE:$BE,ROW()),0))</f>
        <v/>
      </c>
      <c r="G45" s="353" t="s">
        <v>38</v>
      </c>
      <c r="H45" s="366"/>
      <c r="I45" s="352" t="str">
        <f>IF(COUNTIFS(再エネ電気・熱!$BE:$BE,ROW())=0,"",SUMIFS(再エネ電気・熱!$BR:$BR,再エネ電気・熱!$BE:$BE,ROW()))</f>
        <v/>
      </c>
    </row>
    <row r="46" spans="1:9" ht="30.2" customHeight="1">
      <c r="A46" s="922"/>
      <c r="B46" s="928"/>
      <c r="C46" s="970"/>
      <c r="D46" s="951" t="s">
        <v>67</v>
      </c>
      <c r="E46" s="14" t="s">
        <v>56</v>
      </c>
      <c r="F46" s="349" t="str">
        <f>IF(COUNTIFS(再エネ電気・熱!$BE:$BE,ROW())=0,"",ROUND(SUMIFS(再エネ電気・熱!$AT:$AT,再エネ電気・熱!$BE:$BE,ROW()),0))</f>
        <v/>
      </c>
      <c r="G46" s="353" t="s">
        <v>38</v>
      </c>
      <c r="H46" s="366"/>
      <c r="I46" s="352" t="str">
        <f>IF(COUNTIFS(再エネ電気・熱!$BE:$BE,ROW())=0,"",SUMIFS(再エネ電気・熱!$BR:$BR,再エネ電気・熱!$BE:$BE,ROW()))</f>
        <v/>
      </c>
    </row>
    <row r="47" spans="1:9" ht="30.2" customHeight="1">
      <c r="A47" s="922"/>
      <c r="B47" s="928"/>
      <c r="C47" s="970"/>
      <c r="D47" s="952"/>
      <c r="E47" s="14" t="s">
        <v>57</v>
      </c>
      <c r="F47" s="349" t="str">
        <f>IF(COUNTIFS(再エネ電気・熱!$BE:$BE,ROW())=0,"",ROUND(SUMIFS(再エネ電気・熱!$AT:$AT,再エネ電気・熱!$BE:$BE,ROW()),0))</f>
        <v/>
      </c>
      <c r="G47" s="353" t="s">
        <v>38</v>
      </c>
      <c r="H47" s="366"/>
      <c r="I47" s="352" t="str">
        <f>IF(COUNTIFS(再エネ電気・熱!$BE:$BE,ROW())=0,"",SUMIFS(再エネ電気・熱!$BR:$BR,再エネ電気・熱!$BE:$BE,ROW()))</f>
        <v/>
      </c>
    </row>
    <row r="48" spans="1:9" ht="45" customHeight="1">
      <c r="A48" s="922"/>
      <c r="B48" s="928"/>
      <c r="C48" s="970"/>
      <c r="D48" s="932" t="s">
        <v>199</v>
      </c>
      <c r="E48" s="933"/>
      <c r="F48" s="349" t="str">
        <f>IF(COUNTIFS(再エネ電気・熱!$BE:$BE,ROW())=0,"",ROUND(SUMIFS(再エネ電気・熱!$AT:$AT,再エネ電気・熱!$BE:$BE,ROW()),0))</f>
        <v/>
      </c>
      <c r="G48" s="354" t="s">
        <v>38</v>
      </c>
      <c r="H48" s="367"/>
      <c r="I48" s="352" t="str">
        <f>IF(COUNTIFS(再エネ電気・熱!$BE:$BE,ROW())=0,"",SUMIFS(再エネ電気・熱!$BR:$BR,再エネ電気・熱!$BE:$BE,ROW()))</f>
        <v/>
      </c>
    </row>
    <row r="49" spans="1:9" ht="45" customHeight="1">
      <c r="A49" s="922"/>
      <c r="B49" s="928"/>
      <c r="C49" s="971"/>
      <c r="D49" s="932" t="s">
        <v>200</v>
      </c>
      <c r="E49" s="933"/>
      <c r="F49" s="349" t="str">
        <f>IF(COUNTIFS(再エネ電気・熱!$BE:$BE,ROW())=0,"",ROUND(SUMIFS(再エネ電気・熱!$AT:$AT,再エネ電気・熱!$BE:$BE,ROW()),0))</f>
        <v/>
      </c>
      <c r="G49" s="353" t="s">
        <v>38</v>
      </c>
      <c r="H49" s="367"/>
      <c r="I49" s="352" t="str">
        <f>IF(COUNTIFS(再エネ電気・熱!$BE:$BE,ROW())=0,"",SUMIFS(再エネ電気・熱!$BR:$BR,再エネ電気・熱!$BE:$BE,ROW()))</f>
        <v/>
      </c>
    </row>
    <row r="50" spans="1:9" ht="35.1" customHeight="1" thickBot="1">
      <c r="A50" s="923"/>
      <c r="B50" s="929"/>
      <c r="C50" s="943" t="s">
        <v>37</v>
      </c>
      <c r="D50" s="944"/>
      <c r="E50" s="945"/>
      <c r="F50" s="1103"/>
      <c r="G50" s="1104"/>
      <c r="H50" s="395"/>
      <c r="I50" s="359" t="str">
        <f>IF(COUNT(I43:I49)=0,"",SUM(I43:I49))</f>
        <v/>
      </c>
    </row>
    <row r="51" spans="1:9" ht="35.1" customHeight="1" thickTop="1">
      <c r="A51" s="15"/>
      <c r="B51" s="16"/>
      <c r="C51" s="17"/>
      <c r="D51" s="17"/>
      <c r="E51" s="17"/>
      <c r="F51" s="18"/>
      <c r="G51" s="18"/>
      <c r="H51" s="134"/>
      <c r="I51" s="134" t="s">
        <v>323</v>
      </c>
    </row>
    <row r="52" spans="1:9" ht="35.1" customHeight="1" thickBot="1">
      <c r="A52" s="4" t="s">
        <v>321</v>
      </c>
      <c r="B52" s="21"/>
      <c r="C52" s="22"/>
      <c r="D52" s="22"/>
      <c r="E52" s="22"/>
      <c r="F52" s="23"/>
      <c r="G52" s="23"/>
      <c r="H52" s="24"/>
      <c r="I52" s="24"/>
    </row>
    <row r="53" spans="1:9" ht="51.75" customHeight="1">
      <c r="A53" s="991" t="s">
        <v>320</v>
      </c>
      <c r="B53" s="844" t="s">
        <v>1</v>
      </c>
      <c r="C53" s="913"/>
      <c r="D53" s="913"/>
      <c r="E53" s="914"/>
      <c r="F53" s="918" t="s">
        <v>317</v>
      </c>
      <c r="G53" s="919"/>
      <c r="H53" s="8" t="s">
        <v>2</v>
      </c>
      <c r="I53" s="142" t="s">
        <v>3</v>
      </c>
    </row>
    <row r="54" spans="1:9" ht="21.75" thickBot="1">
      <c r="A54" s="992"/>
      <c r="B54" s="974"/>
      <c r="C54" s="1039"/>
      <c r="D54" s="1039"/>
      <c r="E54" s="977"/>
      <c r="F54" s="27"/>
      <c r="G54" s="28"/>
      <c r="H54" s="29" t="s">
        <v>7</v>
      </c>
      <c r="I54" s="31" t="s">
        <v>190</v>
      </c>
    </row>
    <row r="55" spans="1:9" ht="30.2" customHeight="1" thickTop="1">
      <c r="A55" s="992"/>
      <c r="B55" s="1041" t="s">
        <v>39</v>
      </c>
      <c r="C55" s="886" t="s">
        <v>40</v>
      </c>
      <c r="D55" s="983"/>
      <c r="E55" s="984"/>
      <c r="F55" s="404" t="str">
        <f>IF(COUNTIFS(電気・熱_都市ガス!$BH:$BH,ROW())=0,"",-1*ROUND(SUMIFS(電気・熱_都市ガス!$BD:$BD,電気・熱_都市ガス!$BH:$BH,ROW()),0))</f>
        <v/>
      </c>
      <c r="G55" s="361" t="s">
        <v>7</v>
      </c>
      <c r="H55" s="394"/>
      <c r="I55" s="363" t="str">
        <f>IF(COUNTIFS(電気・熱_都市ガス!$BH:$BH,ROW())=0,"",SUMIFS(電気・熱_都市ガス!$BG:$BG,電気・熱_都市ガス!$BH:$BH,ROW()))</f>
        <v/>
      </c>
    </row>
    <row r="56" spans="1:9" ht="30.2" customHeight="1">
      <c r="A56" s="992"/>
      <c r="B56" s="1042"/>
      <c r="C56" s="884" t="s">
        <v>41</v>
      </c>
      <c r="D56" s="987"/>
      <c r="E56" s="988"/>
      <c r="F56" s="355" t="str">
        <f>IF(COUNTIFS(電気・熱_都市ガス!$BH:$BH,ROW())=0,"",-1*ROUND(SUMIFS(電気・熱_都市ガス!$BD:$BD,電気・熱_都市ガス!$BH:$BH,ROW()),0))</f>
        <v/>
      </c>
      <c r="G56" s="353" t="s">
        <v>38</v>
      </c>
      <c r="H56" s="365"/>
      <c r="I56" s="371" t="str">
        <f>IF(COUNTIFS(電気・熱_都市ガス!$BH:$BH,ROW())=0,"",SUMIFS(電気・熱_都市ガス!$BG:$BG,電気・熱_都市ガス!$BH:$BH,ROW()))</f>
        <v/>
      </c>
    </row>
    <row r="57" spans="1:9" ht="31.5" customHeight="1" thickBot="1">
      <c r="A57" s="992"/>
      <c r="B57" s="1100"/>
      <c r="C57" s="999" t="s">
        <v>37</v>
      </c>
      <c r="D57" s="1000"/>
      <c r="E57" s="1001"/>
      <c r="F57" s="1101"/>
      <c r="G57" s="1102"/>
      <c r="H57" s="405"/>
      <c r="I57" s="359" t="str">
        <f>IF(COUNT(I55:I56)=0,"",SUM(I55:I56))</f>
        <v/>
      </c>
    </row>
    <row r="58" spans="1:9" ht="39.950000000000003" customHeight="1" thickTop="1" thickBot="1">
      <c r="A58" s="993"/>
      <c r="B58" s="1095" t="s">
        <v>42</v>
      </c>
      <c r="C58" s="1096"/>
      <c r="D58" s="1096"/>
      <c r="E58" s="1097"/>
      <c r="F58" s="1098"/>
      <c r="G58" s="1099"/>
      <c r="H58" s="477"/>
      <c r="I58" s="393" t="str">
        <f>IF(COUNT(I32,I42,I50,I57)=0,"",IF(SUM(I32,I42,I50,I57)&lt;0,0,SUM(I32,I42,I50,I57)))</f>
        <v/>
      </c>
    </row>
    <row r="60" spans="1:9" ht="18.75" customHeight="1"/>
    <row r="62" spans="1:9" ht="25.5" thickTop="1" thickBot="1">
      <c r="I62" s="475"/>
    </row>
  </sheetData>
  <sheetProtection algorithmName="SHA-512" hashValue="dlcTgrx14mkKNt5eJNFe0c0WoOeQ+baPM6CqZsDDRL00zP5l7NBAIQMpzht9nQXLB3YHG7HhVPFeF0fWooxm/Q==" saltValue="uRe13IGFO+2S/8zJ/PObIA==" spinCount="100000" sheet="1" objects="1" scenarios="1"/>
  <mergeCells count="68">
    <mergeCell ref="C10:E10"/>
    <mergeCell ref="C11:E11"/>
    <mergeCell ref="C12:E12"/>
    <mergeCell ref="C13:E13"/>
    <mergeCell ref="C14:E14"/>
    <mergeCell ref="C15:E15"/>
    <mergeCell ref="A2:E2"/>
    <mergeCell ref="B4:E5"/>
    <mergeCell ref="F4:G4"/>
    <mergeCell ref="A6:A50"/>
    <mergeCell ref="B6:B31"/>
    <mergeCell ref="C6:E6"/>
    <mergeCell ref="C7:E7"/>
    <mergeCell ref="C8:E8"/>
    <mergeCell ref="C9:E9"/>
    <mergeCell ref="C20:C22"/>
    <mergeCell ref="D20:E20"/>
    <mergeCell ref="D21:E21"/>
    <mergeCell ref="D22:E22"/>
    <mergeCell ref="C16:C17"/>
    <mergeCell ref="D16:E16"/>
    <mergeCell ref="D17:E17"/>
    <mergeCell ref="C18:C19"/>
    <mergeCell ref="D18:E18"/>
    <mergeCell ref="D19:E19"/>
    <mergeCell ref="C28:E28"/>
    <mergeCell ref="C29:E29"/>
    <mergeCell ref="C30:C31"/>
    <mergeCell ref="D30:E30"/>
    <mergeCell ref="D31:E31"/>
    <mergeCell ref="C23:E23"/>
    <mergeCell ref="C24:E24"/>
    <mergeCell ref="C25:E25"/>
    <mergeCell ref="C26:E26"/>
    <mergeCell ref="C27:E27"/>
    <mergeCell ref="C32:E32"/>
    <mergeCell ref="F32:G32"/>
    <mergeCell ref="B33:B42"/>
    <mergeCell ref="C33:C36"/>
    <mergeCell ref="D33:E33"/>
    <mergeCell ref="D34:E34"/>
    <mergeCell ref="D35:E35"/>
    <mergeCell ref="D36:E36"/>
    <mergeCell ref="C37:C41"/>
    <mergeCell ref="D37:D38"/>
    <mergeCell ref="D39:D40"/>
    <mergeCell ref="D41:E41"/>
    <mergeCell ref="C42:E42"/>
    <mergeCell ref="F42:G42"/>
    <mergeCell ref="F50:G50"/>
    <mergeCell ref="B43:B50"/>
    <mergeCell ref="D43:E43"/>
    <mergeCell ref="C44:C49"/>
    <mergeCell ref="D44:D45"/>
    <mergeCell ref="D46:D47"/>
    <mergeCell ref="D48:E48"/>
    <mergeCell ref="D49:E49"/>
    <mergeCell ref="C50:E50"/>
    <mergeCell ref="B58:E58"/>
    <mergeCell ref="F58:G58"/>
    <mergeCell ref="A53:A58"/>
    <mergeCell ref="B53:E54"/>
    <mergeCell ref="F53:G53"/>
    <mergeCell ref="B55:B57"/>
    <mergeCell ref="C55:E55"/>
    <mergeCell ref="C56:E56"/>
    <mergeCell ref="C57:E57"/>
    <mergeCell ref="F57:G57"/>
  </mergeCells>
  <phoneticPr fontId="5"/>
  <pageMargins left="0.78740157480314965" right="0.59055118110236227" top="0.78740157480314965" bottom="0.59055118110236227" header="0.31496062992125984" footer="0.31496062992125984"/>
  <pageSetup paperSize="9" scale="47" fitToHeight="0" orientation="portrait" r:id="rId1"/>
  <rowBreaks count="1" manualBreakCount="1">
    <brk id="5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14999847407452621"/>
  </sheetPr>
  <dimension ref="A1:Y41"/>
  <sheetViews>
    <sheetView zoomScaleNormal="100" workbookViewId="0"/>
  </sheetViews>
  <sheetFormatPr defaultColWidth="9" defaultRowHeight="18.75"/>
  <cols>
    <col min="2" max="2" width="3" customWidth="1"/>
    <col min="3" max="3" width="34.875" customWidth="1"/>
    <col min="4" max="5" width="4.625" customWidth="1"/>
    <col min="6" max="6" width="40" bestFit="1" customWidth="1"/>
    <col min="7" max="8" width="4.625" customWidth="1"/>
    <col min="9" max="9" width="59.625" bestFit="1" customWidth="1"/>
    <col min="10" max="10" width="4.625" customWidth="1"/>
    <col min="11" max="11" width="48.125" bestFit="1" customWidth="1"/>
    <col min="12" max="13" width="4.625" customWidth="1"/>
    <col min="14" max="14" width="58" customWidth="1"/>
    <col min="15" max="15" width="4.625" customWidth="1"/>
    <col min="16" max="16" width="55.625" customWidth="1"/>
    <col min="17" max="17" width="4.625" customWidth="1"/>
    <col min="18" max="18" width="35" bestFit="1" customWidth="1"/>
    <col min="19" max="19" width="4.625" customWidth="1"/>
    <col min="20" max="20" width="21.375" bestFit="1" customWidth="1"/>
    <col min="21" max="21" width="4.375" customWidth="1"/>
    <col min="22" max="22" width="46.5" customWidth="1"/>
    <col min="24" max="24" width="31.875" bestFit="1" customWidth="1"/>
    <col min="25" max="25" width="32.375" bestFit="1" customWidth="1"/>
  </cols>
  <sheetData>
    <row r="1" spans="1:25">
      <c r="A1" s="170" t="s">
        <v>392</v>
      </c>
      <c r="C1" s="170" t="s">
        <v>424</v>
      </c>
      <c r="F1" s="170" t="s">
        <v>424</v>
      </c>
      <c r="I1" s="170" t="s">
        <v>425</v>
      </c>
      <c r="K1" s="170" t="s">
        <v>425</v>
      </c>
      <c r="N1" s="170" t="s">
        <v>472</v>
      </c>
      <c r="P1" s="341" t="s">
        <v>472</v>
      </c>
      <c r="R1" s="170" t="s">
        <v>472</v>
      </c>
      <c r="T1" s="170" t="s">
        <v>472</v>
      </c>
      <c r="V1" s="170" t="s">
        <v>610</v>
      </c>
    </row>
    <row r="2" spans="1:25">
      <c r="A2" s="172" t="s">
        <v>393</v>
      </c>
      <c r="C2" s="172" t="s">
        <v>475</v>
      </c>
      <c r="F2" s="172" t="s">
        <v>477</v>
      </c>
      <c r="I2" s="172" t="s">
        <v>475</v>
      </c>
      <c r="K2" s="172" t="s">
        <v>474</v>
      </c>
      <c r="N2" s="172" t="s">
        <v>916</v>
      </c>
      <c r="P2" s="172" t="s">
        <v>918</v>
      </c>
      <c r="R2" s="172" t="s">
        <v>494</v>
      </c>
      <c r="T2" s="172" t="s">
        <v>506</v>
      </c>
      <c r="V2" s="172" t="s">
        <v>611</v>
      </c>
      <c r="X2" s="531" t="s">
        <v>235</v>
      </c>
      <c r="Y2" s="531" t="s">
        <v>1022</v>
      </c>
    </row>
    <row r="3" spans="1:25">
      <c r="C3" t="s">
        <v>394</v>
      </c>
      <c r="F3" t="s">
        <v>404</v>
      </c>
      <c r="I3" t="s">
        <v>473</v>
      </c>
      <c r="K3" t="s">
        <v>493</v>
      </c>
      <c r="N3" t="s">
        <v>482</v>
      </c>
      <c r="P3" t="s">
        <v>490</v>
      </c>
      <c r="R3" t="s">
        <v>495</v>
      </c>
      <c r="T3" t="s">
        <v>507</v>
      </c>
      <c r="V3" t="s">
        <v>59</v>
      </c>
      <c r="X3" s="146" t="s">
        <v>495</v>
      </c>
      <c r="Y3" s="146">
        <v>1</v>
      </c>
    </row>
    <row r="4" spans="1:25">
      <c r="F4" t="s">
        <v>405</v>
      </c>
      <c r="I4" t="s">
        <v>482</v>
      </c>
      <c r="K4" t="s">
        <v>859</v>
      </c>
      <c r="N4" t="s">
        <v>446</v>
      </c>
      <c r="P4" t="s">
        <v>491</v>
      </c>
      <c r="R4" t="s">
        <v>496</v>
      </c>
      <c r="T4" t="s">
        <v>508</v>
      </c>
      <c r="V4" t="s">
        <v>608</v>
      </c>
      <c r="X4" s="146" t="s">
        <v>496</v>
      </c>
      <c r="Y4" s="146">
        <v>2</v>
      </c>
    </row>
    <row r="5" spans="1:25">
      <c r="C5" s="172" t="s">
        <v>476</v>
      </c>
      <c r="F5" t="s">
        <v>406</v>
      </c>
      <c r="I5" t="s">
        <v>446</v>
      </c>
      <c r="P5" t="s">
        <v>492</v>
      </c>
      <c r="R5" t="s">
        <v>497</v>
      </c>
      <c r="T5" t="s">
        <v>509</v>
      </c>
      <c r="V5" t="s">
        <v>60</v>
      </c>
      <c r="X5" s="146" t="s">
        <v>497</v>
      </c>
      <c r="Y5" s="146">
        <v>3</v>
      </c>
    </row>
    <row r="6" spans="1:25">
      <c r="C6" t="s">
        <v>395</v>
      </c>
      <c r="F6" t="s">
        <v>280</v>
      </c>
      <c r="I6" t="s">
        <v>426</v>
      </c>
      <c r="K6" s="172" t="s">
        <v>483</v>
      </c>
      <c r="R6" t="s">
        <v>498</v>
      </c>
      <c r="T6" t="s">
        <v>510</v>
      </c>
      <c r="V6" t="s">
        <v>952</v>
      </c>
      <c r="X6" s="146" t="s">
        <v>498</v>
      </c>
      <c r="Y6" s="146">
        <v>4</v>
      </c>
    </row>
    <row r="7" spans="1:25">
      <c r="C7" t="s">
        <v>396</v>
      </c>
      <c r="F7" t="s">
        <v>14</v>
      </c>
      <c r="K7" t="s">
        <v>1002</v>
      </c>
      <c r="N7" s="172" t="s">
        <v>915</v>
      </c>
      <c r="P7" s="172" t="s">
        <v>917</v>
      </c>
      <c r="R7" t="s">
        <v>501</v>
      </c>
      <c r="T7" t="s">
        <v>511</v>
      </c>
      <c r="V7" s="347" t="s">
        <v>949</v>
      </c>
      <c r="X7" s="146" t="s">
        <v>1026</v>
      </c>
      <c r="Y7" s="146">
        <v>5</v>
      </c>
    </row>
    <row r="8" spans="1:25">
      <c r="C8" t="s">
        <v>397</v>
      </c>
      <c r="F8" t="s">
        <v>15</v>
      </c>
      <c r="I8" s="172" t="s">
        <v>476</v>
      </c>
      <c r="N8" t="s">
        <v>473</v>
      </c>
      <c r="P8" t="s">
        <v>486</v>
      </c>
      <c r="R8" t="s">
        <v>499</v>
      </c>
      <c r="T8" t="s">
        <v>512</v>
      </c>
      <c r="V8" s="347" t="s">
        <v>950</v>
      </c>
      <c r="X8" s="146" t="s">
        <v>499</v>
      </c>
      <c r="Y8" s="146">
        <v>6</v>
      </c>
    </row>
    <row r="9" spans="1:25">
      <c r="C9" t="s">
        <v>398</v>
      </c>
      <c r="F9" t="s">
        <v>16</v>
      </c>
      <c r="I9" t="s">
        <v>395</v>
      </c>
      <c r="K9" s="172" t="s">
        <v>478</v>
      </c>
      <c r="N9" t="s">
        <v>446</v>
      </c>
      <c r="P9" t="s">
        <v>487</v>
      </c>
      <c r="R9" t="s">
        <v>500</v>
      </c>
      <c r="T9" t="s">
        <v>513</v>
      </c>
      <c r="X9" s="146" t="s">
        <v>500</v>
      </c>
      <c r="Y9" s="146">
        <v>7</v>
      </c>
    </row>
    <row r="10" spans="1:25">
      <c r="F10" t="s">
        <v>17</v>
      </c>
      <c r="I10" t="s">
        <v>396</v>
      </c>
      <c r="K10" t="s">
        <v>486</v>
      </c>
      <c r="P10" t="s">
        <v>488</v>
      </c>
      <c r="R10" t="s">
        <v>502</v>
      </c>
      <c r="V10" s="172" t="s">
        <v>982</v>
      </c>
      <c r="X10" s="146" t="s">
        <v>502</v>
      </c>
      <c r="Y10" s="146">
        <v>8</v>
      </c>
    </row>
    <row r="11" spans="1:25">
      <c r="F11" t="s">
        <v>18</v>
      </c>
      <c r="I11" t="s">
        <v>397</v>
      </c>
      <c r="K11" t="s">
        <v>487</v>
      </c>
      <c r="N11" s="172" t="s">
        <v>484</v>
      </c>
      <c r="P11" t="s">
        <v>489</v>
      </c>
      <c r="R11" t="s">
        <v>503</v>
      </c>
      <c r="V11" t="s">
        <v>59</v>
      </c>
      <c r="X11" s="146" t="s">
        <v>503</v>
      </c>
      <c r="Y11" s="146">
        <v>9</v>
      </c>
    </row>
    <row r="12" spans="1:25">
      <c r="F12" t="s">
        <v>20</v>
      </c>
      <c r="I12" t="s">
        <v>398</v>
      </c>
      <c r="K12" t="s">
        <v>488</v>
      </c>
      <c r="N12" t="s">
        <v>925</v>
      </c>
      <c r="R12" t="s">
        <v>504</v>
      </c>
      <c r="V12" t="s">
        <v>60</v>
      </c>
      <c r="X12" s="146" t="s">
        <v>504</v>
      </c>
      <c r="Y12" s="146">
        <v>10</v>
      </c>
    </row>
    <row r="13" spans="1:25">
      <c r="F13" t="s">
        <v>400</v>
      </c>
      <c r="I13" t="s">
        <v>416</v>
      </c>
      <c r="K13" t="s">
        <v>489</v>
      </c>
      <c r="N13" t="s">
        <v>926</v>
      </c>
      <c r="P13" s="342" t="s">
        <v>919</v>
      </c>
      <c r="R13" t="s">
        <v>505</v>
      </c>
      <c r="V13" t="s">
        <v>952</v>
      </c>
      <c r="X13" s="146" t="s">
        <v>505</v>
      </c>
      <c r="Y13" s="146">
        <v>11</v>
      </c>
    </row>
    <row r="14" spans="1:25">
      <c r="F14" t="s">
        <v>401</v>
      </c>
      <c r="N14" t="s">
        <v>927</v>
      </c>
      <c r="P14" t="s">
        <v>485</v>
      </c>
      <c r="R14" t="s">
        <v>673</v>
      </c>
      <c r="V14" s="347" t="s">
        <v>949</v>
      </c>
      <c r="X14" s="146" t="s">
        <v>673</v>
      </c>
      <c r="Y14" s="146">
        <v>12</v>
      </c>
    </row>
    <row r="15" spans="1:25">
      <c r="F15" t="s">
        <v>402</v>
      </c>
      <c r="K15" s="172" t="s">
        <v>479</v>
      </c>
      <c r="N15" t="s">
        <v>928</v>
      </c>
      <c r="P15" t="s">
        <v>670</v>
      </c>
      <c r="V15" s="347" t="s">
        <v>950</v>
      </c>
    </row>
    <row r="16" spans="1:25">
      <c r="F16" t="s">
        <v>403</v>
      </c>
      <c r="K16" t="s">
        <v>225</v>
      </c>
      <c r="N16" t="s">
        <v>929</v>
      </c>
      <c r="P16" t="s">
        <v>671</v>
      </c>
    </row>
    <row r="17" spans="6:25">
      <c r="F17" t="s">
        <v>23</v>
      </c>
      <c r="N17" t="s">
        <v>934</v>
      </c>
      <c r="P17" t="s">
        <v>900</v>
      </c>
      <c r="V17" s="172" t="s">
        <v>983</v>
      </c>
      <c r="X17" s="533" t="s">
        <v>506</v>
      </c>
      <c r="Y17" s="534" t="s">
        <v>1024</v>
      </c>
    </row>
    <row r="18" spans="6:25">
      <c r="F18" t="s">
        <v>407</v>
      </c>
      <c r="K18" s="172" t="s">
        <v>480</v>
      </c>
      <c r="N18" t="s">
        <v>930</v>
      </c>
      <c r="V18" t="s">
        <v>608</v>
      </c>
      <c r="X18" s="146" t="s">
        <v>507</v>
      </c>
      <c r="Y18" s="532">
        <v>1</v>
      </c>
    </row>
    <row r="19" spans="6:25">
      <c r="F19" t="s">
        <v>26</v>
      </c>
      <c r="K19" t="s">
        <v>493</v>
      </c>
      <c r="N19" t="s">
        <v>931</v>
      </c>
      <c r="P19" s="172" t="s">
        <v>920</v>
      </c>
      <c r="V19" s="347" t="s">
        <v>949</v>
      </c>
      <c r="X19" s="146" t="s">
        <v>508</v>
      </c>
      <c r="Y19" s="532">
        <v>2</v>
      </c>
    </row>
    <row r="20" spans="6:25">
      <c r="F20" t="s">
        <v>408</v>
      </c>
      <c r="K20" t="s">
        <v>859</v>
      </c>
      <c r="P20" t="s">
        <v>486</v>
      </c>
      <c r="V20" s="347" t="s">
        <v>950</v>
      </c>
      <c r="X20" s="146" t="s">
        <v>509</v>
      </c>
      <c r="Y20" s="532">
        <v>3</v>
      </c>
    </row>
    <row r="21" spans="6:25">
      <c r="F21" t="s">
        <v>409</v>
      </c>
      <c r="K21" t="s">
        <v>1002</v>
      </c>
      <c r="P21" t="s">
        <v>487</v>
      </c>
      <c r="X21" s="146" t="s">
        <v>510</v>
      </c>
      <c r="Y21" s="532">
        <v>4</v>
      </c>
    </row>
    <row r="22" spans="6:25">
      <c r="F22" t="s">
        <v>410</v>
      </c>
      <c r="K22" t="s">
        <v>486</v>
      </c>
      <c r="P22" t="s">
        <v>488</v>
      </c>
      <c r="V22" s="172" t="s">
        <v>984</v>
      </c>
      <c r="X22" s="146" t="s">
        <v>511</v>
      </c>
      <c r="Y22" s="532">
        <v>5</v>
      </c>
    </row>
    <row r="23" spans="6:25">
      <c r="F23" t="s">
        <v>411</v>
      </c>
      <c r="K23" t="s">
        <v>487</v>
      </c>
      <c r="P23" t="s">
        <v>489</v>
      </c>
      <c r="V23" s="347" t="s">
        <v>949</v>
      </c>
      <c r="X23" s="146" t="s">
        <v>512</v>
      </c>
      <c r="Y23" s="532">
        <v>6</v>
      </c>
    </row>
    <row r="24" spans="6:25">
      <c r="F24" t="s">
        <v>412</v>
      </c>
      <c r="K24" t="s">
        <v>488</v>
      </c>
      <c r="V24" s="347" t="s">
        <v>950</v>
      </c>
      <c r="X24" s="146" t="s">
        <v>513</v>
      </c>
      <c r="Y24" s="532">
        <v>7</v>
      </c>
    </row>
    <row r="25" spans="6:25">
      <c r="F25" t="s">
        <v>413</v>
      </c>
      <c r="K25" t="s">
        <v>489</v>
      </c>
      <c r="P25" s="172" t="s">
        <v>932</v>
      </c>
    </row>
    <row r="26" spans="6:25">
      <c r="F26" t="s">
        <v>27</v>
      </c>
      <c r="K26" t="s">
        <v>427</v>
      </c>
      <c r="P26" t="s">
        <v>490</v>
      </c>
    </row>
    <row r="27" spans="6:25">
      <c r="F27" t="s">
        <v>366</v>
      </c>
      <c r="P27" t="s">
        <v>491</v>
      </c>
    </row>
    <row r="28" spans="6:25">
      <c r="F28" t="s">
        <v>399</v>
      </c>
      <c r="K28" s="172" t="s">
        <v>481</v>
      </c>
      <c r="P28" t="s">
        <v>492</v>
      </c>
    </row>
    <row r="29" spans="6:25">
      <c r="F29" t="s">
        <v>414</v>
      </c>
      <c r="K29" t="s">
        <v>661</v>
      </c>
      <c r="P29" t="s">
        <v>486</v>
      </c>
    </row>
    <row r="30" spans="6:25">
      <c r="F30" t="s">
        <v>415</v>
      </c>
      <c r="K30" t="s">
        <v>660</v>
      </c>
      <c r="P30" t="s">
        <v>487</v>
      </c>
    </row>
    <row r="31" spans="6:25">
      <c r="F31" t="s">
        <v>30</v>
      </c>
      <c r="P31" t="s">
        <v>488</v>
      </c>
    </row>
    <row r="32" spans="6:25">
      <c r="F32" t="s">
        <v>50</v>
      </c>
      <c r="P32" t="s">
        <v>489</v>
      </c>
    </row>
    <row r="33" spans="6:16">
      <c r="F33" t="str">
        <f>IF(事業所概要_算定体制!J35="","その他の燃料①",事業所概要_算定体制!J35)</f>
        <v>その他の燃料①</v>
      </c>
    </row>
    <row r="34" spans="6:16">
      <c r="F34" t="str">
        <f>IF(事業所概要_算定体制!J36="","その他の燃料②",事業所概要_算定体制!J36)</f>
        <v>その他の燃料②</v>
      </c>
      <c r="P34" s="172" t="s">
        <v>933</v>
      </c>
    </row>
    <row r="35" spans="6:16">
      <c r="P35" t="s">
        <v>485</v>
      </c>
    </row>
    <row r="36" spans="6:16">
      <c r="P36" t="s">
        <v>670</v>
      </c>
    </row>
    <row r="37" spans="6:16">
      <c r="P37" t="s">
        <v>671</v>
      </c>
    </row>
    <row r="38" spans="6:16">
      <c r="P38" t="s">
        <v>486</v>
      </c>
    </row>
    <row r="39" spans="6:16">
      <c r="P39" t="s">
        <v>487</v>
      </c>
    </row>
    <row r="40" spans="6:16">
      <c r="P40" t="s">
        <v>488</v>
      </c>
    </row>
    <row r="41" spans="6:16">
      <c r="P41" t="s">
        <v>489</v>
      </c>
    </row>
  </sheetData>
  <sheetProtection algorithmName="SHA-512" hashValue="Rq0heBoOTZrmIN947VGaHSxQW4XD0Rlw7UzdjNwoX4ZBKeYIO+jTvcM1RjCcHaLXl9gMDsMlE8NhYiOyhLKPtQ==" saltValue="lhG0SbRVQWck2WjLYQAsXA==" spinCount="100000" sheet="1" objects="1" scenarios="1"/>
  <phoneticPr fontId="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14999847407452621"/>
  </sheetPr>
  <dimension ref="A1:AI33"/>
  <sheetViews>
    <sheetView zoomScaleNormal="100" workbookViewId="0"/>
  </sheetViews>
  <sheetFormatPr defaultColWidth="9" defaultRowHeight="18.75"/>
  <cols>
    <col min="2" max="2" width="4.625" customWidth="1"/>
    <col min="3" max="3" width="20.375" bestFit="1" customWidth="1"/>
    <col min="4" max="4" width="4.625" customWidth="1"/>
    <col min="5" max="5" width="20.375" bestFit="1" customWidth="1"/>
    <col min="6" max="6" width="4.625" customWidth="1"/>
    <col min="7" max="7" width="20.375" bestFit="1" customWidth="1"/>
    <col min="8" max="8" width="5.625" customWidth="1"/>
    <col min="9" max="9" width="23" bestFit="1" customWidth="1"/>
    <col min="10" max="10" width="4.625" customWidth="1"/>
    <col min="11" max="11" width="13" bestFit="1" customWidth="1"/>
    <col min="12" max="12" width="4.625" customWidth="1"/>
    <col min="13" max="13" width="17.25" bestFit="1" customWidth="1"/>
    <col min="14" max="14" width="4.625" customWidth="1"/>
    <col min="15" max="15" width="27" customWidth="1"/>
    <col min="16" max="16" width="4.625" customWidth="1"/>
    <col min="17" max="17" width="22.75" customWidth="1"/>
    <col min="18" max="18" width="4.625" customWidth="1"/>
    <col min="19" max="19" width="19.25" bestFit="1" customWidth="1"/>
    <col min="20" max="20" width="4.625" customWidth="1"/>
    <col min="21" max="21" width="29.625" bestFit="1" customWidth="1"/>
    <col min="22" max="22" width="4.625" customWidth="1"/>
    <col min="23" max="23" width="23.5" bestFit="1" customWidth="1"/>
    <col min="24" max="24" width="4.625" customWidth="1"/>
    <col min="25" max="25" width="29.25" bestFit="1" customWidth="1"/>
    <col min="26" max="26" width="4.625" customWidth="1"/>
    <col min="27" max="27" width="16" bestFit="1" customWidth="1"/>
    <col min="28" max="28" width="4.625" customWidth="1"/>
    <col min="29" max="29" width="34.875" customWidth="1"/>
    <col min="31" max="31" width="28.875" customWidth="1"/>
    <col min="33" max="33" width="25.625" customWidth="1"/>
    <col min="35" max="35" width="18" customWidth="1"/>
  </cols>
  <sheetData>
    <row r="1" spans="1:35" s="347" customFormat="1" ht="56.25">
      <c r="A1" s="171" t="s">
        <v>392</v>
      </c>
      <c r="C1" s="171" t="s">
        <v>378</v>
      </c>
      <c r="E1" s="171" t="s">
        <v>378</v>
      </c>
      <c r="G1" s="171" t="s">
        <v>378</v>
      </c>
      <c r="I1" s="171" t="s">
        <v>377</v>
      </c>
      <c r="K1" s="171" t="s">
        <v>384</v>
      </c>
      <c r="M1" s="171" t="s">
        <v>384</v>
      </c>
      <c r="O1" s="171" t="s">
        <v>535</v>
      </c>
      <c r="Q1" s="171" t="s">
        <v>898</v>
      </c>
      <c r="S1" s="171" t="s">
        <v>425</v>
      </c>
      <c r="U1" s="171" t="s">
        <v>425</v>
      </c>
      <c r="W1" s="171" t="s">
        <v>471</v>
      </c>
      <c r="Y1" s="171" t="s">
        <v>472</v>
      </c>
      <c r="AA1" s="171" t="s">
        <v>472</v>
      </c>
      <c r="AC1" s="171" t="s">
        <v>472</v>
      </c>
      <c r="AE1" s="171" t="s">
        <v>472</v>
      </c>
      <c r="AG1" s="171" t="s">
        <v>535</v>
      </c>
      <c r="AI1" s="171" t="s">
        <v>425</v>
      </c>
    </row>
    <row r="2" spans="1:35" ht="19.5" thickBot="1">
      <c r="A2" s="172" t="s">
        <v>393</v>
      </c>
      <c r="C2" s="172" t="s">
        <v>348</v>
      </c>
      <c r="E2" s="172" t="s">
        <v>349</v>
      </c>
      <c r="G2" s="172" t="s">
        <v>351</v>
      </c>
      <c r="I2" s="172" t="s">
        <v>379</v>
      </c>
      <c r="K2" s="172" t="s">
        <v>385</v>
      </c>
      <c r="M2" s="172" t="s">
        <v>386</v>
      </c>
      <c r="O2" s="172" t="s">
        <v>469</v>
      </c>
      <c r="Q2" s="172" t="s">
        <v>430</v>
      </c>
      <c r="S2" s="172" t="s">
        <v>466</v>
      </c>
      <c r="U2" s="172" t="s">
        <v>528</v>
      </c>
      <c r="W2" s="172" t="s">
        <v>530</v>
      </c>
      <c r="Y2" s="172" t="s">
        <v>531</v>
      </c>
      <c r="AA2" s="172" t="s">
        <v>514</v>
      </c>
      <c r="AC2" s="172" t="s">
        <v>532</v>
      </c>
      <c r="AE2" s="172" t="s">
        <v>899</v>
      </c>
      <c r="AG2" s="172" t="s">
        <v>1006</v>
      </c>
      <c r="AI2" s="557" t="s">
        <v>2072</v>
      </c>
    </row>
    <row r="3" spans="1:35" ht="19.5" thickBot="1">
      <c r="C3" s="137" t="s">
        <v>343</v>
      </c>
      <c r="E3" t="s">
        <v>357</v>
      </c>
      <c r="G3" t="s">
        <v>352</v>
      </c>
      <c r="I3" s="138" t="s">
        <v>271</v>
      </c>
      <c r="K3" t="s">
        <v>381</v>
      </c>
      <c r="M3" t="s">
        <v>387</v>
      </c>
      <c r="O3" t="s">
        <v>428</v>
      </c>
      <c r="Q3" t="s">
        <v>2076</v>
      </c>
      <c r="S3" t="s">
        <v>428</v>
      </c>
      <c r="U3" t="s">
        <v>467</v>
      </c>
      <c r="W3" t="s">
        <v>470</v>
      </c>
      <c r="Y3" t="s">
        <v>428</v>
      </c>
      <c r="AA3" t="s">
        <v>428</v>
      </c>
      <c r="AC3" t="s">
        <v>905</v>
      </c>
      <c r="AE3" t="s">
        <v>2076</v>
      </c>
      <c r="AG3" s="494"/>
      <c r="AI3" s="558"/>
    </row>
    <row r="4" spans="1:35">
      <c r="C4" s="137" t="s">
        <v>344</v>
      </c>
      <c r="E4" t="s">
        <v>350</v>
      </c>
      <c r="G4" t="s">
        <v>353</v>
      </c>
      <c r="I4" s="138" t="s">
        <v>272</v>
      </c>
      <c r="K4" t="s">
        <v>382</v>
      </c>
      <c r="M4" t="s">
        <v>388</v>
      </c>
      <c r="O4" t="s">
        <v>429</v>
      </c>
      <c r="Q4" t="s">
        <v>431</v>
      </c>
      <c r="S4" t="s">
        <v>429</v>
      </c>
      <c r="U4" t="s">
        <v>468</v>
      </c>
      <c r="W4" t="s">
        <v>2080</v>
      </c>
      <c r="Y4" t="s">
        <v>429</v>
      </c>
      <c r="AA4" t="s">
        <v>429</v>
      </c>
      <c r="AE4" t="s">
        <v>431</v>
      </c>
      <c r="AG4" s="495">
        <v>1.05</v>
      </c>
    </row>
    <row r="5" spans="1:35">
      <c r="C5" s="137" t="s">
        <v>345</v>
      </c>
      <c r="G5" t="s">
        <v>355</v>
      </c>
      <c r="I5" s="138" t="s">
        <v>273</v>
      </c>
      <c r="K5" t="s">
        <v>383</v>
      </c>
      <c r="Q5" t="s">
        <v>432</v>
      </c>
      <c r="U5" t="s">
        <v>657</v>
      </c>
      <c r="AC5" s="172" t="s">
        <v>534</v>
      </c>
      <c r="AE5" t="s">
        <v>432</v>
      </c>
      <c r="AG5" s="494">
        <v>1</v>
      </c>
    </row>
    <row r="6" spans="1:35">
      <c r="C6" s="137" t="s">
        <v>346</v>
      </c>
      <c r="G6" t="s">
        <v>354</v>
      </c>
      <c r="I6" s="138" t="s">
        <v>274</v>
      </c>
      <c r="AA6" s="172" t="s">
        <v>901</v>
      </c>
      <c r="AC6" t="s">
        <v>533</v>
      </c>
    </row>
    <row r="7" spans="1:35">
      <c r="C7" s="137" t="s">
        <v>347</v>
      </c>
      <c r="I7" s="138" t="s">
        <v>275</v>
      </c>
      <c r="U7" s="172" t="s">
        <v>529</v>
      </c>
      <c r="AA7" t="s">
        <v>428</v>
      </c>
      <c r="AG7" s="172" t="s">
        <v>1007</v>
      </c>
    </row>
    <row r="8" spans="1:35">
      <c r="I8" s="138" t="s">
        <v>276</v>
      </c>
      <c r="U8" t="s">
        <v>467</v>
      </c>
      <c r="AC8" s="172" t="s">
        <v>903</v>
      </c>
      <c r="AE8" s="172" t="s">
        <v>923</v>
      </c>
      <c r="AG8" s="494"/>
    </row>
    <row r="9" spans="1:35">
      <c r="I9" s="138" t="s">
        <v>277</v>
      </c>
      <c r="U9" t="s">
        <v>468</v>
      </c>
      <c r="AA9" s="172" t="s">
        <v>979</v>
      </c>
      <c r="AC9" t="s">
        <v>467</v>
      </c>
      <c r="AE9" t="s">
        <v>2076</v>
      </c>
      <c r="AG9" s="495">
        <v>0.95</v>
      </c>
    </row>
    <row r="10" spans="1:35">
      <c r="I10" s="138" t="s">
        <v>278</v>
      </c>
      <c r="AA10" t="s">
        <v>429</v>
      </c>
      <c r="AC10" t="s">
        <v>904</v>
      </c>
      <c r="AE10" t="s">
        <v>431</v>
      </c>
      <c r="AG10" s="494">
        <v>1</v>
      </c>
    </row>
    <row r="11" spans="1:35">
      <c r="I11" s="138" t="s">
        <v>278</v>
      </c>
      <c r="U11" s="172" t="s">
        <v>656</v>
      </c>
      <c r="AC11" t="s">
        <v>657</v>
      </c>
      <c r="AE11" t="s">
        <v>432</v>
      </c>
    </row>
    <row r="12" spans="1:35">
      <c r="I12" s="138" t="s">
        <v>279</v>
      </c>
      <c r="U12" t="s">
        <v>658</v>
      </c>
    </row>
    <row r="13" spans="1:35">
      <c r="I13" s="138" t="s">
        <v>280</v>
      </c>
      <c r="AC13" s="172" t="s">
        <v>922</v>
      </c>
    </row>
    <row r="14" spans="1:35">
      <c r="I14" s="138" t="s">
        <v>281</v>
      </c>
      <c r="AC14" t="s">
        <v>533</v>
      </c>
    </row>
    <row r="15" spans="1:35">
      <c r="I15" s="138" t="s">
        <v>282</v>
      </c>
    </row>
    <row r="16" spans="1:35">
      <c r="I16" s="138" t="s">
        <v>283</v>
      </c>
    </row>
    <row r="17" spans="9:9">
      <c r="I17" s="138" t="s">
        <v>284</v>
      </c>
    </row>
    <row r="18" spans="9:9">
      <c r="I18" s="139" t="s">
        <v>362</v>
      </c>
    </row>
    <row r="19" spans="9:9">
      <c r="I19" s="139" t="s">
        <v>363</v>
      </c>
    </row>
    <row r="20" spans="9:9">
      <c r="I20" s="139" t="s">
        <v>364</v>
      </c>
    </row>
    <row r="21" spans="9:9">
      <c r="I21" s="139" t="s">
        <v>365</v>
      </c>
    </row>
    <row r="22" spans="9:9">
      <c r="I22" s="139" t="s">
        <v>366</v>
      </c>
    </row>
    <row r="23" spans="9:9">
      <c r="I23" s="139" t="s">
        <v>367</v>
      </c>
    </row>
    <row r="24" spans="9:9">
      <c r="I24" s="139" t="s">
        <v>368</v>
      </c>
    </row>
    <row r="25" spans="9:9">
      <c r="I25" s="139" t="s">
        <v>369</v>
      </c>
    </row>
    <row r="26" spans="9:9">
      <c r="I26" s="139" t="s">
        <v>380</v>
      </c>
    </row>
    <row r="27" spans="9:9">
      <c r="I27" s="139" t="s">
        <v>370</v>
      </c>
    </row>
    <row r="28" spans="9:9">
      <c r="I28" s="139" t="s">
        <v>371</v>
      </c>
    </row>
    <row r="29" spans="9:9">
      <c r="I29" s="139" t="s">
        <v>372</v>
      </c>
    </row>
    <row r="30" spans="9:9">
      <c r="I30" s="139" t="s">
        <v>373</v>
      </c>
    </row>
    <row r="31" spans="9:9">
      <c r="I31" s="139" t="s">
        <v>374</v>
      </c>
    </row>
    <row r="32" spans="9:9">
      <c r="I32" s="139" t="s">
        <v>375</v>
      </c>
    </row>
    <row r="33" spans="9:9">
      <c r="I33" s="139" t="s">
        <v>376</v>
      </c>
    </row>
  </sheetData>
  <sheetProtection algorithmName="SHA-512" hashValue="oMQ+uqmf9QMqf+9iVYNAvTrCbXy+p/cr4xlpPvzo9qwbfdC15ExrwTs0xImBBKLnMepXYwMixadAG2aHpGeXjw==" saltValue="AHHAArDVyeQtadDQJ1IHDw==" spinCount="100000" sheet="1" objects="1" scenarios="1"/>
  <phoneticPr fontId="5"/>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14999847407452621"/>
  </sheetPr>
  <dimension ref="B1:V98"/>
  <sheetViews>
    <sheetView zoomScaleNormal="100" workbookViewId="0"/>
  </sheetViews>
  <sheetFormatPr defaultRowHeight="18.75"/>
  <cols>
    <col min="2" max="2" width="40.75" customWidth="1"/>
    <col min="3" max="3" width="14.5" customWidth="1"/>
    <col min="4" max="4" width="14.75" customWidth="1"/>
    <col min="6" max="6" width="42.25" bestFit="1" customWidth="1"/>
    <col min="7" max="8" width="12.125" bestFit="1" customWidth="1"/>
    <col min="10" max="10" width="16.875" customWidth="1"/>
    <col min="11" max="12" width="16.75" customWidth="1"/>
    <col min="13" max="13" width="15.125" bestFit="1" customWidth="1"/>
    <col min="14" max="16" width="13.125" customWidth="1"/>
    <col min="17" max="17" width="47" customWidth="1"/>
    <col min="18" max="19" width="17.375" customWidth="1"/>
    <col min="21" max="21" width="18.375" bestFit="1" customWidth="1"/>
  </cols>
  <sheetData>
    <row r="1" spans="2:22">
      <c r="J1" t="s">
        <v>935</v>
      </c>
      <c r="Q1" t="s">
        <v>960</v>
      </c>
    </row>
    <row r="2" spans="2:22" ht="37.5">
      <c r="B2" s="203" t="s">
        <v>858</v>
      </c>
      <c r="C2" s="211" t="s">
        <v>646</v>
      </c>
      <c r="D2" s="211" t="s">
        <v>647</v>
      </c>
      <c r="F2" s="203" t="s">
        <v>857</v>
      </c>
      <c r="G2" s="211" t="s">
        <v>646</v>
      </c>
      <c r="H2" s="211" t="s">
        <v>647</v>
      </c>
      <c r="J2" s="203" t="s">
        <v>939</v>
      </c>
      <c r="K2" s="203" t="s">
        <v>938</v>
      </c>
      <c r="L2" s="203" t="s">
        <v>940</v>
      </c>
      <c r="M2" s="211" t="s">
        <v>943</v>
      </c>
      <c r="N2" s="211" t="s">
        <v>646</v>
      </c>
      <c r="O2" s="211" t="s">
        <v>647</v>
      </c>
      <c r="Q2" s="203" t="s">
        <v>219</v>
      </c>
      <c r="R2" s="211" t="s">
        <v>646</v>
      </c>
      <c r="S2" s="211" t="s">
        <v>647</v>
      </c>
      <c r="U2" s="146" t="s">
        <v>646</v>
      </c>
      <c r="V2" s="146" t="s">
        <v>1012</v>
      </c>
    </row>
    <row r="3" spans="2:22">
      <c r="B3" s="146" t="s">
        <v>404</v>
      </c>
      <c r="C3" s="146">
        <v>6</v>
      </c>
      <c r="D3" s="146">
        <v>6</v>
      </c>
      <c r="F3" s="146" t="s">
        <v>493</v>
      </c>
      <c r="G3" s="146">
        <v>47</v>
      </c>
      <c r="H3" s="146">
        <v>43</v>
      </c>
      <c r="J3" s="146" t="s">
        <v>937</v>
      </c>
      <c r="K3" s="146" t="s">
        <v>894</v>
      </c>
      <c r="L3" s="146" t="s">
        <v>940</v>
      </c>
      <c r="M3" s="146"/>
      <c r="N3" s="146">
        <v>41</v>
      </c>
      <c r="O3" s="146">
        <v>37</v>
      </c>
      <c r="Q3" s="146" t="s">
        <v>59</v>
      </c>
      <c r="R3" s="146">
        <v>62</v>
      </c>
      <c r="S3" s="146"/>
      <c r="U3" s="146">
        <v>6</v>
      </c>
      <c r="V3" s="146">
        <v>1</v>
      </c>
    </row>
    <row r="4" spans="2:22">
      <c r="B4" s="146" t="s">
        <v>405</v>
      </c>
      <c r="C4" s="146">
        <f>C3+1</f>
        <v>7</v>
      </c>
      <c r="D4" s="146">
        <f>D3+1</f>
        <v>7</v>
      </c>
      <c r="F4" s="146" t="s">
        <v>671</v>
      </c>
      <c r="G4" s="146">
        <v>47</v>
      </c>
      <c r="H4" s="146">
        <v>43</v>
      </c>
      <c r="J4" s="146" t="s">
        <v>937</v>
      </c>
      <c r="K4" s="146" t="s">
        <v>894</v>
      </c>
      <c r="L4" s="146" t="s">
        <v>940</v>
      </c>
      <c r="M4" s="146" t="s">
        <v>894</v>
      </c>
      <c r="N4" s="146">
        <v>41</v>
      </c>
      <c r="O4" s="146">
        <v>37</v>
      </c>
      <c r="Q4" s="146" t="s">
        <v>608</v>
      </c>
      <c r="R4" s="146">
        <v>63</v>
      </c>
      <c r="S4" s="146"/>
      <c r="U4" s="146">
        <v>7</v>
      </c>
      <c r="V4" s="146">
        <v>2</v>
      </c>
    </row>
    <row r="5" spans="2:22">
      <c r="B5" s="146" t="s">
        <v>406</v>
      </c>
      <c r="C5" s="146">
        <f t="shared" ref="C5:D12" si="0">C4+1</f>
        <v>8</v>
      </c>
      <c r="D5" s="146">
        <f t="shared" si="0"/>
        <v>8</v>
      </c>
      <c r="F5" s="146" t="s">
        <v>1002</v>
      </c>
      <c r="G5" s="146">
        <v>47</v>
      </c>
      <c r="H5" s="146">
        <v>43</v>
      </c>
      <c r="J5" s="146" t="s">
        <v>937</v>
      </c>
      <c r="K5" s="146" t="s">
        <v>894</v>
      </c>
      <c r="L5" s="146" t="s">
        <v>940</v>
      </c>
      <c r="M5" s="146" t="s">
        <v>895</v>
      </c>
      <c r="N5" s="146">
        <v>45</v>
      </c>
      <c r="O5" s="146">
        <v>41</v>
      </c>
      <c r="Q5" s="146" t="s">
        <v>60</v>
      </c>
      <c r="R5" s="146">
        <v>64</v>
      </c>
      <c r="S5" s="146"/>
      <c r="U5" s="146">
        <v>8</v>
      </c>
      <c r="V5" s="146">
        <v>3</v>
      </c>
    </row>
    <row r="6" spans="2:22" ht="18.75" customHeight="1">
      <c r="B6" s="146" t="s">
        <v>280</v>
      </c>
      <c r="C6" s="146">
        <f t="shared" si="0"/>
        <v>9</v>
      </c>
      <c r="D6" s="146">
        <f t="shared" si="0"/>
        <v>9</v>
      </c>
      <c r="F6" s="146" t="s">
        <v>486</v>
      </c>
      <c r="G6" s="146">
        <v>37</v>
      </c>
      <c r="H6" s="146">
        <v>33</v>
      </c>
      <c r="J6" s="146" t="s">
        <v>937</v>
      </c>
      <c r="K6" s="146" t="s">
        <v>895</v>
      </c>
      <c r="L6" s="146" t="s">
        <v>940</v>
      </c>
      <c r="M6" s="146"/>
      <c r="N6" s="146">
        <v>43</v>
      </c>
      <c r="O6" s="146">
        <v>39</v>
      </c>
      <c r="Q6" s="146" t="s">
        <v>952</v>
      </c>
      <c r="R6" s="146">
        <v>65</v>
      </c>
      <c r="S6" s="146"/>
      <c r="U6" s="146">
        <v>9</v>
      </c>
      <c r="V6" s="146">
        <v>4</v>
      </c>
    </row>
    <row r="7" spans="2:22" ht="18.75" customHeight="1">
      <c r="B7" s="146" t="s">
        <v>14</v>
      </c>
      <c r="C7" s="146">
        <f t="shared" si="0"/>
        <v>10</v>
      </c>
      <c r="D7" s="146">
        <f t="shared" si="0"/>
        <v>10</v>
      </c>
      <c r="F7" s="146" t="s">
        <v>487</v>
      </c>
      <c r="G7" s="146">
        <v>38</v>
      </c>
      <c r="H7" s="146">
        <v>34</v>
      </c>
      <c r="J7" s="146" t="s">
        <v>937</v>
      </c>
      <c r="K7" s="146" t="s">
        <v>895</v>
      </c>
      <c r="L7" s="146" t="s">
        <v>940</v>
      </c>
      <c r="M7" s="146" t="s">
        <v>894</v>
      </c>
      <c r="N7" s="146">
        <v>43</v>
      </c>
      <c r="O7" s="146">
        <v>39</v>
      </c>
      <c r="Q7" s="348" t="s">
        <v>949</v>
      </c>
      <c r="R7" s="146">
        <v>66</v>
      </c>
      <c r="S7" s="146"/>
      <c r="U7" s="146">
        <v>10</v>
      </c>
      <c r="V7" s="146">
        <v>5</v>
      </c>
    </row>
    <row r="8" spans="2:22" ht="18.75" customHeight="1">
      <c r="B8" s="146" t="s">
        <v>15</v>
      </c>
      <c r="C8" s="146">
        <f t="shared" si="0"/>
        <v>11</v>
      </c>
      <c r="D8" s="146">
        <f t="shared" si="0"/>
        <v>11</v>
      </c>
      <c r="F8" s="146" t="s">
        <v>488</v>
      </c>
      <c r="G8" s="146">
        <v>39</v>
      </c>
      <c r="H8" s="146">
        <v>35</v>
      </c>
      <c r="J8" s="146" t="s">
        <v>937</v>
      </c>
      <c r="K8" s="146" t="s">
        <v>895</v>
      </c>
      <c r="L8" s="146" t="s">
        <v>940</v>
      </c>
      <c r="M8" s="146" t="s">
        <v>895</v>
      </c>
      <c r="N8" s="146">
        <v>45</v>
      </c>
      <c r="O8" s="146">
        <v>41</v>
      </c>
      <c r="Q8" s="348" t="s">
        <v>950</v>
      </c>
      <c r="R8" s="146">
        <v>67</v>
      </c>
      <c r="S8" s="146"/>
      <c r="U8" s="146">
        <v>11</v>
      </c>
      <c r="V8" s="146">
        <v>6</v>
      </c>
    </row>
    <row r="9" spans="2:22" ht="18.75" customHeight="1">
      <c r="B9" s="146" t="s">
        <v>16</v>
      </c>
      <c r="C9" s="146">
        <f t="shared" si="0"/>
        <v>12</v>
      </c>
      <c r="D9" s="146">
        <f t="shared" si="0"/>
        <v>12</v>
      </c>
      <c r="F9" s="146" t="s">
        <v>489</v>
      </c>
      <c r="G9" s="146">
        <v>40</v>
      </c>
      <c r="H9" s="146">
        <v>36</v>
      </c>
      <c r="J9" s="146" t="s">
        <v>937</v>
      </c>
      <c r="K9" s="146" t="s">
        <v>894</v>
      </c>
      <c r="L9" s="146" t="s">
        <v>941</v>
      </c>
      <c r="M9" s="346"/>
      <c r="N9" s="146">
        <v>42</v>
      </c>
      <c r="O9" s="146">
        <v>38</v>
      </c>
      <c r="U9" s="146">
        <v>12</v>
      </c>
      <c r="V9" s="146">
        <v>7</v>
      </c>
    </row>
    <row r="10" spans="2:22">
      <c r="B10" s="146" t="s">
        <v>17</v>
      </c>
      <c r="C10" s="146">
        <f t="shared" si="0"/>
        <v>13</v>
      </c>
      <c r="D10" s="146">
        <f t="shared" si="0"/>
        <v>13</v>
      </c>
      <c r="F10" s="146" t="s">
        <v>225</v>
      </c>
      <c r="G10" s="146">
        <v>33</v>
      </c>
      <c r="H10" s="146">
        <v>29</v>
      </c>
      <c r="J10" s="146" t="s">
        <v>937</v>
      </c>
      <c r="K10" s="146" t="s">
        <v>895</v>
      </c>
      <c r="L10" s="146" t="s">
        <v>941</v>
      </c>
      <c r="M10" s="346"/>
      <c r="N10" s="146">
        <v>44</v>
      </c>
      <c r="O10" s="146">
        <v>40</v>
      </c>
      <c r="U10" s="146">
        <v>13</v>
      </c>
      <c r="V10" s="146">
        <v>8</v>
      </c>
    </row>
    <row r="11" spans="2:22">
      <c r="B11" s="146" t="s">
        <v>18</v>
      </c>
      <c r="C11" s="146">
        <f t="shared" si="0"/>
        <v>14</v>
      </c>
      <c r="D11" s="146">
        <f t="shared" si="0"/>
        <v>14</v>
      </c>
      <c r="F11" s="146" t="s">
        <v>661</v>
      </c>
      <c r="G11" s="146">
        <v>59</v>
      </c>
      <c r="H11" s="146">
        <v>55</v>
      </c>
      <c r="J11" s="146" t="s">
        <v>942</v>
      </c>
      <c r="K11" s="146" t="s">
        <v>894</v>
      </c>
      <c r="L11" s="146" t="s">
        <v>940</v>
      </c>
      <c r="M11" s="146"/>
      <c r="N11" s="146">
        <v>48</v>
      </c>
      <c r="O11" s="146">
        <v>44</v>
      </c>
      <c r="U11" s="146">
        <v>14</v>
      </c>
      <c r="V11" s="146">
        <v>9</v>
      </c>
    </row>
    <row r="12" spans="2:22">
      <c r="B12" s="146" t="s">
        <v>20</v>
      </c>
      <c r="C12" s="146">
        <f t="shared" si="0"/>
        <v>15</v>
      </c>
      <c r="D12" s="146">
        <f t="shared" si="0"/>
        <v>15</v>
      </c>
      <c r="F12" s="146" t="s">
        <v>660</v>
      </c>
      <c r="G12" s="146">
        <v>60</v>
      </c>
      <c r="H12" s="146">
        <v>56</v>
      </c>
      <c r="J12" s="146" t="s">
        <v>942</v>
      </c>
      <c r="K12" s="146" t="s">
        <v>894</v>
      </c>
      <c r="L12" s="146" t="s">
        <v>940</v>
      </c>
      <c r="M12" s="146" t="s">
        <v>894</v>
      </c>
      <c r="N12" s="146">
        <v>48</v>
      </c>
      <c r="O12" s="146">
        <v>44</v>
      </c>
      <c r="U12" s="146">
        <v>15</v>
      </c>
      <c r="V12" s="146">
        <v>10</v>
      </c>
    </row>
    <row r="13" spans="2:22">
      <c r="B13" s="146" t="s">
        <v>400</v>
      </c>
      <c r="C13" s="146">
        <f>C12+1</f>
        <v>16</v>
      </c>
      <c r="D13" s="146">
        <f>D12+1</f>
        <v>16</v>
      </c>
      <c r="J13" s="146" t="s">
        <v>942</v>
      </c>
      <c r="K13" s="146" t="s">
        <v>894</v>
      </c>
      <c r="L13" s="146" t="s">
        <v>940</v>
      </c>
      <c r="M13" s="146" t="s">
        <v>895</v>
      </c>
      <c r="N13" s="146">
        <v>52</v>
      </c>
      <c r="O13" s="146">
        <v>48</v>
      </c>
      <c r="U13" s="146">
        <v>16</v>
      </c>
      <c r="V13" s="146">
        <v>11</v>
      </c>
    </row>
    <row r="14" spans="2:22" ht="18.75" customHeight="1">
      <c r="B14" s="146" t="s">
        <v>401</v>
      </c>
      <c r="C14" s="146">
        <f t="shared" ref="C14:D16" si="1">C13</f>
        <v>16</v>
      </c>
      <c r="D14" s="146">
        <f t="shared" si="1"/>
        <v>16</v>
      </c>
      <c r="J14" s="146" t="s">
        <v>942</v>
      </c>
      <c r="K14" s="146" t="s">
        <v>895</v>
      </c>
      <c r="L14" s="146" t="s">
        <v>940</v>
      </c>
      <c r="M14" s="146"/>
      <c r="N14" s="146">
        <v>50</v>
      </c>
      <c r="O14" s="146">
        <v>46</v>
      </c>
      <c r="U14" s="146">
        <v>17</v>
      </c>
      <c r="V14" s="146">
        <v>12</v>
      </c>
    </row>
    <row r="15" spans="2:22">
      <c r="B15" s="146" t="s">
        <v>402</v>
      </c>
      <c r="C15" s="146">
        <f t="shared" si="1"/>
        <v>16</v>
      </c>
      <c r="D15" s="146">
        <f t="shared" si="1"/>
        <v>16</v>
      </c>
      <c r="J15" s="146" t="s">
        <v>942</v>
      </c>
      <c r="K15" s="146" t="s">
        <v>895</v>
      </c>
      <c r="L15" s="146" t="s">
        <v>940</v>
      </c>
      <c r="M15" s="146" t="s">
        <v>894</v>
      </c>
      <c r="N15" s="146">
        <v>50</v>
      </c>
      <c r="O15" s="146">
        <v>46</v>
      </c>
      <c r="U15" s="146">
        <v>18</v>
      </c>
      <c r="V15" s="146">
        <v>13</v>
      </c>
    </row>
    <row r="16" spans="2:22" ht="18.75" customHeight="1">
      <c r="B16" s="146" t="s">
        <v>403</v>
      </c>
      <c r="C16" s="146">
        <f t="shared" si="1"/>
        <v>16</v>
      </c>
      <c r="D16" s="146">
        <f t="shared" si="1"/>
        <v>16</v>
      </c>
      <c r="J16" s="146" t="s">
        <v>942</v>
      </c>
      <c r="K16" s="146" t="s">
        <v>895</v>
      </c>
      <c r="L16" s="146" t="s">
        <v>940</v>
      </c>
      <c r="M16" s="146" t="s">
        <v>895</v>
      </c>
      <c r="N16" s="146">
        <v>52</v>
      </c>
      <c r="O16" s="146">
        <v>48</v>
      </c>
      <c r="U16" s="146">
        <v>19</v>
      </c>
      <c r="V16" s="146">
        <v>14</v>
      </c>
    </row>
    <row r="17" spans="2:22" ht="18.75" customHeight="1">
      <c r="B17" s="146" t="s">
        <v>23</v>
      </c>
      <c r="C17" s="146">
        <f>C16+1</f>
        <v>17</v>
      </c>
      <c r="D17" s="146">
        <f>D16+1</f>
        <v>17</v>
      </c>
      <c r="J17" s="146" t="s">
        <v>942</v>
      </c>
      <c r="K17" s="146" t="s">
        <v>894</v>
      </c>
      <c r="L17" s="146" t="s">
        <v>941</v>
      </c>
      <c r="M17" s="346"/>
      <c r="N17" s="146">
        <v>49</v>
      </c>
      <c r="O17" s="146">
        <v>45</v>
      </c>
      <c r="U17" s="146">
        <v>20</v>
      </c>
      <c r="V17" s="146">
        <v>15</v>
      </c>
    </row>
    <row r="18" spans="2:22" ht="18.75" customHeight="1">
      <c r="B18" s="146" t="s">
        <v>407</v>
      </c>
      <c r="C18" s="146">
        <f t="shared" ref="C18:D34" si="2">C17+1</f>
        <v>18</v>
      </c>
      <c r="D18" s="146">
        <f t="shared" si="2"/>
        <v>18</v>
      </c>
      <c r="J18" s="146" t="s">
        <v>942</v>
      </c>
      <c r="K18" s="146" t="s">
        <v>895</v>
      </c>
      <c r="L18" s="146" t="s">
        <v>941</v>
      </c>
      <c r="M18" s="346"/>
      <c r="N18" s="146">
        <v>51</v>
      </c>
      <c r="O18" s="146">
        <v>47</v>
      </c>
      <c r="U18" s="146">
        <v>21</v>
      </c>
      <c r="V18" s="146">
        <v>16</v>
      </c>
    </row>
    <row r="19" spans="2:22" ht="18.75" customHeight="1">
      <c r="B19" s="146" t="s">
        <v>26</v>
      </c>
      <c r="C19" s="146">
        <f t="shared" si="2"/>
        <v>19</v>
      </c>
      <c r="D19" s="146">
        <f t="shared" si="2"/>
        <v>19</v>
      </c>
      <c r="J19" s="146" t="s">
        <v>942</v>
      </c>
      <c r="K19" s="146" t="s">
        <v>894</v>
      </c>
      <c r="L19" s="146" t="s">
        <v>944</v>
      </c>
      <c r="M19" s="346"/>
      <c r="N19" s="146">
        <v>53</v>
      </c>
      <c r="O19" s="146">
        <v>49</v>
      </c>
      <c r="U19" s="146">
        <v>22</v>
      </c>
      <c r="V19" s="146">
        <v>17</v>
      </c>
    </row>
    <row r="20" spans="2:22" ht="18.75" customHeight="1">
      <c r="B20" s="146" t="s">
        <v>408</v>
      </c>
      <c r="C20" s="146">
        <f t="shared" si="2"/>
        <v>20</v>
      </c>
      <c r="D20" s="146">
        <f t="shared" si="2"/>
        <v>20</v>
      </c>
      <c r="J20" s="146" t="s">
        <v>942</v>
      </c>
      <c r="K20" s="146"/>
      <c r="L20" s="146" t="s">
        <v>944</v>
      </c>
      <c r="M20" s="346"/>
      <c r="N20" s="146">
        <v>53</v>
      </c>
      <c r="O20" s="146">
        <v>49</v>
      </c>
      <c r="U20" s="146">
        <v>23</v>
      </c>
      <c r="V20" s="146">
        <v>18</v>
      </c>
    </row>
    <row r="21" spans="2:22" ht="18.75" customHeight="1">
      <c r="B21" s="146" t="s">
        <v>409</v>
      </c>
      <c r="C21" s="146">
        <f t="shared" si="2"/>
        <v>21</v>
      </c>
      <c r="D21" s="146">
        <v>20</v>
      </c>
      <c r="U21" s="146">
        <v>24</v>
      </c>
      <c r="V21" s="146">
        <v>19</v>
      </c>
    </row>
    <row r="22" spans="2:22" ht="18.75" customHeight="1">
      <c r="B22" s="146" t="s">
        <v>410</v>
      </c>
      <c r="C22" s="146">
        <f t="shared" si="2"/>
        <v>22</v>
      </c>
      <c r="D22" s="146">
        <v>20</v>
      </c>
      <c r="U22" s="146">
        <v>25</v>
      </c>
      <c r="V22" s="146">
        <v>20</v>
      </c>
    </row>
    <row r="23" spans="2:22" ht="18.75" customHeight="1">
      <c r="B23" s="146" t="s">
        <v>411</v>
      </c>
      <c r="C23" s="146">
        <f t="shared" si="2"/>
        <v>23</v>
      </c>
      <c r="D23" s="146">
        <v>21</v>
      </c>
      <c r="U23" s="146">
        <v>26</v>
      </c>
      <c r="V23" s="146">
        <v>21</v>
      </c>
    </row>
    <row r="24" spans="2:22">
      <c r="B24" s="146" t="s">
        <v>412</v>
      </c>
      <c r="C24" s="146">
        <f t="shared" si="2"/>
        <v>24</v>
      </c>
      <c r="D24" s="146">
        <v>21</v>
      </c>
      <c r="U24" s="146">
        <v>27</v>
      </c>
      <c r="V24" s="146">
        <v>22</v>
      </c>
    </row>
    <row r="25" spans="2:22">
      <c r="B25" s="146" t="s">
        <v>413</v>
      </c>
      <c r="C25" s="146">
        <f t="shared" si="2"/>
        <v>25</v>
      </c>
      <c r="D25" s="146">
        <v>22</v>
      </c>
      <c r="U25" s="146">
        <v>28</v>
      </c>
      <c r="V25" s="146">
        <v>23</v>
      </c>
    </row>
    <row r="26" spans="2:22">
      <c r="B26" s="146" t="s">
        <v>27</v>
      </c>
      <c r="C26" s="146">
        <f t="shared" si="2"/>
        <v>26</v>
      </c>
      <c r="D26" s="146">
        <v>23</v>
      </c>
      <c r="U26" s="146">
        <v>29</v>
      </c>
      <c r="V26" s="146">
        <v>24</v>
      </c>
    </row>
    <row r="27" spans="2:22">
      <c r="B27" s="146" t="s">
        <v>366</v>
      </c>
      <c r="C27" s="146">
        <f t="shared" si="2"/>
        <v>27</v>
      </c>
      <c r="D27" s="146">
        <v>24</v>
      </c>
      <c r="U27" s="146">
        <v>30</v>
      </c>
      <c r="V27" s="146">
        <v>25</v>
      </c>
    </row>
    <row r="28" spans="2:22">
      <c r="B28" s="146" t="s">
        <v>399</v>
      </c>
      <c r="C28" s="146">
        <f t="shared" si="2"/>
        <v>28</v>
      </c>
      <c r="D28" s="146">
        <v>25</v>
      </c>
      <c r="U28" s="146">
        <v>31</v>
      </c>
      <c r="V28" s="146">
        <v>26</v>
      </c>
    </row>
    <row r="29" spans="2:22" ht="18.75" customHeight="1">
      <c r="B29" s="146" t="s">
        <v>414</v>
      </c>
      <c r="C29" s="146">
        <f t="shared" si="2"/>
        <v>29</v>
      </c>
      <c r="D29" s="146">
        <v>26</v>
      </c>
      <c r="U29" s="146">
        <v>32</v>
      </c>
      <c r="V29" s="146">
        <v>27</v>
      </c>
    </row>
    <row r="30" spans="2:22">
      <c r="B30" s="146" t="s">
        <v>415</v>
      </c>
      <c r="C30" s="146">
        <f t="shared" si="2"/>
        <v>30</v>
      </c>
      <c r="D30" s="146">
        <v>26</v>
      </c>
      <c r="U30" s="146">
        <v>33</v>
      </c>
      <c r="V30" s="146">
        <v>28</v>
      </c>
    </row>
    <row r="31" spans="2:22">
      <c r="B31" s="146" t="s">
        <v>30</v>
      </c>
      <c r="C31" s="146">
        <f t="shared" si="2"/>
        <v>31</v>
      </c>
      <c r="D31" s="146">
        <v>27</v>
      </c>
      <c r="U31" s="146">
        <v>34</v>
      </c>
      <c r="V31" s="146">
        <v>29</v>
      </c>
    </row>
    <row r="32" spans="2:22">
      <c r="B32" s="146" t="s">
        <v>50</v>
      </c>
      <c r="C32" s="146">
        <f t="shared" si="2"/>
        <v>32</v>
      </c>
      <c r="D32" s="146">
        <v>28</v>
      </c>
      <c r="U32" s="146">
        <v>35</v>
      </c>
      <c r="V32" s="146">
        <v>30</v>
      </c>
    </row>
    <row r="33" spans="2:22">
      <c r="B33" s="146" t="str">
        <f>非_燃料種類_選択リスト!F33</f>
        <v>その他の燃料①</v>
      </c>
      <c r="C33" s="146">
        <v>34</v>
      </c>
      <c r="D33" s="146">
        <v>30</v>
      </c>
      <c r="U33" s="146">
        <v>37</v>
      </c>
      <c r="V33" s="146">
        <v>31</v>
      </c>
    </row>
    <row r="34" spans="2:22">
      <c r="B34" s="146" t="str">
        <f>非_燃料種類_選択リスト!F34</f>
        <v>その他の燃料②</v>
      </c>
      <c r="C34" s="146">
        <f t="shared" si="2"/>
        <v>35</v>
      </c>
      <c r="D34" s="146">
        <v>31</v>
      </c>
      <c r="U34" s="146">
        <v>38</v>
      </c>
      <c r="V34" s="146">
        <v>32</v>
      </c>
    </row>
    <row r="35" spans="2:22">
      <c r="U35" s="146">
        <v>39</v>
      </c>
      <c r="V35" s="146">
        <v>33</v>
      </c>
    </row>
    <row r="36" spans="2:22">
      <c r="U36" s="146">
        <v>40</v>
      </c>
      <c r="V36" s="146">
        <v>34</v>
      </c>
    </row>
    <row r="37" spans="2:22" ht="19.5" customHeight="1">
      <c r="U37" s="146">
        <v>41</v>
      </c>
      <c r="V37" s="146">
        <v>35</v>
      </c>
    </row>
    <row r="38" spans="2:22" ht="18.75" customHeight="1">
      <c r="U38" s="146">
        <v>42</v>
      </c>
      <c r="V38" s="146">
        <v>36</v>
      </c>
    </row>
    <row r="39" spans="2:22">
      <c r="U39" s="146">
        <v>43</v>
      </c>
      <c r="V39" s="146">
        <v>37</v>
      </c>
    </row>
    <row r="40" spans="2:22">
      <c r="U40" s="146">
        <v>44</v>
      </c>
      <c r="V40" s="146">
        <v>38</v>
      </c>
    </row>
    <row r="41" spans="2:22" ht="18.75" customHeight="1">
      <c r="U41" s="146">
        <v>45</v>
      </c>
      <c r="V41" s="146">
        <v>39</v>
      </c>
    </row>
    <row r="42" spans="2:22">
      <c r="U42" s="146">
        <v>47</v>
      </c>
      <c r="V42" s="146">
        <v>40</v>
      </c>
    </row>
    <row r="43" spans="2:22" ht="18.75" customHeight="1">
      <c r="U43" s="146">
        <v>48</v>
      </c>
      <c r="V43" s="146">
        <v>41</v>
      </c>
    </row>
    <row r="44" spans="2:22">
      <c r="U44" s="146">
        <v>49</v>
      </c>
      <c r="V44" s="146">
        <v>42</v>
      </c>
    </row>
    <row r="45" spans="2:22" ht="18.75" customHeight="1">
      <c r="U45" s="146">
        <v>50</v>
      </c>
      <c r="V45" s="146">
        <v>43</v>
      </c>
    </row>
    <row r="46" spans="2:22">
      <c r="U46" s="146">
        <v>51</v>
      </c>
      <c r="V46" s="146">
        <v>44</v>
      </c>
    </row>
    <row r="47" spans="2:22" ht="36.75" customHeight="1">
      <c r="U47" s="146">
        <v>52</v>
      </c>
      <c r="V47" s="146">
        <v>45</v>
      </c>
    </row>
    <row r="48" spans="2:22" ht="18.75" customHeight="1">
      <c r="U48" s="146">
        <v>53</v>
      </c>
      <c r="V48" s="146">
        <v>46</v>
      </c>
    </row>
    <row r="49" spans="21:22">
      <c r="U49" s="146">
        <v>59</v>
      </c>
      <c r="V49" s="146">
        <v>47</v>
      </c>
    </row>
    <row r="50" spans="21:22" ht="18.75" customHeight="1">
      <c r="U50" s="146">
        <v>60</v>
      </c>
      <c r="V50" s="146">
        <v>48</v>
      </c>
    </row>
    <row r="51" spans="21:22">
      <c r="U51" s="146">
        <v>62</v>
      </c>
      <c r="V51" s="146">
        <v>49</v>
      </c>
    </row>
    <row r="52" spans="21:22" ht="18.75" customHeight="1">
      <c r="U52" s="146">
        <v>63</v>
      </c>
      <c r="V52" s="146">
        <v>50</v>
      </c>
    </row>
    <row r="53" spans="21:22" ht="18.75" customHeight="1">
      <c r="U53" s="146">
        <v>64</v>
      </c>
      <c r="V53" s="146">
        <v>51</v>
      </c>
    </row>
    <row r="54" spans="21:22">
      <c r="U54" s="146">
        <v>65</v>
      </c>
      <c r="V54" s="146">
        <v>52</v>
      </c>
    </row>
    <row r="55" spans="21:22">
      <c r="U55" s="146">
        <v>66</v>
      </c>
      <c r="V55" s="146">
        <v>53</v>
      </c>
    </row>
    <row r="56" spans="21:22">
      <c r="U56" s="146">
        <v>67</v>
      </c>
      <c r="V56" s="146">
        <v>54</v>
      </c>
    </row>
    <row r="57" spans="21:22" ht="18.75" customHeight="1"/>
    <row r="59" spans="21:22" ht="19.5" customHeight="1"/>
    <row r="60" spans="21:22" ht="18.75" customHeight="1"/>
    <row r="62" spans="21:22" ht="19.5" customHeight="1"/>
    <row r="65" ht="19.5" customHeight="1"/>
    <row r="66" ht="19.5" customHeight="1"/>
    <row r="67" ht="19.5" customHeight="1"/>
    <row r="68" ht="20.25" customHeight="1"/>
    <row r="71" ht="18.75" customHeight="1"/>
    <row r="74" ht="18.75" customHeight="1"/>
    <row r="75" ht="18.75" customHeight="1"/>
    <row r="77" ht="18.75" customHeight="1"/>
    <row r="78" ht="18.75" customHeight="1"/>
    <row r="79" ht="18.75" customHeight="1"/>
    <row r="80" ht="18.75" customHeight="1"/>
    <row r="83" ht="18.75" customHeight="1"/>
    <row r="84" ht="19.5" customHeight="1"/>
    <row r="88" ht="18.75" customHeight="1"/>
    <row r="89" ht="18.75" customHeight="1"/>
    <row r="91" ht="18.75" customHeight="1"/>
    <row r="92" ht="18.75" customHeight="1"/>
    <row r="93" ht="19.5" customHeight="1"/>
    <row r="94" ht="19.5" customHeight="1"/>
    <row r="96" ht="18.75" customHeight="1"/>
    <row r="97" ht="19.5" customHeight="1"/>
    <row r="98" ht="20.25" customHeight="1"/>
  </sheetData>
  <sheetProtection algorithmName="SHA-512" hashValue="c7tmCbK9FMM3vYCjIROe0vqPrmRfUR4ei4/6//5k1W4Zn5cqGxbHznXKMuFVoDY+mH6WEJyWOcRYEEJOFLJ70w==" saltValue="rEsElzt/1coraWl9KFLBNg==" spinCount="100000" sheet="1" objects="1" scenarios="1"/>
  <phoneticPr fontId="5"/>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tint="-0.14999847407452621"/>
  </sheetPr>
  <dimension ref="B1:K55"/>
  <sheetViews>
    <sheetView zoomScaleNormal="100" workbookViewId="0"/>
  </sheetViews>
  <sheetFormatPr defaultRowHeight="18.75"/>
  <cols>
    <col min="2" max="2" width="54" customWidth="1"/>
    <col min="3" max="3" width="24.25" customWidth="1"/>
    <col min="4" max="4" width="16.25" customWidth="1"/>
    <col min="5" max="5" width="24.25" customWidth="1"/>
    <col min="6" max="6" width="18.625" bestFit="1" customWidth="1"/>
    <col min="7" max="7" width="13.75" customWidth="1"/>
    <col min="8" max="11" width="23.25" customWidth="1"/>
  </cols>
  <sheetData>
    <row r="1" spans="2:11" ht="19.5" thickBot="1"/>
    <row r="2" spans="2:11">
      <c r="B2" s="1111" t="s">
        <v>445</v>
      </c>
      <c r="C2" s="1114" t="s">
        <v>419</v>
      </c>
      <c r="D2" s="1115"/>
      <c r="E2" s="1115"/>
      <c r="F2" s="1116"/>
      <c r="G2" s="1117" t="s">
        <v>523</v>
      </c>
      <c r="H2" s="1118"/>
      <c r="I2" s="1118"/>
      <c r="J2" s="1118"/>
      <c r="K2" s="1119"/>
    </row>
    <row r="3" spans="2:11">
      <c r="B3" s="1112"/>
      <c r="C3" s="1120" t="s">
        <v>226</v>
      </c>
      <c r="D3" s="1121"/>
      <c r="E3" s="1121" t="s">
        <v>227</v>
      </c>
      <c r="F3" s="1122"/>
      <c r="G3" s="167" t="s">
        <v>521</v>
      </c>
      <c r="H3" s="1123" t="s">
        <v>226</v>
      </c>
      <c r="I3" s="1123"/>
      <c r="J3" s="1123" t="s">
        <v>227</v>
      </c>
      <c r="K3" s="1124"/>
    </row>
    <row r="4" spans="2:11">
      <c r="B4" s="1113"/>
      <c r="C4" s="164" t="s">
        <v>418</v>
      </c>
      <c r="D4" s="165" t="s">
        <v>222</v>
      </c>
      <c r="E4" s="165" t="s">
        <v>418</v>
      </c>
      <c r="F4" s="166" t="s">
        <v>222</v>
      </c>
      <c r="G4" s="167" t="s">
        <v>418</v>
      </c>
      <c r="H4" s="168" t="s">
        <v>418</v>
      </c>
      <c r="I4" s="168" t="s">
        <v>222</v>
      </c>
      <c r="J4" s="168" t="s">
        <v>418</v>
      </c>
      <c r="K4" s="169" t="s">
        <v>222</v>
      </c>
    </row>
    <row r="5" spans="2:11">
      <c r="B5" s="154" t="s">
        <v>404</v>
      </c>
      <c r="C5" s="156">
        <v>38.299999999999997</v>
      </c>
      <c r="D5" s="150" t="s">
        <v>193</v>
      </c>
      <c r="E5" s="151">
        <v>1.9E-2</v>
      </c>
      <c r="F5" s="157" t="s">
        <v>421</v>
      </c>
      <c r="G5" s="156">
        <v>1</v>
      </c>
      <c r="H5" s="152">
        <v>38.200000000000003</v>
      </c>
      <c r="I5" s="150" t="s">
        <v>193</v>
      </c>
      <c r="J5" s="150">
        <v>1.8700000000000001E-2</v>
      </c>
      <c r="K5" s="157" t="s">
        <v>421</v>
      </c>
    </row>
    <row r="6" spans="2:11">
      <c r="B6" s="154" t="s">
        <v>405</v>
      </c>
      <c r="C6" s="156">
        <v>34.799999999999997</v>
      </c>
      <c r="D6" s="150" t="s">
        <v>193</v>
      </c>
      <c r="E6" s="151">
        <v>1.83E-2</v>
      </c>
      <c r="F6" s="157" t="s">
        <v>421</v>
      </c>
      <c r="G6" s="156">
        <v>1</v>
      </c>
      <c r="H6" s="152">
        <v>35.299999999999997</v>
      </c>
      <c r="I6" s="150" t="s">
        <v>193</v>
      </c>
      <c r="J6" s="150">
        <v>1.84E-2</v>
      </c>
      <c r="K6" s="157" t="s">
        <v>421</v>
      </c>
    </row>
    <row r="7" spans="2:11">
      <c r="B7" s="154" t="s">
        <v>406</v>
      </c>
      <c r="C7" s="156">
        <v>33.4</v>
      </c>
      <c r="D7" s="150" t="s">
        <v>193</v>
      </c>
      <c r="E7" s="151">
        <v>1.8700000000000001E-2</v>
      </c>
      <c r="F7" s="157" t="s">
        <v>421</v>
      </c>
      <c r="G7" s="156">
        <v>1</v>
      </c>
      <c r="H7" s="152">
        <v>34.6</v>
      </c>
      <c r="I7" s="150" t="s">
        <v>193</v>
      </c>
      <c r="J7" s="150">
        <v>1.83E-2</v>
      </c>
      <c r="K7" s="157" t="s">
        <v>421</v>
      </c>
    </row>
    <row r="8" spans="2:11">
      <c r="B8" s="154" t="s">
        <v>280</v>
      </c>
      <c r="C8" s="156">
        <v>33.299999999999997</v>
      </c>
      <c r="D8" s="150" t="s">
        <v>193</v>
      </c>
      <c r="E8" s="151">
        <v>1.8599999999999998E-2</v>
      </c>
      <c r="F8" s="157" t="s">
        <v>421</v>
      </c>
      <c r="G8" s="156">
        <v>1</v>
      </c>
      <c r="H8" s="152">
        <v>33.6</v>
      </c>
      <c r="I8" s="150" t="s">
        <v>193</v>
      </c>
      <c r="J8" s="150">
        <v>1.8200000000000001E-2</v>
      </c>
      <c r="K8" s="157" t="s">
        <v>421</v>
      </c>
    </row>
    <row r="9" spans="2:11">
      <c r="B9" s="154" t="s">
        <v>14</v>
      </c>
      <c r="C9" s="156">
        <v>36.5</v>
      </c>
      <c r="D9" s="150" t="s">
        <v>193</v>
      </c>
      <c r="E9" s="151">
        <v>1.8700000000000001E-2</v>
      </c>
      <c r="F9" s="157" t="s">
        <v>421</v>
      </c>
      <c r="G9" s="156">
        <v>1</v>
      </c>
      <c r="H9" s="152">
        <v>36.700000000000003</v>
      </c>
      <c r="I9" s="150" t="s">
        <v>193</v>
      </c>
      <c r="J9" s="150">
        <v>1.8499999999999999E-2</v>
      </c>
      <c r="K9" s="157" t="s">
        <v>421</v>
      </c>
    </row>
    <row r="10" spans="2:11">
      <c r="B10" s="154" t="s">
        <v>15</v>
      </c>
      <c r="C10" s="156">
        <v>38</v>
      </c>
      <c r="D10" s="150" t="s">
        <v>193</v>
      </c>
      <c r="E10" s="151">
        <v>1.8800000000000001E-2</v>
      </c>
      <c r="F10" s="157" t="s">
        <v>421</v>
      </c>
      <c r="G10" s="156">
        <v>1</v>
      </c>
      <c r="H10" s="152">
        <v>37.700000000000003</v>
      </c>
      <c r="I10" s="150" t="s">
        <v>193</v>
      </c>
      <c r="J10" s="150">
        <v>1.8700000000000001E-2</v>
      </c>
      <c r="K10" s="157" t="s">
        <v>421</v>
      </c>
    </row>
    <row r="11" spans="2:11">
      <c r="B11" s="154" t="s">
        <v>16</v>
      </c>
      <c r="C11" s="156">
        <v>38.9</v>
      </c>
      <c r="D11" s="150" t="s">
        <v>193</v>
      </c>
      <c r="E11" s="151">
        <v>1.9300000000000001E-2</v>
      </c>
      <c r="F11" s="157" t="s">
        <v>421</v>
      </c>
      <c r="G11" s="156">
        <v>1</v>
      </c>
      <c r="H11" s="152">
        <v>39.1</v>
      </c>
      <c r="I11" s="150" t="s">
        <v>193</v>
      </c>
      <c r="J11" s="150">
        <v>1.89E-2</v>
      </c>
      <c r="K11" s="157" t="s">
        <v>421</v>
      </c>
    </row>
    <row r="12" spans="2:11">
      <c r="B12" s="154" t="s">
        <v>17</v>
      </c>
      <c r="C12" s="156">
        <v>41.8</v>
      </c>
      <c r="D12" s="150" t="s">
        <v>193</v>
      </c>
      <c r="E12" s="151">
        <v>2.0199999999999999E-2</v>
      </c>
      <c r="F12" s="157" t="s">
        <v>421</v>
      </c>
      <c r="G12" s="156">
        <v>1</v>
      </c>
      <c r="H12" s="152">
        <v>41.9</v>
      </c>
      <c r="I12" s="150" t="s">
        <v>193</v>
      </c>
      <c r="J12" s="150">
        <v>1.95E-2</v>
      </c>
      <c r="K12" s="157" t="s">
        <v>421</v>
      </c>
    </row>
    <row r="13" spans="2:11">
      <c r="B13" s="154" t="s">
        <v>18</v>
      </c>
      <c r="C13" s="156">
        <v>40</v>
      </c>
      <c r="D13" s="150" t="s">
        <v>192</v>
      </c>
      <c r="E13" s="151">
        <v>2.0400000000000001E-2</v>
      </c>
      <c r="F13" s="157" t="s">
        <v>421</v>
      </c>
      <c r="G13" s="156">
        <v>1</v>
      </c>
      <c r="H13" s="152">
        <v>40.9</v>
      </c>
      <c r="I13" s="150" t="s">
        <v>192</v>
      </c>
      <c r="J13" s="150">
        <v>2.0799999999999999E-2</v>
      </c>
      <c r="K13" s="157" t="s">
        <v>421</v>
      </c>
    </row>
    <row r="14" spans="2:11">
      <c r="B14" s="154" t="s">
        <v>20</v>
      </c>
      <c r="C14" s="156">
        <v>34.1</v>
      </c>
      <c r="D14" s="150" t="s">
        <v>192</v>
      </c>
      <c r="E14" s="151">
        <v>2.4500000000000001E-2</v>
      </c>
      <c r="F14" s="157" t="s">
        <v>421</v>
      </c>
      <c r="G14" s="156">
        <v>1</v>
      </c>
      <c r="H14" s="152">
        <v>29.9</v>
      </c>
      <c r="I14" s="150" t="s">
        <v>192</v>
      </c>
      <c r="J14" s="150">
        <v>2.5399999999999999E-2</v>
      </c>
      <c r="K14" s="157" t="s">
        <v>421</v>
      </c>
    </row>
    <row r="15" spans="2:11">
      <c r="B15" s="154" t="s">
        <v>400</v>
      </c>
      <c r="C15" s="156">
        <v>50.1</v>
      </c>
      <c r="D15" s="150" t="s">
        <v>192</v>
      </c>
      <c r="E15" s="151">
        <v>1.6299999999999999E-2</v>
      </c>
      <c r="F15" s="157" t="s">
        <v>421</v>
      </c>
      <c r="G15" s="156">
        <v>1</v>
      </c>
      <c r="H15" s="152">
        <v>50.8</v>
      </c>
      <c r="I15" s="150" t="s">
        <v>192</v>
      </c>
      <c r="J15" s="150">
        <v>1.61E-2</v>
      </c>
      <c r="K15" s="157" t="s">
        <v>421</v>
      </c>
    </row>
    <row r="16" spans="2:11">
      <c r="B16" s="154" t="s">
        <v>401</v>
      </c>
      <c r="C16" s="156">
        <v>50.1</v>
      </c>
      <c r="D16" s="150" t="s">
        <v>192</v>
      </c>
      <c r="E16" s="151">
        <v>1.6299999999999999E-2</v>
      </c>
      <c r="F16" s="157" t="s">
        <v>421</v>
      </c>
      <c r="G16" s="156">
        <v>1</v>
      </c>
      <c r="H16" s="152">
        <v>50.8</v>
      </c>
      <c r="I16" s="150" t="s">
        <v>192</v>
      </c>
      <c r="J16" s="150">
        <v>1.61E-2</v>
      </c>
      <c r="K16" s="157" t="s">
        <v>421</v>
      </c>
    </row>
    <row r="17" spans="2:11">
      <c r="B17" s="154" t="s">
        <v>402</v>
      </c>
      <c r="C17" s="156">
        <v>50.1</v>
      </c>
      <c r="D17" s="150" t="s">
        <v>192</v>
      </c>
      <c r="E17" s="151">
        <v>1.6299999999999999E-2</v>
      </c>
      <c r="F17" s="157" t="s">
        <v>421</v>
      </c>
      <c r="G17" s="156">
        <v>1</v>
      </c>
      <c r="H17" s="152">
        <v>50.8</v>
      </c>
      <c r="I17" s="150" t="s">
        <v>192</v>
      </c>
      <c r="J17" s="150">
        <v>1.61E-2</v>
      </c>
      <c r="K17" s="157" t="s">
        <v>421</v>
      </c>
    </row>
    <row r="18" spans="2:11">
      <c r="B18" s="154" t="s">
        <v>403</v>
      </c>
      <c r="C18" s="156">
        <v>50.1</v>
      </c>
      <c r="D18" s="150" t="s">
        <v>192</v>
      </c>
      <c r="E18" s="151">
        <v>1.6299999999999999E-2</v>
      </c>
      <c r="F18" s="157" t="s">
        <v>421</v>
      </c>
      <c r="G18" s="156">
        <v>1</v>
      </c>
      <c r="H18" s="152">
        <v>50.8</v>
      </c>
      <c r="I18" s="150" t="s">
        <v>192</v>
      </c>
      <c r="J18" s="150">
        <v>1.61E-2</v>
      </c>
      <c r="K18" s="157" t="s">
        <v>421</v>
      </c>
    </row>
    <row r="19" spans="2:11" ht="20.25">
      <c r="B19" s="154" t="s">
        <v>23</v>
      </c>
      <c r="C19" s="156">
        <v>46.1</v>
      </c>
      <c r="D19" s="150" t="s">
        <v>420</v>
      </c>
      <c r="E19" s="151">
        <v>1.44E-2</v>
      </c>
      <c r="F19" s="157" t="s">
        <v>421</v>
      </c>
      <c r="G19" s="156">
        <f xml:space="preserve"> (100/101.325) * (273.15/298.15)</f>
        <v>0.90416934530766024</v>
      </c>
      <c r="H19" s="152">
        <v>44.9</v>
      </c>
      <c r="I19" s="150" t="s">
        <v>422</v>
      </c>
      <c r="J19" s="150">
        <v>1.4200000000000001E-2</v>
      </c>
      <c r="K19" s="157" t="s">
        <v>421</v>
      </c>
    </row>
    <row r="20" spans="2:11">
      <c r="B20" s="154" t="s">
        <v>407</v>
      </c>
      <c r="C20" s="156">
        <v>54.7</v>
      </c>
      <c r="D20" s="150" t="s">
        <v>192</v>
      </c>
      <c r="E20" s="151">
        <v>1.3899999999999999E-2</v>
      </c>
      <c r="F20" s="157" t="s">
        <v>421</v>
      </c>
      <c r="G20" s="156">
        <v>1</v>
      </c>
      <c r="H20" s="152">
        <v>54.6</v>
      </c>
      <c r="I20" s="150" t="s">
        <v>192</v>
      </c>
      <c r="J20" s="150">
        <v>1.35E-2</v>
      </c>
      <c r="K20" s="157" t="s">
        <v>421</v>
      </c>
    </row>
    <row r="21" spans="2:11" ht="20.25">
      <c r="B21" s="154" t="s">
        <v>26</v>
      </c>
      <c r="C21" s="156">
        <v>38.4</v>
      </c>
      <c r="D21" s="150" t="s">
        <v>420</v>
      </c>
      <c r="E21" s="151">
        <v>1.3899999999999999E-2</v>
      </c>
      <c r="F21" s="157" t="s">
        <v>421</v>
      </c>
      <c r="G21" s="156">
        <f xml:space="preserve"> (100/101.325) * (273.15/298.15)</f>
        <v>0.90416934530766024</v>
      </c>
      <c r="H21" s="152">
        <v>43.5</v>
      </c>
      <c r="I21" s="150" t="s">
        <v>422</v>
      </c>
      <c r="J21" s="150">
        <v>1.3899999999999999E-2</v>
      </c>
      <c r="K21" s="157" t="s">
        <v>421</v>
      </c>
    </row>
    <row r="22" spans="2:11">
      <c r="B22" s="154" t="s">
        <v>408</v>
      </c>
      <c r="C22" s="156">
        <v>28.7</v>
      </c>
      <c r="D22" s="150" t="s">
        <v>192</v>
      </c>
      <c r="E22" s="151">
        <v>2.46E-2</v>
      </c>
      <c r="F22" s="157" t="s">
        <v>421</v>
      </c>
      <c r="G22" s="156">
        <v>1</v>
      </c>
      <c r="H22" s="152">
        <v>29</v>
      </c>
      <c r="I22" s="150" t="s">
        <v>192</v>
      </c>
      <c r="J22" s="150">
        <v>2.4500000000000001E-2</v>
      </c>
      <c r="K22" s="157" t="s">
        <v>421</v>
      </c>
    </row>
    <row r="23" spans="2:11">
      <c r="B23" s="154" t="s">
        <v>409</v>
      </c>
      <c r="C23" s="156">
        <v>28.9</v>
      </c>
      <c r="D23" s="150" t="s">
        <v>192</v>
      </c>
      <c r="E23" s="151">
        <v>2.4500000000000001E-2</v>
      </c>
      <c r="F23" s="157" t="s">
        <v>421</v>
      </c>
      <c r="G23" s="156">
        <v>1</v>
      </c>
      <c r="H23" s="152">
        <v>29</v>
      </c>
      <c r="I23" s="150" t="s">
        <v>192</v>
      </c>
      <c r="J23" s="150">
        <v>2.4500000000000001E-2</v>
      </c>
      <c r="K23" s="157" t="s">
        <v>421</v>
      </c>
    </row>
    <row r="24" spans="2:11">
      <c r="B24" s="154" t="s">
        <v>410</v>
      </c>
      <c r="C24" s="156">
        <v>28.3</v>
      </c>
      <c r="D24" s="150" t="s">
        <v>192</v>
      </c>
      <c r="E24" s="151">
        <v>2.5100000000000001E-2</v>
      </c>
      <c r="F24" s="157" t="s">
        <v>421</v>
      </c>
      <c r="G24" s="156">
        <v>1</v>
      </c>
      <c r="H24" s="152">
        <v>29</v>
      </c>
      <c r="I24" s="150" t="s">
        <v>192</v>
      </c>
      <c r="J24" s="150">
        <v>2.4500000000000001E-2</v>
      </c>
      <c r="K24" s="157" t="s">
        <v>421</v>
      </c>
    </row>
    <row r="25" spans="2:11">
      <c r="B25" s="154" t="s">
        <v>411</v>
      </c>
      <c r="C25" s="156">
        <v>26.1</v>
      </c>
      <c r="D25" s="150" t="s">
        <v>192</v>
      </c>
      <c r="E25" s="151">
        <v>2.4299999999999999E-2</v>
      </c>
      <c r="F25" s="157" t="s">
        <v>421</v>
      </c>
      <c r="G25" s="156">
        <v>1</v>
      </c>
      <c r="H25" s="152">
        <v>25.7</v>
      </c>
      <c r="I25" s="150" t="s">
        <v>192</v>
      </c>
      <c r="J25" s="150">
        <v>2.47E-2</v>
      </c>
      <c r="K25" s="157" t="s">
        <v>421</v>
      </c>
    </row>
    <row r="26" spans="2:11">
      <c r="B26" s="154" t="s">
        <v>412</v>
      </c>
      <c r="C26" s="156">
        <v>24.2</v>
      </c>
      <c r="D26" s="150" t="s">
        <v>192</v>
      </c>
      <c r="E26" s="151">
        <v>2.4199999999999999E-2</v>
      </c>
      <c r="F26" s="157" t="s">
        <v>421</v>
      </c>
      <c r="G26" s="156">
        <v>1</v>
      </c>
      <c r="H26" s="152">
        <v>25.7</v>
      </c>
      <c r="I26" s="150" t="s">
        <v>192</v>
      </c>
      <c r="J26" s="150">
        <v>2.47E-2</v>
      </c>
      <c r="K26" s="157" t="s">
        <v>421</v>
      </c>
    </row>
    <row r="27" spans="2:11">
      <c r="B27" s="154" t="s">
        <v>413</v>
      </c>
      <c r="C27" s="156">
        <v>27.8</v>
      </c>
      <c r="D27" s="150" t="s">
        <v>192</v>
      </c>
      <c r="E27" s="151">
        <v>2.5899999999999999E-2</v>
      </c>
      <c r="F27" s="157" t="s">
        <v>421</v>
      </c>
      <c r="G27" s="156">
        <v>1</v>
      </c>
      <c r="H27" s="152">
        <v>26.9</v>
      </c>
      <c r="I27" s="150" t="s">
        <v>192</v>
      </c>
      <c r="J27" s="150">
        <v>2.5499999999999998E-2</v>
      </c>
      <c r="K27" s="157" t="s">
        <v>421</v>
      </c>
    </row>
    <row r="28" spans="2:11">
      <c r="B28" s="154" t="s">
        <v>27</v>
      </c>
      <c r="C28" s="156">
        <v>29</v>
      </c>
      <c r="D28" s="150" t="s">
        <v>192</v>
      </c>
      <c r="E28" s="151">
        <v>2.9899999999999999E-2</v>
      </c>
      <c r="F28" s="157" t="s">
        <v>421</v>
      </c>
      <c r="G28" s="156">
        <v>1</v>
      </c>
      <c r="H28" s="150">
        <v>29.4</v>
      </c>
      <c r="I28" s="150" t="s">
        <v>192</v>
      </c>
      <c r="J28" s="150">
        <v>2.9399999999999999E-2</v>
      </c>
      <c r="K28" s="157" t="s">
        <v>421</v>
      </c>
    </row>
    <row r="29" spans="2:11">
      <c r="B29" s="154" t="s">
        <v>366</v>
      </c>
      <c r="C29" s="156">
        <v>37.299999999999997</v>
      </c>
      <c r="D29" s="150" t="s">
        <v>192</v>
      </c>
      <c r="E29" s="151">
        <v>2.0899999999999998E-2</v>
      </c>
      <c r="F29" s="157" t="s">
        <v>421</v>
      </c>
      <c r="G29" s="156">
        <v>1</v>
      </c>
      <c r="H29" s="150">
        <v>37.299999999999997</v>
      </c>
      <c r="I29" s="150" t="s">
        <v>192</v>
      </c>
      <c r="J29" s="150">
        <v>2.0899999999999998E-2</v>
      </c>
      <c r="K29" s="157" t="s">
        <v>421</v>
      </c>
    </row>
    <row r="30" spans="2:11" ht="20.25">
      <c r="B30" s="154" t="s">
        <v>618</v>
      </c>
      <c r="C30" s="156">
        <v>18.399999999999999</v>
      </c>
      <c r="D30" s="150" t="s">
        <v>420</v>
      </c>
      <c r="E30" s="151">
        <v>1.09E-2</v>
      </c>
      <c r="F30" s="157" t="s">
        <v>421</v>
      </c>
      <c r="G30" s="156">
        <f xml:space="preserve"> (100/101.325) * (273.15/298.15)</f>
        <v>0.90416934530766024</v>
      </c>
      <c r="H30" s="150">
        <v>21.1</v>
      </c>
      <c r="I30" s="150" t="s">
        <v>422</v>
      </c>
      <c r="J30" s="150">
        <v>1.0999999999999999E-2</v>
      </c>
      <c r="K30" s="157" t="s">
        <v>421</v>
      </c>
    </row>
    <row r="31" spans="2:11" ht="20.25">
      <c r="B31" s="154" t="s">
        <v>414</v>
      </c>
      <c r="C31" s="156">
        <v>3.23</v>
      </c>
      <c r="D31" s="150" t="s">
        <v>420</v>
      </c>
      <c r="E31" s="151">
        <v>2.64E-2</v>
      </c>
      <c r="F31" s="157" t="s">
        <v>421</v>
      </c>
      <c r="G31" s="156">
        <f xml:space="preserve"> (100/101.325) * (273.15/298.15)</f>
        <v>0.90416934530766024</v>
      </c>
      <c r="H31" s="150">
        <v>3.41</v>
      </c>
      <c r="I31" s="150" t="s">
        <v>422</v>
      </c>
      <c r="J31" s="150">
        <v>2.63E-2</v>
      </c>
      <c r="K31" s="157" t="s">
        <v>421</v>
      </c>
    </row>
    <row r="32" spans="2:11" ht="20.25">
      <c r="B32" s="154" t="s">
        <v>415</v>
      </c>
      <c r="C32" s="156">
        <v>3.45</v>
      </c>
      <c r="D32" s="150" t="s">
        <v>420</v>
      </c>
      <c r="E32" s="151">
        <v>2.64E-2</v>
      </c>
      <c r="F32" s="157" t="s">
        <v>421</v>
      </c>
      <c r="G32" s="156">
        <f xml:space="preserve"> (100/101.325) * (273.15/298.15)</f>
        <v>0.90416934530766024</v>
      </c>
      <c r="H32" s="150">
        <v>3.41</v>
      </c>
      <c r="I32" s="150" t="s">
        <v>422</v>
      </c>
      <c r="J32" s="150">
        <v>2.63E-2</v>
      </c>
      <c r="K32" s="157" t="s">
        <v>421</v>
      </c>
    </row>
    <row r="33" spans="2:11" ht="20.25">
      <c r="B33" s="154" t="s">
        <v>30</v>
      </c>
      <c r="C33" s="156">
        <v>7.53</v>
      </c>
      <c r="D33" s="150" t="s">
        <v>420</v>
      </c>
      <c r="E33" s="151">
        <v>4.2000000000000003E-2</v>
      </c>
      <c r="F33" s="157" t="s">
        <v>421</v>
      </c>
      <c r="G33" s="156">
        <f xml:space="preserve"> (100/101.325) * (273.15/298.15)</f>
        <v>0.90416934530766024</v>
      </c>
      <c r="H33" s="150">
        <v>8.41</v>
      </c>
      <c r="I33" s="150" t="s">
        <v>422</v>
      </c>
      <c r="J33" s="150">
        <v>3.8399999999999997E-2</v>
      </c>
      <c r="K33" s="157" t="s">
        <v>421</v>
      </c>
    </row>
    <row r="34" spans="2:11">
      <c r="B34" s="154" t="s">
        <v>50</v>
      </c>
      <c r="C34" s="156">
        <v>36.299999999999997</v>
      </c>
      <c r="D34" s="150" t="s">
        <v>193</v>
      </c>
      <c r="E34" s="151">
        <v>1.8599999999999998E-2</v>
      </c>
      <c r="F34" s="157" t="s">
        <v>421</v>
      </c>
      <c r="G34" s="156">
        <v>1</v>
      </c>
      <c r="H34" s="152">
        <v>36.700000000000003</v>
      </c>
      <c r="I34" s="150" t="s">
        <v>193</v>
      </c>
      <c r="J34" s="150">
        <v>1.83E-2</v>
      </c>
      <c r="K34" s="157" t="s">
        <v>421</v>
      </c>
    </row>
    <row r="35" spans="2:11">
      <c r="B35" s="154" t="str">
        <f>非_燃料種類_選択リスト!F33</f>
        <v>その他の燃料①</v>
      </c>
      <c r="C35" s="160">
        <f>事業所概要_算定体制!M35</f>
        <v>0</v>
      </c>
      <c r="D35" s="161" t="str">
        <f>事業所概要_算定体制!N35</f>
        <v>GJ/</v>
      </c>
      <c r="E35" s="161">
        <f>事業所概要_算定体制!O35</f>
        <v>0</v>
      </c>
      <c r="F35" s="157" t="s">
        <v>421</v>
      </c>
      <c r="G35" s="156">
        <v>1</v>
      </c>
      <c r="H35" s="161">
        <f t="shared" ref="H35:K36" si="0">C35</f>
        <v>0</v>
      </c>
      <c r="I35" s="161" t="str">
        <f t="shared" si="0"/>
        <v>GJ/</v>
      </c>
      <c r="J35" s="161">
        <f t="shared" si="0"/>
        <v>0</v>
      </c>
      <c r="K35" s="157" t="str">
        <f t="shared" si="0"/>
        <v>t-C/GJ</v>
      </c>
    </row>
    <row r="36" spans="2:11" ht="19.5" thickBot="1">
      <c r="B36" s="155" t="str">
        <f>非_燃料種類_選択リスト!F34</f>
        <v>その他の燃料②</v>
      </c>
      <c r="C36" s="162">
        <f>事業所概要_算定体制!M36</f>
        <v>0</v>
      </c>
      <c r="D36" s="163" t="str">
        <f>事業所概要_算定体制!N36</f>
        <v>GJ/</v>
      </c>
      <c r="E36" s="163">
        <f>事業所概要_算定体制!O36</f>
        <v>0</v>
      </c>
      <c r="F36" s="158" t="s">
        <v>421</v>
      </c>
      <c r="G36" s="159">
        <v>1</v>
      </c>
      <c r="H36" s="163">
        <f t="shared" si="0"/>
        <v>0</v>
      </c>
      <c r="I36" s="163" t="str">
        <f t="shared" si="0"/>
        <v>GJ/</v>
      </c>
      <c r="J36" s="163">
        <f t="shared" si="0"/>
        <v>0</v>
      </c>
      <c r="K36" s="158" t="str">
        <f t="shared" si="0"/>
        <v>t-C/GJ</v>
      </c>
    </row>
    <row r="38" spans="2:11" ht="19.5" thickBot="1"/>
    <row r="39" spans="2:11">
      <c r="B39" s="1111" t="s">
        <v>515</v>
      </c>
      <c r="C39" s="1114" t="s">
        <v>419</v>
      </c>
      <c r="D39" s="1115"/>
      <c r="E39" s="1115"/>
      <c r="F39" s="1116"/>
      <c r="G39" s="1117" t="s">
        <v>524</v>
      </c>
      <c r="H39" s="1118"/>
      <c r="I39" s="1118"/>
      <c r="J39" s="1118"/>
      <c r="K39" s="1119"/>
    </row>
    <row r="40" spans="2:11">
      <c r="B40" s="1112"/>
      <c r="C40" s="1120" t="s">
        <v>417</v>
      </c>
      <c r="D40" s="1121"/>
      <c r="E40" s="1121" t="s">
        <v>227</v>
      </c>
      <c r="F40" s="1122"/>
      <c r="G40" s="167" t="s">
        <v>423</v>
      </c>
      <c r="H40" s="1123" t="s">
        <v>417</v>
      </c>
      <c r="I40" s="1123"/>
      <c r="J40" s="1123" t="s">
        <v>227</v>
      </c>
      <c r="K40" s="1124"/>
    </row>
    <row r="41" spans="2:11">
      <c r="B41" s="1113"/>
      <c r="C41" s="164" t="s">
        <v>418</v>
      </c>
      <c r="D41" s="165" t="s">
        <v>222</v>
      </c>
      <c r="E41" s="165" t="s">
        <v>418</v>
      </c>
      <c r="F41" s="166" t="s">
        <v>222</v>
      </c>
      <c r="G41" s="167" t="s">
        <v>418</v>
      </c>
      <c r="H41" s="168" t="s">
        <v>418</v>
      </c>
      <c r="I41" s="168" t="s">
        <v>222</v>
      </c>
      <c r="J41" s="168" t="s">
        <v>418</v>
      </c>
      <c r="K41" s="169" t="s">
        <v>222</v>
      </c>
    </row>
    <row r="42" spans="2:11" ht="20.25">
      <c r="B42" s="187" t="s">
        <v>493</v>
      </c>
      <c r="C42" s="174">
        <v>8.64</v>
      </c>
      <c r="D42" s="150" t="s">
        <v>516</v>
      </c>
      <c r="E42" s="151" t="s">
        <v>519</v>
      </c>
      <c r="F42" s="157" t="s">
        <v>518</v>
      </c>
      <c r="G42" s="176"/>
      <c r="H42" s="177"/>
      <c r="I42" s="178"/>
      <c r="J42" s="150">
        <v>0.495</v>
      </c>
      <c r="K42" s="157" t="s">
        <v>518</v>
      </c>
    </row>
    <row r="43" spans="2:11" ht="20.25">
      <c r="B43" s="157" t="s">
        <v>485</v>
      </c>
      <c r="C43" s="174">
        <v>3.6</v>
      </c>
      <c r="D43" s="150" t="s">
        <v>516</v>
      </c>
      <c r="E43" s="151" t="s">
        <v>519</v>
      </c>
      <c r="F43" s="157" t="s">
        <v>518</v>
      </c>
      <c r="G43" s="176"/>
      <c r="H43" s="177"/>
      <c r="I43" s="178"/>
      <c r="J43" s="150">
        <v>0.495</v>
      </c>
      <c r="K43" s="157" t="s">
        <v>518</v>
      </c>
    </row>
    <row r="44" spans="2:11" ht="20.25">
      <c r="B44" s="157" t="s">
        <v>670</v>
      </c>
      <c r="C44" s="174">
        <v>3.6</v>
      </c>
      <c r="D44" s="150" t="s">
        <v>516</v>
      </c>
      <c r="E44" s="151" t="s">
        <v>519</v>
      </c>
      <c r="F44" s="157" t="s">
        <v>518</v>
      </c>
      <c r="G44" s="176"/>
      <c r="H44" s="177"/>
      <c r="I44" s="178"/>
      <c r="J44" s="150">
        <v>0.495</v>
      </c>
      <c r="K44" s="157" t="s">
        <v>518</v>
      </c>
    </row>
    <row r="45" spans="2:11" ht="20.25">
      <c r="B45" s="157" t="s">
        <v>671</v>
      </c>
      <c r="C45" s="174">
        <v>8.64</v>
      </c>
      <c r="D45" s="150" t="s">
        <v>516</v>
      </c>
      <c r="E45" s="151" t="s">
        <v>519</v>
      </c>
      <c r="F45" s="157" t="s">
        <v>518</v>
      </c>
      <c r="G45" s="176"/>
      <c r="H45" s="177"/>
      <c r="I45" s="178"/>
      <c r="J45" s="150">
        <v>0.495</v>
      </c>
      <c r="K45" s="157" t="s">
        <v>518</v>
      </c>
    </row>
    <row r="46" spans="2:11" ht="20.25">
      <c r="B46" s="157" t="s">
        <v>490</v>
      </c>
      <c r="C46" s="174">
        <v>3.6</v>
      </c>
      <c r="D46" s="150" t="s">
        <v>516</v>
      </c>
      <c r="E46" s="151" t="s">
        <v>519</v>
      </c>
      <c r="F46" s="157" t="s">
        <v>518</v>
      </c>
      <c r="G46" s="176"/>
      <c r="H46" s="177"/>
      <c r="I46" s="178"/>
      <c r="J46" s="150">
        <v>0.495</v>
      </c>
      <c r="K46" s="157" t="s">
        <v>518</v>
      </c>
    </row>
    <row r="47" spans="2:11" ht="20.25">
      <c r="B47" s="157" t="s">
        <v>491</v>
      </c>
      <c r="C47" s="174">
        <v>3.6</v>
      </c>
      <c r="D47" s="150" t="s">
        <v>516</v>
      </c>
      <c r="E47" s="151" t="s">
        <v>519</v>
      </c>
      <c r="F47" s="157" t="s">
        <v>518</v>
      </c>
      <c r="G47" s="176"/>
      <c r="H47" s="177"/>
      <c r="I47" s="178"/>
      <c r="J47" s="150">
        <v>0.495</v>
      </c>
      <c r="K47" s="157" t="s">
        <v>518</v>
      </c>
    </row>
    <row r="48" spans="2:11" ht="20.25">
      <c r="B48" s="157" t="s">
        <v>492</v>
      </c>
      <c r="C48" s="174">
        <v>3.6</v>
      </c>
      <c r="D48" s="150" t="s">
        <v>516</v>
      </c>
      <c r="E48" s="151" t="s">
        <v>519</v>
      </c>
      <c r="F48" s="157" t="s">
        <v>518</v>
      </c>
      <c r="G48" s="176"/>
      <c r="H48" s="177"/>
      <c r="I48" s="178"/>
      <c r="J48" s="150">
        <v>0.495</v>
      </c>
      <c r="K48" s="157" t="s">
        <v>518</v>
      </c>
    </row>
    <row r="49" spans="2:11" ht="20.25">
      <c r="B49" s="173" t="s">
        <v>1002</v>
      </c>
      <c r="C49" s="174">
        <v>8.64</v>
      </c>
      <c r="D49" s="150" t="s">
        <v>516</v>
      </c>
      <c r="E49" s="151" t="s">
        <v>519</v>
      </c>
      <c r="F49" s="157" t="s">
        <v>518</v>
      </c>
      <c r="G49" s="176"/>
      <c r="H49" s="177"/>
      <c r="I49" s="178"/>
      <c r="J49" s="150">
        <v>0.495</v>
      </c>
      <c r="K49" s="157" t="s">
        <v>518</v>
      </c>
    </row>
    <row r="50" spans="2:11" ht="20.25">
      <c r="B50" s="157" t="s">
        <v>900</v>
      </c>
      <c r="C50" s="175" t="s">
        <v>517</v>
      </c>
      <c r="D50" s="150" t="s">
        <v>516</v>
      </c>
      <c r="E50" s="151" t="s">
        <v>519</v>
      </c>
      <c r="F50" s="157" t="s">
        <v>518</v>
      </c>
      <c r="G50" s="176"/>
      <c r="H50" s="177"/>
      <c r="I50" s="178"/>
      <c r="J50" s="150">
        <v>-0.495</v>
      </c>
      <c r="K50" s="157" t="s">
        <v>518</v>
      </c>
    </row>
    <row r="51" spans="2:11" ht="20.25">
      <c r="B51" s="157" t="s">
        <v>486</v>
      </c>
      <c r="C51" s="156">
        <v>1.17</v>
      </c>
      <c r="D51" s="150" t="s">
        <v>520</v>
      </c>
      <c r="E51" s="151" t="s">
        <v>519</v>
      </c>
      <c r="F51" s="157" t="s">
        <v>522</v>
      </c>
      <c r="G51" s="176"/>
      <c r="H51" s="179"/>
      <c r="I51" s="178"/>
      <c r="J51" s="151">
        <v>0.06</v>
      </c>
      <c r="K51" s="157" t="s">
        <v>522</v>
      </c>
    </row>
    <row r="52" spans="2:11" ht="20.25">
      <c r="B52" s="157" t="s">
        <v>487</v>
      </c>
      <c r="C52" s="156">
        <v>1.19</v>
      </c>
      <c r="D52" s="150" t="s">
        <v>520</v>
      </c>
      <c r="E52" s="151" t="s">
        <v>519</v>
      </c>
      <c r="F52" s="157" t="s">
        <v>522</v>
      </c>
      <c r="G52" s="176"/>
      <c r="H52" s="179"/>
      <c r="I52" s="178"/>
      <c r="J52" s="151">
        <v>5.7000000000000002E-2</v>
      </c>
      <c r="K52" s="157" t="s">
        <v>522</v>
      </c>
    </row>
    <row r="53" spans="2:11" ht="20.25">
      <c r="B53" s="157" t="s">
        <v>488</v>
      </c>
      <c r="C53" s="156">
        <v>1.19</v>
      </c>
      <c r="D53" s="150" t="s">
        <v>520</v>
      </c>
      <c r="E53" s="151" t="s">
        <v>519</v>
      </c>
      <c r="F53" s="157" t="s">
        <v>522</v>
      </c>
      <c r="G53" s="176"/>
      <c r="H53" s="179"/>
      <c r="I53" s="178"/>
      <c r="J53" s="151">
        <v>5.7000000000000002E-2</v>
      </c>
      <c r="K53" s="157" t="s">
        <v>522</v>
      </c>
    </row>
    <row r="54" spans="2:11" ht="20.25">
      <c r="B54" s="157" t="s">
        <v>489</v>
      </c>
      <c r="C54" s="156">
        <v>1.19</v>
      </c>
      <c r="D54" s="150" t="s">
        <v>520</v>
      </c>
      <c r="E54" s="151" t="s">
        <v>519</v>
      </c>
      <c r="F54" s="157" t="s">
        <v>522</v>
      </c>
      <c r="G54" s="176"/>
      <c r="H54" s="179"/>
      <c r="I54" s="178"/>
      <c r="J54" s="151">
        <v>5.7000000000000002E-2</v>
      </c>
      <c r="K54" s="157" t="s">
        <v>522</v>
      </c>
    </row>
    <row r="55" spans="2:11" ht="21" thickBot="1">
      <c r="B55" s="188" t="s">
        <v>427</v>
      </c>
      <c r="C55" s="159" t="s">
        <v>662</v>
      </c>
      <c r="D55" s="183" t="s">
        <v>525</v>
      </c>
      <c r="E55" s="184" t="s">
        <v>519</v>
      </c>
      <c r="F55" s="158" t="s">
        <v>527</v>
      </c>
      <c r="G55" s="638">
        <f xml:space="preserve"> (100/101.325) * (273.15/298.15)</f>
        <v>0.90416934530766024</v>
      </c>
      <c r="H55" s="185"/>
      <c r="I55" s="186"/>
      <c r="J55" s="183">
        <v>1.3599999999999999E-2</v>
      </c>
      <c r="K55" s="158" t="s">
        <v>526</v>
      </c>
    </row>
  </sheetData>
  <sheetProtection algorithmName="SHA-512" hashValue="8r4QcRIx2x04TxZ8+ErjMV7REeENL4XR53eBI16167/xKa22DVFDZbBvjemNYLi2RA7QU747FxELAwPkAYkt8Q==" saltValue="O+NtfFDFCe25pOQcHraQ5Q==" spinCount="100000" sheet="1" objects="1" scenarios="1"/>
  <mergeCells count="14">
    <mergeCell ref="B2:B4"/>
    <mergeCell ref="B39:B41"/>
    <mergeCell ref="C39:F39"/>
    <mergeCell ref="G39:K39"/>
    <mergeCell ref="C40:D40"/>
    <mergeCell ref="E40:F40"/>
    <mergeCell ref="H40:I40"/>
    <mergeCell ref="J40:K40"/>
    <mergeCell ref="G2:K2"/>
    <mergeCell ref="C3:D3"/>
    <mergeCell ref="E3:F3"/>
    <mergeCell ref="C2:F2"/>
    <mergeCell ref="H3:I3"/>
    <mergeCell ref="J3:K3"/>
  </mergeCells>
  <phoneticPr fontId="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tint="-0.14999847407452621"/>
  </sheetPr>
  <dimension ref="B2:O152"/>
  <sheetViews>
    <sheetView zoomScaleNormal="100" workbookViewId="0"/>
  </sheetViews>
  <sheetFormatPr defaultColWidth="9" defaultRowHeight="18.75"/>
  <cols>
    <col min="2" max="2" width="68.5" customWidth="1"/>
    <col min="3" max="12" width="15.875" customWidth="1"/>
    <col min="14" max="14" width="40" bestFit="1" customWidth="1"/>
    <col min="15" max="15" width="18.75" bestFit="1" customWidth="1"/>
    <col min="17" max="17" width="43.25" bestFit="1" customWidth="1"/>
    <col min="18" max="18" width="18.5" bestFit="1" customWidth="1"/>
    <col min="19" max="19" width="19.75" bestFit="1" customWidth="1"/>
  </cols>
  <sheetData>
    <row r="2" spans="2:15">
      <c r="B2" s="146" t="s">
        <v>604</v>
      </c>
      <c r="C2" s="146" t="s">
        <v>439</v>
      </c>
      <c r="D2" s="146"/>
      <c r="E2" s="146"/>
      <c r="F2" s="146"/>
      <c r="G2" s="146"/>
      <c r="H2" s="146"/>
      <c r="I2" s="146"/>
      <c r="J2" s="146"/>
      <c r="K2" s="146"/>
      <c r="L2" s="146"/>
      <c r="N2" s="146" t="s">
        <v>604</v>
      </c>
      <c r="O2" s="207" t="s">
        <v>636</v>
      </c>
    </row>
    <row r="3" spans="2:15">
      <c r="B3" s="149" t="s">
        <v>404</v>
      </c>
      <c r="C3" s="149" t="s">
        <v>358</v>
      </c>
      <c r="D3" s="199" t="s">
        <v>195</v>
      </c>
      <c r="E3" s="149"/>
      <c r="F3" s="149"/>
      <c r="G3" s="149"/>
      <c r="H3" s="149"/>
      <c r="I3" s="149"/>
      <c r="J3" s="149"/>
      <c r="K3" s="149"/>
      <c r="L3" s="149"/>
      <c r="N3" s="149" t="s">
        <v>404</v>
      </c>
      <c r="O3" s="199" t="s">
        <v>195</v>
      </c>
    </row>
    <row r="4" spans="2:15">
      <c r="B4" s="150" t="s">
        <v>405</v>
      </c>
      <c r="C4" s="150" t="s">
        <v>358</v>
      </c>
      <c r="D4" s="200" t="s">
        <v>195</v>
      </c>
      <c r="E4" s="150"/>
      <c r="F4" s="150"/>
      <c r="G4" s="150"/>
      <c r="H4" s="150"/>
      <c r="I4" s="150"/>
      <c r="J4" s="150"/>
      <c r="K4" s="150"/>
      <c r="L4" s="150"/>
      <c r="N4" s="150" t="s">
        <v>405</v>
      </c>
      <c r="O4" s="200" t="s">
        <v>195</v>
      </c>
    </row>
    <row r="5" spans="2:15">
      <c r="B5" s="150" t="s">
        <v>613</v>
      </c>
      <c r="C5" s="150" t="s">
        <v>358</v>
      </c>
      <c r="D5" s="200" t="s">
        <v>195</v>
      </c>
      <c r="E5" s="150"/>
      <c r="F5" s="150"/>
      <c r="G5" s="150"/>
      <c r="H5" s="150"/>
      <c r="I5" s="150"/>
      <c r="J5" s="150"/>
      <c r="K5" s="150"/>
      <c r="L5" s="150"/>
      <c r="N5" s="150" t="s">
        <v>613</v>
      </c>
      <c r="O5" s="200" t="s">
        <v>195</v>
      </c>
    </row>
    <row r="6" spans="2:15">
      <c r="B6" s="150" t="s">
        <v>614</v>
      </c>
      <c r="C6" s="150" t="s">
        <v>358</v>
      </c>
      <c r="D6" s="200" t="s">
        <v>195</v>
      </c>
      <c r="E6" s="150"/>
      <c r="F6" s="150"/>
      <c r="G6" s="150"/>
      <c r="H6" s="150"/>
      <c r="I6" s="150"/>
      <c r="J6" s="150"/>
      <c r="K6" s="150"/>
      <c r="L6" s="150"/>
      <c r="N6" s="150" t="s">
        <v>614</v>
      </c>
      <c r="O6" s="200" t="s">
        <v>195</v>
      </c>
    </row>
    <row r="7" spans="2:15">
      <c r="B7" s="150" t="s">
        <v>14</v>
      </c>
      <c r="C7" s="150" t="s">
        <v>358</v>
      </c>
      <c r="D7" s="200" t="s">
        <v>195</v>
      </c>
      <c r="E7" s="150"/>
      <c r="F7" s="150"/>
      <c r="G7" s="150"/>
      <c r="H7" s="150"/>
      <c r="I7" s="150"/>
      <c r="J7" s="150"/>
      <c r="K7" s="150"/>
      <c r="L7" s="150"/>
      <c r="N7" s="150" t="s">
        <v>14</v>
      </c>
      <c r="O7" s="200" t="s">
        <v>195</v>
      </c>
    </row>
    <row r="8" spans="2:15">
      <c r="B8" s="150" t="s">
        <v>15</v>
      </c>
      <c r="C8" s="150" t="s">
        <v>358</v>
      </c>
      <c r="D8" s="200" t="s">
        <v>195</v>
      </c>
      <c r="E8" s="150"/>
      <c r="F8" s="150"/>
      <c r="G8" s="150"/>
      <c r="H8" s="150"/>
      <c r="I8" s="150"/>
      <c r="J8" s="150"/>
      <c r="K8" s="150"/>
      <c r="L8" s="150"/>
      <c r="N8" s="150" t="s">
        <v>15</v>
      </c>
      <c r="O8" s="200" t="s">
        <v>195</v>
      </c>
    </row>
    <row r="9" spans="2:15">
      <c r="B9" s="150" t="s">
        <v>16</v>
      </c>
      <c r="C9" s="150" t="s">
        <v>358</v>
      </c>
      <c r="D9" s="200" t="s">
        <v>195</v>
      </c>
      <c r="E9" s="150"/>
      <c r="F9" s="150"/>
      <c r="G9" s="150"/>
      <c r="H9" s="150"/>
      <c r="I9" s="150"/>
      <c r="J9" s="150"/>
      <c r="K9" s="150"/>
      <c r="L9" s="150"/>
      <c r="N9" s="150" t="s">
        <v>16</v>
      </c>
      <c r="O9" s="200" t="s">
        <v>195</v>
      </c>
    </row>
    <row r="10" spans="2:15">
      <c r="B10" s="150" t="s">
        <v>17</v>
      </c>
      <c r="C10" s="150" t="s">
        <v>358</v>
      </c>
      <c r="D10" s="200" t="s">
        <v>195</v>
      </c>
      <c r="E10" s="150"/>
      <c r="F10" s="150"/>
      <c r="G10" s="150"/>
      <c r="H10" s="150"/>
      <c r="I10" s="150"/>
      <c r="J10" s="150"/>
      <c r="K10" s="150"/>
      <c r="L10" s="150"/>
      <c r="N10" s="150" t="s">
        <v>17</v>
      </c>
      <c r="O10" s="200" t="s">
        <v>195</v>
      </c>
    </row>
    <row r="11" spans="2:15">
      <c r="B11" s="150" t="s">
        <v>18</v>
      </c>
      <c r="C11" s="150" t="s">
        <v>361</v>
      </c>
      <c r="D11" s="200" t="s">
        <v>204</v>
      </c>
      <c r="E11" s="150"/>
      <c r="F11" s="150"/>
      <c r="G11" s="150"/>
      <c r="H11" s="150"/>
      <c r="I11" s="150"/>
      <c r="J11" s="150"/>
      <c r="K11" s="150"/>
      <c r="L11" s="150"/>
      <c r="N11" s="150" t="s">
        <v>18</v>
      </c>
      <c r="O11" s="200" t="s">
        <v>204</v>
      </c>
    </row>
    <row r="12" spans="2:15">
      <c r="B12" s="150" t="s">
        <v>20</v>
      </c>
      <c r="C12" s="150" t="s">
        <v>361</v>
      </c>
      <c r="D12" s="200" t="s">
        <v>204</v>
      </c>
      <c r="E12" s="150"/>
      <c r="F12" s="150"/>
      <c r="G12" s="150"/>
      <c r="H12" s="150"/>
      <c r="I12" s="150"/>
      <c r="J12" s="150"/>
      <c r="K12" s="150"/>
      <c r="L12" s="150"/>
      <c r="N12" s="150" t="s">
        <v>20</v>
      </c>
      <c r="O12" s="200" t="s">
        <v>204</v>
      </c>
    </row>
    <row r="13" spans="2:15" ht="20.25">
      <c r="B13" s="150" t="s">
        <v>400</v>
      </c>
      <c r="C13" s="150" t="s">
        <v>361</v>
      </c>
      <c r="D13" s="200" t="s">
        <v>204</v>
      </c>
      <c r="E13" s="150" t="s">
        <v>359</v>
      </c>
      <c r="F13" s="150" t="s">
        <v>441</v>
      </c>
      <c r="G13" s="150"/>
      <c r="H13" s="150"/>
      <c r="I13" s="150"/>
      <c r="J13" s="150"/>
      <c r="K13" s="150"/>
      <c r="L13" s="150"/>
      <c r="N13" s="150" t="s">
        <v>400</v>
      </c>
      <c r="O13" s="200" t="s">
        <v>204</v>
      </c>
    </row>
    <row r="14" spans="2:15" ht="20.25">
      <c r="B14" s="150" t="s">
        <v>615</v>
      </c>
      <c r="C14" s="150" t="s">
        <v>361</v>
      </c>
      <c r="D14" s="200" t="s">
        <v>204</v>
      </c>
      <c r="E14" s="150" t="s">
        <v>359</v>
      </c>
      <c r="F14" s="150" t="s">
        <v>441</v>
      </c>
      <c r="G14" s="150"/>
      <c r="H14" s="150"/>
      <c r="I14" s="150"/>
      <c r="J14" s="150"/>
      <c r="K14" s="150"/>
      <c r="L14" s="150"/>
      <c r="N14" s="150" t="s">
        <v>615</v>
      </c>
      <c r="O14" s="200" t="s">
        <v>204</v>
      </c>
    </row>
    <row r="15" spans="2:15" ht="20.25">
      <c r="B15" s="150" t="s">
        <v>616</v>
      </c>
      <c r="C15" s="150" t="s">
        <v>361</v>
      </c>
      <c r="D15" s="200" t="s">
        <v>204</v>
      </c>
      <c r="E15" s="150" t="s">
        <v>359</v>
      </c>
      <c r="F15" s="150" t="s">
        <v>441</v>
      </c>
      <c r="G15" s="150"/>
      <c r="H15" s="150"/>
      <c r="I15" s="150"/>
      <c r="J15" s="150"/>
      <c r="K15" s="150"/>
      <c r="L15" s="150"/>
      <c r="N15" s="150" t="s">
        <v>616</v>
      </c>
      <c r="O15" s="200" t="s">
        <v>204</v>
      </c>
    </row>
    <row r="16" spans="2:15" ht="20.25">
      <c r="B16" s="150" t="s">
        <v>403</v>
      </c>
      <c r="C16" s="150" t="s">
        <v>361</v>
      </c>
      <c r="D16" s="200" t="s">
        <v>204</v>
      </c>
      <c r="E16" s="150" t="s">
        <v>359</v>
      </c>
      <c r="F16" s="150" t="s">
        <v>441</v>
      </c>
      <c r="G16" s="150"/>
      <c r="H16" s="150"/>
      <c r="I16" s="150"/>
      <c r="J16" s="150"/>
      <c r="K16" s="150"/>
      <c r="L16" s="150"/>
      <c r="N16" s="150" t="s">
        <v>403</v>
      </c>
      <c r="O16" s="200" t="s">
        <v>204</v>
      </c>
    </row>
    <row r="17" spans="2:15" ht="20.25">
      <c r="B17" s="150" t="s">
        <v>23</v>
      </c>
      <c r="C17" s="150" t="s">
        <v>360</v>
      </c>
      <c r="D17" s="150" t="s">
        <v>442</v>
      </c>
      <c r="E17" s="150" t="s">
        <v>443</v>
      </c>
      <c r="F17" s="200" t="s">
        <v>444</v>
      </c>
      <c r="G17" s="150"/>
      <c r="H17" s="150"/>
      <c r="I17" s="150"/>
      <c r="J17" s="150"/>
      <c r="K17" s="150"/>
      <c r="L17" s="150"/>
      <c r="N17" s="150" t="s">
        <v>23</v>
      </c>
      <c r="O17" s="200" t="s">
        <v>444</v>
      </c>
    </row>
    <row r="18" spans="2:15">
      <c r="B18" s="150" t="s">
        <v>407</v>
      </c>
      <c r="C18" s="150" t="s">
        <v>361</v>
      </c>
      <c r="D18" s="200" t="s">
        <v>204</v>
      </c>
      <c r="E18" s="150"/>
      <c r="F18" s="150"/>
      <c r="G18" s="150"/>
      <c r="H18" s="150"/>
      <c r="I18" s="150"/>
      <c r="J18" s="150"/>
      <c r="K18" s="150"/>
      <c r="L18" s="150"/>
      <c r="N18" s="150" t="s">
        <v>407</v>
      </c>
      <c r="O18" s="200" t="s">
        <v>204</v>
      </c>
    </row>
    <row r="19" spans="2:15" ht="20.25">
      <c r="B19" s="150" t="s">
        <v>26</v>
      </c>
      <c r="C19" s="150" t="s">
        <v>360</v>
      </c>
      <c r="D19" s="150" t="s">
        <v>442</v>
      </c>
      <c r="E19" s="150" t="s">
        <v>359</v>
      </c>
      <c r="F19" s="150" t="s">
        <v>441</v>
      </c>
      <c r="G19" s="150" t="s">
        <v>443</v>
      </c>
      <c r="H19" s="200" t="s">
        <v>444</v>
      </c>
      <c r="I19" s="150"/>
      <c r="J19" s="150"/>
      <c r="K19" s="150"/>
      <c r="L19" s="150"/>
      <c r="N19" s="150" t="s">
        <v>26</v>
      </c>
      <c r="O19" s="200" t="s">
        <v>444</v>
      </c>
    </row>
    <row r="20" spans="2:15">
      <c r="B20" s="150" t="s">
        <v>408</v>
      </c>
      <c r="C20" s="150" t="s">
        <v>361</v>
      </c>
      <c r="D20" s="200" t="s">
        <v>204</v>
      </c>
      <c r="E20" s="150"/>
      <c r="F20" s="150"/>
      <c r="G20" s="150"/>
      <c r="H20" s="150"/>
      <c r="I20" s="150"/>
      <c r="J20" s="150"/>
      <c r="K20" s="150"/>
      <c r="L20" s="150"/>
      <c r="N20" s="150" t="s">
        <v>408</v>
      </c>
      <c r="O20" s="200" t="s">
        <v>204</v>
      </c>
    </row>
    <row r="21" spans="2:15">
      <c r="B21" s="150" t="s">
        <v>409</v>
      </c>
      <c r="C21" s="150" t="s">
        <v>361</v>
      </c>
      <c r="D21" s="200" t="s">
        <v>204</v>
      </c>
      <c r="E21" s="150"/>
      <c r="F21" s="150"/>
      <c r="G21" s="150"/>
      <c r="H21" s="150"/>
      <c r="I21" s="150"/>
      <c r="J21" s="150"/>
      <c r="K21" s="150"/>
      <c r="L21" s="150"/>
      <c r="N21" s="150" t="s">
        <v>409</v>
      </c>
      <c r="O21" s="200" t="s">
        <v>204</v>
      </c>
    </row>
    <row r="22" spans="2:15">
      <c r="B22" s="150" t="s">
        <v>410</v>
      </c>
      <c r="C22" s="150" t="s">
        <v>361</v>
      </c>
      <c r="D22" s="200" t="s">
        <v>204</v>
      </c>
      <c r="E22" s="150"/>
      <c r="F22" s="150"/>
      <c r="G22" s="150"/>
      <c r="H22" s="150"/>
      <c r="I22" s="150"/>
      <c r="J22" s="150"/>
      <c r="K22" s="150"/>
      <c r="L22" s="150"/>
      <c r="N22" s="150" t="s">
        <v>410</v>
      </c>
      <c r="O22" s="200" t="s">
        <v>204</v>
      </c>
    </row>
    <row r="23" spans="2:15">
      <c r="B23" s="150" t="s">
        <v>411</v>
      </c>
      <c r="C23" s="150" t="s">
        <v>361</v>
      </c>
      <c r="D23" s="200" t="s">
        <v>204</v>
      </c>
      <c r="E23" s="150"/>
      <c r="F23" s="150"/>
      <c r="G23" s="150"/>
      <c r="H23" s="150"/>
      <c r="I23" s="150"/>
      <c r="J23" s="150"/>
      <c r="K23" s="150"/>
      <c r="L23" s="150"/>
      <c r="N23" s="150" t="s">
        <v>411</v>
      </c>
      <c r="O23" s="200" t="s">
        <v>204</v>
      </c>
    </row>
    <row r="24" spans="2:15">
      <c r="B24" s="150" t="s">
        <v>412</v>
      </c>
      <c r="C24" s="150" t="s">
        <v>361</v>
      </c>
      <c r="D24" s="200" t="s">
        <v>204</v>
      </c>
      <c r="E24" s="150"/>
      <c r="F24" s="150"/>
      <c r="G24" s="150"/>
      <c r="H24" s="150"/>
      <c r="I24" s="150"/>
      <c r="J24" s="150"/>
      <c r="K24" s="150"/>
      <c r="L24" s="150"/>
      <c r="N24" s="150" t="s">
        <v>412</v>
      </c>
      <c r="O24" s="200" t="s">
        <v>204</v>
      </c>
    </row>
    <row r="25" spans="2:15">
      <c r="B25" s="150" t="s">
        <v>413</v>
      </c>
      <c r="C25" s="150" t="s">
        <v>361</v>
      </c>
      <c r="D25" s="200" t="s">
        <v>204</v>
      </c>
      <c r="E25" s="150"/>
      <c r="F25" s="150"/>
      <c r="G25" s="150"/>
      <c r="H25" s="150"/>
      <c r="I25" s="150"/>
      <c r="J25" s="150"/>
      <c r="K25" s="150"/>
      <c r="L25" s="150"/>
      <c r="N25" s="150" t="s">
        <v>413</v>
      </c>
      <c r="O25" s="200" t="s">
        <v>204</v>
      </c>
    </row>
    <row r="26" spans="2:15">
      <c r="B26" s="150" t="s">
        <v>27</v>
      </c>
      <c r="C26" s="150" t="s">
        <v>361</v>
      </c>
      <c r="D26" s="200" t="s">
        <v>204</v>
      </c>
      <c r="E26" s="150"/>
      <c r="F26" s="150"/>
      <c r="G26" s="150"/>
      <c r="H26" s="150"/>
      <c r="I26" s="150"/>
      <c r="J26" s="150"/>
      <c r="K26" s="150"/>
      <c r="L26" s="150"/>
      <c r="N26" s="150" t="s">
        <v>27</v>
      </c>
      <c r="O26" s="200" t="s">
        <v>204</v>
      </c>
    </row>
    <row r="27" spans="2:15">
      <c r="B27" s="150" t="s">
        <v>617</v>
      </c>
      <c r="C27" s="150" t="s">
        <v>361</v>
      </c>
      <c r="D27" s="200" t="s">
        <v>204</v>
      </c>
      <c r="E27" s="150"/>
      <c r="F27" s="150"/>
      <c r="G27" s="150"/>
      <c r="H27" s="150"/>
      <c r="I27" s="150"/>
      <c r="J27" s="150"/>
      <c r="K27" s="150"/>
      <c r="L27" s="150"/>
      <c r="N27" s="150" t="s">
        <v>617</v>
      </c>
      <c r="O27" s="200" t="s">
        <v>204</v>
      </c>
    </row>
    <row r="28" spans="2:15" ht="20.25">
      <c r="B28" s="150" t="s">
        <v>618</v>
      </c>
      <c r="C28" s="150" t="s">
        <v>360</v>
      </c>
      <c r="D28" s="150" t="s">
        <v>442</v>
      </c>
      <c r="E28" s="150" t="s">
        <v>359</v>
      </c>
      <c r="F28" s="150" t="s">
        <v>441</v>
      </c>
      <c r="G28" s="150" t="s">
        <v>443</v>
      </c>
      <c r="H28" s="200" t="s">
        <v>444</v>
      </c>
      <c r="I28" s="150"/>
      <c r="J28" s="150"/>
      <c r="K28" s="150"/>
      <c r="L28" s="150"/>
      <c r="N28" s="150" t="s">
        <v>618</v>
      </c>
      <c r="O28" s="200" t="s">
        <v>444</v>
      </c>
    </row>
    <row r="29" spans="2:15" ht="20.25">
      <c r="B29" s="150" t="s">
        <v>414</v>
      </c>
      <c r="C29" s="150" t="s">
        <v>360</v>
      </c>
      <c r="D29" s="150" t="s">
        <v>442</v>
      </c>
      <c r="E29" s="150" t="s">
        <v>359</v>
      </c>
      <c r="F29" s="150" t="s">
        <v>441</v>
      </c>
      <c r="G29" s="150" t="s">
        <v>443</v>
      </c>
      <c r="H29" s="200" t="s">
        <v>444</v>
      </c>
      <c r="I29" s="150"/>
      <c r="J29" s="150"/>
      <c r="K29" s="150"/>
      <c r="L29" s="150"/>
      <c r="N29" s="150" t="s">
        <v>414</v>
      </c>
      <c r="O29" s="200" t="s">
        <v>444</v>
      </c>
    </row>
    <row r="30" spans="2:15" ht="20.25">
      <c r="B30" s="150" t="s">
        <v>415</v>
      </c>
      <c r="C30" s="150" t="s">
        <v>360</v>
      </c>
      <c r="D30" s="150" t="s">
        <v>442</v>
      </c>
      <c r="E30" s="150" t="s">
        <v>359</v>
      </c>
      <c r="F30" s="150" t="s">
        <v>441</v>
      </c>
      <c r="G30" s="150" t="s">
        <v>443</v>
      </c>
      <c r="H30" s="200" t="s">
        <v>444</v>
      </c>
      <c r="I30" s="150"/>
      <c r="J30" s="150"/>
      <c r="K30" s="150"/>
      <c r="L30" s="150"/>
      <c r="N30" s="150" t="s">
        <v>415</v>
      </c>
      <c r="O30" s="200" t="s">
        <v>444</v>
      </c>
    </row>
    <row r="31" spans="2:15" ht="20.25">
      <c r="B31" s="150" t="s">
        <v>30</v>
      </c>
      <c r="C31" s="150" t="s">
        <v>360</v>
      </c>
      <c r="D31" s="150" t="s">
        <v>442</v>
      </c>
      <c r="E31" s="150" t="s">
        <v>359</v>
      </c>
      <c r="F31" s="150" t="s">
        <v>441</v>
      </c>
      <c r="G31" s="150" t="s">
        <v>443</v>
      </c>
      <c r="H31" s="200" t="s">
        <v>444</v>
      </c>
      <c r="I31" s="150"/>
      <c r="J31" s="150"/>
      <c r="K31" s="150"/>
      <c r="L31" s="150"/>
      <c r="N31" s="150" t="s">
        <v>30</v>
      </c>
      <c r="O31" s="200" t="s">
        <v>444</v>
      </c>
    </row>
    <row r="32" spans="2:15">
      <c r="B32" s="150" t="s">
        <v>50</v>
      </c>
      <c r="C32" s="150" t="s">
        <v>358</v>
      </c>
      <c r="D32" s="200" t="s">
        <v>195</v>
      </c>
      <c r="E32" s="150"/>
      <c r="F32" s="150"/>
      <c r="G32" s="150"/>
      <c r="H32" s="150"/>
      <c r="I32" s="150"/>
      <c r="J32" s="150"/>
      <c r="K32" s="150"/>
      <c r="L32" s="150"/>
      <c r="N32" s="150" t="s">
        <v>50</v>
      </c>
      <c r="O32" s="200" t="s">
        <v>195</v>
      </c>
    </row>
    <row r="33" spans="2:15" ht="20.25">
      <c r="B33" s="150" t="str">
        <f>非_燃料種類_選択リスト!F33</f>
        <v>その他の燃料①</v>
      </c>
      <c r="C33" s="150" t="s">
        <v>361</v>
      </c>
      <c r="D33" s="150" t="s">
        <v>204</v>
      </c>
      <c r="E33" s="150" t="s">
        <v>358</v>
      </c>
      <c r="F33" s="150" t="s">
        <v>195</v>
      </c>
      <c r="G33" s="150" t="s">
        <v>359</v>
      </c>
      <c r="H33" s="150" t="s">
        <v>441</v>
      </c>
      <c r="I33" s="150" t="s">
        <v>360</v>
      </c>
      <c r="J33" s="150" t="s">
        <v>442</v>
      </c>
      <c r="K33" s="150" t="s">
        <v>443</v>
      </c>
      <c r="L33" s="150" t="s">
        <v>444</v>
      </c>
      <c r="N33" s="150" t="str">
        <f>非_燃料種類_選択リスト!F33</f>
        <v>その他の燃料①</v>
      </c>
      <c r="O33" s="209">
        <f>事業所概要_算定体制!L35</f>
        <v>0</v>
      </c>
    </row>
    <row r="34" spans="2:15" ht="20.25">
      <c r="B34" s="153" t="str">
        <f>非_燃料種類_選択リスト!F34</f>
        <v>その他の燃料②</v>
      </c>
      <c r="C34" s="153" t="s">
        <v>361</v>
      </c>
      <c r="D34" s="153" t="s">
        <v>204</v>
      </c>
      <c r="E34" s="153" t="s">
        <v>358</v>
      </c>
      <c r="F34" s="153" t="s">
        <v>195</v>
      </c>
      <c r="G34" s="153" t="s">
        <v>359</v>
      </c>
      <c r="H34" s="153" t="s">
        <v>441</v>
      </c>
      <c r="I34" s="153" t="s">
        <v>360</v>
      </c>
      <c r="J34" s="153" t="s">
        <v>442</v>
      </c>
      <c r="K34" s="153" t="s">
        <v>443</v>
      </c>
      <c r="L34" s="153" t="s">
        <v>444</v>
      </c>
      <c r="N34" s="153" t="str">
        <f>非_燃料種類_選択リスト!F34</f>
        <v>その他の燃料②</v>
      </c>
      <c r="O34" s="210">
        <f>事業所概要_算定体制!L36</f>
        <v>0</v>
      </c>
    </row>
    <row r="37" spans="2:15">
      <c r="B37" s="146" t="s">
        <v>609</v>
      </c>
      <c r="C37" s="146" t="s">
        <v>439</v>
      </c>
      <c r="D37" s="146"/>
      <c r="E37" s="146"/>
      <c r="F37" s="146"/>
      <c r="G37" s="146"/>
      <c r="H37" s="146"/>
      <c r="N37" s="146" t="s">
        <v>609</v>
      </c>
      <c r="O37" s="146" t="s">
        <v>636</v>
      </c>
    </row>
    <row r="38" spans="2:15">
      <c r="B38" s="150" t="s">
        <v>493</v>
      </c>
      <c r="C38" s="150" t="s">
        <v>434</v>
      </c>
      <c r="D38" s="200" t="s">
        <v>536</v>
      </c>
      <c r="E38" s="150"/>
      <c r="F38" s="150"/>
      <c r="G38" s="150"/>
      <c r="H38" s="150"/>
      <c r="N38" s="149" t="s">
        <v>493</v>
      </c>
      <c r="O38" s="199" t="s">
        <v>536</v>
      </c>
    </row>
    <row r="39" spans="2:15">
      <c r="B39" s="150" t="s">
        <v>485</v>
      </c>
      <c r="C39" s="150" t="s">
        <v>434</v>
      </c>
      <c r="D39" s="200" t="s">
        <v>536</v>
      </c>
      <c r="E39" s="150"/>
      <c r="F39" s="150"/>
      <c r="G39" s="150"/>
      <c r="H39" s="150"/>
      <c r="N39" s="150" t="s">
        <v>485</v>
      </c>
      <c r="O39" s="200" t="s">
        <v>536</v>
      </c>
    </row>
    <row r="40" spans="2:15">
      <c r="B40" s="150" t="s">
        <v>670</v>
      </c>
      <c r="C40" s="150" t="s">
        <v>434</v>
      </c>
      <c r="D40" s="200" t="s">
        <v>536</v>
      </c>
      <c r="E40" s="150"/>
      <c r="F40" s="150"/>
      <c r="G40" s="150"/>
      <c r="H40" s="150"/>
      <c r="N40" s="150" t="s">
        <v>670</v>
      </c>
      <c r="O40" s="200" t="s">
        <v>536</v>
      </c>
    </row>
    <row r="41" spans="2:15">
      <c r="B41" s="150" t="s">
        <v>671</v>
      </c>
      <c r="C41" s="150" t="s">
        <v>434</v>
      </c>
      <c r="D41" s="200" t="s">
        <v>536</v>
      </c>
      <c r="E41" s="150"/>
      <c r="F41" s="150"/>
      <c r="G41" s="150"/>
      <c r="H41" s="150"/>
      <c r="N41" s="150" t="s">
        <v>671</v>
      </c>
      <c r="O41" s="200" t="s">
        <v>536</v>
      </c>
    </row>
    <row r="42" spans="2:15">
      <c r="B42" s="150" t="s">
        <v>490</v>
      </c>
      <c r="C42" s="150" t="s">
        <v>434</v>
      </c>
      <c r="D42" s="200" t="s">
        <v>536</v>
      </c>
      <c r="E42" s="150"/>
      <c r="F42" s="150"/>
      <c r="G42" s="150"/>
      <c r="H42" s="150"/>
      <c r="N42" s="150" t="s">
        <v>490</v>
      </c>
      <c r="O42" s="200" t="s">
        <v>536</v>
      </c>
    </row>
    <row r="43" spans="2:15">
      <c r="B43" s="150" t="s">
        <v>491</v>
      </c>
      <c r="C43" s="150" t="s">
        <v>434</v>
      </c>
      <c r="D43" s="200" t="s">
        <v>536</v>
      </c>
      <c r="E43" s="150"/>
      <c r="F43" s="150"/>
      <c r="G43" s="150"/>
      <c r="H43" s="150"/>
      <c r="N43" s="150" t="s">
        <v>491</v>
      </c>
      <c r="O43" s="200" t="s">
        <v>536</v>
      </c>
    </row>
    <row r="44" spans="2:15">
      <c r="B44" s="150" t="s">
        <v>492</v>
      </c>
      <c r="C44" s="150" t="s">
        <v>434</v>
      </c>
      <c r="D44" s="200" t="s">
        <v>536</v>
      </c>
      <c r="E44" s="150"/>
      <c r="F44" s="150"/>
      <c r="G44" s="150"/>
      <c r="H44" s="150"/>
      <c r="N44" s="150" t="s">
        <v>492</v>
      </c>
      <c r="O44" s="200" t="s">
        <v>536</v>
      </c>
    </row>
    <row r="45" spans="2:15">
      <c r="B45" s="150" t="s">
        <v>1005</v>
      </c>
      <c r="C45" s="150" t="s">
        <v>434</v>
      </c>
      <c r="D45" s="200" t="s">
        <v>536</v>
      </c>
      <c r="E45" s="150"/>
      <c r="F45" s="150"/>
      <c r="G45" s="150"/>
      <c r="H45" s="150"/>
      <c r="N45" s="150" t="s">
        <v>1002</v>
      </c>
      <c r="O45" s="200" t="s">
        <v>536</v>
      </c>
    </row>
    <row r="46" spans="2:15">
      <c r="B46" s="150" t="s">
        <v>900</v>
      </c>
      <c r="C46" s="150" t="s">
        <v>434</v>
      </c>
      <c r="D46" s="200" t="s">
        <v>536</v>
      </c>
      <c r="E46" s="150"/>
      <c r="F46" s="150"/>
      <c r="G46" s="150"/>
      <c r="H46" s="150"/>
      <c r="N46" s="150" t="s">
        <v>900</v>
      </c>
      <c r="O46" s="200" t="s">
        <v>536</v>
      </c>
    </row>
    <row r="47" spans="2:15">
      <c r="B47" s="150" t="s">
        <v>486</v>
      </c>
      <c r="C47" s="150" t="s">
        <v>537</v>
      </c>
      <c r="D47" s="200" t="s">
        <v>194</v>
      </c>
      <c r="E47" s="150"/>
      <c r="F47" s="150"/>
      <c r="G47" s="150"/>
      <c r="H47" s="150"/>
      <c r="N47" s="150" t="s">
        <v>486</v>
      </c>
      <c r="O47" s="200" t="s">
        <v>194</v>
      </c>
    </row>
    <row r="48" spans="2:15">
      <c r="B48" s="150" t="s">
        <v>487</v>
      </c>
      <c r="C48" s="150" t="s">
        <v>537</v>
      </c>
      <c r="D48" s="200" t="s">
        <v>194</v>
      </c>
      <c r="E48" s="150"/>
      <c r="F48" s="150"/>
      <c r="G48" s="150"/>
      <c r="H48" s="150"/>
      <c r="N48" s="150" t="s">
        <v>487</v>
      </c>
      <c r="O48" s="200" t="s">
        <v>194</v>
      </c>
    </row>
    <row r="49" spans="2:15">
      <c r="B49" s="150" t="s">
        <v>488</v>
      </c>
      <c r="C49" s="150" t="s">
        <v>537</v>
      </c>
      <c r="D49" s="200" t="s">
        <v>194</v>
      </c>
      <c r="E49" s="150"/>
      <c r="F49" s="150"/>
      <c r="G49" s="150"/>
      <c r="H49" s="150"/>
      <c r="N49" s="150" t="s">
        <v>488</v>
      </c>
      <c r="O49" s="200" t="s">
        <v>194</v>
      </c>
    </row>
    <row r="50" spans="2:15">
      <c r="B50" s="150" t="s">
        <v>489</v>
      </c>
      <c r="C50" s="150" t="s">
        <v>537</v>
      </c>
      <c r="D50" s="200" t="s">
        <v>194</v>
      </c>
      <c r="E50" s="150"/>
      <c r="F50" s="150"/>
      <c r="G50" s="150"/>
      <c r="H50" s="150"/>
      <c r="N50" s="150" t="s">
        <v>489</v>
      </c>
      <c r="O50" s="200" t="s">
        <v>194</v>
      </c>
    </row>
    <row r="51" spans="2:15">
      <c r="B51" s="150" t="s">
        <v>661</v>
      </c>
      <c r="C51" s="150" t="s">
        <v>838</v>
      </c>
      <c r="D51" s="200" t="s">
        <v>839</v>
      </c>
      <c r="E51" s="150"/>
      <c r="F51" s="150"/>
      <c r="G51" s="150"/>
      <c r="H51" s="150"/>
      <c r="N51" s="208" t="s">
        <v>661</v>
      </c>
      <c r="O51" s="227" t="s">
        <v>839</v>
      </c>
    </row>
    <row r="52" spans="2:15">
      <c r="B52" s="150" t="s">
        <v>660</v>
      </c>
      <c r="C52" s="150" t="s">
        <v>434</v>
      </c>
      <c r="D52" s="200" t="s">
        <v>536</v>
      </c>
      <c r="E52" s="150"/>
      <c r="F52" s="150"/>
      <c r="G52" s="150"/>
      <c r="H52" s="150"/>
      <c r="N52" s="208" t="s">
        <v>660</v>
      </c>
      <c r="O52" s="227" t="s">
        <v>536</v>
      </c>
    </row>
    <row r="53" spans="2:15" ht="20.25">
      <c r="B53" s="153" t="s">
        <v>225</v>
      </c>
      <c r="C53" s="153" t="s">
        <v>359</v>
      </c>
      <c r="D53" s="153" t="s">
        <v>441</v>
      </c>
      <c r="E53" s="153" t="s">
        <v>440</v>
      </c>
      <c r="F53" s="153" t="s">
        <v>442</v>
      </c>
      <c r="G53" s="153" t="s">
        <v>443</v>
      </c>
      <c r="H53" s="201" t="s">
        <v>444</v>
      </c>
      <c r="N53" s="153" t="s">
        <v>225</v>
      </c>
      <c r="O53" s="201" t="s">
        <v>444</v>
      </c>
    </row>
    <row r="55" spans="2:15">
      <c r="B55" s="146" t="s">
        <v>605</v>
      </c>
      <c r="C55" s="146" t="s">
        <v>439</v>
      </c>
      <c r="D55" s="146"/>
      <c r="E55" s="146"/>
      <c r="F55" s="146"/>
      <c r="G55" s="146"/>
      <c r="H55" s="146"/>
    </row>
    <row r="56" spans="2:15">
      <c r="B56" s="149" t="s">
        <v>864</v>
      </c>
      <c r="C56" s="149" t="s">
        <v>361</v>
      </c>
      <c r="D56" s="199" t="s">
        <v>204</v>
      </c>
      <c r="E56" s="149"/>
      <c r="F56" s="149"/>
      <c r="G56" s="149"/>
      <c r="H56" s="149"/>
    </row>
    <row r="57" spans="2:15">
      <c r="B57" s="150" t="s">
        <v>102</v>
      </c>
      <c r="C57" s="150" t="s">
        <v>361</v>
      </c>
      <c r="D57" s="200" t="s">
        <v>204</v>
      </c>
      <c r="E57" s="150"/>
      <c r="F57" s="150"/>
      <c r="G57" s="150"/>
      <c r="H57" s="150"/>
    </row>
    <row r="58" spans="2:15">
      <c r="B58" s="150" t="s">
        <v>103</v>
      </c>
      <c r="C58" s="150" t="s">
        <v>361</v>
      </c>
      <c r="D58" s="200" t="s">
        <v>204</v>
      </c>
      <c r="E58" s="150"/>
      <c r="F58" s="150"/>
      <c r="G58" s="150"/>
      <c r="H58" s="150"/>
    </row>
    <row r="59" spans="2:15">
      <c r="B59" s="150" t="s">
        <v>104</v>
      </c>
      <c r="C59" s="150" t="s">
        <v>361</v>
      </c>
      <c r="D59" s="200" t="s">
        <v>204</v>
      </c>
      <c r="E59" s="150"/>
      <c r="F59" s="150"/>
      <c r="G59" s="150"/>
      <c r="H59" s="150"/>
    </row>
    <row r="60" spans="2:15">
      <c r="B60" s="150" t="s">
        <v>105</v>
      </c>
      <c r="C60" s="150" t="s">
        <v>361</v>
      </c>
      <c r="D60" s="200" t="s">
        <v>204</v>
      </c>
      <c r="E60" s="150"/>
      <c r="F60" s="150"/>
      <c r="G60" s="150"/>
      <c r="H60" s="150"/>
    </row>
    <row r="61" spans="2:15">
      <c r="B61" s="180" t="s">
        <v>106</v>
      </c>
      <c r="C61" s="150" t="s">
        <v>358</v>
      </c>
      <c r="D61" s="200" t="s">
        <v>195</v>
      </c>
      <c r="E61" s="150"/>
      <c r="F61" s="150"/>
      <c r="G61" s="150"/>
      <c r="H61" s="150"/>
    </row>
    <row r="62" spans="2:15">
      <c r="B62" s="150" t="s">
        <v>107</v>
      </c>
      <c r="C62" s="150" t="s">
        <v>358</v>
      </c>
      <c r="D62" s="200" t="s">
        <v>195</v>
      </c>
      <c r="E62" s="150"/>
      <c r="F62" s="150"/>
      <c r="G62" s="150"/>
      <c r="H62" s="150"/>
    </row>
    <row r="63" spans="2:15" ht="20.25">
      <c r="B63" s="150" t="s">
        <v>108</v>
      </c>
      <c r="C63" s="150" t="s">
        <v>359</v>
      </c>
      <c r="D63" s="200" t="s">
        <v>441</v>
      </c>
      <c r="E63" s="150"/>
      <c r="F63" s="150"/>
      <c r="G63" s="150"/>
      <c r="H63" s="150"/>
    </row>
    <row r="64" spans="2:15">
      <c r="B64" s="150" t="s">
        <v>172</v>
      </c>
      <c r="C64" s="150" t="s">
        <v>436</v>
      </c>
      <c r="D64" s="200" t="s">
        <v>437</v>
      </c>
      <c r="E64" s="150"/>
      <c r="F64" s="150"/>
      <c r="G64" s="150"/>
      <c r="H64" s="150"/>
    </row>
    <row r="65" spans="2:8" ht="20.25">
      <c r="B65" s="150" t="str">
        <f>IF(非化石燃料!C17="","廃棄物原燃料　自由記入1",非化石燃料!C17)</f>
        <v>廃棄物原燃料　自由記入1</v>
      </c>
      <c r="C65" s="150" t="s">
        <v>436</v>
      </c>
      <c r="D65" s="150" t="s">
        <v>437</v>
      </c>
      <c r="E65" s="150" t="s">
        <v>435</v>
      </c>
      <c r="F65" s="150" t="s">
        <v>322</v>
      </c>
      <c r="G65" s="150" t="s">
        <v>359</v>
      </c>
      <c r="H65" s="150" t="s">
        <v>441</v>
      </c>
    </row>
    <row r="66" spans="2:8" ht="20.25">
      <c r="B66" s="150" t="str">
        <f>IF(非化石燃料!C18="","廃棄物原燃料　自由記入2",非化石燃料!C18)</f>
        <v>廃棄物原燃料　自由記入2</v>
      </c>
      <c r="C66" s="150" t="s">
        <v>436</v>
      </c>
      <c r="D66" s="150" t="s">
        <v>437</v>
      </c>
      <c r="E66" s="150" t="s">
        <v>435</v>
      </c>
      <c r="F66" s="150" t="s">
        <v>322</v>
      </c>
      <c r="G66" s="150" t="s">
        <v>359</v>
      </c>
      <c r="H66" s="150" t="s">
        <v>441</v>
      </c>
    </row>
    <row r="67" spans="2:8">
      <c r="B67" s="150" t="s">
        <v>174</v>
      </c>
      <c r="C67" s="150" t="s">
        <v>436</v>
      </c>
      <c r="D67" s="200" t="s">
        <v>437</v>
      </c>
      <c r="E67" s="150"/>
      <c r="F67" s="150"/>
      <c r="G67" s="150"/>
      <c r="H67" s="150"/>
    </row>
    <row r="68" spans="2:8">
      <c r="B68" s="150" t="s">
        <v>175</v>
      </c>
      <c r="C68" s="150" t="s">
        <v>436</v>
      </c>
      <c r="D68" s="200" t="s">
        <v>437</v>
      </c>
      <c r="E68" s="150"/>
      <c r="F68" s="150"/>
      <c r="G68" s="150"/>
      <c r="H68" s="150"/>
    </row>
    <row r="69" spans="2:8">
      <c r="B69" s="150" t="s">
        <v>176</v>
      </c>
      <c r="C69" s="150" t="s">
        <v>436</v>
      </c>
      <c r="D69" s="200" t="s">
        <v>437</v>
      </c>
      <c r="E69" s="150"/>
      <c r="F69" s="150"/>
      <c r="G69" s="150"/>
      <c r="H69" s="150"/>
    </row>
    <row r="70" spans="2:8">
      <c r="B70" s="150" t="s">
        <v>510</v>
      </c>
      <c r="C70" s="150" t="s">
        <v>435</v>
      </c>
      <c r="D70" s="200" t="s">
        <v>322</v>
      </c>
      <c r="E70" s="150"/>
      <c r="F70" s="150"/>
      <c r="G70" s="150"/>
      <c r="H70" s="150"/>
    </row>
    <row r="71" spans="2:8">
      <c r="B71" s="150" t="s">
        <v>1001</v>
      </c>
      <c r="C71" s="150" t="s">
        <v>435</v>
      </c>
      <c r="D71" s="200" t="s">
        <v>322</v>
      </c>
      <c r="E71" s="150"/>
      <c r="F71" s="150"/>
      <c r="G71" s="150"/>
      <c r="H71" s="150"/>
    </row>
    <row r="72" spans="2:8" ht="20.25">
      <c r="B72" s="150" t="s">
        <v>512</v>
      </c>
      <c r="C72" s="150" t="s">
        <v>359</v>
      </c>
      <c r="D72" s="200" t="s">
        <v>441</v>
      </c>
      <c r="E72" s="150"/>
      <c r="F72" s="150"/>
      <c r="G72" s="150"/>
      <c r="H72" s="150"/>
    </row>
    <row r="73" spans="2:8">
      <c r="B73" s="150" t="s">
        <v>180</v>
      </c>
      <c r="C73" s="150" t="s">
        <v>436</v>
      </c>
      <c r="D73" s="200" t="s">
        <v>437</v>
      </c>
      <c r="E73" s="150"/>
      <c r="F73" s="150"/>
      <c r="G73" s="150"/>
      <c r="H73" s="150"/>
    </row>
    <row r="74" spans="2:8" ht="20.25">
      <c r="B74" s="150" t="str">
        <f>IF(非化石燃料!C26="","バイオマス燃料　自由記入1",非化石燃料!C26)</f>
        <v>バイオマス燃料　自由記入1</v>
      </c>
      <c r="C74" s="150" t="s">
        <v>436</v>
      </c>
      <c r="D74" s="150" t="s">
        <v>437</v>
      </c>
      <c r="E74" s="150" t="s">
        <v>435</v>
      </c>
      <c r="F74" s="150" t="s">
        <v>322</v>
      </c>
      <c r="G74" s="150" t="s">
        <v>359</v>
      </c>
      <c r="H74" s="150" t="s">
        <v>441</v>
      </c>
    </row>
    <row r="75" spans="2:8" ht="20.25">
      <c r="B75" s="150" t="str">
        <f>IF(非化石燃料!C27="","バイオマス燃料　自由記入2",非化石燃料!C27)</f>
        <v>バイオマス燃料　自由記入2</v>
      </c>
      <c r="C75" s="150" t="s">
        <v>436</v>
      </c>
      <c r="D75" s="150" t="s">
        <v>437</v>
      </c>
      <c r="E75" s="150" t="s">
        <v>435</v>
      </c>
      <c r="F75" s="150" t="s">
        <v>322</v>
      </c>
      <c r="G75" s="150" t="s">
        <v>359</v>
      </c>
      <c r="H75" s="150" t="s">
        <v>441</v>
      </c>
    </row>
    <row r="76" spans="2:8">
      <c r="B76" s="150" t="s">
        <v>182</v>
      </c>
      <c r="C76" s="150" t="s">
        <v>436</v>
      </c>
      <c r="D76" s="200" t="s">
        <v>437</v>
      </c>
      <c r="E76" s="150"/>
      <c r="F76" s="150"/>
      <c r="G76" s="150"/>
      <c r="H76" s="150"/>
    </row>
    <row r="77" spans="2:8">
      <c r="B77" s="150" t="s">
        <v>538</v>
      </c>
      <c r="C77" s="150" t="s">
        <v>436</v>
      </c>
      <c r="D77" s="200" t="s">
        <v>437</v>
      </c>
      <c r="E77" s="150"/>
      <c r="F77" s="150"/>
      <c r="G77" s="150"/>
      <c r="H77" s="150"/>
    </row>
    <row r="78" spans="2:8" ht="20.25">
      <c r="B78" s="150" t="str">
        <f>IF(非化石燃料!C30="","その他の非化石燃料　自由記入1",非化石燃料!C30)</f>
        <v>その他の非化石燃料　自由記入1</v>
      </c>
      <c r="C78" s="150" t="s">
        <v>436</v>
      </c>
      <c r="D78" s="150" t="s">
        <v>437</v>
      </c>
      <c r="E78" s="150" t="s">
        <v>435</v>
      </c>
      <c r="F78" s="150" t="s">
        <v>322</v>
      </c>
      <c r="G78" s="150" t="s">
        <v>359</v>
      </c>
      <c r="H78" s="150" t="s">
        <v>441</v>
      </c>
    </row>
    <row r="79" spans="2:8" ht="20.25">
      <c r="B79" s="153" t="str">
        <f>IF(非化石燃料!C31="","その他の非化石燃料　自由記入2",非化石燃料!C31)</f>
        <v>その他の非化石燃料　自由記入2</v>
      </c>
      <c r="C79" s="153" t="s">
        <v>436</v>
      </c>
      <c r="D79" s="153" t="s">
        <v>437</v>
      </c>
      <c r="E79" s="153" t="s">
        <v>435</v>
      </c>
      <c r="F79" s="153" t="s">
        <v>322</v>
      </c>
      <c r="G79" s="153" t="s">
        <v>359</v>
      </c>
      <c r="H79" s="153" t="s">
        <v>441</v>
      </c>
    </row>
    <row r="81" spans="2:8">
      <c r="B81" s="146" t="s">
        <v>607</v>
      </c>
      <c r="C81" s="146" t="s">
        <v>439</v>
      </c>
      <c r="D81" s="146"/>
    </row>
    <row r="82" spans="2:8">
      <c r="B82" s="149" t="s">
        <v>59</v>
      </c>
      <c r="C82" s="149" t="s">
        <v>434</v>
      </c>
      <c r="D82" s="149" t="s">
        <v>536</v>
      </c>
      <c r="F82" s="146" t="s">
        <v>951</v>
      </c>
      <c r="G82" s="146"/>
    </row>
    <row r="83" spans="2:8">
      <c r="B83" s="150" t="s">
        <v>608</v>
      </c>
      <c r="C83" s="150" t="s">
        <v>537</v>
      </c>
      <c r="D83" s="150" t="s">
        <v>194</v>
      </c>
    </row>
    <row r="84" spans="2:8">
      <c r="B84" s="150" t="s">
        <v>60</v>
      </c>
      <c r="C84" s="150" t="s">
        <v>433</v>
      </c>
      <c r="D84" s="150" t="s">
        <v>536</v>
      </c>
    </row>
    <row r="85" spans="2:8">
      <c r="B85" s="153" t="s">
        <v>672</v>
      </c>
      <c r="C85" s="153" t="s">
        <v>433</v>
      </c>
      <c r="D85" s="153" t="s">
        <v>536</v>
      </c>
    </row>
    <row r="87" spans="2:8">
      <c r="B87" s="146" t="s">
        <v>606</v>
      </c>
      <c r="C87" s="146" t="s">
        <v>439</v>
      </c>
      <c r="D87" s="146"/>
      <c r="E87" s="146"/>
      <c r="F87" s="146"/>
      <c r="G87" s="146"/>
      <c r="H87" s="146"/>
    </row>
    <row r="88" spans="2:8">
      <c r="B88" s="181" t="s">
        <v>541</v>
      </c>
      <c r="C88" s="149" t="s">
        <v>436</v>
      </c>
      <c r="D88" s="199" t="s">
        <v>437</v>
      </c>
      <c r="E88" s="149"/>
      <c r="F88" s="149"/>
      <c r="G88" s="149"/>
      <c r="H88" s="149"/>
    </row>
    <row r="89" spans="2:8">
      <c r="B89" s="180" t="s">
        <v>542</v>
      </c>
      <c r="C89" s="150" t="s">
        <v>436</v>
      </c>
      <c r="D89" s="200" t="s">
        <v>437</v>
      </c>
      <c r="E89" s="150"/>
      <c r="F89" s="150"/>
      <c r="G89" s="150"/>
      <c r="H89" s="150"/>
    </row>
    <row r="90" spans="2:8">
      <c r="B90" s="180" t="s">
        <v>543</v>
      </c>
      <c r="C90" s="150" t="s">
        <v>436</v>
      </c>
      <c r="D90" s="200" t="s">
        <v>437</v>
      </c>
      <c r="E90" s="150"/>
      <c r="F90" s="150"/>
      <c r="G90" s="150"/>
      <c r="H90" s="150"/>
    </row>
    <row r="91" spans="2:8">
      <c r="B91" s="180" t="s">
        <v>544</v>
      </c>
      <c r="C91" s="150" t="s">
        <v>436</v>
      </c>
      <c r="D91" s="200" t="s">
        <v>437</v>
      </c>
      <c r="E91" s="150"/>
      <c r="F91" s="150"/>
      <c r="G91" s="150"/>
      <c r="H91" s="150"/>
    </row>
    <row r="92" spans="2:8">
      <c r="B92" s="180" t="s">
        <v>545</v>
      </c>
      <c r="C92" s="150" t="s">
        <v>436</v>
      </c>
      <c r="D92" s="200" t="s">
        <v>437</v>
      </c>
      <c r="E92" s="150"/>
      <c r="F92" s="150"/>
      <c r="G92" s="150"/>
      <c r="H92" s="150"/>
    </row>
    <row r="93" spans="2:8">
      <c r="B93" s="180" t="s">
        <v>546</v>
      </c>
      <c r="C93" s="150" t="s">
        <v>436</v>
      </c>
      <c r="D93" s="200" t="s">
        <v>437</v>
      </c>
      <c r="E93" s="150"/>
      <c r="F93" s="150"/>
      <c r="G93" s="150"/>
      <c r="H93" s="150"/>
    </row>
    <row r="94" spans="2:8">
      <c r="B94" s="180" t="s">
        <v>547</v>
      </c>
      <c r="C94" s="150" t="s">
        <v>436</v>
      </c>
      <c r="D94" s="200" t="s">
        <v>437</v>
      </c>
      <c r="E94" s="150"/>
      <c r="F94" s="150"/>
      <c r="G94" s="150"/>
      <c r="H94" s="150"/>
    </row>
    <row r="95" spans="2:8">
      <c r="B95" s="180" t="s">
        <v>548</v>
      </c>
      <c r="C95" s="150" t="s">
        <v>436</v>
      </c>
      <c r="D95" s="200" t="s">
        <v>437</v>
      </c>
      <c r="E95" s="150"/>
      <c r="F95" s="150"/>
      <c r="G95" s="150"/>
      <c r="H95" s="150"/>
    </row>
    <row r="96" spans="2:8">
      <c r="B96" s="180" t="s">
        <v>549</v>
      </c>
      <c r="C96" s="150" t="s">
        <v>436</v>
      </c>
      <c r="D96" s="200" t="s">
        <v>437</v>
      </c>
      <c r="E96" s="150"/>
      <c r="F96" s="150"/>
      <c r="G96" s="150"/>
      <c r="H96" s="150"/>
    </row>
    <row r="97" spans="2:8">
      <c r="B97" s="180" t="s">
        <v>539</v>
      </c>
      <c r="C97" s="150" t="s">
        <v>436</v>
      </c>
      <c r="D97" s="200" t="s">
        <v>437</v>
      </c>
      <c r="E97" s="150"/>
      <c r="F97" s="150"/>
      <c r="G97" s="150"/>
      <c r="H97" s="150"/>
    </row>
    <row r="98" spans="2:8">
      <c r="B98" s="180" t="s">
        <v>550</v>
      </c>
      <c r="C98" s="150" t="s">
        <v>436</v>
      </c>
      <c r="D98" s="200" t="s">
        <v>437</v>
      </c>
      <c r="E98" s="150"/>
      <c r="F98" s="150"/>
      <c r="G98" s="150"/>
      <c r="H98" s="150"/>
    </row>
    <row r="99" spans="2:8">
      <c r="B99" s="180" t="s">
        <v>551</v>
      </c>
      <c r="C99" s="150" t="s">
        <v>436</v>
      </c>
      <c r="D99" s="200" t="s">
        <v>437</v>
      </c>
      <c r="E99" s="150"/>
      <c r="F99" s="150"/>
      <c r="G99" s="150"/>
      <c r="H99" s="150"/>
    </row>
    <row r="100" spans="2:8">
      <c r="B100" s="180" t="s">
        <v>552</v>
      </c>
      <c r="C100" s="150" t="s">
        <v>436</v>
      </c>
      <c r="D100" s="200" t="s">
        <v>437</v>
      </c>
      <c r="E100" s="150"/>
      <c r="F100" s="150"/>
      <c r="G100" s="150"/>
      <c r="H100" s="150"/>
    </row>
    <row r="101" spans="2:8">
      <c r="B101" s="180" t="s">
        <v>553</v>
      </c>
      <c r="C101" s="150" t="s">
        <v>436</v>
      </c>
      <c r="D101" s="200" t="s">
        <v>437</v>
      </c>
      <c r="E101" s="150"/>
      <c r="F101" s="150"/>
      <c r="G101" s="150"/>
      <c r="H101" s="150"/>
    </row>
    <row r="102" spans="2:8">
      <c r="B102" s="180" t="s">
        <v>554</v>
      </c>
      <c r="C102" s="150" t="s">
        <v>436</v>
      </c>
      <c r="D102" s="200" t="s">
        <v>437</v>
      </c>
      <c r="E102" s="150"/>
      <c r="F102" s="150"/>
      <c r="G102" s="150"/>
      <c r="H102" s="150"/>
    </row>
    <row r="103" spans="2:8">
      <c r="B103" s="180" t="s">
        <v>555</v>
      </c>
      <c r="C103" s="150" t="s">
        <v>436</v>
      </c>
      <c r="D103" s="200" t="s">
        <v>437</v>
      </c>
      <c r="E103" s="150"/>
      <c r="F103" s="150"/>
      <c r="G103" s="150"/>
      <c r="H103" s="150"/>
    </row>
    <row r="104" spans="2:8">
      <c r="B104" s="180" t="s">
        <v>556</v>
      </c>
      <c r="C104" s="150" t="s">
        <v>436</v>
      </c>
      <c r="D104" s="200" t="s">
        <v>437</v>
      </c>
      <c r="E104" s="150"/>
      <c r="F104" s="150"/>
      <c r="G104" s="150"/>
      <c r="H104" s="150"/>
    </row>
    <row r="105" spans="2:8">
      <c r="B105" s="180" t="s">
        <v>557</v>
      </c>
      <c r="C105" s="150" t="s">
        <v>436</v>
      </c>
      <c r="D105" s="200" t="s">
        <v>437</v>
      </c>
      <c r="E105" s="150"/>
      <c r="F105" s="150"/>
      <c r="G105" s="150"/>
      <c r="H105" s="150"/>
    </row>
    <row r="106" spans="2:8">
      <c r="B106" s="180" t="s">
        <v>558</v>
      </c>
      <c r="C106" s="150" t="s">
        <v>436</v>
      </c>
      <c r="D106" s="200" t="s">
        <v>437</v>
      </c>
      <c r="E106" s="150"/>
      <c r="F106" s="150"/>
      <c r="G106" s="150"/>
      <c r="H106" s="150"/>
    </row>
    <row r="107" spans="2:8">
      <c r="B107" s="180" t="s">
        <v>559</v>
      </c>
      <c r="C107" s="150" t="s">
        <v>436</v>
      </c>
      <c r="D107" s="200" t="s">
        <v>437</v>
      </c>
      <c r="E107" s="150"/>
      <c r="F107" s="150"/>
      <c r="G107" s="150"/>
      <c r="H107" s="150"/>
    </row>
    <row r="108" spans="2:8">
      <c r="B108" s="180" t="s">
        <v>540</v>
      </c>
      <c r="C108" s="150" t="s">
        <v>436</v>
      </c>
      <c r="D108" s="200" t="s">
        <v>437</v>
      </c>
      <c r="E108" s="150"/>
      <c r="F108" s="150"/>
      <c r="G108" s="150"/>
      <c r="H108" s="150"/>
    </row>
    <row r="109" spans="2:8">
      <c r="B109" s="180" t="s">
        <v>560</v>
      </c>
      <c r="C109" s="150" t="s">
        <v>436</v>
      </c>
      <c r="D109" s="200" t="s">
        <v>437</v>
      </c>
      <c r="E109" s="150"/>
      <c r="F109" s="150"/>
      <c r="G109" s="150"/>
      <c r="H109" s="150"/>
    </row>
    <row r="110" spans="2:8">
      <c r="B110" s="180" t="s">
        <v>561</v>
      </c>
      <c r="C110" s="150" t="s">
        <v>436</v>
      </c>
      <c r="D110" s="200" t="s">
        <v>437</v>
      </c>
      <c r="E110" s="150"/>
      <c r="F110" s="150"/>
      <c r="G110" s="150"/>
      <c r="H110" s="150"/>
    </row>
    <row r="111" spans="2:8">
      <c r="B111" s="180" t="s">
        <v>562</v>
      </c>
      <c r="C111" s="150" t="s">
        <v>436</v>
      </c>
      <c r="D111" s="200" t="s">
        <v>437</v>
      </c>
      <c r="E111" s="150"/>
      <c r="F111" s="150"/>
      <c r="G111" s="150"/>
      <c r="H111" s="150"/>
    </row>
    <row r="112" spans="2:8">
      <c r="B112" s="180" t="s">
        <v>563</v>
      </c>
      <c r="C112" s="150" t="s">
        <v>436</v>
      </c>
      <c r="D112" s="200" t="s">
        <v>437</v>
      </c>
      <c r="E112" s="150"/>
      <c r="F112" s="150"/>
      <c r="G112" s="150"/>
      <c r="H112" s="150"/>
    </row>
    <row r="113" spans="2:8">
      <c r="B113" s="180" t="s">
        <v>564</v>
      </c>
      <c r="C113" s="150" t="s">
        <v>436</v>
      </c>
      <c r="D113" s="200" t="s">
        <v>437</v>
      </c>
      <c r="E113" s="150"/>
      <c r="F113" s="150"/>
      <c r="G113" s="150"/>
      <c r="H113" s="150"/>
    </row>
    <row r="114" spans="2:8">
      <c r="B114" s="180" t="s">
        <v>565</v>
      </c>
      <c r="C114" s="150" t="s">
        <v>436</v>
      </c>
      <c r="D114" s="200" t="s">
        <v>437</v>
      </c>
      <c r="E114" s="150"/>
      <c r="F114" s="150"/>
      <c r="G114" s="150"/>
      <c r="H114" s="150"/>
    </row>
    <row r="115" spans="2:8">
      <c r="B115" s="180" t="s">
        <v>566</v>
      </c>
      <c r="C115" s="150" t="s">
        <v>358</v>
      </c>
      <c r="D115" s="200" t="s">
        <v>195</v>
      </c>
      <c r="E115" s="150"/>
      <c r="F115" s="150"/>
      <c r="G115" s="150"/>
      <c r="H115" s="150"/>
    </row>
    <row r="116" spans="2:8">
      <c r="B116" s="180" t="s">
        <v>567</v>
      </c>
      <c r="C116" s="150" t="s">
        <v>436</v>
      </c>
      <c r="D116" s="200" t="s">
        <v>437</v>
      </c>
      <c r="E116" s="150"/>
      <c r="F116" s="150"/>
      <c r="G116" s="150"/>
      <c r="H116" s="150"/>
    </row>
    <row r="117" spans="2:8" ht="20.25">
      <c r="B117" s="180" t="s">
        <v>568</v>
      </c>
      <c r="C117" s="150" t="s">
        <v>359</v>
      </c>
      <c r="D117" s="200" t="s">
        <v>441</v>
      </c>
      <c r="E117" s="150"/>
      <c r="F117" s="150"/>
      <c r="G117" s="150"/>
      <c r="H117" s="150"/>
    </row>
    <row r="118" spans="2:8">
      <c r="B118" s="180" t="s">
        <v>569</v>
      </c>
      <c r="C118" s="150" t="s">
        <v>436</v>
      </c>
      <c r="D118" s="200" t="s">
        <v>437</v>
      </c>
      <c r="E118" s="150"/>
      <c r="F118" s="150"/>
      <c r="G118" s="150"/>
      <c r="H118" s="150"/>
    </row>
    <row r="119" spans="2:8">
      <c r="B119" s="180" t="s">
        <v>570</v>
      </c>
      <c r="C119" s="150" t="s">
        <v>436</v>
      </c>
      <c r="D119" s="200" t="s">
        <v>437</v>
      </c>
      <c r="E119" s="150"/>
      <c r="F119" s="150"/>
      <c r="G119" s="150"/>
      <c r="H119" s="150"/>
    </row>
    <row r="120" spans="2:8">
      <c r="B120" s="180" t="s">
        <v>571</v>
      </c>
      <c r="C120" s="150" t="s">
        <v>436</v>
      </c>
      <c r="D120" s="200" t="s">
        <v>437</v>
      </c>
      <c r="E120" s="150"/>
      <c r="F120" s="150"/>
      <c r="G120" s="150"/>
      <c r="H120" s="150"/>
    </row>
    <row r="121" spans="2:8">
      <c r="B121" s="180" t="s">
        <v>572</v>
      </c>
      <c r="C121" s="150" t="s">
        <v>436</v>
      </c>
      <c r="D121" s="200" t="s">
        <v>437</v>
      </c>
      <c r="E121" s="150"/>
      <c r="F121" s="150"/>
      <c r="G121" s="150"/>
      <c r="H121" s="150"/>
    </row>
    <row r="122" spans="2:8">
      <c r="B122" s="180" t="s">
        <v>573</v>
      </c>
      <c r="C122" s="150" t="s">
        <v>436</v>
      </c>
      <c r="D122" s="200" t="s">
        <v>437</v>
      </c>
      <c r="E122" s="150"/>
      <c r="F122" s="150"/>
      <c r="G122" s="150"/>
      <c r="H122" s="150"/>
    </row>
    <row r="123" spans="2:8">
      <c r="B123" s="180" t="s">
        <v>574</v>
      </c>
      <c r="C123" s="150" t="s">
        <v>436</v>
      </c>
      <c r="D123" s="200" t="s">
        <v>437</v>
      </c>
      <c r="E123" s="150"/>
      <c r="F123" s="150"/>
      <c r="G123" s="150"/>
      <c r="H123" s="150"/>
    </row>
    <row r="124" spans="2:8">
      <c r="B124" s="180" t="s">
        <v>575</v>
      </c>
      <c r="C124" s="150" t="s">
        <v>436</v>
      </c>
      <c r="D124" s="200" t="s">
        <v>437</v>
      </c>
      <c r="E124" s="150"/>
      <c r="F124" s="150"/>
      <c r="G124" s="150"/>
      <c r="H124" s="150"/>
    </row>
    <row r="125" spans="2:8">
      <c r="B125" s="180" t="s">
        <v>576</v>
      </c>
      <c r="C125" s="150" t="s">
        <v>436</v>
      </c>
      <c r="D125" s="200" t="s">
        <v>437</v>
      </c>
      <c r="E125" s="150"/>
      <c r="F125" s="150"/>
      <c r="G125" s="150"/>
      <c r="H125" s="150"/>
    </row>
    <row r="126" spans="2:8">
      <c r="B126" s="180" t="s">
        <v>577</v>
      </c>
      <c r="C126" s="150" t="s">
        <v>436</v>
      </c>
      <c r="D126" s="200" t="s">
        <v>437</v>
      </c>
      <c r="E126" s="150"/>
      <c r="F126" s="150"/>
      <c r="G126" s="150"/>
      <c r="H126" s="150"/>
    </row>
    <row r="127" spans="2:8">
      <c r="B127" s="180" t="s">
        <v>578</v>
      </c>
      <c r="C127" s="150" t="s">
        <v>436</v>
      </c>
      <c r="D127" s="200" t="s">
        <v>437</v>
      </c>
      <c r="E127" s="150"/>
      <c r="F127" s="150"/>
      <c r="G127" s="150"/>
      <c r="H127" s="150"/>
    </row>
    <row r="128" spans="2:8">
      <c r="B128" s="180" t="s">
        <v>579</v>
      </c>
      <c r="C128" s="150" t="s">
        <v>436</v>
      </c>
      <c r="D128" s="200" t="s">
        <v>437</v>
      </c>
      <c r="E128" s="150"/>
      <c r="F128" s="150"/>
      <c r="G128" s="150"/>
      <c r="H128" s="150"/>
    </row>
    <row r="129" spans="2:8">
      <c r="B129" s="180" t="s">
        <v>580</v>
      </c>
      <c r="C129" s="150" t="s">
        <v>436</v>
      </c>
      <c r="D129" s="200" t="s">
        <v>437</v>
      </c>
      <c r="E129" s="150"/>
      <c r="F129" s="150"/>
      <c r="G129" s="150"/>
      <c r="H129" s="150"/>
    </row>
    <row r="130" spans="2:8">
      <c r="B130" s="180" t="s">
        <v>581</v>
      </c>
      <c r="C130" s="150" t="s">
        <v>436</v>
      </c>
      <c r="D130" s="200" t="s">
        <v>437</v>
      </c>
      <c r="E130" s="150"/>
      <c r="F130" s="150"/>
      <c r="G130" s="150"/>
      <c r="H130" s="150"/>
    </row>
    <row r="131" spans="2:8">
      <c r="B131" s="180" t="s">
        <v>582</v>
      </c>
      <c r="C131" s="150" t="s">
        <v>436</v>
      </c>
      <c r="D131" s="200" t="s">
        <v>437</v>
      </c>
      <c r="E131" s="150"/>
      <c r="F131" s="150"/>
      <c r="G131" s="150"/>
      <c r="H131" s="150"/>
    </row>
    <row r="132" spans="2:8">
      <c r="B132" s="180" t="s">
        <v>583</v>
      </c>
      <c r="C132" s="150" t="s">
        <v>436</v>
      </c>
      <c r="D132" s="200" t="s">
        <v>437</v>
      </c>
      <c r="E132" s="150"/>
      <c r="F132" s="150"/>
      <c r="G132" s="150"/>
      <c r="H132" s="150"/>
    </row>
    <row r="133" spans="2:8">
      <c r="B133" s="180" t="s">
        <v>584</v>
      </c>
      <c r="C133" s="150" t="s">
        <v>436</v>
      </c>
      <c r="D133" s="200" t="s">
        <v>437</v>
      </c>
      <c r="E133" s="150"/>
      <c r="F133" s="150"/>
      <c r="G133" s="150"/>
      <c r="H133" s="150"/>
    </row>
    <row r="134" spans="2:8">
      <c r="B134" s="180" t="s">
        <v>585</v>
      </c>
      <c r="C134" s="150" t="s">
        <v>436</v>
      </c>
      <c r="D134" s="200" t="s">
        <v>437</v>
      </c>
      <c r="E134" s="150"/>
      <c r="F134" s="150"/>
      <c r="G134" s="150"/>
      <c r="H134" s="150"/>
    </row>
    <row r="135" spans="2:8" ht="20.25">
      <c r="B135" s="180" t="s">
        <v>586</v>
      </c>
      <c r="C135" s="150" t="s">
        <v>360</v>
      </c>
      <c r="D135" s="200" t="s">
        <v>442</v>
      </c>
      <c r="E135" s="150"/>
      <c r="F135" s="150"/>
      <c r="G135" s="150"/>
      <c r="H135" s="150"/>
    </row>
    <row r="136" spans="2:8">
      <c r="B136" s="180" t="s">
        <v>587</v>
      </c>
      <c r="C136" s="150" t="s">
        <v>436</v>
      </c>
      <c r="D136" s="200" t="s">
        <v>437</v>
      </c>
      <c r="E136" s="150"/>
      <c r="F136" s="150"/>
      <c r="G136" s="150"/>
      <c r="H136" s="150"/>
    </row>
    <row r="137" spans="2:8">
      <c r="B137" s="180" t="s">
        <v>588</v>
      </c>
      <c r="C137" s="150" t="s">
        <v>436</v>
      </c>
      <c r="D137" s="200" t="s">
        <v>437</v>
      </c>
      <c r="E137" s="150"/>
      <c r="F137" s="150"/>
      <c r="G137" s="150"/>
      <c r="H137" s="150"/>
    </row>
    <row r="138" spans="2:8">
      <c r="B138" s="180" t="s">
        <v>589</v>
      </c>
      <c r="C138" s="150" t="s">
        <v>436</v>
      </c>
      <c r="D138" s="200" t="s">
        <v>437</v>
      </c>
      <c r="E138" s="150"/>
      <c r="F138" s="150"/>
      <c r="G138" s="150"/>
      <c r="H138" s="150"/>
    </row>
    <row r="139" spans="2:8">
      <c r="B139" s="180" t="s">
        <v>590</v>
      </c>
      <c r="C139" s="150" t="s">
        <v>436</v>
      </c>
      <c r="D139" s="200" t="s">
        <v>437</v>
      </c>
      <c r="E139" s="150"/>
      <c r="F139" s="150"/>
      <c r="G139" s="150"/>
      <c r="H139" s="150"/>
    </row>
    <row r="140" spans="2:8" ht="20.25">
      <c r="B140" s="180" t="s">
        <v>591</v>
      </c>
      <c r="C140" s="150" t="s">
        <v>359</v>
      </c>
      <c r="D140" s="200" t="s">
        <v>441</v>
      </c>
      <c r="E140" s="150"/>
      <c r="F140" s="150"/>
      <c r="G140" s="150"/>
      <c r="H140" s="150"/>
    </row>
    <row r="141" spans="2:8" ht="20.25">
      <c r="B141" s="180" t="s">
        <v>592</v>
      </c>
      <c r="C141" s="150" t="s">
        <v>359</v>
      </c>
      <c r="D141" s="200" t="s">
        <v>441</v>
      </c>
      <c r="E141" s="150"/>
      <c r="F141" s="150"/>
      <c r="G141" s="150"/>
      <c r="H141" s="150"/>
    </row>
    <row r="142" spans="2:8">
      <c r="B142" s="180" t="s">
        <v>593</v>
      </c>
      <c r="C142" s="150" t="s">
        <v>358</v>
      </c>
      <c r="D142" s="200" t="s">
        <v>195</v>
      </c>
      <c r="E142" s="150"/>
      <c r="F142" s="150"/>
      <c r="G142" s="150"/>
      <c r="H142" s="150"/>
    </row>
    <row r="143" spans="2:8">
      <c r="B143" s="180" t="s">
        <v>594</v>
      </c>
      <c r="C143" s="150" t="s">
        <v>436</v>
      </c>
      <c r="D143" s="200" t="s">
        <v>437</v>
      </c>
      <c r="E143" s="150"/>
      <c r="F143" s="150"/>
      <c r="G143" s="150"/>
      <c r="H143" s="150"/>
    </row>
    <row r="144" spans="2:8">
      <c r="B144" s="180" t="s">
        <v>595</v>
      </c>
      <c r="C144" s="150" t="s">
        <v>436</v>
      </c>
      <c r="D144" s="200" t="s">
        <v>437</v>
      </c>
      <c r="E144" s="150"/>
      <c r="F144" s="150"/>
      <c r="G144" s="150"/>
      <c r="H144" s="150"/>
    </row>
    <row r="145" spans="2:8">
      <c r="B145" s="180" t="s">
        <v>596</v>
      </c>
      <c r="C145" s="150" t="s">
        <v>436</v>
      </c>
      <c r="D145" s="200" t="s">
        <v>437</v>
      </c>
      <c r="E145" s="150"/>
      <c r="F145" s="150"/>
      <c r="G145" s="150"/>
      <c r="H145" s="150"/>
    </row>
    <row r="146" spans="2:8">
      <c r="B146" s="180" t="s">
        <v>597</v>
      </c>
      <c r="C146" s="150" t="s">
        <v>436</v>
      </c>
      <c r="D146" s="200" t="s">
        <v>437</v>
      </c>
      <c r="E146" s="150"/>
      <c r="F146" s="150"/>
      <c r="G146" s="150"/>
      <c r="H146" s="150"/>
    </row>
    <row r="147" spans="2:8">
      <c r="B147" s="180" t="s">
        <v>598</v>
      </c>
      <c r="C147" s="150" t="s">
        <v>436</v>
      </c>
      <c r="D147" s="200" t="s">
        <v>437</v>
      </c>
      <c r="E147" s="150"/>
      <c r="F147" s="150"/>
      <c r="G147" s="150"/>
      <c r="H147" s="150"/>
    </row>
    <row r="148" spans="2:8">
      <c r="B148" s="180" t="s">
        <v>599</v>
      </c>
      <c r="C148" s="150" t="s">
        <v>436</v>
      </c>
      <c r="D148" s="200" t="s">
        <v>437</v>
      </c>
      <c r="E148" s="150"/>
      <c r="F148" s="150"/>
      <c r="G148" s="150"/>
      <c r="H148" s="150"/>
    </row>
    <row r="149" spans="2:8">
      <c r="B149" s="180" t="s">
        <v>600</v>
      </c>
      <c r="C149" s="150" t="s">
        <v>436</v>
      </c>
      <c r="D149" s="200" t="s">
        <v>437</v>
      </c>
      <c r="E149" s="150"/>
      <c r="F149" s="150"/>
      <c r="G149" s="150"/>
      <c r="H149" s="150"/>
    </row>
    <row r="150" spans="2:8" ht="20.25">
      <c r="B150" s="180" t="s">
        <v>601</v>
      </c>
      <c r="C150" s="150" t="s">
        <v>436</v>
      </c>
      <c r="D150" s="150" t="s">
        <v>437</v>
      </c>
      <c r="E150" s="150" t="s">
        <v>358</v>
      </c>
      <c r="F150" s="150" t="s">
        <v>195</v>
      </c>
      <c r="G150" s="150" t="s">
        <v>359</v>
      </c>
      <c r="H150" s="150" t="s">
        <v>441</v>
      </c>
    </row>
    <row r="151" spans="2:8" ht="20.25">
      <c r="B151" s="180" t="s">
        <v>602</v>
      </c>
      <c r="C151" s="150" t="s">
        <v>436</v>
      </c>
      <c r="D151" s="150" t="s">
        <v>437</v>
      </c>
      <c r="E151" s="150" t="s">
        <v>358</v>
      </c>
      <c r="F151" s="150" t="s">
        <v>195</v>
      </c>
      <c r="G151" s="150" t="s">
        <v>359</v>
      </c>
      <c r="H151" s="150" t="s">
        <v>441</v>
      </c>
    </row>
    <row r="152" spans="2:8" ht="20.25">
      <c r="B152" s="182" t="s">
        <v>603</v>
      </c>
      <c r="C152" s="153" t="s">
        <v>436</v>
      </c>
      <c r="D152" s="153" t="s">
        <v>437</v>
      </c>
      <c r="E152" s="153" t="s">
        <v>358</v>
      </c>
      <c r="F152" s="153" t="s">
        <v>195</v>
      </c>
      <c r="G152" s="153" t="s">
        <v>359</v>
      </c>
      <c r="H152" s="153" t="s">
        <v>441</v>
      </c>
    </row>
  </sheetData>
  <sheetProtection algorithmName="SHA-512" hashValue="ChvEznuPaBQUw9kuSXOS7bzyR1hcxQ68QeLQ7BuhPcM/phubtHLvBQk7HDsfTZ6VF8JdC5Yue6zX9xYiQtgSSg==" saltValue="FSTaetmPim+2OJMO3Fz5hg==" spinCount="100000" sheet="1" objects="1" scenarios="1"/>
  <phoneticPr fontId="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tint="-0.14999847407452621"/>
  </sheetPr>
  <dimension ref="B2:G63"/>
  <sheetViews>
    <sheetView zoomScaleNormal="100" workbookViewId="0"/>
  </sheetViews>
  <sheetFormatPr defaultRowHeight="18.75"/>
  <cols>
    <col min="1" max="1" width="4" customWidth="1"/>
    <col min="2" max="2" width="40" bestFit="1" customWidth="1"/>
    <col min="3" max="3" width="40" customWidth="1"/>
    <col min="4" max="4" width="18.75" bestFit="1" customWidth="1"/>
    <col min="5" max="5" width="76.75" customWidth="1"/>
  </cols>
  <sheetData>
    <row r="2" spans="2:3">
      <c r="B2" s="146" t="s">
        <v>629</v>
      </c>
      <c r="C2" s="146" t="s">
        <v>630</v>
      </c>
    </row>
    <row r="3" spans="2:3">
      <c r="B3" s="149" t="s">
        <v>436</v>
      </c>
      <c r="C3" s="149">
        <v>1000</v>
      </c>
    </row>
    <row r="4" spans="2:3">
      <c r="B4" s="150" t="s">
        <v>437</v>
      </c>
      <c r="C4" s="150">
        <v>1</v>
      </c>
    </row>
    <row r="5" spans="2:3">
      <c r="B5" s="150" t="s">
        <v>435</v>
      </c>
      <c r="C5" s="150">
        <v>1000</v>
      </c>
    </row>
    <row r="6" spans="2:3">
      <c r="B6" s="150" t="s">
        <v>322</v>
      </c>
      <c r="C6" s="150">
        <v>1</v>
      </c>
    </row>
    <row r="7" spans="2:3" ht="20.25">
      <c r="B7" s="150" t="s">
        <v>359</v>
      </c>
      <c r="C7" s="150">
        <v>1000</v>
      </c>
    </row>
    <row r="8" spans="2:3" ht="20.25">
      <c r="B8" s="150" t="s">
        <v>441</v>
      </c>
      <c r="C8" s="150">
        <v>1</v>
      </c>
    </row>
    <row r="9" spans="2:3" ht="20.25">
      <c r="B9" s="150" t="s">
        <v>360</v>
      </c>
      <c r="C9" s="150">
        <v>1000</v>
      </c>
    </row>
    <row r="10" spans="2:3" ht="20.25">
      <c r="B10" s="150" t="s">
        <v>442</v>
      </c>
      <c r="C10" s="150">
        <v>1</v>
      </c>
    </row>
    <row r="11" spans="2:3">
      <c r="B11" s="150" t="s">
        <v>840</v>
      </c>
      <c r="C11" s="150">
        <v>1000</v>
      </c>
    </row>
    <row r="12" spans="2:3">
      <c r="B12" s="150" t="s">
        <v>841</v>
      </c>
      <c r="C12" s="150">
        <v>1</v>
      </c>
    </row>
    <row r="13" spans="2:3">
      <c r="B13" s="150" t="s">
        <v>842</v>
      </c>
      <c r="C13" s="150">
        <v>1000</v>
      </c>
    </row>
    <row r="14" spans="2:3">
      <c r="B14" s="150" t="s">
        <v>843</v>
      </c>
      <c r="C14" s="150">
        <v>1</v>
      </c>
    </row>
    <row r="15" spans="2:3" ht="20.25">
      <c r="B15" s="150" t="s">
        <v>443</v>
      </c>
      <c r="C15" s="150">
        <v>1000</v>
      </c>
    </row>
    <row r="16" spans="2:3" ht="20.25">
      <c r="B16" s="153" t="s">
        <v>444</v>
      </c>
      <c r="C16" s="153">
        <v>1</v>
      </c>
    </row>
    <row r="18" spans="2:5">
      <c r="B18" s="203" t="s">
        <v>219</v>
      </c>
      <c r="C18" s="203" t="s">
        <v>222</v>
      </c>
      <c r="D18" s="203" t="s">
        <v>622</v>
      </c>
      <c r="E18" s="203" t="s">
        <v>623</v>
      </c>
    </row>
    <row r="19" spans="2:5" ht="20.25">
      <c r="B19" s="149" t="s">
        <v>400</v>
      </c>
      <c r="C19" s="149" t="s">
        <v>359</v>
      </c>
      <c r="D19" s="149">
        <f>1/458*1000</f>
        <v>2.1834061135371177</v>
      </c>
      <c r="E19" s="149" t="s">
        <v>633</v>
      </c>
    </row>
    <row r="20" spans="2:5" ht="20.25">
      <c r="B20" s="150" t="s">
        <v>615</v>
      </c>
      <c r="C20" s="150" t="s">
        <v>359</v>
      </c>
      <c r="D20" s="150">
        <f>1/502*1000</f>
        <v>1.9920318725099602</v>
      </c>
      <c r="E20" s="150" t="s">
        <v>633</v>
      </c>
    </row>
    <row r="21" spans="2:5" ht="20.25">
      <c r="B21" s="150" t="s">
        <v>616</v>
      </c>
      <c r="C21" s="150" t="s">
        <v>359</v>
      </c>
      <c r="D21" s="150">
        <f>1/355*1000</f>
        <v>2.8169014084507045</v>
      </c>
      <c r="E21" s="150" t="s">
        <v>633</v>
      </c>
    </row>
    <row r="22" spans="2:5" ht="20.25">
      <c r="B22" s="153" t="s">
        <v>403</v>
      </c>
      <c r="C22" s="153" t="s">
        <v>359</v>
      </c>
      <c r="D22" s="153">
        <f>1/482*1000</f>
        <v>2.0746887966804981</v>
      </c>
      <c r="E22" s="153" t="s">
        <v>633</v>
      </c>
    </row>
    <row r="23" spans="2:5" ht="20.25">
      <c r="B23" s="149" t="s">
        <v>400</v>
      </c>
      <c r="C23" s="149" t="s">
        <v>441</v>
      </c>
      <c r="D23" s="149">
        <f>1/458*1000</f>
        <v>2.1834061135371177</v>
      </c>
      <c r="E23" s="149" t="s">
        <v>632</v>
      </c>
    </row>
    <row r="24" spans="2:5" ht="20.25">
      <c r="B24" s="150" t="s">
        <v>615</v>
      </c>
      <c r="C24" s="150" t="s">
        <v>441</v>
      </c>
      <c r="D24" s="150">
        <f>1/502*1000</f>
        <v>1.9920318725099602</v>
      </c>
      <c r="E24" s="150" t="s">
        <v>632</v>
      </c>
    </row>
    <row r="25" spans="2:5" ht="20.25">
      <c r="B25" s="150" t="s">
        <v>616</v>
      </c>
      <c r="C25" s="150" t="s">
        <v>441</v>
      </c>
      <c r="D25" s="150">
        <f>1/355*1000</f>
        <v>2.8169014084507045</v>
      </c>
      <c r="E25" s="150" t="s">
        <v>632</v>
      </c>
    </row>
    <row r="26" spans="2:5" ht="20.25">
      <c r="B26" s="153" t="s">
        <v>403</v>
      </c>
      <c r="C26" s="153" t="s">
        <v>441</v>
      </c>
      <c r="D26" s="153">
        <f>1/482*1000</f>
        <v>2.0746887966804981</v>
      </c>
      <c r="E26" s="153" t="s">
        <v>632</v>
      </c>
    </row>
    <row r="27" spans="2:5" ht="20.25">
      <c r="B27" s="149" t="s">
        <v>624</v>
      </c>
      <c r="C27" s="149" t="s">
        <v>360</v>
      </c>
      <c r="D27" s="149">
        <f>(101.325/100) * (298.15/273.15)</f>
        <v>1.1059875068643603</v>
      </c>
      <c r="E27" s="149" t="s">
        <v>638</v>
      </c>
    </row>
    <row r="28" spans="2:5" ht="20.25">
      <c r="B28" s="150" t="s">
        <v>26</v>
      </c>
      <c r="C28" s="150" t="s">
        <v>360</v>
      </c>
      <c r="D28" s="150">
        <f t="shared" ref="D28:D38" si="0">(101.325/100) * (298.15/273.15)</f>
        <v>1.1059875068643603</v>
      </c>
      <c r="E28" s="150" t="s">
        <v>638</v>
      </c>
    </row>
    <row r="29" spans="2:5" ht="20.25">
      <c r="B29" s="150" t="s">
        <v>399</v>
      </c>
      <c r="C29" s="150" t="s">
        <v>360</v>
      </c>
      <c r="D29" s="150">
        <f t="shared" si="0"/>
        <v>1.1059875068643603</v>
      </c>
      <c r="E29" s="150" t="s">
        <v>638</v>
      </c>
    </row>
    <row r="30" spans="2:5" ht="20.25">
      <c r="B30" s="150" t="s">
        <v>414</v>
      </c>
      <c r="C30" s="150" t="s">
        <v>360</v>
      </c>
      <c r="D30" s="150">
        <f t="shared" si="0"/>
        <v>1.1059875068643603</v>
      </c>
      <c r="E30" s="150" t="s">
        <v>638</v>
      </c>
    </row>
    <row r="31" spans="2:5" ht="20.25">
      <c r="B31" s="150" t="s">
        <v>415</v>
      </c>
      <c r="C31" s="150" t="s">
        <v>360</v>
      </c>
      <c r="D31" s="150">
        <f t="shared" si="0"/>
        <v>1.1059875068643603</v>
      </c>
      <c r="E31" s="150" t="s">
        <v>638</v>
      </c>
    </row>
    <row r="32" spans="2:5" ht="20.25">
      <c r="B32" s="153" t="s">
        <v>30</v>
      </c>
      <c r="C32" s="153" t="s">
        <v>360</v>
      </c>
      <c r="D32" s="153">
        <f t="shared" si="0"/>
        <v>1.1059875068643603</v>
      </c>
      <c r="E32" s="153" t="s">
        <v>638</v>
      </c>
    </row>
    <row r="33" spans="2:7" ht="20.25">
      <c r="B33" s="149" t="s">
        <v>624</v>
      </c>
      <c r="C33" s="149" t="s">
        <v>442</v>
      </c>
      <c r="D33" s="149">
        <f t="shared" si="0"/>
        <v>1.1059875068643603</v>
      </c>
      <c r="E33" s="149" t="s">
        <v>639</v>
      </c>
    </row>
    <row r="34" spans="2:7" ht="20.25">
      <c r="B34" s="150" t="s">
        <v>26</v>
      </c>
      <c r="C34" s="150" t="s">
        <v>442</v>
      </c>
      <c r="D34" s="150">
        <f t="shared" si="0"/>
        <v>1.1059875068643603</v>
      </c>
      <c r="E34" s="150" t="s">
        <v>639</v>
      </c>
    </row>
    <row r="35" spans="2:7" ht="20.25">
      <c r="B35" s="150" t="s">
        <v>399</v>
      </c>
      <c r="C35" s="150" t="s">
        <v>442</v>
      </c>
      <c r="D35" s="150">
        <f t="shared" si="0"/>
        <v>1.1059875068643603</v>
      </c>
      <c r="E35" s="150" t="s">
        <v>639</v>
      </c>
    </row>
    <row r="36" spans="2:7" ht="20.25">
      <c r="B36" s="150" t="s">
        <v>414</v>
      </c>
      <c r="C36" s="150" t="s">
        <v>442</v>
      </c>
      <c r="D36" s="150">
        <f t="shared" si="0"/>
        <v>1.1059875068643603</v>
      </c>
      <c r="E36" s="150" t="s">
        <v>639</v>
      </c>
    </row>
    <row r="37" spans="2:7" ht="20.25">
      <c r="B37" s="150" t="s">
        <v>415</v>
      </c>
      <c r="C37" s="150" t="s">
        <v>442</v>
      </c>
      <c r="D37" s="150">
        <f t="shared" si="0"/>
        <v>1.1059875068643603</v>
      </c>
      <c r="E37" s="150" t="s">
        <v>639</v>
      </c>
    </row>
    <row r="38" spans="2:7" ht="20.25">
      <c r="B38" s="153" t="s">
        <v>30</v>
      </c>
      <c r="C38" s="153" t="s">
        <v>442</v>
      </c>
      <c r="D38" s="153">
        <f t="shared" si="0"/>
        <v>1.1059875068643603</v>
      </c>
      <c r="E38" s="153" t="s">
        <v>639</v>
      </c>
    </row>
    <row r="39" spans="2:7" ht="20.25">
      <c r="B39" s="202" t="s">
        <v>26</v>
      </c>
      <c r="C39" s="202" t="s">
        <v>359</v>
      </c>
      <c r="D39" s="202">
        <f>298.15*(事業所概要_算定体制!E35/100)/(273.15+事業所概要_算定体制!G35)</f>
        <v>0</v>
      </c>
      <c r="E39" s="149" t="s">
        <v>845</v>
      </c>
      <c r="G39" t="s">
        <v>627</v>
      </c>
    </row>
    <row r="40" spans="2:7" ht="20.25">
      <c r="B40" s="150" t="s">
        <v>618</v>
      </c>
      <c r="C40" s="150" t="s">
        <v>359</v>
      </c>
      <c r="D40" s="150">
        <f>298.15*(事業所概要_算定体制!E36/100)/(273.15+事業所概要_算定体制!G36)</f>
        <v>0</v>
      </c>
      <c r="E40" s="202" t="s">
        <v>845</v>
      </c>
      <c r="G40" t="s">
        <v>627</v>
      </c>
    </row>
    <row r="41" spans="2:7" ht="20.25">
      <c r="B41" s="150" t="s">
        <v>414</v>
      </c>
      <c r="C41" s="150" t="s">
        <v>359</v>
      </c>
      <c r="D41" s="150">
        <f>298.15*(事業所概要_算定体制!E37/100)/(273.15+事業所概要_算定体制!G37)</f>
        <v>0</v>
      </c>
      <c r="E41" s="202" t="s">
        <v>845</v>
      </c>
      <c r="G41" t="s">
        <v>627</v>
      </c>
    </row>
    <row r="42" spans="2:7" ht="20.25">
      <c r="B42" s="150" t="s">
        <v>415</v>
      </c>
      <c r="C42" s="150" t="s">
        <v>359</v>
      </c>
      <c r="D42" s="150">
        <f>298.15*(事業所概要_算定体制!E38/100)/(273.15+事業所概要_算定体制!G38)</f>
        <v>0</v>
      </c>
      <c r="E42" s="202" t="s">
        <v>845</v>
      </c>
      <c r="G42" t="s">
        <v>627</v>
      </c>
    </row>
    <row r="43" spans="2:7" ht="20.25">
      <c r="B43" s="208" t="s">
        <v>30</v>
      </c>
      <c r="C43" s="208" t="s">
        <v>359</v>
      </c>
      <c r="D43" s="208">
        <f>298.15*(事業所概要_算定体制!E39/100)/(273.15+事業所概要_算定体制!G39)</f>
        <v>0</v>
      </c>
      <c r="E43" s="222" t="s">
        <v>845</v>
      </c>
      <c r="G43" t="s">
        <v>627</v>
      </c>
    </row>
    <row r="44" spans="2:7" ht="20.25">
      <c r="B44" s="149" t="s">
        <v>26</v>
      </c>
      <c r="C44" s="149" t="s">
        <v>441</v>
      </c>
      <c r="D44" s="149">
        <f>298.15*(事業所概要_算定体制!E35/100)/(273.15+事業所概要_算定体制!G35)</f>
        <v>0</v>
      </c>
      <c r="E44" s="149" t="s">
        <v>845</v>
      </c>
      <c r="G44" t="s">
        <v>627</v>
      </c>
    </row>
    <row r="45" spans="2:7" ht="20.25">
      <c r="B45" s="150" t="s">
        <v>618</v>
      </c>
      <c r="C45" s="150" t="s">
        <v>441</v>
      </c>
      <c r="D45" s="150">
        <f>298.15*(事業所概要_算定体制!E36/100)/(273.15+事業所概要_算定体制!G36)</f>
        <v>0</v>
      </c>
      <c r="E45" s="202" t="s">
        <v>845</v>
      </c>
      <c r="G45" t="s">
        <v>627</v>
      </c>
    </row>
    <row r="46" spans="2:7" ht="20.25">
      <c r="B46" s="150" t="s">
        <v>414</v>
      </c>
      <c r="C46" s="150" t="s">
        <v>441</v>
      </c>
      <c r="D46" s="150">
        <f>298.15*(事業所概要_算定体制!E37/100)/(273.15+事業所概要_算定体制!G37)</f>
        <v>0</v>
      </c>
      <c r="E46" s="202" t="s">
        <v>845</v>
      </c>
      <c r="G46" t="s">
        <v>627</v>
      </c>
    </row>
    <row r="47" spans="2:7" ht="20.25">
      <c r="B47" s="150" t="s">
        <v>415</v>
      </c>
      <c r="C47" s="150" t="s">
        <v>441</v>
      </c>
      <c r="D47" s="150">
        <f>298.15*(事業所概要_算定体制!E38/100)/(273.15+事業所概要_算定体制!G38)</f>
        <v>0</v>
      </c>
      <c r="E47" s="202" t="s">
        <v>845</v>
      </c>
      <c r="G47" t="s">
        <v>627</v>
      </c>
    </row>
    <row r="48" spans="2:7" ht="20.25">
      <c r="B48" s="153" t="s">
        <v>30</v>
      </c>
      <c r="C48" s="153" t="s">
        <v>441</v>
      </c>
      <c r="D48" s="153">
        <f>298.15*(事業所概要_算定体制!E39/100)/(273.15+事業所概要_算定体制!G39)</f>
        <v>0</v>
      </c>
      <c r="E48" s="222" t="s">
        <v>845</v>
      </c>
      <c r="G48" t="s">
        <v>627</v>
      </c>
    </row>
    <row r="51" spans="2:5">
      <c r="B51" s="203" t="s">
        <v>219</v>
      </c>
      <c r="C51" s="203" t="s">
        <v>222</v>
      </c>
      <c r="D51" s="203" t="s">
        <v>622</v>
      </c>
      <c r="E51" s="203" t="s">
        <v>623</v>
      </c>
    </row>
    <row r="52" spans="2:5" ht="20.25">
      <c r="B52" s="149" t="s">
        <v>844</v>
      </c>
      <c r="C52" s="149" t="s">
        <v>359</v>
      </c>
      <c r="D52" s="149">
        <f>((101.325+2)/100)*(298.15/288.15)</f>
        <v>1.0691080600381746</v>
      </c>
      <c r="E52" s="149" t="s">
        <v>626</v>
      </c>
    </row>
    <row r="53" spans="2:5" ht="20.25">
      <c r="B53" s="150" t="s">
        <v>844</v>
      </c>
      <c r="C53" s="150" t="s">
        <v>441</v>
      </c>
      <c r="D53" s="150">
        <f>((101.325+2)/100)*(298.15/288.15)</f>
        <v>1.0691080600381746</v>
      </c>
      <c r="E53" s="150" t="s">
        <v>846</v>
      </c>
    </row>
    <row r="54" spans="2:5" ht="20.25">
      <c r="B54" s="150" t="s">
        <v>844</v>
      </c>
      <c r="C54" s="150" t="s">
        <v>848</v>
      </c>
      <c r="D54" s="150">
        <f>(101.325/100)*(298.15/273.15)</f>
        <v>1.1059875068643603</v>
      </c>
      <c r="E54" s="150" t="s">
        <v>638</v>
      </c>
    </row>
    <row r="55" spans="2:5" ht="20.25">
      <c r="B55" s="150" t="s">
        <v>844</v>
      </c>
      <c r="C55" s="150" t="s">
        <v>442</v>
      </c>
      <c r="D55" s="150">
        <f>(101.325/100)*(298.15/273.15)</f>
        <v>1.1059875068643603</v>
      </c>
      <c r="E55" s="150" t="s">
        <v>639</v>
      </c>
    </row>
    <row r="56" spans="2:5" ht="20.25">
      <c r="B56" s="150" t="s">
        <v>844</v>
      </c>
      <c r="C56" t="s">
        <v>851</v>
      </c>
      <c r="D56" s="150">
        <v>1</v>
      </c>
      <c r="E56" s="150"/>
    </row>
    <row r="57" spans="2:5" ht="20.25">
      <c r="B57" s="150" t="s">
        <v>844</v>
      </c>
      <c r="C57" t="s">
        <v>444</v>
      </c>
      <c r="D57" s="150">
        <v>1</v>
      </c>
      <c r="E57" s="150"/>
    </row>
    <row r="58" spans="2:5" ht="20.25">
      <c r="B58" s="150" t="s">
        <v>2081</v>
      </c>
      <c r="C58" s="150" t="s">
        <v>359</v>
      </c>
      <c r="D58" s="150">
        <f>((101.325+0.981)/100)*(298.15/288.15)</f>
        <v>1.0585644247787613</v>
      </c>
      <c r="E58" s="150" t="s">
        <v>626</v>
      </c>
    </row>
    <row r="59" spans="2:5" ht="20.25">
      <c r="B59" s="150" t="s">
        <v>2081</v>
      </c>
      <c r="C59" s="150" t="s">
        <v>441</v>
      </c>
      <c r="D59" s="150">
        <f>((101.325+0.981)/100)*(298.15/288.15)</f>
        <v>1.0585644247787613</v>
      </c>
      <c r="E59" s="150" t="s">
        <v>846</v>
      </c>
    </row>
    <row r="60" spans="2:5" ht="20.25">
      <c r="B60" s="150" t="s">
        <v>2081</v>
      </c>
      <c r="C60" s="150" t="s">
        <v>847</v>
      </c>
      <c r="D60" s="150">
        <f>(101.325/100)*(298.15/273.15)</f>
        <v>1.1059875068643603</v>
      </c>
      <c r="E60" s="150" t="s">
        <v>638</v>
      </c>
    </row>
    <row r="61" spans="2:5" ht="20.25">
      <c r="B61" s="150" t="s">
        <v>2081</v>
      </c>
      <c r="C61" s="150" t="s">
        <v>442</v>
      </c>
      <c r="D61" s="150">
        <f>(101.325/100)*(298.15/273.15)</f>
        <v>1.1059875068643603</v>
      </c>
      <c r="E61" s="150" t="s">
        <v>639</v>
      </c>
    </row>
    <row r="62" spans="2:5" ht="20.25">
      <c r="B62" s="150" t="s">
        <v>2081</v>
      </c>
      <c r="C62" t="s">
        <v>851</v>
      </c>
      <c r="D62" s="150">
        <v>1</v>
      </c>
      <c r="E62" s="150" t="s">
        <v>638</v>
      </c>
    </row>
    <row r="63" spans="2:5" ht="20.25">
      <c r="B63" s="153" t="s">
        <v>2081</v>
      </c>
      <c r="C63" s="222" t="s">
        <v>444</v>
      </c>
      <c r="D63" s="153">
        <v>1</v>
      </c>
      <c r="E63" s="153" t="s">
        <v>639</v>
      </c>
    </row>
  </sheetData>
  <sheetProtection algorithmName="SHA-512" hashValue="VU48ltLhKdt16JdiRq/ruLpIvC9+ryFdgGFOfMMPSPH3ZuVSjKBLq1lJPXUC2GcgRdU3EFiZB+v8qpT5v+3viQ==" saltValue="HhRPuSoGFjNsFXntaZOprw==" spinCount="100000" sheet="1" objects="1" scenarios="1"/>
  <phoneticPr fontId="5"/>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tint="-0.14999847407452621"/>
  </sheetPr>
  <dimension ref="A1:S2000"/>
  <sheetViews>
    <sheetView zoomScaleNormal="100" workbookViewId="0"/>
  </sheetViews>
  <sheetFormatPr defaultRowHeight="18.75"/>
  <cols>
    <col min="1" max="1" width="4.125" customWidth="1"/>
    <col min="2" max="2" width="9.25" bestFit="1" customWidth="1"/>
    <col min="3" max="4" width="47.125" customWidth="1"/>
    <col min="5" max="5" width="4.125" customWidth="1"/>
    <col min="6" max="6" width="31.75" customWidth="1"/>
    <col min="7" max="8" width="4.125" customWidth="1"/>
    <col min="9" max="9" width="13.875" customWidth="1"/>
    <col min="10" max="10" width="34.625" customWidth="1"/>
    <col min="11" max="11" width="16.625" bestFit="1" customWidth="1"/>
    <col min="12" max="16" width="14.25" customWidth="1"/>
    <col min="18" max="18" width="39.375" customWidth="1"/>
    <col min="19" max="19" width="13.75" bestFit="1" customWidth="1"/>
    <col min="24" max="24" width="63" bestFit="1" customWidth="1"/>
  </cols>
  <sheetData>
    <row r="1" spans="2:19">
      <c r="S1" t="s">
        <v>800</v>
      </c>
    </row>
    <row r="2" spans="2:19" ht="18.75" customHeight="1">
      <c r="I2" s="1127" t="s">
        <v>834</v>
      </c>
      <c r="J2" s="1128"/>
      <c r="K2" s="1130" t="s">
        <v>682</v>
      </c>
      <c r="L2" s="213" t="s">
        <v>665</v>
      </c>
      <c r="M2" s="213" t="s">
        <v>665</v>
      </c>
      <c r="N2" s="213" t="s">
        <v>665</v>
      </c>
      <c r="O2" s="213" t="s">
        <v>665</v>
      </c>
      <c r="P2" s="213" t="s">
        <v>665</v>
      </c>
      <c r="R2" s="1125" t="s">
        <v>682</v>
      </c>
      <c r="S2" s="218" t="s">
        <v>665</v>
      </c>
    </row>
    <row r="3" spans="2:19">
      <c r="I3" s="1127"/>
      <c r="J3" s="1128"/>
      <c r="K3" s="1130"/>
      <c r="L3" s="213" t="s">
        <v>792</v>
      </c>
      <c r="M3" s="213" t="s">
        <v>793</v>
      </c>
      <c r="N3" s="213" t="s">
        <v>794</v>
      </c>
      <c r="O3" s="213" t="s">
        <v>795</v>
      </c>
      <c r="P3" s="213" t="s">
        <v>796</v>
      </c>
      <c r="R3" s="1125"/>
      <c r="S3" s="218" t="str">
        <f>CONCATENATE(事業所概要_算定体制!$B$3,事業所概要_算定体制!$C$3,"年度")</f>
        <v>令和７年度</v>
      </c>
    </row>
    <row r="4" spans="2:19">
      <c r="K4" s="146" t="s">
        <v>533</v>
      </c>
      <c r="L4" s="146">
        <v>4.1599999999999997E-4</v>
      </c>
      <c r="M4" s="146">
        <v>4.1599999999999997E-4</v>
      </c>
      <c r="N4" s="146">
        <v>4.1599999999999997E-4</v>
      </c>
      <c r="O4" s="146">
        <v>4.1599999999999997E-4</v>
      </c>
      <c r="P4" s="146">
        <v>4.1599999999999997E-4</v>
      </c>
      <c r="R4" s="146" t="s">
        <v>533</v>
      </c>
      <c r="S4" s="146">
        <f>HLOOKUP($S$3,$L$3:$P$5,2,FALSE)</f>
        <v>4.1599999999999997E-4</v>
      </c>
    </row>
    <row r="5" spans="2:19">
      <c r="K5" s="146" t="s">
        <v>681</v>
      </c>
      <c r="L5" s="146">
        <v>4.2299999999999998E-4</v>
      </c>
      <c r="M5" s="146">
        <v>4.2299999999999998E-4</v>
      </c>
      <c r="N5" s="146">
        <v>4.2299999999999998E-4</v>
      </c>
      <c r="O5" s="146">
        <v>4.2299999999999998E-4</v>
      </c>
      <c r="P5" s="146">
        <v>4.2299999999999998E-4</v>
      </c>
      <c r="R5" s="146" t="s">
        <v>955</v>
      </c>
      <c r="S5" s="146">
        <f>HLOOKUP($S$3,$L$3:$P$5,3,FALSE)</f>
        <v>4.2299999999999998E-4</v>
      </c>
    </row>
    <row r="7" spans="2:19">
      <c r="B7" s="1129" t="s">
        <v>464</v>
      </c>
      <c r="C7" s="1129" t="s">
        <v>675</v>
      </c>
      <c r="D7" s="1129" t="s">
        <v>683</v>
      </c>
      <c r="F7" s="1129" t="s">
        <v>679</v>
      </c>
      <c r="I7" s="1131" t="s">
        <v>680</v>
      </c>
      <c r="J7" s="1132"/>
      <c r="K7" s="1129" t="s">
        <v>465</v>
      </c>
      <c r="L7" s="213" t="s">
        <v>665</v>
      </c>
      <c r="M7" s="213" t="s">
        <v>665</v>
      </c>
      <c r="N7" s="213" t="s">
        <v>665</v>
      </c>
      <c r="O7" s="213" t="s">
        <v>665</v>
      </c>
      <c r="P7" s="213" t="s">
        <v>665</v>
      </c>
      <c r="R7" s="1126" t="s">
        <v>801</v>
      </c>
      <c r="S7" s="218" t="s">
        <v>665</v>
      </c>
    </row>
    <row r="8" spans="2:19">
      <c r="B8" s="1129"/>
      <c r="C8" s="1129"/>
      <c r="D8" s="1129"/>
      <c r="F8" s="1129"/>
      <c r="I8" s="214" t="s">
        <v>464</v>
      </c>
      <c r="J8" s="214" t="s">
        <v>675</v>
      </c>
      <c r="K8" s="1129"/>
      <c r="L8" s="213" t="s">
        <v>792</v>
      </c>
      <c r="M8" s="213" t="s">
        <v>793</v>
      </c>
      <c r="N8" s="213" t="s">
        <v>794</v>
      </c>
      <c r="O8" s="213" t="s">
        <v>795</v>
      </c>
      <c r="P8" s="213" t="s">
        <v>796</v>
      </c>
      <c r="R8" s="1126"/>
      <c r="S8" s="218" t="str">
        <f>CONCATENATE(事業所概要_算定体制!$B$3,事業所概要_算定体制!$C$3,"年度")</f>
        <v>令和７年度</v>
      </c>
    </row>
    <row r="9" spans="2:19">
      <c r="B9" s="146" t="s">
        <v>1039</v>
      </c>
      <c r="C9" s="543" t="s">
        <v>967</v>
      </c>
      <c r="D9" s="543" t="str">
        <f>IF(B9="","",B9&amp;":"&amp;C9)</f>
        <v>A0269:東京電力エナジーパートナー(株)</v>
      </c>
      <c r="F9" s="149"/>
      <c r="I9" s="146" t="s">
        <v>706</v>
      </c>
      <c r="J9" s="146" t="s">
        <v>1548</v>
      </c>
      <c r="K9" s="544"/>
      <c r="L9" s="544">
        <v>4.2200000000000001E-4</v>
      </c>
      <c r="M9" s="544">
        <v>4.2200000000000001E-4</v>
      </c>
      <c r="N9" s="544">
        <v>4.2200000000000001E-4</v>
      </c>
      <c r="O9" s="544">
        <v>4.2200000000000001E-4</v>
      </c>
      <c r="P9" s="544">
        <v>4.2200000000000001E-4</v>
      </c>
      <c r="R9" s="543" t="str">
        <f>I9&amp;":"&amp;J9&amp;K9</f>
        <v>A0002:イーレックス(株)</v>
      </c>
      <c r="S9" s="544">
        <f>HLOOKUP($S$8,$L$8:$P$2000,ROW()-7,FALSE)</f>
        <v>4.2200000000000001E-4</v>
      </c>
    </row>
    <row r="10" spans="2:19">
      <c r="B10" s="146" t="s">
        <v>706</v>
      </c>
      <c r="C10" s="543" t="s">
        <v>1548</v>
      </c>
      <c r="D10" s="543" t="str">
        <f t="shared" ref="D10:D73" si="0">IF(B10="","",B10&amp;":"&amp;C10)</f>
        <v>A0002:イーレックス(株)</v>
      </c>
      <c r="F10" s="150" t="s">
        <v>447</v>
      </c>
      <c r="I10" s="146" t="s">
        <v>1040</v>
      </c>
      <c r="J10" s="146" t="s">
        <v>1549</v>
      </c>
      <c r="K10" s="544"/>
      <c r="L10" s="544">
        <v>0</v>
      </c>
      <c r="M10" s="544">
        <v>0</v>
      </c>
      <c r="N10" s="544">
        <v>0</v>
      </c>
      <c r="O10" s="544">
        <v>0</v>
      </c>
      <c r="P10" s="544">
        <v>0</v>
      </c>
      <c r="R10" s="543" t="str">
        <f t="shared" ref="R10:R73" si="1">I10&amp;":"&amp;J10&amp;K10</f>
        <v>A0003:リエスパワー(株)</v>
      </c>
      <c r="S10" s="544">
        <f t="shared" ref="S10:S73" si="2">HLOOKUP($S$8,$L$8:$P$2000,ROW()-7,FALSE)</f>
        <v>0</v>
      </c>
    </row>
    <row r="11" spans="2:19">
      <c r="B11" s="146" t="s">
        <v>1040</v>
      </c>
      <c r="C11" s="543" t="s">
        <v>1549</v>
      </c>
      <c r="D11" s="543" t="str">
        <f t="shared" si="0"/>
        <v>A0003:リエスパワー(株)</v>
      </c>
      <c r="F11" s="150" t="s">
        <v>448</v>
      </c>
      <c r="I11" s="146" t="s">
        <v>1041</v>
      </c>
      <c r="J11" s="146" t="s">
        <v>1550</v>
      </c>
      <c r="K11" s="544" t="s">
        <v>710</v>
      </c>
      <c r="L11" s="544">
        <v>0</v>
      </c>
      <c r="M11" s="544">
        <v>0</v>
      </c>
      <c r="N11" s="544">
        <v>0</v>
      </c>
      <c r="O11" s="544">
        <v>0</v>
      </c>
      <c r="P11" s="544">
        <v>0</v>
      </c>
      <c r="R11" s="543" t="str">
        <f t="shared" si="1"/>
        <v>A0004:エバーグリーン・リテイリング(株)メニューA</v>
      </c>
      <c r="S11" s="544">
        <f t="shared" si="2"/>
        <v>0</v>
      </c>
    </row>
    <row r="12" spans="2:19">
      <c r="B12" s="146" t="s">
        <v>1041</v>
      </c>
      <c r="C12" s="543" t="s">
        <v>1550</v>
      </c>
      <c r="D12" s="543" t="str">
        <f t="shared" si="0"/>
        <v>A0004:エバーグリーン・リテイリング(株)</v>
      </c>
      <c r="F12" s="150" t="s">
        <v>449</v>
      </c>
      <c r="I12" s="146" t="s">
        <v>1041</v>
      </c>
      <c r="J12" s="146" t="s">
        <v>1550</v>
      </c>
      <c r="K12" s="544" t="s">
        <v>2058</v>
      </c>
      <c r="L12" s="544">
        <v>0</v>
      </c>
      <c r="M12" s="544">
        <v>0</v>
      </c>
      <c r="N12" s="544">
        <v>0</v>
      </c>
      <c r="O12" s="544">
        <v>0</v>
      </c>
      <c r="P12" s="544">
        <v>0</v>
      </c>
      <c r="R12" s="543" t="str">
        <f t="shared" si="1"/>
        <v>A0004:エバーグリーン・リテイリング(株)(参考値)事業者全体</v>
      </c>
      <c r="S12" s="544">
        <f t="shared" si="2"/>
        <v>0</v>
      </c>
    </row>
    <row r="13" spans="2:19">
      <c r="B13" s="146" t="s">
        <v>1042</v>
      </c>
      <c r="C13" s="543" t="s">
        <v>1551</v>
      </c>
      <c r="D13" s="543" t="str">
        <f t="shared" si="0"/>
        <v>A0006:エバーグリーン・マーケティング(株)</v>
      </c>
      <c r="F13" s="150" t="s">
        <v>450</v>
      </c>
      <c r="I13" s="146" t="s">
        <v>1042</v>
      </c>
      <c r="J13" s="146" t="s">
        <v>1551</v>
      </c>
      <c r="K13" s="544" t="s">
        <v>710</v>
      </c>
      <c r="L13" s="544">
        <v>0</v>
      </c>
      <c r="M13" s="544">
        <v>0</v>
      </c>
      <c r="N13" s="544">
        <v>0</v>
      </c>
      <c r="O13" s="544">
        <v>0</v>
      </c>
      <c r="P13" s="544">
        <v>0</v>
      </c>
      <c r="R13" s="543" t="str">
        <f t="shared" si="1"/>
        <v>A0006:エバーグリーン・マーケティング(株)メニューA</v>
      </c>
      <c r="S13" s="544">
        <f t="shared" si="2"/>
        <v>0</v>
      </c>
    </row>
    <row r="14" spans="2:19">
      <c r="B14" s="146" t="s">
        <v>1043</v>
      </c>
      <c r="C14" s="543" t="s">
        <v>1552</v>
      </c>
      <c r="D14" s="543" t="str">
        <f t="shared" si="0"/>
        <v>A0007:(株)SEウイングズ</v>
      </c>
      <c r="F14" s="150" t="s">
        <v>451</v>
      </c>
      <c r="I14" s="146" t="s">
        <v>1042</v>
      </c>
      <c r="J14" s="146" t="s">
        <v>1551</v>
      </c>
      <c r="K14" s="544" t="s">
        <v>787</v>
      </c>
      <c r="L14" s="544">
        <v>3.7399999999999998E-4</v>
      </c>
      <c r="M14" s="544">
        <v>3.7399999999999998E-4</v>
      </c>
      <c r="N14" s="544">
        <v>3.7399999999999998E-4</v>
      </c>
      <c r="O14" s="544">
        <v>3.7399999999999998E-4</v>
      </c>
      <c r="P14" s="544">
        <v>3.7399999999999998E-4</v>
      </c>
      <c r="R14" s="543" t="str">
        <f t="shared" si="1"/>
        <v>A0006:エバーグリーン・マーケティング(株)メニューB</v>
      </c>
      <c r="S14" s="544">
        <f t="shared" si="2"/>
        <v>3.7399999999999998E-4</v>
      </c>
    </row>
    <row r="15" spans="2:19">
      <c r="B15" s="146" t="s">
        <v>1044</v>
      </c>
      <c r="C15" s="543" t="s">
        <v>1553</v>
      </c>
      <c r="D15" s="543" t="str">
        <f t="shared" si="0"/>
        <v>A0008:(株)イーセル</v>
      </c>
      <c r="F15" s="150" t="s">
        <v>452</v>
      </c>
      <c r="I15" s="146" t="s">
        <v>1042</v>
      </c>
      <c r="J15" s="146" t="s">
        <v>1551</v>
      </c>
      <c r="K15" s="544" t="s">
        <v>2058</v>
      </c>
      <c r="L15" s="544">
        <v>3.0800000000000001E-4</v>
      </c>
      <c r="M15" s="544">
        <v>3.0800000000000001E-4</v>
      </c>
      <c r="N15" s="544">
        <v>3.0800000000000001E-4</v>
      </c>
      <c r="O15" s="544">
        <v>3.0800000000000001E-4</v>
      </c>
      <c r="P15" s="544">
        <v>3.0800000000000001E-4</v>
      </c>
      <c r="R15" s="543" t="str">
        <f t="shared" si="1"/>
        <v>A0006:エバーグリーン・マーケティング(株)(参考値)事業者全体</v>
      </c>
      <c r="S15" s="544">
        <f t="shared" si="2"/>
        <v>3.0800000000000001E-4</v>
      </c>
    </row>
    <row r="16" spans="2:19">
      <c r="B16" s="146" t="s">
        <v>1045</v>
      </c>
      <c r="C16" s="543" t="s">
        <v>1554</v>
      </c>
      <c r="D16" s="543" t="str">
        <f t="shared" si="0"/>
        <v>A0009:(株)エネット</v>
      </c>
      <c r="F16" s="150" t="s">
        <v>453</v>
      </c>
      <c r="I16" s="146" t="s">
        <v>1043</v>
      </c>
      <c r="J16" s="146" t="s">
        <v>1552</v>
      </c>
      <c r="K16" s="544"/>
      <c r="L16" s="544">
        <v>4.1100000000000002E-4</v>
      </c>
      <c r="M16" s="544">
        <v>4.1100000000000002E-4</v>
      </c>
      <c r="N16" s="544">
        <v>4.1100000000000002E-4</v>
      </c>
      <c r="O16" s="544">
        <v>4.1100000000000002E-4</v>
      </c>
      <c r="P16" s="544">
        <v>4.1100000000000002E-4</v>
      </c>
      <c r="R16" s="543" t="str">
        <f t="shared" si="1"/>
        <v>A0007:(株)SEウイングズ</v>
      </c>
      <c r="S16" s="544">
        <f t="shared" si="2"/>
        <v>4.1100000000000002E-4</v>
      </c>
    </row>
    <row r="17" spans="2:19">
      <c r="B17" s="146" t="s">
        <v>1046</v>
      </c>
      <c r="C17" s="543" t="s">
        <v>1555</v>
      </c>
      <c r="D17" s="543" t="str">
        <f t="shared" si="0"/>
        <v>A0011:須賀川瓦斯(株)</v>
      </c>
      <c r="F17" s="150" t="s">
        <v>454</v>
      </c>
      <c r="I17" s="146" t="s">
        <v>1044</v>
      </c>
      <c r="J17" s="146" t="s">
        <v>1553</v>
      </c>
      <c r="K17" s="544" t="s">
        <v>710</v>
      </c>
      <c r="L17" s="544">
        <v>0</v>
      </c>
      <c r="M17" s="544">
        <v>0</v>
      </c>
      <c r="N17" s="544">
        <v>0</v>
      </c>
      <c r="O17" s="544">
        <v>0</v>
      </c>
      <c r="P17" s="544">
        <v>0</v>
      </c>
      <c r="R17" s="543" t="str">
        <f t="shared" si="1"/>
        <v>A0008:(株)イーセルメニューA</v>
      </c>
      <c r="S17" s="544">
        <f t="shared" si="2"/>
        <v>0</v>
      </c>
    </row>
    <row r="18" spans="2:19">
      <c r="B18" s="146" t="s">
        <v>1047</v>
      </c>
      <c r="C18" s="543" t="s">
        <v>1556</v>
      </c>
      <c r="D18" s="543" t="str">
        <f t="shared" si="0"/>
        <v>A0012:出光興産(株)</v>
      </c>
      <c r="F18" s="150" t="s">
        <v>455</v>
      </c>
      <c r="I18" s="146" t="s">
        <v>1044</v>
      </c>
      <c r="J18" s="146" t="s">
        <v>1553</v>
      </c>
      <c r="K18" s="544" t="s">
        <v>787</v>
      </c>
      <c r="L18" s="544">
        <v>3.39E-4</v>
      </c>
      <c r="M18" s="544">
        <v>3.39E-4</v>
      </c>
      <c r="N18" s="544">
        <v>3.39E-4</v>
      </c>
      <c r="O18" s="544">
        <v>3.39E-4</v>
      </c>
      <c r="P18" s="544">
        <v>3.39E-4</v>
      </c>
      <c r="R18" s="543" t="str">
        <f t="shared" si="1"/>
        <v>A0008:(株)イーセルメニューB</v>
      </c>
      <c r="S18" s="544">
        <f t="shared" si="2"/>
        <v>3.39E-4</v>
      </c>
    </row>
    <row r="19" spans="2:19">
      <c r="B19" s="146" t="s">
        <v>1048</v>
      </c>
      <c r="C19" s="543" t="s">
        <v>1557</v>
      </c>
      <c r="D19" s="543" t="str">
        <f t="shared" si="0"/>
        <v>A0013:(株)オプテージ</v>
      </c>
      <c r="F19" s="150" t="s">
        <v>456</v>
      </c>
      <c r="I19" s="146" t="s">
        <v>1044</v>
      </c>
      <c r="J19" s="146" t="s">
        <v>1553</v>
      </c>
      <c r="K19" s="544" t="s">
        <v>2058</v>
      </c>
      <c r="L19" s="544">
        <v>2.9999999999999997E-4</v>
      </c>
      <c r="M19" s="544">
        <v>2.9999999999999997E-4</v>
      </c>
      <c r="N19" s="544">
        <v>2.9999999999999997E-4</v>
      </c>
      <c r="O19" s="544">
        <v>2.9999999999999997E-4</v>
      </c>
      <c r="P19" s="544">
        <v>2.9999999999999997E-4</v>
      </c>
      <c r="R19" s="543" t="str">
        <f t="shared" si="1"/>
        <v>A0008:(株)イーセル(参考値)事業者全体</v>
      </c>
      <c r="S19" s="544">
        <f t="shared" si="2"/>
        <v>2.9999999999999997E-4</v>
      </c>
    </row>
    <row r="20" spans="2:19">
      <c r="B20" s="146" t="s">
        <v>1049</v>
      </c>
      <c r="C20" s="543" t="s">
        <v>1558</v>
      </c>
      <c r="D20" s="543" t="str">
        <f t="shared" si="0"/>
        <v>A0014:エネサーブ(株)</v>
      </c>
      <c r="F20" s="150" t="s">
        <v>457</v>
      </c>
      <c r="I20" s="146" t="s">
        <v>1045</v>
      </c>
      <c r="J20" s="146" t="s">
        <v>1554</v>
      </c>
      <c r="K20" s="544" t="s">
        <v>710</v>
      </c>
      <c r="L20" s="544">
        <v>0</v>
      </c>
      <c r="M20" s="544">
        <v>0</v>
      </c>
      <c r="N20" s="544">
        <v>0</v>
      </c>
      <c r="O20" s="544">
        <v>0</v>
      </c>
      <c r="P20" s="544">
        <v>0</v>
      </c>
      <c r="R20" s="543" t="str">
        <f t="shared" si="1"/>
        <v>A0009:(株)エネットメニューA</v>
      </c>
      <c r="S20" s="544">
        <f t="shared" si="2"/>
        <v>0</v>
      </c>
    </row>
    <row r="21" spans="2:19">
      <c r="B21" s="146" t="s">
        <v>1050</v>
      </c>
      <c r="C21" s="543" t="s">
        <v>1559</v>
      </c>
      <c r="D21" s="543" t="str">
        <f t="shared" si="0"/>
        <v>A0015:(株)エネワンでんき</v>
      </c>
      <c r="F21" s="150" t="s">
        <v>458</v>
      </c>
      <c r="I21" s="146" t="s">
        <v>1045</v>
      </c>
      <c r="J21" s="146" t="s">
        <v>1554</v>
      </c>
      <c r="K21" s="544" t="s">
        <v>787</v>
      </c>
      <c r="L21" s="544">
        <v>0</v>
      </c>
      <c r="M21" s="544">
        <v>0</v>
      </c>
      <c r="N21" s="544">
        <v>0</v>
      </c>
      <c r="O21" s="544">
        <v>0</v>
      </c>
      <c r="P21" s="544">
        <v>0</v>
      </c>
      <c r="R21" s="543" t="str">
        <f t="shared" si="1"/>
        <v>A0009:(株)エネットメニューB</v>
      </c>
      <c r="S21" s="544">
        <f t="shared" si="2"/>
        <v>0</v>
      </c>
    </row>
    <row r="22" spans="2:19">
      <c r="B22" s="146" t="s">
        <v>1051</v>
      </c>
      <c r="C22" s="543" t="s">
        <v>1560</v>
      </c>
      <c r="D22" s="543" t="str">
        <f t="shared" si="0"/>
        <v>A0016:ミツウロコグリーンエネルギー(株)</v>
      </c>
      <c r="F22" s="150" t="s">
        <v>459</v>
      </c>
      <c r="I22" s="146" t="s">
        <v>1045</v>
      </c>
      <c r="J22" s="146" t="s">
        <v>1554</v>
      </c>
      <c r="K22" s="544" t="s">
        <v>788</v>
      </c>
      <c r="L22" s="544">
        <v>2.9999999999999997E-4</v>
      </c>
      <c r="M22" s="544">
        <v>2.9999999999999997E-4</v>
      </c>
      <c r="N22" s="544">
        <v>2.9999999999999997E-4</v>
      </c>
      <c r="O22" s="544">
        <v>2.9999999999999997E-4</v>
      </c>
      <c r="P22" s="544">
        <v>2.9999999999999997E-4</v>
      </c>
      <c r="R22" s="543" t="str">
        <f t="shared" si="1"/>
        <v>A0009:(株)エネットメニューC</v>
      </c>
      <c r="S22" s="544">
        <f t="shared" si="2"/>
        <v>2.9999999999999997E-4</v>
      </c>
    </row>
    <row r="23" spans="2:19">
      <c r="B23" s="146" t="s">
        <v>1052</v>
      </c>
      <c r="C23" s="543" t="s">
        <v>1561</v>
      </c>
      <c r="D23" s="543" t="str">
        <f t="shared" si="0"/>
        <v>A0017:(株)リエネ</v>
      </c>
      <c r="F23" s="150" t="s">
        <v>460</v>
      </c>
      <c r="I23" s="146" t="s">
        <v>1045</v>
      </c>
      <c r="J23" s="146" t="s">
        <v>1554</v>
      </c>
      <c r="K23" s="544" t="s">
        <v>974</v>
      </c>
      <c r="L23" s="544">
        <v>3.4900000000000003E-4</v>
      </c>
      <c r="M23" s="544">
        <v>3.4900000000000003E-4</v>
      </c>
      <c r="N23" s="544">
        <v>3.4900000000000003E-4</v>
      </c>
      <c r="O23" s="544">
        <v>3.4900000000000003E-4</v>
      </c>
      <c r="P23" s="544">
        <v>3.4900000000000003E-4</v>
      </c>
      <c r="R23" s="543" t="str">
        <f t="shared" si="1"/>
        <v>A0009:(株)エネットメニューD</v>
      </c>
      <c r="S23" s="544">
        <f t="shared" si="2"/>
        <v>3.4900000000000003E-4</v>
      </c>
    </row>
    <row r="24" spans="2:19">
      <c r="B24" s="146" t="s">
        <v>1053</v>
      </c>
      <c r="C24" s="543" t="s">
        <v>1562</v>
      </c>
      <c r="D24" s="543" t="str">
        <f t="shared" si="0"/>
        <v>A0018:ネクストパワーやまと(株)</v>
      </c>
      <c r="F24" s="150" t="s">
        <v>461</v>
      </c>
      <c r="I24" s="146" t="s">
        <v>1045</v>
      </c>
      <c r="J24" s="146" t="s">
        <v>1554</v>
      </c>
      <c r="K24" s="544" t="s">
        <v>975</v>
      </c>
      <c r="L24" s="544">
        <v>4.0000000000000002E-4</v>
      </c>
      <c r="M24" s="544">
        <v>4.0000000000000002E-4</v>
      </c>
      <c r="N24" s="544">
        <v>4.0000000000000002E-4</v>
      </c>
      <c r="O24" s="544">
        <v>4.0000000000000002E-4</v>
      </c>
      <c r="P24" s="544">
        <v>4.0000000000000002E-4</v>
      </c>
      <c r="R24" s="543" t="str">
        <f t="shared" si="1"/>
        <v>A0009:(株)エネットメニューE</v>
      </c>
      <c r="S24" s="544">
        <f t="shared" si="2"/>
        <v>4.0000000000000002E-4</v>
      </c>
    </row>
    <row r="25" spans="2:19">
      <c r="B25" s="146" t="s">
        <v>1054</v>
      </c>
      <c r="C25" s="543" t="s">
        <v>1563</v>
      </c>
      <c r="D25" s="543" t="str">
        <f t="shared" si="0"/>
        <v>A0019:日本テクノ(株)</v>
      </c>
      <c r="F25" s="150" t="s">
        <v>462</v>
      </c>
      <c r="I25" s="146" t="s">
        <v>1045</v>
      </c>
      <c r="J25" s="146" t="s">
        <v>1554</v>
      </c>
      <c r="K25" s="544" t="s">
        <v>2059</v>
      </c>
      <c r="L25" s="544">
        <v>5.4699999999999996E-4</v>
      </c>
      <c r="M25" s="544">
        <v>5.4699999999999996E-4</v>
      </c>
      <c r="N25" s="544">
        <v>5.4699999999999996E-4</v>
      </c>
      <c r="O25" s="544">
        <v>5.4699999999999996E-4</v>
      </c>
      <c r="P25" s="544">
        <v>5.4699999999999996E-4</v>
      </c>
      <c r="R25" s="543" t="str">
        <f t="shared" si="1"/>
        <v>A0009:(株)エネットメニューF</v>
      </c>
      <c r="S25" s="544">
        <f t="shared" si="2"/>
        <v>5.4699999999999996E-4</v>
      </c>
    </row>
    <row r="26" spans="2:19">
      <c r="B26" s="146" t="s">
        <v>705</v>
      </c>
      <c r="C26" s="543" t="s">
        <v>1564</v>
      </c>
      <c r="D26" s="543" t="str">
        <f t="shared" si="0"/>
        <v>A0020:中央電力エナジー(株)</v>
      </c>
      <c r="F26" s="150" t="s">
        <v>463</v>
      </c>
      <c r="I26" s="146" t="s">
        <v>1045</v>
      </c>
      <c r="J26" s="146" t="s">
        <v>1554</v>
      </c>
      <c r="K26" s="544" t="s">
        <v>2058</v>
      </c>
      <c r="L26" s="544">
        <v>4.1399999999999998E-4</v>
      </c>
      <c r="M26" s="544">
        <v>4.1399999999999998E-4</v>
      </c>
      <c r="N26" s="544">
        <v>4.1399999999999998E-4</v>
      </c>
      <c r="O26" s="544">
        <v>4.1399999999999998E-4</v>
      </c>
      <c r="P26" s="544">
        <v>4.1399999999999998E-4</v>
      </c>
      <c r="R26" s="543" t="str">
        <f t="shared" si="1"/>
        <v>A0009:(株)エネット(参考値)事業者全体</v>
      </c>
      <c r="S26" s="544">
        <f t="shared" si="2"/>
        <v>4.1399999999999998E-4</v>
      </c>
    </row>
    <row r="27" spans="2:19">
      <c r="B27" s="146" t="s">
        <v>1055</v>
      </c>
      <c r="C27" s="543" t="s">
        <v>1565</v>
      </c>
      <c r="D27" s="543" t="str">
        <f t="shared" si="0"/>
        <v>A0021:(株)Looop</v>
      </c>
      <c r="F27" s="150" t="s">
        <v>676</v>
      </c>
      <c r="I27" s="146" t="s">
        <v>1046</v>
      </c>
      <c r="J27" s="146" t="s">
        <v>1555</v>
      </c>
      <c r="K27" s="544" t="s">
        <v>710</v>
      </c>
      <c r="L27" s="544">
        <v>0</v>
      </c>
      <c r="M27" s="544">
        <v>0</v>
      </c>
      <c r="N27" s="544">
        <v>0</v>
      </c>
      <c r="O27" s="544">
        <v>0</v>
      </c>
      <c r="P27" s="544">
        <v>0</v>
      </c>
      <c r="R27" s="543" t="str">
        <f t="shared" si="1"/>
        <v>A0011:須賀川瓦斯(株)メニューA</v>
      </c>
      <c r="S27" s="544">
        <f t="shared" si="2"/>
        <v>0</v>
      </c>
    </row>
    <row r="28" spans="2:19">
      <c r="B28" s="146" t="s">
        <v>1056</v>
      </c>
      <c r="C28" s="543" t="s">
        <v>1566</v>
      </c>
      <c r="D28" s="543" t="str">
        <f t="shared" si="0"/>
        <v>A0023:(株)ナンワ(旧：(株)ナンワエナジー)</v>
      </c>
      <c r="F28" s="150" t="s">
        <v>677</v>
      </c>
      <c r="I28" s="146" t="s">
        <v>1046</v>
      </c>
      <c r="J28" s="146" t="s">
        <v>1555</v>
      </c>
      <c r="K28" s="544" t="s">
        <v>787</v>
      </c>
      <c r="L28" s="544">
        <v>0</v>
      </c>
      <c r="M28" s="544">
        <v>0</v>
      </c>
      <c r="N28" s="544">
        <v>0</v>
      </c>
      <c r="O28" s="544">
        <v>0</v>
      </c>
      <c r="P28" s="544">
        <v>0</v>
      </c>
      <c r="R28" s="543" t="str">
        <f t="shared" si="1"/>
        <v>A0011:須賀川瓦斯(株)メニューB</v>
      </c>
      <c r="S28" s="544">
        <f t="shared" si="2"/>
        <v>0</v>
      </c>
    </row>
    <row r="29" spans="2:19">
      <c r="B29" s="146" t="s">
        <v>1057</v>
      </c>
      <c r="C29" s="543" t="s">
        <v>1567</v>
      </c>
      <c r="D29" s="543" t="str">
        <f t="shared" si="0"/>
        <v>A0024:静岡ガス＆パワー(株)</v>
      </c>
      <c r="F29" s="150" t="s">
        <v>678</v>
      </c>
      <c r="I29" s="146" t="s">
        <v>1046</v>
      </c>
      <c r="J29" s="146" t="s">
        <v>1555</v>
      </c>
      <c r="K29" s="544" t="s">
        <v>788</v>
      </c>
      <c r="L29" s="544">
        <v>0</v>
      </c>
      <c r="M29" s="544">
        <v>0</v>
      </c>
      <c r="N29" s="544">
        <v>0</v>
      </c>
      <c r="O29" s="544">
        <v>0</v>
      </c>
      <c r="P29" s="544">
        <v>0</v>
      </c>
      <c r="R29" s="543" t="str">
        <f t="shared" si="1"/>
        <v>A0011:須賀川瓦斯(株)メニューC</v>
      </c>
      <c r="S29" s="544">
        <f t="shared" si="2"/>
        <v>0</v>
      </c>
    </row>
    <row r="30" spans="2:19">
      <c r="B30" s="146" t="s">
        <v>1058</v>
      </c>
      <c r="C30" s="543" t="s">
        <v>1568</v>
      </c>
      <c r="D30" s="543" t="str">
        <f t="shared" si="0"/>
        <v>A0025:荏原環境プラント(株)</v>
      </c>
      <c r="F30" s="150" t="s">
        <v>968</v>
      </c>
      <c r="I30" s="146" t="s">
        <v>1046</v>
      </c>
      <c r="J30" s="146" t="s">
        <v>1555</v>
      </c>
      <c r="K30" s="544" t="s">
        <v>974</v>
      </c>
      <c r="L30" s="544">
        <v>4.95E-4</v>
      </c>
      <c r="M30" s="544">
        <v>4.95E-4</v>
      </c>
      <c r="N30" s="544">
        <v>4.95E-4</v>
      </c>
      <c r="O30" s="544">
        <v>4.95E-4</v>
      </c>
      <c r="P30" s="544">
        <v>4.95E-4</v>
      </c>
      <c r="R30" s="543" t="str">
        <f t="shared" si="1"/>
        <v>A0011:須賀川瓦斯(株)メニューD</v>
      </c>
      <c r="S30" s="544">
        <f t="shared" si="2"/>
        <v>4.95E-4</v>
      </c>
    </row>
    <row r="31" spans="2:19">
      <c r="B31" s="146" t="s">
        <v>1059</v>
      </c>
      <c r="C31" s="543" t="s">
        <v>1569</v>
      </c>
      <c r="D31" s="543" t="str">
        <f t="shared" si="0"/>
        <v>A0026:東京エコサービス(株)</v>
      </c>
      <c r="F31" s="150" t="s">
        <v>969</v>
      </c>
      <c r="I31" s="146" t="s">
        <v>1046</v>
      </c>
      <c r="J31" s="146" t="s">
        <v>1555</v>
      </c>
      <c r="K31" s="544" t="s">
        <v>2058</v>
      </c>
      <c r="L31" s="544">
        <v>4.4499999999999997E-4</v>
      </c>
      <c r="M31" s="544">
        <v>4.4499999999999997E-4</v>
      </c>
      <c r="N31" s="544">
        <v>4.4499999999999997E-4</v>
      </c>
      <c r="O31" s="544">
        <v>4.4499999999999997E-4</v>
      </c>
      <c r="P31" s="544">
        <v>4.4499999999999997E-4</v>
      </c>
      <c r="R31" s="543" t="str">
        <f t="shared" si="1"/>
        <v>A0011:須賀川瓦斯(株)(参考値)事業者全体</v>
      </c>
      <c r="S31" s="544">
        <f t="shared" si="2"/>
        <v>4.4499999999999997E-4</v>
      </c>
    </row>
    <row r="32" spans="2:19">
      <c r="B32" s="146" t="s">
        <v>1060</v>
      </c>
      <c r="C32" s="543" t="s">
        <v>1570</v>
      </c>
      <c r="D32" s="543" t="str">
        <f t="shared" si="0"/>
        <v>A0027:ダイヤモンドパワー(株)</v>
      </c>
      <c r="F32" s="150" t="s">
        <v>970</v>
      </c>
      <c r="I32" s="146" t="s">
        <v>1047</v>
      </c>
      <c r="J32" s="146" t="s">
        <v>1556</v>
      </c>
      <c r="K32" s="544" t="s">
        <v>710</v>
      </c>
      <c r="L32" s="544">
        <v>0</v>
      </c>
      <c r="M32" s="544">
        <v>0</v>
      </c>
      <c r="N32" s="544">
        <v>0</v>
      </c>
      <c r="O32" s="544">
        <v>0</v>
      </c>
      <c r="P32" s="544">
        <v>0</v>
      </c>
      <c r="R32" s="543" t="str">
        <f t="shared" si="1"/>
        <v>A0012:出光興産(株)メニューA</v>
      </c>
      <c r="S32" s="544">
        <f t="shared" si="2"/>
        <v>0</v>
      </c>
    </row>
    <row r="33" spans="2:19">
      <c r="B33" s="146" t="s">
        <v>1061</v>
      </c>
      <c r="C33" s="543" t="s">
        <v>1571</v>
      </c>
      <c r="D33" s="543" t="str">
        <f t="shared" si="0"/>
        <v>A0031:(株)新出光</v>
      </c>
      <c r="F33" s="150" t="s">
        <v>971</v>
      </c>
      <c r="I33" s="146" t="s">
        <v>1047</v>
      </c>
      <c r="J33" s="146" t="s">
        <v>1556</v>
      </c>
      <c r="K33" s="544" t="s">
        <v>787</v>
      </c>
      <c r="L33" s="544">
        <v>0</v>
      </c>
      <c r="M33" s="544">
        <v>0</v>
      </c>
      <c r="N33" s="544">
        <v>0</v>
      </c>
      <c r="O33" s="544">
        <v>0</v>
      </c>
      <c r="P33" s="544">
        <v>0</v>
      </c>
      <c r="R33" s="543" t="str">
        <f t="shared" si="1"/>
        <v>A0012:出光興産(株)メニューB</v>
      </c>
      <c r="S33" s="544">
        <f t="shared" si="2"/>
        <v>0</v>
      </c>
    </row>
    <row r="34" spans="2:19">
      <c r="B34" s="146" t="s">
        <v>1062</v>
      </c>
      <c r="C34" s="543" t="s">
        <v>1572</v>
      </c>
      <c r="D34" s="543" t="str">
        <f t="shared" si="0"/>
        <v>A0032:セントラル石油瓦斯(株)</v>
      </c>
      <c r="F34" s="150" t="s">
        <v>972</v>
      </c>
      <c r="I34" s="146" t="s">
        <v>1047</v>
      </c>
      <c r="J34" s="146" t="s">
        <v>1556</v>
      </c>
      <c r="K34" s="544" t="s">
        <v>788</v>
      </c>
      <c r="L34" s="544">
        <v>2.0000000000000001E-4</v>
      </c>
      <c r="M34" s="544">
        <v>2.0000000000000001E-4</v>
      </c>
      <c r="N34" s="544">
        <v>2.0000000000000001E-4</v>
      </c>
      <c r="O34" s="544">
        <v>2.0000000000000001E-4</v>
      </c>
      <c r="P34" s="544">
        <v>2.0000000000000001E-4</v>
      </c>
      <c r="R34" s="543" t="str">
        <f t="shared" si="1"/>
        <v>A0012:出光興産(株)メニューC</v>
      </c>
      <c r="S34" s="544">
        <f t="shared" si="2"/>
        <v>2.0000000000000001E-4</v>
      </c>
    </row>
    <row r="35" spans="2:19">
      <c r="B35" s="146" t="s">
        <v>1063</v>
      </c>
      <c r="C35" s="543" t="s">
        <v>1573</v>
      </c>
      <c r="D35" s="543" t="str">
        <f t="shared" si="0"/>
        <v>A0034:一般財団法人泉佐野電力</v>
      </c>
      <c r="F35" s="150" t="s">
        <v>973</v>
      </c>
      <c r="I35" s="146" t="s">
        <v>1047</v>
      </c>
      <c r="J35" s="146" t="s">
        <v>1556</v>
      </c>
      <c r="K35" s="544" t="s">
        <v>974</v>
      </c>
      <c r="L35" s="544">
        <v>5.3200000000000003E-4</v>
      </c>
      <c r="M35" s="544">
        <v>5.3200000000000003E-4</v>
      </c>
      <c r="N35" s="544">
        <v>5.3200000000000003E-4</v>
      </c>
      <c r="O35" s="544">
        <v>5.3200000000000003E-4</v>
      </c>
      <c r="P35" s="544">
        <v>5.3200000000000003E-4</v>
      </c>
      <c r="R35" s="543" t="str">
        <f t="shared" si="1"/>
        <v>A0012:出光興産(株)メニューD</v>
      </c>
      <c r="S35" s="544">
        <f t="shared" si="2"/>
        <v>5.3200000000000003E-4</v>
      </c>
    </row>
    <row r="36" spans="2:19">
      <c r="B36" s="146" t="s">
        <v>1064</v>
      </c>
      <c r="C36" s="543" t="s">
        <v>1574</v>
      </c>
      <c r="D36" s="543" t="str">
        <f t="shared" si="0"/>
        <v>A0035:コスモエネルギーソリューションズ(株)</v>
      </c>
      <c r="F36" s="153" t="s">
        <v>978</v>
      </c>
      <c r="I36" s="146" t="s">
        <v>1047</v>
      </c>
      <c r="J36" s="146" t="s">
        <v>1556</v>
      </c>
      <c r="K36" s="544" t="s">
        <v>2058</v>
      </c>
      <c r="L36" s="544">
        <v>4.1899999999999999E-4</v>
      </c>
      <c r="M36" s="544">
        <v>4.1899999999999999E-4</v>
      </c>
      <c r="N36" s="544">
        <v>4.1899999999999999E-4</v>
      </c>
      <c r="O36" s="544">
        <v>4.1899999999999999E-4</v>
      </c>
      <c r="P36" s="544">
        <v>4.1899999999999999E-4</v>
      </c>
      <c r="R36" s="543" t="str">
        <f t="shared" si="1"/>
        <v>A0012:出光興産(株)(参考値)事業者全体</v>
      </c>
      <c r="S36" s="544">
        <f t="shared" si="2"/>
        <v>4.1899999999999999E-4</v>
      </c>
    </row>
    <row r="37" spans="2:19">
      <c r="B37" s="146" t="s">
        <v>1065</v>
      </c>
      <c r="C37" s="543" t="s">
        <v>1575</v>
      </c>
      <c r="D37" s="543" t="str">
        <f t="shared" si="0"/>
        <v>A0036:(株)グリーンサークル</v>
      </c>
      <c r="I37" s="146" t="s">
        <v>1048</v>
      </c>
      <c r="J37" s="146" t="s">
        <v>1557</v>
      </c>
      <c r="K37" s="544" t="s">
        <v>710</v>
      </c>
      <c r="L37" s="544">
        <v>0</v>
      </c>
      <c r="M37" s="544">
        <v>0</v>
      </c>
      <c r="N37" s="544">
        <v>0</v>
      </c>
      <c r="O37" s="544">
        <v>0</v>
      </c>
      <c r="P37" s="544">
        <v>0</v>
      </c>
      <c r="R37" s="543" t="str">
        <f t="shared" si="1"/>
        <v>A0013:(株)オプテージメニューA</v>
      </c>
      <c r="S37" s="544">
        <f t="shared" si="2"/>
        <v>0</v>
      </c>
    </row>
    <row r="38" spans="2:19">
      <c r="B38" s="146" t="s">
        <v>1066</v>
      </c>
      <c r="C38" s="543" t="s">
        <v>1576</v>
      </c>
      <c r="D38" s="543" t="str">
        <f t="shared" si="0"/>
        <v>A0039:北海道瓦斯(株)</v>
      </c>
      <c r="I38" s="146" t="s">
        <v>1048</v>
      </c>
      <c r="J38" s="146" t="s">
        <v>1557</v>
      </c>
      <c r="K38" s="544" t="s">
        <v>787</v>
      </c>
      <c r="L38" s="544">
        <v>3.3300000000000002E-4</v>
      </c>
      <c r="M38" s="544">
        <v>3.3300000000000002E-4</v>
      </c>
      <c r="N38" s="544">
        <v>3.3300000000000002E-4</v>
      </c>
      <c r="O38" s="544">
        <v>3.3300000000000002E-4</v>
      </c>
      <c r="P38" s="544">
        <v>3.3300000000000002E-4</v>
      </c>
      <c r="R38" s="543" t="str">
        <f t="shared" si="1"/>
        <v>A0013:(株)オプテージメニューB</v>
      </c>
      <c r="S38" s="544">
        <f t="shared" si="2"/>
        <v>3.3300000000000002E-4</v>
      </c>
    </row>
    <row r="39" spans="2:19">
      <c r="B39" s="146" t="s">
        <v>1067</v>
      </c>
      <c r="C39" s="543" t="s">
        <v>1577</v>
      </c>
      <c r="D39" s="543" t="str">
        <f t="shared" si="0"/>
        <v>A0040:アルカナエナジー(株)</v>
      </c>
      <c r="I39" s="146" t="s">
        <v>1048</v>
      </c>
      <c r="J39" s="146" t="s">
        <v>1557</v>
      </c>
      <c r="K39" s="544" t="s">
        <v>2058</v>
      </c>
      <c r="L39" s="544">
        <v>3.3300000000000002E-4</v>
      </c>
      <c r="M39" s="544">
        <v>3.3300000000000002E-4</v>
      </c>
      <c r="N39" s="544">
        <v>3.3300000000000002E-4</v>
      </c>
      <c r="O39" s="544">
        <v>3.3300000000000002E-4</v>
      </c>
      <c r="P39" s="544">
        <v>3.3300000000000002E-4</v>
      </c>
      <c r="R39" s="543" t="str">
        <f t="shared" si="1"/>
        <v>A0013:(株)オプテージ(参考値)事業者全体</v>
      </c>
      <c r="S39" s="544">
        <f t="shared" si="2"/>
        <v>3.3300000000000002E-4</v>
      </c>
    </row>
    <row r="40" spans="2:19">
      <c r="B40" s="146" t="s">
        <v>1068</v>
      </c>
      <c r="C40" s="543" t="s">
        <v>1578</v>
      </c>
      <c r="D40" s="543" t="str">
        <f t="shared" si="0"/>
        <v>A0042:新エネルギー開発(株)</v>
      </c>
      <c r="I40" s="146" t="s">
        <v>1049</v>
      </c>
      <c r="J40" s="146" t="s">
        <v>1558</v>
      </c>
      <c r="K40" s="544" t="s">
        <v>710</v>
      </c>
      <c r="L40" s="544">
        <v>0</v>
      </c>
      <c r="M40" s="544">
        <v>0</v>
      </c>
      <c r="N40" s="544">
        <v>0</v>
      </c>
      <c r="O40" s="544">
        <v>0</v>
      </c>
      <c r="P40" s="544">
        <v>0</v>
      </c>
      <c r="R40" s="543" t="str">
        <f t="shared" si="1"/>
        <v>A0014:エネサーブ(株)メニューA</v>
      </c>
      <c r="S40" s="544">
        <f t="shared" si="2"/>
        <v>0</v>
      </c>
    </row>
    <row r="41" spans="2:19">
      <c r="B41" s="146" t="s">
        <v>1069</v>
      </c>
      <c r="C41" s="543" t="s">
        <v>1579</v>
      </c>
      <c r="D41" s="543" t="str">
        <f t="shared" si="0"/>
        <v>A0043:伊藤忠エネクス(株)</v>
      </c>
      <c r="I41" s="146" t="s">
        <v>1049</v>
      </c>
      <c r="J41" s="146" t="s">
        <v>1558</v>
      </c>
      <c r="K41" s="544" t="s">
        <v>787</v>
      </c>
      <c r="L41" s="544">
        <v>6.6E-4</v>
      </c>
      <c r="M41" s="544">
        <v>6.6E-4</v>
      </c>
      <c r="N41" s="544">
        <v>6.6E-4</v>
      </c>
      <c r="O41" s="544">
        <v>6.6E-4</v>
      </c>
      <c r="P41" s="544">
        <v>6.6E-4</v>
      </c>
      <c r="R41" s="543" t="str">
        <f t="shared" si="1"/>
        <v>A0014:エネサーブ(株)メニューB</v>
      </c>
      <c r="S41" s="544">
        <f t="shared" si="2"/>
        <v>6.6E-4</v>
      </c>
    </row>
    <row r="42" spans="2:19">
      <c r="B42" s="146" t="s">
        <v>1070</v>
      </c>
      <c r="C42" s="543" t="s">
        <v>1580</v>
      </c>
      <c r="D42" s="543" t="str">
        <f t="shared" si="0"/>
        <v>A0045:(株)VーPower</v>
      </c>
      <c r="I42" s="146" t="s">
        <v>1049</v>
      </c>
      <c r="J42" s="146" t="s">
        <v>1558</v>
      </c>
      <c r="K42" s="544" t="s">
        <v>2058</v>
      </c>
      <c r="L42" s="544">
        <v>2.8400000000000002E-4</v>
      </c>
      <c r="M42" s="544">
        <v>2.8400000000000002E-4</v>
      </c>
      <c r="N42" s="544">
        <v>2.8400000000000002E-4</v>
      </c>
      <c r="O42" s="544">
        <v>2.8400000000000002E-4</v>
      </c>
      <c r="P42" s="544">
        <v>2.8400000000000002E-4</v>
      </c>
      <c r="R42" s="543" t="str">
        <f t="shared" si="1"/>
        <v>A0014:エネサーブ(株)(参考値)事業者全体</v>
      </c>
      <c r="S42" s="544">
        <f t="shared" si="2"/>
        <v>2.8400000000000002E-4</v>
      </c>
    </row>
    <row r="43" spans="2:19">
      <c r="B43" s="146" t="s">
        <v>1071</v>
      </c>
      <c r="C43" s="543" t="s">
        <v>1581</v>
      </c>
      <c r="D43" s="543" t="str">
        <f t="shared" si="0"/>
        <v>A0046:大和エネルギー(株)</v>
      </c>
      <c r="I43" s="146" t="s">
        <v>1050</v>
      </c>
      <c r="J43" s="146" t="s">
        <v>1559</v>
      </c>
      <c r="K43" s="544" t="s">
        <v>710</v>
      </c>
      <c r="L43" s="544">
        <v>4.0299999999999998E-4</v>
      </c>
      <c r="M43" s="544">
        <v>4.0299999999999998E-4</v>
      </c>
      <c r="N43" s="544">
        <v>4.0299999999999998E-4</v>
      </c>
      <c r="O43" s="544">
        <v>4.0299999999999998E-4</v>
      </c>
      <c r="P43" s="544">
        <v>4.0299999999999998E-4</v>
      </c>
      <c r="R43" s="543" t="str">
        <f t="shared" si="1"/>
        <v>A0015:(株)エネワンでんきメニューA</v>
      </c>
      <c r="S43" s="544">
        <f t="shared" si="2"/>
        <v>4.0299999999999998E-4</v>
      </c>
    </row>
    <row r="44" spans="2:19">
      <c r="B44" s="146" t="s">
        <v>1072</v>
      </c>
      <c r="C44" s="543" t="s">
        <v>1582</v>
      </c>
      <c r="D44" s="543" t="str">
        <f t="shared" si="0"/>
        <v>A0048:大阪瓦斯(株)</v>
      </c>
      <c r="I44" s="146" t="s">
        <v>1050</v>
      </c>
      <c r="J44" s="146" t="s">
        <v>1559</v>
      </c>
      <c r="K44" s="544" t="s">
        <v>787</v>
      </c>
      <c r="L44" s="544">
        <v>3.79E-4</v>
      </c>
      <c r="M44" s="544">
        <v>3.79E-4</v>
      </c>
      <c r="N44" s="544">
        <v>3.79E-4</v>
      </c>
      <c r="O44" s="544">
        <v>3.79E-4</v>
      </c>
      <c r="P44" s="544">
        <v>3.79E-4</v>
      </c>
      <c r="R44" s="543" t="str">
        <f t="shared" si="1"/>
        <v>A0015:(株)エネワンでんきメニューB</v>
      </c>
      <c r="S44" s="544">
        <f t="shared" si="2"/>
        <v>3.79E-4</v>
      </c>
    </row>
    <row r="45" spans="2:19">
      <c r="B45" s="146" t="s">
        <v>1073</v>
      </c>
      <c r="C45" s="543" t="s">
        <v>1583</v>
      </c>
      <c r="D45" s="543" t="str">
        <f t="shared" si="0"/>
        <v>A0049:エフビットコミュニケーションズ(株)　</v>
      </c>
      <c r="I45" s="146" t="s">
        <v>1050</v>
      </c>
      <c r="J45" s="146" t="s">
        <v>1559</v>
      </c>
      <c r="K45" s="544" t="s">
        <v>2058</v>
      </c>
      <c r="L45" s="544">
        <v>3.79E-4</v>
      </c>
      <c r="M45" s="544">
        <v>3.79E-4</v>
      </c>
      <c r="N45" s="544">
        <v>3.79E-4</v>
      </c>
      <c r="O45" s="544">
        <v>3.79E-4</v>
      </c>
      <c r="P45" s="544">
        <v>3.79E-4</v>
      </c>
      <c r="R45" s="543" t="str">
        <f t="shared" si="1"/>
        <v>A0015:(株)エネワンでんき(参考値)事業者全体</v>
      </c>
      <c r="S45" s="544">
        <f t="shared" si="2"/>
        <v>3.79E-4</v>
      </c>
    </row>
    <row r="46" spans="2:19">
      <c r="B46" s="146" t="s">
        <v>1074</v>
      </c>
      <c r="C46" s="543" t="s">
        <v>1584</v>
      </c>
      <c r="D46" s="543" t="str">
        <f t="shared" si="0"/>
        <v>A0050:ENEOS Power(株)（旧:ENEOS(株)）</v>
      </c>
      <c r="I46" s="146" t="s">
        <v>1051</v>
      </c>
      <c r="J46" s="146" t="s">
        <v>1560</v>
      </c>
      <c r="K46" s="544" t="s">
        <v>710</v>
      </c>
      <c r="L46" s="544">
        <v>0</v>
      </c>
      <c r="M46" s="544">
        <v>0</v>
      </c>
      <c r="N46" s="544">
        <v>0</v>
      </c>
      <c r="O46" s="544">
        <v>0</v>
      </c>
      <c r="P46" s="544">
        <v>0</v>
      </c>
      <c r="R46" s="543" t="str">
        <f t="shared" si="1"/>
        <v>A0016:ミツウロコグリーンエネルギー(株)メニューA</v>
      </c>
      <c r="S46" s="544">
        <f t="shared" si="2"/>
        <v>0</v>
      </c>
    </row>
    <row r="47" spans="2:19">
      <c r="B47" s="146" t="s">
        <v>1075</v>
      </c>
      <c r="C47" s="543" t="s">
        <v>1585</v>
      </c>
      <c r="D47" s="543" t="str">
        <f t="shared" si="0"/>
        <v>A0051:真庭バイオエネルギー(株)</v>
      </c>
      <c r="I47" s="146" t="s">
        <v>1051</v>
      </c>
      <c r="J47" s="146" t="s">
        <v>1560</v>
      </c>
      <c r="K47" s="544" t="s">
        <v>787</v>
      </c>
      <c r="L47" s="544">
        <v>2.0000000000000001E-4</v>
      </c>
      <c r="M47" s="544">
        <v>2.0000000000000001E-4</v>
      </c>
      <c r="N47" s="544">
        <v>2.0000000000000001E-4</v>
      </c>
      <c r="O47" s="544">
        <v>2.0000000000000001E-4</v>
      </c>
      <c r="P47" s="544">
        <v>2.0000000000000001E-4</v>
      </c>
      <c r="R47" s="543" t="str">
        <f t="shared" si="1"/>
        <v>A0016:ミツウロコグリーンエネルギー(株)メニューB</v>
      </c>
      <c r="S47" s="544">
        <f t="shared" si="2"/>
        <v>2.0000000000000001E-4</v>
      </c>
    </row>
    <row r="48" spans="2:19">
      <c r="B48" s="146" t="s">
        <v>1076</v>
      </c>
      <c r="C48" s="543" t="s">
        <v>1586</v>
      </c>
      <c r="D48" s="543" t="str">
        <f t="shared" si="0"/>
        <v>A0052:三井物産(株)</v>
      </c>
      <c r="I48" s="146" t="s">
        <v>1051</v>
      </c>
      <c r="J48" s="146" t="s">
        <v>1560</v>
      </c>
      <c r="K48" s="544" t="s">
        <v>788</v>
      </c>
      <c r="L48" s="544">
        <v>0</v>
      </c>
      <c r="M48" s="544">
        <v>0</v>
      </c>
      <c r="N48" s="544">
        <v>0</v>
      </c>
      <c r="O48" s="544">
        <v>0</v>
      </c>
      <c r="P48" s="544">
        <v>0</v>
      </c>
      <c r="R48" s="543" t="str">
        <f t="shared" si="1"/>
        <v>A0016:ミツウロコグリーンエネルギー(株)メニューC</v>
      </c>
      <c r="S48" s="544">
        <f t="shared" si="2"/>
        <v>0</v>
      </c>
    </row>
    <row r="49" spans="2:19">
      <c r="B49" s="146" t="s">
        <v>1077</v>
      </c>
      <c r="C49" s="543" t="s">
        <v>1587</v>
      </c>
      <c r="D49" s="543" t="str">
        <f t="shared" si="0"/>
        <v>A0053:オリックス(株)</v>
      </c>
      <c r="I49" s="146" t="s">
        <v>1051</v>
      </c>
      <c r="J49" s="146" t="s">
        <v>1560</v>
      </c>
      <c r="K49" s="544" t="s">
        <v>974</v>
      </c>
      <c r="L49" s="544">
        <v>0</v>
      </c>
      <c r="M49" s="544">
        <v>0</v>
      </c>
      <c r="N49" s="544">
        <v>0</v>
      </c>
      <c r="O49" s="544">
        <v>0</v>
      </c>
      <c r="P49" s="544">
        <v>0</v>
      </c>
      <c r="R49" s="543" t="str">
        <f t="shared" si="1"/>
        <v>A0016:ミツウロコグリーンエネルギー(株)メニューD</v>
      </c>
      <c r="S49" s="544">
        <f t="shared" si="2"/>
        <v>0</v>
      </c>
    </row>
    <row r="50" spans="2:19">
      <c r="B50" s="146" t="s">
        <v>1078</v>
      </c>
      <c r="C50" s="543" t="s">
        <v>1588</v>
      </c>
      <c r="D50" s="543" t="str">
        <f t="shared" si="0"/>
        <v>A0054:(株)エネサンス関東</v>
      </c>
      <c r="I50" s="146" t="s">
        <v>1051</v>
      </c>
      <c r="J50" s="146" t="s">
        <v>1560</v>
      </c>
      <c r="K50" s="544" t="s">
        <v>975</v>
      </c>
      <c r="L50" s="544">
        <v>2.5799999999999998E-4</v>
      </c>
      <c r="M50" s="544">
        <v>2.5799999999999998E-4</v>
      </c>
      <c r="N50" s="544">
        <v>2.5799999999999998E-4</v>
      </c>
      <c r="O50" s="544">
        <v>2.5799999999999998E-4</v>
      </c>
      <c r="P50" s="544">
        <v>2.5799999999999998E-4</v>
      </c>
      <c r="R50" s="543" t="str">
        <f t="shared" si="1"/>
        <v>A0016:ミツウロコグリーンエネルギー(株)メニューE</v>
      </c>
      <c r="S50" s="544">
        <f t="shared" si="2"/>
        <v>2.5799999999999998E-4</v>
      </c>
    </row>
    <row r="51" spans="2:19">
      <c r="B51" s="146" t="s">
        <v>1079</v>
      </c>
      <c r="C51" s="543" t="s">
        <v>1589</v>
      </c>
      <c r="D51" s="543" t="str">
        <f t="shared" si="0"/>
        <v>A0055:(株)UPDATER</v>
      </c>
      <c r="I51" s="146" t="s">
        <v>1051</v>
      </c>
      <c r="J51" s="146" t="s">
        <v>1560</v>
      </c>
      <c r="K51" s="544" t="s">
        <v>2059</v>
      </c>
      <c r="L51" s="544">
        <v>0</v>
      </c>
      <c r="M51" s="544">
        <v>0</v>
      </c>
      <c r="N51" s="544">
        <v>0</v>
      </c>
      <c r="O51" s="544">
        <v>0</v>
      </c>
      <c r="P51" s="544">
        <v>0</v>
      </c>
      <c r="R51" s="543" t="str">
        <f t="shared" si="1"/>
        <v>A0016:ミツウロコグリーンエネルギー(株)メニューF</v>
      </c>
      <c r="S51" s="544">
        <f t="shared" si="2"/>
        <v>0</v>
      </c>
    </row>
    <row r="52" spans="2:19">
      <c r="B52" s="146" t="s">
        <v>1080</v>
      </c>
      <c r="C52" s="543" t="s">
        <v>1590</v>
      </c>
      <c r="D52" s="543" t="str">
        <f t="shared" si="0"/>
        <v>A0056:シン・エナジー(株)</v>
      </c>
      <c r="I52" s="146" t="s">
        <v>1051</v>
      </c>
      <c r="J52" s="146" t="s">
        <v>1560</v>
      </c>
      <c r="K52" s="544" t="s">
        <v>2060</v>
      </c>
      <c r="L52" s="544">
        <v>0</v>
      </c>
      <c r="M52" s="544">
        <v>0</v>
      </c>
      <c r="N52" s="544">
        <v>0</v>
      </c>
      <c r="O52" s="544">
        <v>0</v>
      </c>
      <c r="P52" s="544">
        <v>0</v>
      </c>
      <c r="R52" s="543" t="str">
        <f t="shared" si="1"/>
        <v>A0016:ミツウロコグリーンエネルギー(株)メニューG</v>
      </c>
      <c r="S52" s="544">
        <f t="shared" si="2"/>
        <v>0</v>
      </c>
    </row>
    <row r="53" spans="2:19">
      <c r="B53" s="146" t="s">
        <v>1081</v>
      </c>
      <c r="C53" s="543" t="s">
        <v>1591</v>
      </c>
      <c r="D53" s="543" t="str">
        <f t="shared" si="0"/>
        <v>A0057:(株)サニックス</v>
      </c>
      <c r="I53" s="146" t="s">
        <v>1051</v>
      </c>
      <c r="J53" s="146" t="s">
        <v>1560</v>
      </c>
      <c r="K53" s="544" t="s">
        <v>2061</v>
      </c>
      <c r="L53" s="544">
        <v>0</v>
      </c>
      <c r="M53" s="544">
        <v>0</v>
      </c>
      <c r="N53" s="544">
        <v>0</v>
      </c>
      <c r="O53" s="544">
        <v>0</v>
      </c>
      <c r="P53" s="544">
        <v>0</v>
      </c>
      <c r="R53" s="543" t="str">
        <f t="shared" si="1"/>
        <v>A0016:ミツウロコグリーンエネルギー(株)メニューH</v>
      </c>
      <c r="S53" s="544">
        <f t="shared" si="2"/>
        <v>0</v>
      </c>
    </row>
    <row r="54" spans="2:19">
      <c r="B54" s="146" t="s">
        <v>1082</v>
      </c>
      <c r="C54" s="543" t="s">
        <v>1592</v>
      </c>
      <c r="D54" s="543" t="str">
        <f t="shared" si="0"/>
        <v>A0058:(株)コンシェルジュ</v>
      </c>
      <c r="I54" s="146" t="s">
        <v>1051</v>
      </c>
      <c r="J54" s="146" t="s">
        <v>1560</v>
      </c>
      <c r="K54" s="544" t="s">
        <v>2062</v>
      </c>
      <c r="L54" s="544">
        <v>2.5799999999999998E-4</v>
      </c>
      <c r="M54" s="544">
        <v>2.5799999999999998E-4</v>
      </c>
      <c r="N54" s="544">
        <v>2.5799999999999998E-4</v>
      </c>
      <c r="O54" s="544">
        <v>2.5799999999999998E-4</v>
      </c>
      <c r="P54" s="544">
        <v>2.5799999999999998E-4</v>
      </c>
      <c r="R54" s="543" t="str">
        <f t="shared" si="1"/>
        <v>A0016:ミツウロコグリーンエネルギー(株)メニューI</v>
      </c>
      <c r="S54" s="544">
        <f t="shared" si="2"/>
        <v>2.5799999999999998E-4</v>
      </c>
    </row>
    <row r="55" spans="2:19">
      <c r="B55" s="146" t="s">
        <v>1083</v>
      </c>
      <c r="C55" s="543" t="s">
        <v>1593</v>
      </c>
      <c r="D55" s="543" t="str">
        <f t="shared" si="0"/>
        <v>A0060:(株)アイ・グリッド・ソリューションズ</v>
      </c>
      <c r="I55" s="146" t="s">
        <v>1051</v>
      </c>
      <c r="J55" s="146" t="s">
        <v>1560</v>
      </c>
      <c r="K55" s="544" t="s">
        <v>2063</v>
      </c>
      <c r="L55" s="544">
        <v>1.73E-4</v>
      </c>
      <c r="M55" s="544">
        <v>1.73E-4</v>
      </c>
      <c r="N55" s="544">
        <v>1.73E-4</v>
      </c>
      <c r="O55" s="544">
        <v>1.73E-4</v>
      </c>
      <c r="P55" s="544">
        <v>1.73E-4</v>
      </c>
      <c r="R55" s="543" t="str">
        <f t="shared" si="1"/>
        <v>A0016:ミツウロコグリーンエネルギー(株)メニューJ</v>
      </c>
      <c r="S55" s="544">
        <f t="shared" si="2"/>
        <v>1.73E-4</v>
      </c>
    </row>
    <row r="56" spans="2:19">
      <c r="B56" s="146" t="s">
        <v>1084</v>
      </c>
      <c r="C56" s="543" t="s">
        <v>1594</v>
      </c>
      <c r="D56" s="543" t="str">
        <f t="shared" si="0"/>
        <v>A0061:サミットエナジー(株)</v>
      </c>
      <c r="I56" s="146" t="s">
        <v>1051</v>
      </c>
      <c r="J56" s="146" t="s">
        <v>1560</v>
      </c>
      <c r="K56" s="544" t="s">
        <v>2064</v>
      </c>
      <c r="L56" s="544">
        <v>4.3600000000000003E-4</v>
      </c>
      <c r="M56" s="544">
        <v>4.3600000000000003E-4</v>
      </c>
      <c r="N56" s="544">
        <v>4.3600000000000003E-4</v>
      </c>
      <c r="O56" s="544">
        <v>4.3600000000000003E-4</v>
      </c>
      <c r="P56" s="544">
        <v>4.3600000000000003E-4</v>
      </c>
      <c r="R56" s="543" t="str">
        <f t="shared" si="1"/>
        <v>A0016:ミツウロコグリーンエネルギー(株)メニューK</v>
      </c>
      <c r="S56" s="544">
        <f t="shared" si="2"/>
        <v>4.3600000000000003E-4</v>
      </c>
    </row>
    <row r="57" spans="2:19">
      <c r="B57" s="146" t="s">
        <v>1085</v>
      </c>
      <c r="C57" s="543" t="s">
        <v>1595</v>
      </c>
      <c r="D57" s="543" t="str">
        <f t="shared" si="0"/>
        <v>A0062:リコージャパン(株)</v>
      </c>
      <c r="I57" s="146" t="s">
        <v>1051</v>
      </c>
      <c r="J57" s="146" t="s">
        <v>1560</v>
      </c>
      <c r="K57" s="544" t="s">
        <v>2058</v>
      </c>
      <c r="L57" s="544">
        <v>3.8699999999999997E-4</v>
      </c>
      <c r="M57" s="544">
        <v>3.8699999999999997E-4</v>
      </c>
      <c r="N57" s="544">
        <v>3.8699999999999997E-4</v>
      </c>
      <c r="O57" s="544">
        <v>3.8699999999999997E-4</v>
      </c>
      <c r="P57" s="544">
        <v>3.8699999999999997E-4</v>
      </c>
      <c r="R57" s="543" t="str">
        <f t="shared" si="1"/>
        <v>A0016:ミツウロコグリーンエネルギー(株)(参考値)事業者全体</v>
      </c>
      <c r="S57" s="544">
        <f t="shared" si="2"/>
        <v>3.8699999999999997E-4</v>
      </c>
    </row>
    <row r="58" spans="2:19">
      <c r="B58" s="146" t="s">
        <v>1086</v>
      </c>
      <c r="C58" s="543" t="s">
        <v>1596</v>
      </c>
      <c r="D58" s="543" t="str">
        <f t="shared" si="0"/>
        <v>A0063:(株)エネルギア・ソリューション・アンド・サービス</v>
      </c>
      <c r="I58" s="146" t="s">
        <v>1052</v>
      </c>
      <c r="J58" s="146" t="s">
        <v>1561</v>
      </c>
      <c r="K58" s="544" t="s">
        <v>710</v>
      </c>
      <c r="L58" s="544">
        <v>0</v>
      </c>
      <c r="M58" s="544">
        <v>0</v>
      </c>
      <c r="N58" s="544">
        <v>0</v>
      </c>
      <c r="O58" s="544">
        <v>0</v>
      </c>
      <c r="P58" s="544">
        <v>0</v>
      </c>
      <c r="R58" s="543" t="str">
        <f t="shared" si="1"/>
        <v>A0017:(株)リエネメニューA</v>
      </c>
      <c r="S58" s="544">
        <f t="shared" si="2"/>
        <v>0</v>
      </c>
    </row>
    <row r="59" spans="2:19">
      <c r="B59" s="146" t="s">
        <v>1087</v>
      </c>
      <c r="C59" s="543" t="s">
        <v>1597</v>
      </c>
      <c r="D59" s="543" t="str">
        <f t="shared" si="0"/>
        <v>A0064:東京ガス(株)</v>
      </c>
      <c r="I59" s="146" t="s">
        <v>1052</v>
      </c>
      <c r="J59" s="146" t="s">
        <v>1561</v>
      </c>
      <c r="K59" s="544" t="s">
        <v>787</v>
      </c>
      <c r="L59" s="544">
        <v>0</v>
      </c>
      <c r="M59" s="544">
        <v>0</v>
      </c>
      <c r="N59" s="544">
        <v>0</v>
      </c>
      <c r="O59" s="544">
        <v>0</v>
      </c>
      <c r="P59" s="544">
        <v>0</v>
      </c>
      <c r="R59" s="543" t="str">
        <f t="shared" si="1"/>
        <v>A0017:(株)リエネメニューB</v>
      </c>
      <c r="S59" s="544">
        <f t="shared" si="2"/>
        <v>0</v>
      </c>
    </row>
    <row r="60" spans="2:19">
      <c r="B60" s="146" t="s">
        <v>1088</v>
      </c>
      <c r="C60" s="543" t="s">
        <v>1598</v>
      </c>
      <c r="D60" s="543" t="str">
        <f t="shared" si="0"/>
        <v>A0065:テス・エンジニアリング(株)</v>
      </c>
      <c r="I60" s="146" t="s">
        <v>1052</v>
      </c>
      <c r="J60" s="146" t="s">
        <v>1561</v>
      </c>
      <c r="K60" s="544" t="s">
        <v>788</v>
      </c>
      <c r="L60" s="544">
        <v>5.9199999999999997E-4</v>
      </c>
      <c r="M60" s="544">
        <v>5.9199999999999997E-4</v>
      </c>
      <c r="N60" s="544">
        <v>5.9199999999999997E-4</v>
      </c>
      <c r="O60" s="544">
        <v>5.9199999999999997E-4</v>
      </c>
      <c r="P60" s="544">
        <v>5.9199999999999997E-4</v>
      </c>
      <c r="R60" s="543" t="str">
        <f t="shared" si="1"/>
        <v>A0017:(株)リエネメニューC</v>
      </c>
      <c r="S60" s="544">
        <f t="shared" si="2"/>
        <v>5.9199999999999997E-4</v>
      </c>
    </row>
    <row r="61" spans="2:19">
      <c r="B61" s="146" t="s">
        <v>1089</v>
      </c>
      <c r="C61" s="543" t="s">
        <v>1599</v>
      </c>
      <c r="D61" s="543" t="str">
        <f t="shared" si="0"/>
        <v>A0066:青梅ガス(株)</v>
      </c>
      <c r="I61" s="146" t="s">
        <v>1052</v>
      </c>
      <c r="J61" s="146" t="s">
        <v>1561</v>
      </c>
      <c r="K61" s="544" t="s">
        <v>2058</v>
      </c>
      <c r="L61" s="544">
        <v>2.8499999999999999E-4</v>
      </c>
      <c r="M61" s="544">
        <v>2.8499999999999999E-4</v>
      </c>
      <c r="N61" s="544">
        <v>2.8499999999999999E-4</v>
      </c>
      <c r="O61" s="544">
        <v>2.8499999999999999E-4</v>
      </c>
      <c r="P61" s="544">
        <v>2.8499999999999999E-4</v>
      </c>
      <c r="R61" s="543" t="str">
        <f t="shared" si="1"/>
        <v>A0017:(株)リエネ(参考値)事業者全体</v>
      </c>
      <c r="S61" s="544">
        <f t="shared" si="2"/>
        <v>2.8499999999999999E-4</v>
      </c>
    </row>
    <row r="62" spans="2:19">
      <c r="B62" s="146" t="s">
        <v>1090</v>
      </c>
      <c r="C62" s="543" t="s">
        <v>1600</v>
      </c>
      <c r="D62" s="543" t="str">
        <f t="shared" si="0"/>
        <v>A0067:(株)イーネットワークシステムズ</v>
      </c>
      <c r="I62" s="146" t="s">
        <v>1053</v>
      </c>
      <c r="J62" s="146" t="s">
        <v>1562</v>
      </c>
      <c r="K62" s="544" t="s">
        <v>710</v>
      </c>
      <c r="L62" s="544">
        <v>0</v>
      </c>
      <c r="M62" s="544">
        <v>0</v>
      </c>
      <c r="N62" s="544">
        <v>0</v>
      </c>
      <c r="O62" s="544">
        <v>0</v>
      </c>
      <c r="P62" s="544">
        <v>0</v>
      </c>
      <c r="R62" s="543" t="str">
        <f t="shared" si="1"/>
        <v>A0018:ネクストパワーやまと(株)メニューA</v>
      </c>
      <c r="S62" s="544">
        <f t="shared" si="2"/>
        <v>0</v>
      </c>
    </row>
    <row r="63" spans="2:19">
      <c r="B63" s="146" t="s">
        <v>1091</v>
      </c>
      <c r="C63" s="543" t="s">
        <v>1601</v>
      </c>
      <c r="D63" s="543" t="str">
        <f t="shared" si="0"/>
        <v>A0068:(株)エネアーク関東</v>
      </c>
      <c r="I63" s="146" t="s">
        <v>1053</v>
      </c>
      <c r="J63" s="146" t="s">
        <v>1562</v>
      </c>
      <c r="K63" s="544" t="s">
        <v>787</v>
      </c>
      <c r="L63" s="544">
        <v>2.4499999999999999E-4</v>
      </c>
      <c r="M63" s="544">
        <v>2.4499999999999999E-4</v>
      </c>
      <c r="N63" s="544">
        <v>2.4499999999999999E-4</v>
      </c>
      <c r="O63" s="544">
        <v>2.4499999999999999E-4</v>
      </c>
      <c r="P63" s="544">
        <v>2.4499999999999999E-4</v>
      </c>
      <c r="R63" s="543" t="str">
        <f t="shared" si="1"/>
        <v>A0018:ネクストパワーやまと(株)メニューB</v>
      </c>
      <c r="S63" s="544">
        <f t="shared" si="2"/>
        <v>2.4499999999999999E-4</v>
      </c>
    </row>
    <row r="64" spans="2:19">
      <c r="B64" s="146" t="s">
        <v>1092</v>
      </c>
      <c r="C64" s="543" t="s">
        <v>1602</v>
      </c>
      <c r="D64" s="543" t="str">
        <f t="shared" si="0"/>
        <v>A0069:(株)東急パワーサプライ</v>
      </c>
      <c r="I64" s="146" t="s">
        <v>1053</v>
      </c>
      <c r="J64" s="146" t="s">
        <v>1562</v>
      </c>
      <c r="K64" s="544" t="s">
        <v>788</v>
      </c>
      <c r="L64" s="544">
        <v>4.7800000000000002E-4</v>
      </c>
      <c r="M64" s="544">
        <v>4.7800000000000002E-4</v>
      </c>
      <c r="N64" s="544">
        <v>4.7800000000000002E-4</v>
      </c>
      <c r="O64" s="544">
        <v>4.7800000000000002E-4</v>
      </c>
      <c r="P64" s="544">
        <v>4.7800000000000002E-4</v>
      </c>
      <c r="R64" s="543" t="str">
        <f t="shared" si="1"/>
        <v>A0018:ネクストパワーやまと(株)メニューC</v>
      </c>
      <c r="S64" s="544">
        <f t="shared" si="2"/>
        <v>4.7800000000000002E-4</v>
      </c>
    </row>
    <row r="65" spans="2:19">
      <c r="B65" s="146" t="s">
        <v>1093</v>
      </c>
      <c r="C65" s="543" t="s">
        <v>1603</v>
      </c>
      <c r="D65" s="543" t="str">
        <f t="shared" si="0"/>
        <v>A0070:王子・伊藤忠エネクス電力販売(株)</v>
      </c>
      <c r="I65" s="146" t="s">
        <v>1053</v>
      </c>
      <c r="J65" s="146" t="s">
        <v>1562</v>
      </c>
      <c r="K65" s="544" t="s">
        <v>2058</v>
      </c>
      <c r="L65" s="544">
        <v>4.75E-4</v>
      </c>
      <c r="M65" s="544">
        <v>4.75E-4</v>
      </c>
      <c r="N65" s="544">
        <v>4.75E-4</v>
      </c>
      <c r="O65" s="544">
        <v>4.75E-4</v>
      </c>
      <c r="P65" s="544">
        <v>4.75E-4</v>
      </c>
      <c r="R65" s="543" t="str">
        <f t="shared" si="1"/>
        <v>A0018:ネクストパワーやまと(株)(参考値)事業者全体</v>
      </c>
      <c r="S65" s="544">
        <f t="shared" si="2"/>
        <v>4.75E-4</v>
      </c>
    </row>
    <row r="66" spans="2:19">
      <c r="B66" s="146" t="s">
        <v>1094</v>
      </c>
      <c r="C66" s="543" t="s">
        <v>1604</v>
      </c>
      <c r="D66" s="543" t="str">
        <f t="shared" si="0"/>
        <v>A0071:伊藤忠商事(株)</v>
      </c>
      <c r="I66" s="146" t="s">
        <v>1054</v>
      </c>
      <c r="J66" s="146" t="s">
        <v>1563</v>
      </c>
      <c r="K66" s="544" t="s">
        <v>710</v>
      </c>
      <c r="L66" s="544">
        <v>0</v>
      </c>
      <c r="M66" s="544">
        <v>0</v>
      </c>
      <c r="N66" s="544">
        <v>0</v>
      </c>
      <c r="O66" s="544">
        <v>0</v>
      </c>
      <c r="P66" s="544">
        <v>0</v>
      </c>
      <c r="R66" s="543" t="str">
        <f t="shared" si="1"/>
        <v>A0019:日本テクノ(株)メニューA</v>
      </c>
      <c r="S66" s="544">
        <f t="shared" si="2"/>
        <v>0</v>
      </c>
    </row>
    <row r="67" spans="2:19">
      <c r="B67" s="146" t="s">
        <v>1095</v>
      </c>
      <c r="C67" s="543" t="s">
        <v>1605</v>
      </c>
      <c r="D67" s="543" t="str">
        <f t="shared" si="0"/>
        <v>A0072:(株)エコスタイル</v>
      </c>
      <c r="I67" s="146" t="s">
        <v>1054</v>
      </c>
      <c r="J67" s="146" t="s">
        <v>1563</v>
      </c>
      <c r="K67" s="544" t="s">
        <v>787</v>
      </c>
      <c r="L67" s="544">
        <v>4.2000000000000002E-4</v>
      </c>
      <c r="M67" s="544">
        <v>4.2000000000000002E-4</v>
      </c>
      <c r="N67" s="544">
        <v>4.2000000000000002E-4</v>
      </c>
      <c r="O67" s="544">
        <v>4.2000000000000002E-4</v>
      </c>
      <c r="P67" s="544">
        <v>4.2000000000000002E-4</v>
      </c>
      <c r="R67" s="543" t="str">
        <f t="shared" si="1"/>
        <v>A0019:日本テクノ(株)メニューB</v>
      </c>
      <c r="S67" s="544">
        <f t="shared" si="2"/>
        <v>4.2000000000000002E-4</v>
      </c>
    </row>
    <row r="68" spans="2:19">
      <c r="B68" s="146" t="s">
        <v>1096</v>
      </c>
      <c r="C68" s="543" t="s">
        <v>1606</v>
      </c>
      <c r="D68" s="543" t="str">
        <f t="shared" si="0"/>
        <v>A0073:入間ガス(株)</v>
      </c>
      <c r="I68" s="146" t="s">
        <v>1054</v>
      </c>
      <c r="J68" s="146" t="s">
        <v>1563</v>
      </c>
      <c r="K68" s="544" t="s">
        <v>2058</v>
      </c>
      <c r="L68" s="544">
        <v>2.4000000000000001E-4</v>
      </c>
      <c r="M68" s="544">
        <v>2.4000000000000001E-4</v>
      </c>
      <c r="N68" s="544">
        <v>2.4000000000000001E-4</v>
      </c>
      <c r="O68" s="544">
        <v>2.4000000000000001E-4</v>
      </c>
      <c r="P68" s="544">
        <v>2.4000000000000001E-4</v>
      </c>
      <c r="R68" s="543" t="str">
        <f t="shared" si="1"/>
        <v>A0019:日本テクノ(株)(参考値)事業者全体</v>
      </c>
      <c r="S68" s="544">
        <f t="shared" si="2"/>
        <v>2.4000000000000001E-4</v>
      </c>
    </row>
    <row r="69" spans="2:19">
      <c r="B69" s="146" t="s">
        <v>1097</v>
      </c>
      <c r="C69" s="543" t="s">
        <v>1607</v>
      </c>
      <c r="D69" s="543" t="str">
        <f t="shared" si="0"/>
        <v>A0075:(株)とんでんホールディングス</v>
      </c>
      <c r="I69" s="146" t="s">
        <v>705</v>
      </c>
      <c r="J69" s="146" t="s">
        <v>1564</v>
      </c>
      <c r="K69" s="544" t="s">
        <v>710</v>
      </c>
      <c r="L69" s="544">
        <v>0</v>
      </c>
      <c r="M69" s="544">
        <v>0</v>
      </c>
      <c r="N69" s="544">
        <v>0</v>
      </c>
      <c r="O69" s="544">
        <v>0</v>
      </c>
      <c r="P69" s="544">
        <v>0</v>
      </c>
      <c r="R69" s="543" t="str">
        <f t="shared" si="1"/>
        <v>A0020:中央電力エナジー(株)メニューA</v>
      </c>
      <c r="S69" s="544">
        <f t="shared" si="2"/>
        <v>0</v>
      </c>
    </row>
    <row r="70" spans="2:19">
      <c r="B70" s="146" t="s">
        <v>1098</v>
      </c>
      <c r="C70" s="543" t="s">
        <v>1608</v>
      </c>
      <c r="D70" s="543" t="str">
        <f t="shared" si="0"/>
        <v>A0076:日鉄エンジニアリング(株)</v>
      </c>
      <c r="I70" s="146" t="s">
        <v>705</v>
      </c>
      <c r="J70" s="146" t="s">
        <v>1564</v>
      </c>
      <c r="K70" s="544" t="s">
        <v>787</v>
      </c>
      <c r="L70" s="544">
        <v>0</v>
      </c>
      <c r="M70" s="544">
        <v>0</v>
      </c>
      <c r="N70" s="544">
        <v>0</v>
      </c>
      <c r="O70" s="544">
        <v>0</v>
      </c>
      <c r="P70" s="544">
        <v>0</v>
      </c>
      <c r="R70" s="543" t="str">
        <f t="shared" si="1"/>
        <v>A0020:中央電力エナジー(株)メニューB</v>
      </c>
      <c r="S70" s="544">
        <f t="shared" si="2"/>
        <v>0</v>
      </c>
    </row>
    <row r="71" spans="2:19">
      <c r="B71" s="146" t="s">
        <v>1099</v>
      </c>
      <c r="C71" s="543" t="s">
        <v>1609</v>
      </c>
      <c r="D71" s="543" t="str">
        <f t="shared" si="0"/>
        <v>A0077:auエネルギー＆ライフ(株)</v>
      </c>
      <c r="I71" s="146" t="s">
        <v>705</v>
      </c>
      <c r="J71" s="146" t="s">
        <v>1564</v>
      </c>
      <c r="K71" s="544" t="s">
        <v>788</v>
      </c>
      <c r="L71" s="544">
        <v>0</v>
      </c>
      <c r="M71" s="544">
        <v>0</v>
      </c>
      <c r="N71" s="544">
        <v>0</v>
      </c>
      <c r="O71" s="544">
        <v>0</v>
      </c>
      <c r="P71" s="544">
        <v>0</v>
      </c>
      <c r="R71" s="543" t="str">
        <f t="shared" si="1"/>
        <v>A0020:中央電力エナジー(株)メニューC</v>
      </c>
      <c r="S71" s="544">
        <f t="shared" si="2"/>
        <v>0</v>
      </c>
    </row>
    <row r="72" spans="2:19">
      <c r="B72" s="146" t="s">
        <v>1100</v>
      </c>
      <c r="C72" s="543" t="s">
        <v>1610</v>
      </c>
      <c r="D72" s="543" t="str">
        <f t="shared" si="0"/>
        <v>A0079:イワタニ関東(株)</v>
      </c>
      <c r="I72" s="146" t="s">
        <v>705</v>
      </c>
      <c r="J72" s="146" t="s">
        <v>1564</v>
      </c>
      <c r="K72" s="544" t="s">
        <v>974</v>
      </c>
      <c r="L72" s="544">
        <v>6.5099999999999999E-4</v>
      </c>
      <c r="M72" s="544">
        <v>6.5099999999999999E-4</v>
      </c>
      <c r="N72" s="544">
        <v>6.5099999999999999E-4</v>
      </c>
      <c r="O72" s="544">
        <v>6.5099999999999999E-4</v>
      </c>
      <c r="P72" s="544">
        <v>6.5099999999999999E-4</v>
      </c>
      <c r="R72" s="543" t="str">
        <f t="shared" si="1"/>
        <v>A0020:中央電力エナジー(株)メニューD</v>
      </c>
      <c r="S72" s="544">
        <f t="shared" si="2"/>
        <v>6.5099999999999999E-4</v>
      </c>
    </row>
    <row r="73" spans="2:19">
      <c r="B73" s="146" t="s">
        <v>1101</v>
      </c>
      <c r="C73" s="543" t="s">
        <v>1611</v>
      </c>
      <c r="D73" s="543" t="str">
        <f t="shared" si="0"/>
        <v>A0080:イワタニ首都圏(株)</v>
      </c>
      <c r="I73" s="146" t="s">
        <v>705</v>
      </c>
      <c r="J73" s="146" t="s">
        <v>1564</v>
      </c>
      <c r="K73" s="544" t="s">
        <v>2058</v>
      </c>
      <c r="L73" s="544">
        <v>2.9799999999999998E-4</v>
      </c>
      <c r="M73" s="544">
        <v>2.9799999999999998E-4</v>
      </c>
      <c r="N73" s="544">
        <v>2.9799999999999998E-4</v>
      </c>
      <c r="O73" s="544">
        <v>2.9799999999999998E-4</v>
      </c>
      <c r="P73" s="544">
        <v>2.9799999999999998E-4</v>
      </c>
      <c r="R73" s="543" t="str">
        <f t="shared" si="1"/>
        <v>A0020:中央電力エナジー(株)(参考値)事業者全体</v>
      </c>
      <c r="S73" s="544">
        <f t="shared" si="2"/>
        <v>2.9799999999999998E-4</v>
      </c>
    </row>
    <row r="74" spans="2:19">
      <c r="B74" s="146" t="s">
        <v>1102</v>
      </c>
      <c r="C74" s="543" t="s">
        <v>1612</v>
      </c>
      <c r="D74" s="543" t="str">
        <f t="shared" ref="D74:D137" si="3">IF(B74="","",B74&amp;":"&amp;C74)</f>
        <v>A0081:サーラeエナジー(株)</v>
      </c>
      <c r="I74" s="146" t="s">
        <v>1055</v>
      </c>
      <c r="J74" s="146" t="s">
        <v>1565</v>
      </c>
      <c r="K74" s="544" t="s">
        <v>710</v>
      </c>
      <c r="L74" s="544">
        <v>0</v>
      </c>
      <c r="M74" s="544">
        <v>0</v>
      </c>
      <c r="N74" s="544">
        <v>0</v>
      </c>
      <c r="O74" s="544">
        <v>0</v>
      </c>
      <c r="P74" s="544">
        <v>0</v>
      </c>
      <c r="R74" s="543" t="str">
        <f t="shared" ref="R74:R137" si="4">I74&amp;":"&amp;J74&amp;K74</f>
        <v>A0021:(株)LooopメニューA</v>
      </c>
      <c r="S74" s="544">
        <f t="shared" ref="S74:S137" si="5">HLOOKUP($S$8,$L$8:$P$2000,ROW()-7,FALSE)</f>
        <v>0</v>
      </c>
    </row>
    <row r="75" spans="2:19">
      <c r="B75" s="146" t="s">
        <v>1103</v>
      </c>
      <c r="C75" s="543" t="s">
        <v>1613</v>
      </c>
      <c r="D75" s="543" t="str">
        <f t="shared" si="3"/>
        <v>A0082:(株)地球クラブ</v>
      </c>
      <c r="I75" s="146" t="s">
        <v>1055</v>
      </c>
      <c r="J75" s="146" t="s">
        <v>1565</v>
      </c>
      <c r="K75" s="544" t="s">
        <v>787</v>
      </c>
      <c r="L75" s="544">
        <v>1.73E-4</v>
      </c>
      <c r="M75" s="544">
        <v>1.73E-4</v>
      </c>
      <c r="N75" s="544">
        <v>1.73E-4</v>
      </c>
      <c r="O75" s="544">
        <v>1.73E-4</v>
      </c>
      <c r="P75" s="544">
        <v>1.73E-4</v>
      </c>
      <c r="R75" s="543" t="str">
        <f t="shared" si="4"/>
        <v>A0021:(株)LooopメニューB</v>
      </c>
      <c r="S75" s="544">
        <f t="shared" si="5"/>
        <v>1.73E-4</v>
      </c>
    </row>
    <row r="76" spans="2:19">
      <c r="B76" s="146" t="s">
        <v>1104</v>
      </c>
      <c r="C76" s="543" t="s">
        <v>1614</v>
      </c>
      <c r="D76" s="543" t="str">
        <f t="shared" si="3"/>
        <v>A0084:西部瓦斯(株)</v>
      </c>
      <c r="I76" s="146" t="s">
        <v>1055</v>
      </c>
      <c r="J76" s="146" t="s">
        <v>1565</v>
      </c>
      <c r="K76" s="544" t="s">
        <v>788</v>
      </c>
      <c r="L76" s="544">
        <v>5.9599999999999996E-4</v>
      </c>
      <c r="M76" s="544">
        <v>5.9599999999999996E-4</v>
      </c>
      <c r="N76" s="544">
        <v>5.9599999999999996E-4</v>
      </c>
      <c r="O76" s="544">
        <v>5.9599999999999996E-4</v>
      </c>
      <c r="P76" s="544">
        <v>5.9599999999999996E-4</v>
      </c>
      <c r="R76" s="543" t="str">
        <f t="shared" si="4"/>
        <v>A0021:(株)LooopメニューC</v>
      </c>
      <c r="S76" s="544">
        <f t="shared" si="5"/>
        <v>5.9599999999999996E-4</v>
      </c>
    </row>
    <row r="77" spans="2:19">
      <c r="B77" s="146" t="s">
        <v>1105</v>
      </c>
      <c r="C77" s="543" t="s">
        <v>1615</v>
      </c>
      <c r="D77" s="543" t="str">
        <f t="shared" si="3"/>
        <v>A0085:東邦ガス(株)</v>
      </c>
      <c r="I77" s="146" t="s">
        <v>1055</v>
      </c>
      <c r="J77" s="146" t="s">
        <v>1565</v>
      </c>
      <c r="K77" s="544" t="s">
        <v>2058</v>
      </c>
      <c r="L77" s="544">
        <v>5.8699999999999996E-4</v>
      </c>
      <c r="M77" s="544">
        <v>5.8699999999999996E-4</v>
      </c>
      <c r="N77" s="544">
        <v>5.8699999999999996E-4</v>
      </c>
      <c r="O77" s="544">
        <v>5.8699999999999996E-4</v>
      </c>
      <c r="P77" s="544">
        <v>5.8699999999999996E-4</v>
      </c>
      <c r="R77" s="543" t="str">
        <f t="shared" si="4"/>
        <v>A0021:(株)Looop(参考値)事業者全体</v>
      </c>
      <c r="S77" s="544">
        <f t="shared" si="5"/>
        <v>5.8699999999999996E-4</v>
      </c>
    </row>
    <row r="78" spans="2:19">
      <c r="B78" s="146" t="s">
        <v>1106</v>
      </c>
      <c r="C78" s="543" t="s">
        <v>1616</v>
      </c>
      <c r="D78" s="543" t="str">
        <f t="shared" si="3"/>
        <v>A0086:シナネン(株)</v>
      </c>
      <c r="I78" s="146" t="s">
        <v>1056</v>
      </c>
      <c r="J78" s="146" t="s">
        <v>1566</v>
      </c>
      <c r="K78" s="544"/>
      <c r="L78" s="544">
        <v>6.5300000000000004E-4</v>
      </c>
      <c r="M78" s="544">
        <v>6.5300000000000004E-4</v>
      </c>
      <c r="N78" s="544">
        <v>6.5300000000000004E-4</v>
      </c>
      <c r="O78" s="544">
        <v>6.5300000000000004E-4</v>
      </c>
      <c r="P78" s="544">
        <v>6.5300000000000004E-4</v>
      </c>
      <c r="R78" s="543" t="str">
        <f t="shared" si="4"/>
        <v>A0023:(株)ナンワ(旧：(株)ナンワエナジー)</v>
      </c>
      <c r="S78" s="544">
        <f t="shared" si="5"/>
        <v>6.5300000000000004E-4</v>
      </c>
    </row>
    <row r="79" spans="2:19">
      <c r="B79" s="146" t="s">
        <v>1107</v>
      </c>
      <c r="C79" s="543" t="s">
        <v>1617</v>
      </c>
      <c r="D79" s="543" t="str">
        <f t="shared" si="3"/>
        <v>A0088:カワサキグリーンエナジー(株)</v>
      </c>
      <c r="I79" s="146" t="s">
        <v>1057</v>
      </c>
      <c r="J79" s="146" t="s">
        <v>1567</v>
      </c>
      <c r="K79" s="544" t="s">
        <v>710</v>
      </c>
      <c r="L79" s="544">
        <v>3.1399999999999999E-4</v>
      </c>
      <c r="M79" s="544">
        <v>3.1399999999999999E-4</v>
      </c>
      <c r="N79" s="544">
        <v>3.1399999999999999E-4</v>
      </c>
      <c r="O79" s="544">
        <v>3.1399999999999999E-4</v>
      </c>
      <c r="P79" s="544">
        <v>3.1399999999999999E-4</v>
      </c>
      <c r="R79" s="543" t="str">
        <f t="shared" si="4"/>
        <v>A0024:静岡ガス＆パワー(株)メニューA</v>
      </c>
      <c r="S79" s="544">
        <f t="shared" si="5"/>
        <v>3.1399999999999999E-4</v>
      </c>
    </row>
    <row r="80" spans="2:19">
      <c r="B80" s="146" t="s">
        <v>1108</v>
      </c>
      <c r="C80" s="543" t="s">
        <v>1618</v>
      </c>
      <c r="D80" s="543" t="str">
        <f t="shared" si="3"/>
        <v>A0089:大一ガス(株)</v>
      </c>
      <c r="I80" s="146" t="s">
        <v>1057</v>
      </c>
      <c r="J80" s="146" t="s">
        <v>1567</v>
      </c>
      <c r="K80" s="544" t="s">
        <v>787</v>
      </c>
      <c r="L80" s="544">
        <v>0</v>
      </c>
      <c r="M80" s="544">
        <v>0</v>
      </c>
      <c r="N80" s="544">
        <v>0</v>
      </c>
      <c r="O80" s="544">
        <v>0</v>
      </c>
      <c r="P80" s="544">
        <v>0</v>
      </c>
      <c r="R80" s="543" t="str">
        <f t="shared" si="4"/>
        <v>A0024:静岡ガス＆パワー(株)メニューB</v>
      </c>
      <c r="S80" s="544">
        <f t="shared" si="5"/>
        <v>0</v>
      </c>
    </row>
    <row r="81" spans="2:19">
      <c r="B81" s="146" t="s">
        <v>1109</v>
      </c>
      <c r="C81" s="543" t="s">
        <v>1619</v>
      </c>
      <c r="D81" s="543" t="str">
        <f t="shared" si="3"/>
        <v>A0090:(株)リミックスポイント</v>
      </c>
      <c r="I81" s="146" t="s">
        <v>1057</v>
      </c>
      <c r="J81" s="146" t="s">
        <v>1567</v>
      </c>
      <c r="K81" s="544" t="s">
        <v>788</v>
      </c>
      <c r="L81" s="544">
        <v>3.5500000000000001E-4</v>
      </c>
      <c r="M81" s="544">
        <v>3.5500000000000001E-4</v>
      </c>
      <c r="N81" s="544">
        <v>3.5500000000000001E-4</v>
      </c>
      <c r="O81" s="544">
        <v>3.5500000000000001E-4</v>
      </c>
      <c r="P81" s="544">
        <v>3.5500000000000001E-4</v>
      </c>
      <c r="R81" s="543" t="str">
        <f t="shared" si="4"/>
        <v>A0024:静岡ガス＆パワー(株)メニューC</v>
      </c>
      <c r="S81" s="544">
        <f t="shared" si="5"/>
        <v>3.5500000000000001E-4</v>
      </c>
    </row>
    <row r="82" spans="2:19">
      <c r="B82" s="146" t="s">
        <v>1110</v>
      </c>
      <c r="C82" s="543" t="s">
        <v>1620</v>
      </c>
      <c r="D82" s="543" t="str">
        <f t="shared" si="3"/>
        <v>A0092:(株)中海テレビ放送</v>
      </c>
      <c r="I82" s="146" t="s">
        <v>1057</v>
      </c>
      <c r="J82" s="146" t="s">
        <v>1567</v>
      </c>
      <c r="K82" s="544" t="s">
        <v>974</v>
      </c>
      <c r="L82" s="544">
        <v>0</v>
      </c>
      <c r="M82" s="544">
        <v>0</v>
      </c>
      <c r="N82" s="544">
        <v>0</v>
      </c>
      <c r="O82" s="544">
        <v>0</v>
      </c>
      <c r="P82" s="544">
        <v>0</v>
      </c>
      <c r="R82" s="543" t="str">
        <f t="shared" si="4"/>
        <v>A0024:静岡ガス＆パワー(株)メニューD</v>
      </c>
      <c r="S82" s="544">
        <f t="shared" si="5"/>
        <v>0</v>
      </c>
    </row>
    <row r="83" spans="2:19">
      <c r="B83" s="146" t="s">
        <v>1111</v>
      </c>
      <c r="C83" s="543" t="s">
        <v>1621</v>
      </c>
      <c r="D83" s="543" t="str">
        <f t="shared" si="3"/>
        <v>A0093:パシフィックパワー(株)</v>
      </c>
      <c r="I83" s="146" t="s">
        <v>1057</v>
      </c>
      <c r="J83" s="146" t="s">
        <v>1567</v>
      </c>
      <c r="K83" s="544" t="s">
        <v>975</v>
      </c>
      <c r="L83" s="544">
        <v>3.3199999999999999E-4</v>
      </c>
      <c r="M83" s="544">
        <v>3.3199999999999999E-4</v>
      </c>
      <c r="N83" s="544">
        <v>3.3199999999999999E-4</v>
      </c>
      <c r="O83" s="544">
        <v>3.3199999999999999E-4</v>
      </c>
      <c r="P83" s="544">
        <v>3.3199999999999999E-4</v>
      </c>
      <c r="R83" s="543" t="str">
        <f t="shared" si="4"/>
        <v>A0024:静岡ガス＆パワー(株)メニューE</v>
      </c>
      <c r="S83" s="544">
        <f t="shared" si="5"/>
        <v>3.3199999999999999E-4</v>
      </c>
    </row>
    <row r="84" spans="2:19">
      <c r="B84" s="146" t="s">
        <v>1112</v>
      </c>
      <c r="C84" s="543" t="s">
        <v>1622</v>
      </c>
      <c r="D84" s="543" t="str">
        <f t="shared" si="3"/>
        <v>A0104:(株)ジェイコム札幌</v>
      </c>
      <c r="I84" s="146" t="s">
        <v>1057</v>
      </c>
      <c r="J84" s="146" t="s">
        <v>1567</v>
      </c>
      <c r="K84" s="544" t="s">
        <v>2059</v>
      </c>
      <c r="L84" s="544">
        <v>4.8899999999999996E-4</v>
      </c>
      <c r="M84" s="544">
        <v>4.8899999999999996E-4</v>
      </c>
      <c r="N84" s="544">
        <v>4.8899999999999996E-4</v>
      </c>
      <c r="O84" s="544">
        <v>4.8899999999999996E-4</v>
      </c>
      <c r="P84" s="544">
        <v>4.8899999999999996E-4</v>
      </c>
      <c r="R84" s="543" t="str">
        <f t="shared" si="4"/>
        <v>A0024:静岡ガス＆パワー(株)メニューF</v>
      </c>
      <c r="S84" s="544">
        <f t="shared" si="5"/>
        <v>4.8899999999999996E-4</v>
      </c>
    </row>
    <row r="85" spans="2:19">
      <c r="B85" s="146" t="s">
        <v>1113</v>
      </c>
      <c r="C85" s="543" t="s">
        <v>1623</v>
      </c>
      <c r="D85" s="543" t="str">
        <f t="shared" si="3"/>
        <v>A0120:鹿児島電力(株)</v>
      </c>
      <c r="I85" s="146" t="s">
        <v>1057</v>
      </c>
      <c r="J85" s="146" t="s">
        <v>1567</v>
      </c>
      <c r="K85" s="544" t="s">
        <v>2058</v>
      </c>
      <c r="L85" s="544">
        <v>4.5899999999999999E-4</v>
      </c>
      <c r="M85" s="544">
        <v>4.5899999999999999E-4</v>
      </c>
      <c r="N85" s="544">
        <v>4.5899999999999999E-4</v>
      </c>
      <c r="O85" s="544">
        <v>4.5899999999999999E-4</v>
      </c>
      <c r="P85" s="544">
        <v>4.5899999999999999E-4</v>
      </c>
      <c r="R85" s="543" t="str">
        <f t="shared" si="4"/>
        <v>A0024:静岡ガス＆パワー(株)(参考値)事業者全体</v>
      </c>
      <c r="S85" s="544">
        <f t="shared" si="5"/>
        <v>4.5899999999999999E-4</v>
      </c>
    </row>
    <row r="86" spans="2:19">
      <c r="B86" s="146" t="s">
        <v>1114</v>
      </c>
      <c r="C86" s="543" t="s">
        <v>1624</v>
      </c>
      <c r="D86" s="543" t="str">
        <f t="shared" si="3"/>
        <v>A0121:太陽ガス(株)</v>
      </c>
      <c r="I86" s="146" t="s">
        <v>1058</v>
      </c>
      <c r="J86" s="146" t="s">
        <v>1568</v>
      </c>
      <c r="K86" s="544" t="s">
        <v>710</v>
      </c>
      <c r="L86" s="544">
        <v>0</v>
      </c>
      <c r="M86" s="544">
        <v>0</v>
      </c>
      <c r="N86" s="544">
        <v>0</v>
      </c>
      <c r="O86" s="544">
        <v>0</v>
      </c>
      <c r="P86" s="544">
        <v>0</v>
      </c>
      <c r="R86" s="543" t="str">
        <f t="shared" si="4"/>
        <v>A0025:荏原環境プラント(株)メニューA</v>
      </c>
      <c r="S86" s="544">
        <f t="shared" si="5"/>
        <v>0</v>
      </c>
    </row>
    <row r="87" spans="2:19">
      <c r="B87" s="146" t="s">
        <v>1115</v>
      </c>
      <c r="C87" s="543" t="s">
        <v>1625</v>
      </c>
      <c r="D87" s="543" t="str">
        <f t="shared" si="3"/>
        <v>A0122:アーバンエナジー(株)</v>
      </c>
      <c r="I87" s="146" t="s">
        <v>1058</v>
      </c>
      <c r="J87" s="146" t="s">
        <v>1568</v>
      </c>
      <c r="K87" s="544" t="s">
        <v>787</v>
      </c>
      <c r="L87" s="544">
        <v>0</v>
      </c>
      <c r="M87" s="544">
        <v>0</v>
      </c>
      <c r="N87" s="544">
        <v>0</v>
      </c>
      <c r="O87" s="544">
        <v>0</v>
      </c>
      <c r="P87" s="544">
        <v>0</v>
      </c>
      <c r="R87" s="543" t="str">
        <f t="shared" si="4"/>
        <v>A0025:荏原環境プラント(株)メニューB</v>
      </c>
      <c r="S87" s="544">
        <f t="shared" si="5"/>
        <v>0</v>
      </c>
    </row>
    <row r="88" spans="2:19">
      <c r="B88" s="146" t="s">
        <v>1116</v>
      </c>
      <c r="C88" s="543" t="s">
        <v>1626</v>
      </c>
      <c r="D88" s="543" t="str">
        <f t="shared" si="3"/>
        <v>A0123:パワーネクスト(株)</v>
      </c>
      <c r="I88" s="146" t="s">
        <v>1058</v>
      </c>
      <c r="J88" s="146" t="s">
        <v>1568</v>
      </c>
      <c r="K88" s="544" t="s">
        <v>788</v>
      </c>
      <c r="L88" s="544">
        <v>1.36E-4</v>
      </c>
      <c r="M88" s="544">
        <v>1.36E-4</v>
      </c>
      <c r="N88" s="544">
        <v>1.36E-4</v>
      </c>
      <c r="O88" s="544">
        <v>1.36E-4</v>
      </c>
      <c r="P88" s="544">
        <v>1.36E-4</v>
      </c>
      <c r="R88" s="543" t="str">
        <f t="shared" si="4"/>
        <v>A0025:荏原環境プラント(株)メニューC</v>
      </c>
      <c r="S88" s="544">
        <f t="shared" si="5"/>
        <v>1.36E-4</v>
      </c>
    </row>
    <row r="89" spans="2:19">
      <c r="B89" s="146" t="s">
        <v>1117</v>
      </c>
      <c r="C89" s="543" t="s">
        <v>1627</v>
      </c>
      <c r="D89" s="543" t="str">
        <f t="shared" si="3"/>
        <v>A0124:合同会社北上新電力</v>
      </c>
      <c r="I89" s="146" t="s">
        <v>1058</v>
      </c>
      <c r="J89" s="146" t="s">
        <v>1568</v>
      </c>
      <c r="K89" s="544" t="s">
        <v>974</v>
      </c>
      <c r="L89" s="544">
        <v>2.7599999999999999E-4</v>
      </c>
      <c r="M89" s="544">
        <v>2.7599999999999999E-4</v>
      </c>
      <c r="N89" s="544">
        <v>2.7599999999999999E-4</v>
      </c>
      <c r="O89" s="544">
        <v>2.7599999999999999E-4</v>
      </c>
      <c r="P89" s="544">
        <v>2.7599999999999999E-4</v>
      </c>
      <c r="R89" s="543" t="str">
        <f t="shared" si="4"/>
        <v>A0025:荏原環境プラント(株)メニューD</v>
      </c>
      <c r="S89" s="544">
        <f t="shared" si="5"/>
        <v>2.7599999999999999E-4</v>
      </c>
    </row>
    <row r="90" spans="2:19">
      <c r="B90" s="146" t="s">
        <v>1118</v>
      </c>
      <c r="C90" s="543" t="s">
        <v>1628</v>
      </c>
      <c r="D90" s="543" t="str">
        <f t="shared" si="3"/>
        <v>A0126:(株)タクマエナジー</v>
      </c>
      <c r="I90" s="146" t="s">
        <v>1058</v>
      </c>
      <c r="J90" s="146" t="s">
        <v>1568</v>
      </c>
      <c r="K90" s="544" t="s">
        <v>975</v>
      </c>
      <c r="L90" s="544">
        <v>2.0599999999999999E-4</v>
      </c>
      <c r="M90" s="544">
        <v>2.0599999999999999E-4</v>
      </c>
      <c r="N90" s="544">
        <v>2.0599999999999999E-4</v>
      </c>
      <c r="O90" s="544">
        <v>2.0599999999999999E-4</v>
      </c>
      <c r="P90" s="544">
        <v>2.0599999999999999E-4</v>
      </c>
      <c r="R90" s="543" t="str">
        <f t="shared" si="4"/>
        <v>A0025:荏原環境プラント(株)メニューE</v>
      </c>
      <c r="S90" s="544">
        <f t="shared" si="5"/>
        <v>2.0599999999999999E-4</v>
      </c>
    </row>
    <row r="91" spans="2:19">
      <c r="B91" s="146" t="s">
        <v>1119</v>
      </c>
      <c r="C91" s="543" t="s">
        <v>1629</v>
      </c>
      <c r="D91" s="543" t="str">
        <f t="shared" si="3"/>
        <v>A0130:丸紅新電力(株)</v>
      </c>
      <c r="I91" s="146" t="s">
        <v>1058</v>
      </c>
      <c r="J91" s="146" t="s">
        <v>1568</v>
      </c>
      <c r="K91" s="544" t="s">
        <v>2059</v>
      </c>
      <c r="L91" s="544">
        <v>2.7599999999999999E-4</v>
      </c>
      <c r="M91" s="544">
        <v>2.7599999999999999E-4</v>
      </c>
      <c r="N91" s="544">
        <v>2.7599999999999999E-4</v>
      </c>
      <c r="O91" s="544">
        <v>2.7599999999999999E-4</v>
      </c>
      <c r="P91" s="544">
        <v>2.7599999999999999E-4</v>
      </c>
      <c r="R91" s="543" t="str">
        <f t="shared" si="4"/>
        <v>A0025:荏原環境プラント(株)メニューF</v>
      </c>
      <c r="S91" s="544">
        <f t="shared" si="5"/>
        <v>2.7599999999999999E-4</v>
      </c>
    </row>
    <row r="92" spans="2:19">
      <c r="B92" s="146" t="s">
        <v>1120</v>
      </c>
      <c r="C92" s="543" t="s">
        <v>1630</v>
      </c>
      <c r="D92" s="543" t="str">
        <f t="shared" si="3"/>
        <v>A0133:奈良電力(株)</v>
      </c>
      <c r="I92" s="146" t="s">
        <v>1058</v>
      </c>
      <c r="J92" s="146" t="s">
        <v>1568</v>
      </c>
      <c r="K92" s="544" t="s">
        <v>2060</v>
      </c>
      <c r="L92" s="544">
        <v>3.4699999999999998E-4</v>
      </c>
      <c r="M92" s="544">
        <v>3.4699999999999998E-4</v>
      </c>
      <c r="N92" s="544">
        <v>3.4699999999999998E-4</v>
      </c>
      <c r="O92" s="544">
        <v>3.4699999999999998E-4</v>
      </c>
      <c r="P92" s="544">
        <v>3.4699999999999998E-4</v>
      </c>
      <c r="R92" s="543" t="str">
        <f t="shared" si="4"/>
        <v>A0025:荏原環境プラント(株)メニューG</v>
      </c>
      <c r="S92" s="544">
        <f t="shared" si="5"/>
        <v>3.4699999999999998E-4</v>
      </c>
    </row>
    <row r="93" spans="2:19">
      <c r="B93" s="146" t="s">
        <v>1121</v>
      </c>
      <c r="C93" s="543" t="s">
        <v>1631</v>
      </c>
      <c r="D93" s="543" t="str">
        <f t="shared" si="3"/>
        <v>A0134:カナデビア(株)（旧:日立造船(株)）</v>
      </c>
      <c r="I93" s="146" t="s">
        <v>1058</v>
      </c>
      <c r="J93" s="146" t="s">
        <v>1568</v>
      </c>
      <c r="K93" s="544" t="s">
        <v>2061</v>
      </c>
      <c r="L93" s="544">
        <v>3.6499999999999998E-4</v>
      </c>
      <c r="M93" s="544">
        <v>3.6499999999999998E-4</v>
      </c>
      <c r="N93" s="544">
        <v>3.6499999999999998E-4</v>
      </c>
      <c r="O93" s="544">
        <v>3.6499999999999998E-4</v>
      </c>
      <c r="P93" s="544">
        <v>3.6499999999999998E-4</v>
      </c>
      <c r="R93" s="543" t="str">
        <f t="shared" si="4"/>
        <v>A0025:荏原環境プラント(株)メニューH</v>
      </c>
      <c r="S93" s="544">
        <f t="shared" si="5"/>
        <v>3.6499999999999998E-4</v>
      </c>
    </row>
    <row r="94" spans="2:19">
      <c r="B94" s="146" t="s">
        <v>1122</v>
      </c>
      <c r="C94" s="543" t="s">
        <v>1632</v>
      </c>
      <c r="D94" s="543" t="str">
        <f t="shared" si="3"/>
        <v>A0135:大東ガス(株)</v>
      </c>
      <c r="I94" s="146" t="s">
        <v>1058</v>
      </c>
      <c r="J94" s="146" t="s">
        <v>1568</v>
      </c>
      <c r="K94" s="544" t="s">
        <v>2062</v>
      </c>
      <c r="L94" s="544">
        <v>2.5000000000000001E-4</v>
      </c>
      <c r="M94" s="544">
        <v>2.5000000000000001E-4</v>
      </c>
      <c r="N94" s="544">
        <v>2.5000000000000001E-4</v>
      </c>
      <c r="O94" s="544">
        <v>2.5000000000000001E-4</v>
      </c>
      <c r="P94" s="544">
        <v>2.5000000000000001E-4</v>
      </c>
      <c r="R94" s="543" t="str">
        <f t="shared" si="4"/>
        <v>A0025:荏原環境プラント(株)メニューI</v>
      </c>
      <c r="S94" s="544">
        <f t="shared" si="5"/>
        <v>2.5000000000000001E-4</v>
      </c>
    </row>
    <row r="95" spans="2:19">
      <c r="B95" s="146" t="s">
        <v>1123</v>
      </c>
      <c r="C95" s="543" t="s">
        <v>1633</v>
      </c>
      <c r="D95" s="543" t="str">
        <f t="shared" si="3"/>
        <v>A0136:パナソニックオペレーショナルエクセレンス(株)</v>
      </c>
      <c r="I95" s="146" t="s">
        <v>1058</v>
      </c>
      <c r="J95" s="146" t="s">
        <v>1568</v>
      </c>
      <c r="K95" s="544" t="s">
        <v>2063</v>
      </c>
      <c r="L95" s="544">
        <v>2.9999999999999997E-4</v>
      </c>
      <c r="M95" s="544">
        <v>2.9999999999999997E-4</v>
      </c>
      <c r="N95" s="544">
        <v>2.9999999999999997E-4</v>
      </c>
      <c r="O95" s="544">
        <v>2.9999999999999997E-4</v>
      </c>
      <c r="P95" s="544">
        <v>2.9999999999999997E-4</v>
      </c>
      <c r="R95" s="543" t="str">
        <f t="shared" si="4"/>
        <v>A0025:荏原環境プラント(株)メニューJ</v>
      </c>
      <c r="S95" s="544">
        <f t="shared" si="5"/>
        <v>2.9999999999999997E-4</v>
      </c>
    </row>
    <row r="96" spans="2:19">
      <c r="B96" s="146" t="s">
        <v>1124</v>
      </c>
      <c r="C96" s="543" t="s">
        <v>1634</v>
      </c>
      <c r="D96" s="543" t="str">
        <f t="shared" si="3"/>
        <v>A0137:アストモスエネルギー(株)</v>
      </c>
      <c r="I96" s="146" t="s">
        <v>1058</v>
      </c>
      <c r="J96" s="146" t="s">
        <v>1568</v>
      </c>
      <c r="K96" s="544" t="s">
        <v>2064</v>
      </c>
      <c r="L96" s="544">
        <v>1.6200000000000001E-4</v>
      </c>
      <c r="M96" s="544">
        <v>1.6200000000000001E-4</v>
      </c>
      <c r="N96" s="544">
        <v>1.6200000000000001E-4</v>
      </c>
      <c r="O96" s="544">
        <v>1.6200000000000001E-4</v>
      </c>
      <c r="P96" s="544">
        <v>1.6200000000000001E-4</v>
      </c>
      <c r="R96" s="543" t="str">
        <f t="shared" si="4"/>
        <v>A0025:荏原環境プラント(株)メニューK</v>
      </c>
      <c r="S96" s="544">
        <f t="shared" si="5"/>
        <v>1.6200000000000001E-4</v>
      </c>
    </row>
    <row r="97" spans="2:19">
      <c r="B97" s="146" t="s">
        <v>1125</v>
      </c>
      <c r="C97" s="543" t="s">
        <v>1635</v>
      </c>
      <c r="D97" s="543" t="str">
        <f t="shared" si="3"/>
        <v>A0138:(株)関電エネルギーソリューション</v>
      </c>
      <c r="I97" s="146" t="s">
        <v>1058</v>
      </c>
      <c r="J97" s="146" t="s">
        <v>1568</v>
      </c>
      <c r="K97" s="544" t="s">
        <v>2065</v>
      </c>
      <c r="L97" s="544">
        <v>4.2200000000000001E-4</v>
      </c>
      <c r="M97" s="544">
        <v>4.2200000000000001E-4</v>
      </c>
      <c r="N97" s="544">
        <v>4.2200000000000001E-4</v>
      </c>
      <c r="O97" s="544">
        <v>4.2200000000000001E-4</v>
      </c>
      <c r="P97" s="544">
        <v>4.2200000000000001E-4</v>
      </c>
      <c r="R97" s="543" t="str">
        <f t="shared" si="4"/>
        <v>A0025:荏原環境プラント(株)メニューL</v>
      </c>
      <c r="S97" s="544">
        <f t="shared" si="5"/>
        <v>4.2200000000000001E-4</v>
      </c>
    </row>
    <row r="98" spans="2:19">
      <c r="B98" s="146" t="s">
        <v>1126</v>
      </c>
      <c r="C98" s="543" t="s">
        <v>1636</v>
      </c>
      <c r="D98" s="543" t="str">
        <f t="shared" si="3"/>
        <v>A0140:MCリテールエナジー(株)</v>
      </c>
      <c r="I98" s="146" t="s">
        <v>1058</v>
      </c>
      <c r="J98" s="146" t="s">
        <v>1568</v>
      </c>
      <c r="K98" s="544" t="s">
        <v>2066</v>
      </c>
      <c r="L98" s="544">
        <v>3.6499999999999998E-4</v>
      </c>
      <c r="M98" s="544">
        <v>3.6499999999999998E-4</v>
      </c>
      <c r="N98" s="544">
        <v>3.6499999999999998E-4</v>
      </c>
      <c r="O98" s="544">
        <v>3.6499999999999998E-4</v>
      </c>
      <c r="P98" s="544">
        <v>3.6499999999999998E-4</v>
      </c>
      <c r="R98" s="543" t="str">
        <f t="shared" si="4"/>
        <v>A0025:荏原環境プラント(株)メニューM</v>
      </c>
      <c r="S98" s="544">
        <f t="shared" si="5"/>
        <v>3.6499999999999998E-4</v>
      </c>
    </row>
    <row r="99" spans="2:19">
      <c r="B99" s="146" t="s">
        <v>1127</v>
      </c>
      <c r="C99" s="543" t="s">
        <v>1637</v>
      </c>
      <c r="D99" s="543" t="str">
        <f t="shared" si="3"/>
        <v>A0141:(株)北九州パワー</v>
      </c>
      <c r="I99" s="146" t="s">
        <v>1058</v>
      </c>
      <c r="J99" s="146" t="s">
        <v>1568</v>
      </c>
      <c r="K99" s="544" t="s">
        <v>2067</v>
      </c>
      <c r="L99" s="544">
        <v>4.6999999999999997E-5</v>
      </c>
      <c r="M99" s="544">
        <v>4.6999999999999997E-5</v>
      </c>
      <c r="N99" s="544">
        <v>4.6999999999999997E-5</v>
      </c>
      <c r="O99" s="544">
        <v>4.6999999999999997E-5</v>
      </c>
      <c r="P99" s="544">
        <v>4.6999999999999997E-5</v>
      </c>
      <c r="R99" s="543" t="str">
        <f t="shared" si="4"/>
        <v>A0025:荏原環境プラント(株)メニューN</v>
      </c>
      <c r="S99" s="544">
        <f t="shared" si="5"/>
        <v>4.6999999999999997E-5</v>
      </c>
    </row>
    <row r="100" spans="2:19">
      <c r="B100" s="146" t="s">
        <v>1128</v>
      </c>
      <c r="C100" s="543" t="s">
        <v>1638</v>
      </c>
      <c r="D100" s="543" t="str">
        <f t="shared" si="3"/>
        <v>A0142:武州瓦斯(株)</v>
      </c>
      <c r="I100" s="146" t="s">
        <v>1058</v>
      </c>
      <c r="J100" s="146" t="s">
        <v>1568</v>
      </c>
      <c r="K100" s="544" t="s">
        <v>2068</v>
      </c>
      <c r="L100" s="544">
        <v>1.9000000000000001E-4</v>
      </c>
      <c r="M100" s="544">
        <v>1.9000000000000001E-4</v>
      </c>
      <c r="N100" s="544">
        <v>1.9000000000000001E-4</v>
      </c>
      <c r="O100" s="544">
        <v>1.9000000000000001E-4</v>
      </c>
      <c r="P100" s="544">
        <v>1.9000000000000001E-4</v>
      </c>
      <c r="R100" s="543" t="str">
        <f t="shared" si="4"/>
        <v>A0025:荏原環境プラント(株)メニューO</v>
      </c>
      <c r="S100" s="544">
        <f t="shared" si="5"/>
        <v>1.9000000000000001E-4</v>
      </c>
    </row>
    <row r="101" spans="2:19">
      <c r="B101" s="146" t="s">
        <v>1129</v>
      </c>
      <c r="C101" s="543" t="s">
        <v>1639</v>
      </c>
      <c r="D101" s="543" t="str">
        <f t="shared" si="3"/>
        <v>A0143:リニューアブル・ジャパン(株)</v>
      </c>
      <c r="I101" s="146" t="s">
        <v>1058</v>
      </c>
      <c r="J101" s="146" t="s">
        <v>1568</v>
      </c>
      <c r="K101" s="544" t="s">
        <v>2069</v>
      </c>
      <c r="L101" s="544">
        <v>2.04E-4</v>
      </c>
      <c r="M101" s="544">
        <v>2.04E-4</v>
      </c>
      <c r="N101" s="544">
        <v>2.04E-4</v>
      </c>
      <c r="O101" s="544">
        <v>2.04E-4</v>
      </c>
      <c r="P101" s="544">
        <v>2.04E-4</v>
      </c>
      <c r="R101" s="543" t="str">
        <f t="shared" si="4"/>
        <v>A0025:荏原環境プラント(株)メニューP</v>
      </c>
      <c r="S101" s="544">
        <f t="shared" si="5"/>
        <v>2.04E-4</v>
      </c>
    </row>
    <row r="102" spans="2:19">
      <c r="B102" s="146" t="s">
        <v>1130</v>
      </c>
      <c r="C102" s="543" t="s">
        <v>1640</v>
      </c>
      <c r="D102" s="543" t="str">
        <f t="shared" si="3"/>
        <v>A0144:大垣ガス(株)</v>
      </c>
      <c r="I102" s="146" t="s">
        <v>1058</v>
      </c>
      <c r="J102" s="146" t="s">
        <v>1568</v>
      </c>
      <c r="K102" s="544" t="s">
        <v>2070</v>
      </c>
      <c r="L102" s="544">
        <v>0</v>
      </c>
      <c r="M102" s="544">
        <v>0</v>
      </c>
      <c r="N102" s="544">
        <v>0</v>
      </c>
      <c r="O102" s="544">
        <v>0</v>
      </c>
      <c r="P102" s="544">
        <v>0</v>
      </c>
      <c r="R102" s="543" t="str">
        <f t="shared" si="4"/>
        <v>A0025:荏原環境プラント(株)メニューQ</v>
      </c>
      <c r="S102" s="544">
        <f t="shared" si="5"/>
        <v>0</v>
      </c>
    </row>
    <row r="103" spans="2:19">
      <c r="B103" s="146" t="s">
        <v>1131</v>
      </c>
      <c r="C103" s="543" t="s">
        <v>1641</v>
      </c>
      <c r="D103" s="543" t="str">
        <f t="shared" si="3"/>
        <v>A0145:(株)藤田商店</v>
      </c>
      <c r="I103" s="146" t="s">
        <v>1058</v>
      </c>
      <c r="J103" s="146" t="s">
        <v>1568</v>
      </c>
      <c r="K103" s="544" t="s">
        <v>2071</v>
      </c>
      <c r="L103" s="544">
        <v>2.6200000000000003E-4</v>
      </c>
      <c r="M103" s="544">
        <v>2.6200000000000003E-4</v>
      </c>
      <c r="N103" s="544">
        <v>2.6200000000000003E-4</v>
      </c>
      <c r="O103" s="544">
        <v>2.6200000000000003E-4</v>
      </c>
      <c r="P103" s="544">
        <v>2.6200000000000003E-4</v>
      </c>
      <c r="R103" s="543" t="str">
        <f t="shared" si="4"/>
        <v>A0025:荏原環境プラント(株)メニューR</v>
      </c>
      <c r="S103" s="544">
        <f t="shared" si="5"/>
        <v>2.6200000000000003E-4</v>
      </c>
    </row>
    <row r="104" spans="2:19">
      <c r="B104" s="146" t="s">
        <v>1132</v>
      </c>
      <c r="C104" s="543" t="s">
        <v>1642</v>
      </c>
      <c r="D104" s="543" t="str">
        <f t="shared" si="3"/>
        <v>A0149:(株)グローバルエンジニアリング</v>
      </c>
      <c r="I104" s="146" t="s">
        <v>1058</v>
      </c>
      <c r="J104" s="146" t="s">
        <v>1568</v>
      </c>
      <c r="K104" s="544" t="s">
        <v>2058</v>
      </c>
      <c r="L104" s="544">
        <v>2.4899999999999998E-4</v>
      </c>
      <c r="M104" s="544">
        <v>2.4899999999999998E-4</v>
      </c>
      <c r="N104" s="544">
        <v>2.4899999999999998E-4</v>
      </c>
      <c r="O104" s="544">
        <v>2.4899999999999998E-4</v>
      </c>
      <c r="P104" s="544">
        <v>2.4899999999999998E-4</v>
      </c>
      <c r="R104" s="543" t="str">
        <f t="shared" si="4"/>
        <v>A0025:荏原環境プラント(株)(参考値)事業者全体</v>
      </c>
      <c r="S104" s="544">
        <f t="shared" si="5"/>
        <v>2.4899999999999998E-4</v>
      </c>
    </row>
    <row r="105" spans="2:19">
      <c r="B105" s="146" t="s">
        <v>1133</v>
      </c>
      <c r="C105" s="543" t="s">
        <v>1643</v>
      </c>
      <c r="D105" s="543" t="str">
        <f t="shared" si="3"/>
        <v>A0150:九州エナジー(株)</v>
      </c>
      <c r="I105" s="146" t="s">
        <v>1059</v>
      </c>
      <c r="J105" s="146" t="s">
        <v>1569</v>
      </c>
      <c r="K105" s="544" t="s">
        <v>710</v>
      </c>
      <c r="L105" s="544">
        <v>0</v>
      </c>
      <c r="M105" s="544">
        <v>0</v>
      </c>
      <c r="N105" s="544">
        <v>0</v>
      </c>
      <c r="O105" s="544">
        <v>0</v>
      </c>
      <c r="P105" s="544">
        <v>0</v>
      </c>
      <c r="R105" s="543" t="str">
        <f t="shared" si="4"/>
        <v>A0026:東京エコサービス(株)メニューA</v>
      </c>
      <c r="S105" s="544">
        <f t="shared" si="5"/>
        <v>0</v>
      </c>
    </row>
    <row r="106" spans="2:19">
      <c r="B106" s="146" t="s">
        <v>1134</v>
      </c>
      <c r="C106" s="543" t="s">
        <v>1644</v>
      </c>
      <c r="D106" s="543" t="str">
        <f t="shared" si="3"/>
        <v>A0151:(株)トヨタエナジーソリューションズ</v>
      </c>
      <c r="I106" s="146" t="s">
        <v>1059</v>
      </c>
      <c r="J106" s="146" t="s">
        <v>1569</v>
      </c>
      <c r="K106" s="544" t="s">
        <v>787</v>
      </c>
      <c r="L106" s="544">
        <v>5.8E-5</v>
      </c>
      <c r="M106" s="544">
        <v>5.8E-5</v>
      </c>
      <c r="N106" s="544">
        <v>5.8E-5</v>
      </c>
      <c r="O106" s="544">
        <v>5.8E-5</v>
      </c>
      <c r="P106" s="544">
        <v>5.8E-5</v>
      </c>
      <c r="R106" s="543" t="str">
        <f t="shared" si="4"/>
        <v>A0026:東京エコサービス(株)メニューB</v>
      </c>
      <c r="S106" s="544">
        <f t="shared" si="5"/>
        <v>5.8E-5</v>
      </c>
    </row>
    <row r="107" spans="2:19">
      <c r="B107" s="146" t="s">
        <v>1135</v>
      </c>
      <c r="C107" s="543" t="s">
        <v>1645</v>
      </c>
      <c r="D107" s="543" t="str">
        <f t="shared" si="3"/>
        <v>A0153:(株)エナリス・パワー・マーケティング</v>
      </c>
      <c r="I107" s="146" t="s">
        <v>1059</v>
      </c>
      <c r="J107" s="146" t="s">
        <v>1569</v>
      </c>
      <c r="K107" s="544" t="s">
        <v>2058</v>
      </c>
      <c r="L107" s="544">
        <v>4.8999999999999998E-5</v>
      </c>
      <c r="M107" s="544">
        <v>4.8999999999999998E-5</v>
      </c>
      <c r="N107" s="544">
        <v>4.8999999999999998E-5</v>
      </c>
      <c r="O107" s="544">
        <v>4.8999999999999998E-5</v>
      </c>
      <c r="P107" s="544">
        <v>4.8999999999999998E-5</v>
      </c>
      <c r="R107" s="543" t="str">
        <f t="shared" si="4"/>
        <v>A0026:東京エコサービス(株)(参考値)事業者全体</v>
      </c>
      <c r="S107" s="544">
        <f t="shared" si="5"/>
        <v>4.8999999999999998E-5</v>
      </c>
    </row>
    <row r="108" spans="2:19">
      <c r="B108" s="146" t="s">
        <v>1136</v>
      </c>
      <c r="C108" s="543" t="s">
        <v>1646</v>
      </c>
      <c r="D108" s="543" t="str">
        <f t="shared" si="3"/>
        <v>A0154:歌舞伎エナジー(株)</v>
      </c>
      <c r="I108" s="146" t="s">
        <v>1060</v>
      </c>
      <c r="J108" s="146" t="s">
        <v>1570</v>
      </c>
      <c r="K108" s="544" t="s">
        <v>710</v>
      </c>
      <c r="L108" s="544">
        <v>0</v>
      </c>
      <c r="M108" s="544">
        <v>0</v>
      </c>
      <c r="N108" s="544">
        <v>0</v>
      </c>
      <c r="O108" s="544">
        <v>0</v>
      </c>
      <c r="P108" s="544">
        <v>0</v>
      </c>
      <c r="R108" s="543" t="str">
        <f t="shared" si="4"/>
        <v>A0027:ダイヤモンドパワー(株)メニューA</v>
      </c>
      <c r="S108" s="544">
        <f t="shared" si="5"/>
        <v>0</v>
      </c>
    </row>
    <row r="109" spans="2:19">
      <c r="B109" s="146" t="s">
        <v>1137</v>
      </c>
      <c r="C109" s="543" t="s">
        <v>1647</v>
      </c>
      <c r="D109" s="543" t="str">
        <f t="shared" si="3"/>
        <v>A0155:みやまスマートエネルギー(株)</v>
      </c>
      <c r="I109" s="146" t="s">
        <v>1060</v>
      </c>
      <c r="J109" s="146" t="s">
        <v>1570</v>
      </c>
      <c r="K109" s="544" t="s">
        <v>787</v>
      </c>
      <c r="L109" s="544">
        <v>1.18E-4</v>
      </c>
      <c r="M109" s="544">
        <v>1.18E-4</v>
      </c>
      <c r="N109" s="544">
        <v>1.18E-4</v>
      </c>
      <c r="O109" s="544">
        <v>1.18E-4</v>
      </c>
      <c r="P109" s="544">
        <v>1.18E-4</v>
      </c>
      <c r="R109" s="543" t="str">
        <f t="shared" si="4"/>
        <v>A0027:ダイヤモンドパワー(株)メニューB</v>
      </c>
      <c r="S109" s="544">
        <f t="shared" si="5"/>
        <v>1.18E-4</v>
      </c>
    </row>
    <row r="110" spans="2:19">
      <c r="B110" s="146" t="s">
        <v>1138</v>
      </c>
      <c r="C110" s="543" t="s">
        <v>1648</v>
      </c>
      <c r="D110" s="543" t="str">
        <f t="shared" si="3"/>
        <v>A0156:エフィシエント(株)</v>
      </c>
      <c r="I110" s="146" t="s">
        <v>1060</v>
      </c>
      <c r="J110" s="146" t="s">
        <v>1570</v>
      </c>
      <c r="K110" s="544" t="s">
        <v>788</v>
      </c>
      <c r="L110" s="544">
        <v>2.6899999999999998E-4</v>
      </c>
      <c r="M110" s="544">
        <v>2.6899999999999998E-4</v>
      </c>
      <c r="N110" s="544">
        <v>2.6899999999999998E-4</v>
      </c>
      <c r="O110" s="544">
        <v>2.6899999999999998E-4</v>
      </c>
      <c r="P110" s="544">
        <v>2.6899999999999998E-4</v>
      </c>
      <c r="R110" s="543" t="str">
        <f t="shared" si="4"/>
        <v>A0027:ダイヤモンドパワー(株)メニューC</v>
      </c>
      <c r="S110" s="544">
        <f t="shared" si="5"/>
        <v>2.6899999999999998E-4</v>
      </c>
    </row>
    <row r="111" spans="2:19">
      <c r="B111" s="146" t="s">
        <v>1139</v>
      </c>
      <c r="C111" s="543" t="s">
        <v>1649</v>
      </c>
      <c r="D111" s="543" t="str">
        <f t="shared" si="3"/>
        <v>A0157:(株)生活クラブエナジー</v>
      </c>
      <c r="I111" s="146" t="s">
        <v>1060</v>
      </c>
      <c r="J111" s="146" t="s">
        <v>1570</v>
      </c>
      <c r="K111" s="544" t="s">
        <v>974</v>
      </c>
      <c r="L111" s="544">
        <v>3.8400000000000001E-4</v>
      </c>
      <c r="M111" s="544">
        <v>3.8400000000000001E-4</v>
      </c>
      <c r="N111" s="544">
        <v>3.8400000000000001E-4</v>
      </c>
      <c r="O111" s="544">
        <v>3.8400000000000001E-4</v>
      </c>
      <c r="P111" s="544">
        <v>3.8400000000000001E-4</v>
      </c>
      <c r="R111" s="543" t="str">
        <f t="shared" si="4"/>
        <v>A0027:ダイヤモンドパワー(株)メニューD</v>
      </c>
      <c r="S111" s="544">
        <f t="shared" si="5"/>
        <v>3.8400000000000001E-4</v>
      </c>
    </row>
    <row r="112" spans="2:19">
      <c r="B112" s="146" t="s">
        <v>1140</v>
      </c>
      <c r="C112" s="543" t="s">
        <v>1650</v>
      </c>
      <c r="D112" s="543" t="str">
        <f t="shared" si="3"/>
        <v>A0158:生活協同組合コープこうべ</v>
      </c>
      <c r="I112" s="146" t="s">
        <v>1060</v>
      </c>
      <c r="J112" s="146" t="s">
        <v>1570</v>
      </c>
      <c r="K112" s="544" t="s">
        <v>2058</v>
      </c>
      <c r="L112" s="544">
        <v>1.0059999999999999E-3</v>
      </c>
      <c r="M112" s="544">
        <v>1.0059999999999999E-3</v>
      </c>
      <c r="N112" s="544">
        <v>1.0059999999999999E-3</v>
      </c>
      <c r="O112" s="544">
        <v>1.0059999999999999E-3</v>
      </c>
      <c r="P112" s="544">
        <v>1.0059999999999999E-3</v>
      </c>
      <c r="R112" s="543" t="str">
        <f t="shared" si="4"/>
        <v>A0027:ダイヤモンドパワー(株)(参考値)事業者全体</v>
      </c>
      <c r="S112" s="544">
        <f t="shared" si="5"/>
        <v>1.0059999999999999E-3</v>
      </c>
    </row>
    <row r="113" spans="2:19">
      <c r="B113" s="146" t="s">
        <v>1141</v>
      </c>
      <c r="C113" s="543" t="s">
        <v>1651</v>
      </c>
      <c r="D113" s="543" t="str">
        <f t="shared" si="3"/>
        <v>A0159:(株)シーエナジー</v>
      </c>
      <c r="I113" s="146" t="s">
        <v>1061</v>
      </c>
      <c r="J113" s="146" t="s">
        <v>1571</v>
      </c>
      <c r="K113" s="544" t="s">
        <v>710</v>
      </c>
      <c r="L113" s="544">
        <v>0</v>
      </c>
      <c r="M113" s="544">
        <v>0</v>
      </c>
      <c r="N113" s="544">
        <v>0</v>
      </c>
      <c r="O113" s="544">
        <v>0</v>
      </c>
      <c r="P113" s="544">
        <v>0</v>
      </c>
      <c r="R113" s="543" t="str">
        <f t="shared" si="4"/>
        <v>A0031:(株)新出光メニューA</v>
      </c>
      <c r="S113" s="544">
        <f t="shared" si="5"/>
        <v>0</v>
      </c>
    </row>
    <row r="114" spans="2:19">
      <c r="B114" s="146" t="s">
        <v>1142</v>
      </c>
      <c r="C114" s="543" t="s">
        <v>1652</v>
      </c>
      <c r="D114" s="543" t="str">
        <f t="shared" si="3"/>
        <v>A0160:角栄ガス(株)</v>
      </c>
      <c r="I114" s="146" t="s">
        <v>1061</v>
      </c>
      <c r="J114" s="146" t="s">
        <v>1571</v>
      </c>
      <c r="K114" s="544" t="s">
        <v>787</v>
      </c>
      <c r="L114" s="544">
        <v>0</v>
      </c>
      <c r="M114" s="544">
        <v>0</v>
      </c>
      <c r="N114" s="544">
        <v>0</v>
      </c>
      <c r="O114" s="544">
        <v>0</v>
      </c>
      <c r="P114" s="544">
        <v>0</v>
      </c>
      <c r="R114" s="543" t="str">
        <f t="shared" si="4"/>
        <v>A0031:(株)新出光メニューB</v>
      </c>
      <c r="S114" s="544">
        <f t="shared" si="5"/>
        <v>0</v>
      </c>
    </row>
    <row r="115" spans="2:19">
      <c r="B115" s="146" t="s">
        <v>1143</v>
      </c>
      <c r="C115" s="543" t="s">
        <v>1653</v>
      </c>
      <c r="D115" s="543" t="str">
        <f t="shared" si="3"/>
        <v>A0161:京葉瓦斯(株)</v>
      </c>
      <c r="I115" s="146" t="s">
        <v>1061</v>
      </c>
      <c r="J115" s="146" t="s">
        <v>1571</v>
      </c>
      <c r="K115" s="544" t="s">
        <v>788</v>
      </c>
      <c r="L115" s="544">
        <v>0</v>
      </c>
      <c r="M115" s="544">
        <v>0</v>
      </c>
      <c r="N115" s="544">
        <v>0</v>
      </c>
      <c r="O115" s="544">
        <v>0</v>
      </c>
      <c r="P115" s="544">
        <v>0</v>
      </c>
      <c r="R115" s="543" t="str">
        <f t="shared" si="4"/>
        <v>A0031:(株)新出光メニューC</v>
      </c>
      <c r="S115" s="544">
        <f t="shared" si="5"/>
        <v>0</v>
      </c>
    </row>
    <row r="116" spans="2:19">
      <c r="B116" s="146" t="s">
        <v>1144</v>
      </c>
      <c r="C116" s="543" t="s">
        <v>1654</v>
      </c>
      <c r="D116" s="543" t="str">
        <f t="shared" si="3"/>
        <v>A0162:TOPPANホールディングス(株)</v>
      </c>
      <c r="I116" s="146" t="s">
        <v>1061</v>
      </c>
      <c r="J116" s="146" t="s">
        <v>1571</v>
      </c>
      <c r="K116" s="544" t="s">
        <v>974</v>
      </c>
      <c r="L116" s="544">
        <v>3.1399999999999999E-4</v>
      </c>
      <c r="M116" s="544">
        <v>3.1399999999999999E-4</v>
      </c>
      <c r="N116" s="544">
        <v>3.1399999999999999E-4</v>
      </c>
      <c r="O116" s="544">
        <v>3.1399999999999999E-4</v>
      </c>
      <c r="P116" s="544">
        <v>3.1399999999999999E-4</v>
      </c>
      <c r="R116" s="543" t="str">
        <f t="shared" si="4"/>
        <v>A0031:(株)新出光メニューD</v>
      </c>
      <c r="S116" s="544">
        <f t="shared" si="5"/>
        <v>3.1399999999999999E-4</v>
      </c>
    </row>
    <row r="117" spans="2:19">
      <c r="B117" s="146" t="s">
        <v>1145</v>
      </c>
      <c r="C117" s="543" t="s">
        <v>1655</v>
      </c>
      <c r="D117" s="543" t="str">
        <f t="shared" si="3"/>
        <v>A0163:伊勢崎ガス(株)</v>
      </c>
      <c r="I117" s="146" t="s">
        <v>1061</v>
      </c>
      <c r="J117" s="146" t="s">
        <v>1571</v>
      </c>
      <c r="K117" s="544" t="s">
        <v>975</v>
      </c>
      <c r="L117" s="544">
        <v>2.5900000000000001E-4</v>
      </c>
      <c r="M117" s="544">
        <v>2.5900000000000001E-4</v>
      </c>
      <c r="N117" s="544">
        <v>2.5900000000000001E-4</v>
      </c>
      <c r="O117" s="544">
        <v>2.5900000000000001E-4</v>
      </c>
      <c r="P117" s="544">
        <v>2.5900000000000001E-4</v>
      </c>
      <c r="R117" s="543" t="str">
        <f t="shared" si="4"/>
        <v>A0031:(株)新出光メニューE</v>
      </c>
      <c r="S117" s="544">
        <f t="shared" si="5"/>
        <v>2.5900000000000001E-4</v>
      </c>
    </row>
    <row r="118" spans="2:19">
      <c r="B118" s="146" t="s">
        <v>1146</v>
      </c>
      <c r="C118" s="543" t="s">
        <v>1656</v>
      </c>
      <c r="D118" s="543" t="str">
        <f t="shared" si="3"/>
        <v>A0164:キヤノンマーケティングジャパン(株)</v>
      </c>
      <c r="I118" s="146" t="s">
        <v>1061</v>
      </c>
      <c r="J118" s="146" t="s">
        <v>1571</v>
      </c>
      <c r="K118" s="544" t="s">
        <v>2059</v>
      </c>
      <c r="L118" s="544">
        <v>0</v>
      </c>
      <c r="M118" s="544">
        <v>0</v>
      </c>
      <c r="N118" s="544">
        <v>0</v>
      </c>
      <c r="O118" s="544">
        <v>0</v>
      </c>
      <c r="P118" s="544">
        <v>0</v>
      </c>
      <c r="R118" s="543" t="str">
        <f t="shared" si="4"/>
        <v>A0031:(株)新出光メニューF</v>
      </c>
      <c r="S118" s="544">
        <f t="shared" si="5"/>
        <v>0</v>
      </c>
    </row>
    <row r="119" spans="2:19">
      <c r="B119" s="146" t="s">
        <v>1147</v>
      </c>
      <c r="C119" s="543" t="s">
        <v>1657</v>
      </c>
      <c r="D119" s="543" t="str">
        <f t="shared" si="3"/>
        <v>A0165:(株)とっとり市民電力</v>
      </c>
      <c r="I119" s="146" t="s">
        <v>1061</v>
      </c>
      <c r="J119" s="146" t="s">
        <v>1571</v>
      </c>
      <c r="K119" s="544" t="s">
        <v>2060</v>
      </c>
      <c r="L119" s="544">
        <v>0</v>
      </c>
      <c r="M119" s="544">
        <v>0</v>
      </c>
      <c r="N119" s="544">
        <v>0</v>
      </c>
      <c r="O119" s="544">
        <v>0</v>
      </c>
      <c r="P119" s="544">
        <v>0</v>
      </c>
      <c r="R119" s="543" t="str">
        <f t="shared" si="4"/>
        <v>A0031:(株)新出光メニューG</v>
      </c>
      <c r="S119" s="544">
        <f t="shared" si="5"/>
        <v>0</v>
      </c>
    </row>
    <row r="120" spans="2:19">
      <c r="B120" s="146" t="s">
        <v>1148</v>
      </c>
      <c r="C120" s="543" t="s">
        <v>1658</v>
      </c>
      <c r="D120" s="543" t="str">
        <f t="shared" si="3"/>
        <v>A0166:(株)エクスゲート(旧：(株)イーエムアイ)</v>
      </c>
      <c r="I120" s="146" t="s">
        <v>1061</v>
      </c>
      <c r="J120" s="146" t="s">
        <v>1571</v>
      </c>
      <c r="K120" s="544" t="s">
        <v>2061</v>
      </c>
      <c r="L120" s="544">
        <v>0</v>
      </c>
      <c r="M120" s="544">
        <v>0</v>
      </c>
      <c r="N120" s="544">
        <v>0</v>
      </c>
      <c r="O120" s="544">
        <v>0</v>
      </c>
      <c r="P120" s="544">
        <v>0</v>
      </c>
      <c r="R120" s="543" t="str">
        <f t="shared" si="4"/>
        <v>A0031:(株)新出光メニューH</v>
      </c>
      <c r="S120" s="544">
        <f t="shared" si="5"/>
        <v>0</v>
      </c>
    </row>
    <row r="121" spans="2:19">
      <c r="B121" s="146" t="s">
        <v>1149</v>
      </c>
      <c r="C121" s="543" t="s">
        <v>1659</v>
      </c>
      <c r="D121" s="543" t="str">
        <f t="shared" si="3"/>
        <v>A0167:佐野瓦斯(株)</v>
      </c>
      <c r="I121" s="146" t="s">
        <v>1061</v>
      </c>
      <c r="J121" s="146" t="s">
        <v>1571</v>
      </c>
      <c r="K121" s="544" t="s">
        <v>2062</v>
      </c>
      <c r="L121" s="544">
        <v>0</v>
      </c>
      <c r="M121" s="544">
        <v>0</v>
      </c>
      <c r="N121" s="544">
        <v>0</v>
      </c>
      <c r="O121" s="544">
        <v>0</v>
      </c>
      <c r="P121" s="544">
        <v>0</v>
      </c>
      <c r="R121" s="543" t="str">
        <f t="shared" si="4"/>
        <v>A0031:(株)新出光メニューI</v>
      </c>
      <c r="S121" s="544">
        <f t="shared" si="5"/>
        <v>0</v>
      </c>
    </row>
    <row r="122" spans="2:19">
      <c r="B122" s="146" t="s">
        <v>1150</v>
      </c>
      <c r="C122" s="543" t="s">
        <v>1660</v>
      </c>
      <c r="D122" s="543" t="str">
        <f t="shared" si="3"/>
        <v>A0168:桐生瓦斯(株)</v>
      </c>
      <c r="I122" s="146" t="s">
        <v>1061</v>
      </c>
      <c r="J122" s="146" t="s">
        <v>1571</v>
      </c>
      <c r="K122" s="544" t="s">
        <v>2063</v>
      </c>
      <c r="L122" s="544">
        <v>0</v>
      </c>
      <c r="M122" s="544">
        <v>0</v>
      </c>
      <c r="N122" s="544">
        <v>0</v>
      </c>
      <c r="O122" s="544">
        <v>0</v>
      </c>
      <c r="P122" s="544">
        <v>0</v>
      </c>
      <c r="R122" s="543" t="str">
        <f t="shared" si="4"/>
        <v>A0031:(株)新出光メニューJ</v>
      </c>
      <c r="S122" s="544">
        <f t="shared" si="5"/>
        <v>0</v>
      </c>
    </row>
    <row r="123" spans="2:19">
      <c r="B123" s="146" t="s">
        <v>1151</v>
      </c>
      <c r="C123" s="543" t="s">
        <v>1661</v>
      </c>
      <c r="D123" s="543" t="str">
        <f t="shared" si="3"/>
        <v>A0169:森の電力(株)</v>
      </c>
      <c r="I123" s="146" t="s">
        <v>1061</v>
      </c>
      <c r="J123" s="146" t="s">
        <v>1571</v>
      </c>
      <c r="K123" s="544" t="s">
        <v>2064</v>
      </c>
      <c r="L123" s="544">
        <v>5.1999999999999995E-4</v>
      </c>
      <c r="M123" s="544">
        <v>5.1999999999999995E-4</v>
      </c>
      <c r="N123" s="544">
        <v>5.1999999999999995E-4</v>
      </c>
      <c r="O123" s="544">
        <v>5.1999999999999995E-4</v>
      </c>
      <c r="P123" s="544">
        <v>5.1999999999999995E-4</v>
      </c>
      <c r="R123" s="543" t="str">
        <f t="shared" si="4"/>
        <v>A0031:(株)新出光メニューK</v>
      </c>
      <c r="S123" s="544">
        <f t="shared" si="5"/>
        <v>5.1999999999999995E-4</v>
      </c>
    </row>
    <row r="124" spans="2:19">
      <c r="B124" s="146" t="s">
        <v>1152</v>
      </c>
      <c r="C124" s="543" t="s">
        <v>1662</v>
      </c>
      <c r="D124" s="543" t="str">
        <f t="shared" si="3"/>
        <v>A0170:大和ハウス工業(株)</v>
      </c>
      <c r="I124" s="146" t="s">
        <v>1061</v>
      </c>
      <c r="J124" s="146" t="s">
        <v>1571</v>
      </c>
      <c r="K124" s="544" t="s">
        <v>2058</v>
      </c>
      <c r="L124" s="544">
        <v>4.3300000000000001E-4</v>
      </c>
      <c r="M124" s="544">
        <v>4.3300000000000001E-4</v>
      </c>
      <c r="N124" s="544">
        <v>4.3300000000000001E-4</v>
      </c>
      <c r="O124" s="544">
        <v>4.3300000000000001E-4</v>
      </c>
      <c r="P124" s="544">
        <v>4.3300000000000001E-4</v>
      </c>
      <c r="R124" s="543" t="str">
        <f t="shared" si="4"/>
        <v>A0031:(株)新出光(参考値)事業者全体</v>
      </c>
      <c r="S124" s="544">
        <f t="shared" si="5"/>
        <v>4.3300000000000001E-4</v>
      </c>
    </row>
    <row r="125" spans="2:19">
      <c r="B125" s="146" t="s">
        <v>1153</v>
      </c>
      <c r="C125" s="543" t="s">
        <v>1663</v>
      </c>
      <c r="D125" s="543" t="str">
        <f t="shared" si="3"/>
        <v>A0172:HTBエナジー(株)</v>
      </c>
      <c r="I125" s="146" t="s">
        <v>1062</v>
      </c>
      <c r="J125" s="146" t="s">
        <v>1572</v>
      </c>
      <c r="K125" s="544"/>
      <c r="L125" s="544">
        <v>3.4900000000000003E-4</v>
      </c>
      <c r="M125" s="544">
        <v>3.4900000000000003E-4</v>
      </c>
      <c r="N125" s="544">
        <v>3.4900000000000003E-4</v>
      </c>
      <c r="O125" s="544">
        <v>3.4900000000000003E-4</v>
      </c>
      <c r="P125" s="544">
        <v>3.4900000000000003E-4</v>
      </c>
      <c r="R125" s="543" t="str">
        <f t="shared" si="4"/>
        <v>A0032:セントラル石油瓦斯(株)</v>
      </c>
      <c r="S125" s="544">
        <f t="shared" si="5"/>
        <v>3.4900000000000003E-4</v>
      </c>
    </row>
    <row r="126" spans="2:19">
      <c r="B126" s="146" t="s">
        <v>1154</v>
      </c>
      <c r="C126" s="543" t="s">
        <v>1664</v>
      </c>
      <c r="D126" s="543" t="str">
        <f t="shared" si="3"/>
        <v>A0173:(株)アシストワンエナジー</v>
      </c>
      <c r="I126" s="146" t="s">
        <v>1063</v>
      </c>
      <c r="J126" s="146" t="s">
        <v>1573</v>
      </c>
      <c r="K126" s="544"/>
      <c r="L126" s="544">
        <v>4.64E-4</v>
      </c>
      <c r="M126" s="544">
        <v>4.64E-4</v>
      </c>
      <c r="N126" s="544">
        <v>4.64E-4</v>
      </c>
      <c r="O126" s="544">
        <v>4.64E-4</v>
      </c>
      <c r="P126" s="544">
        <v>4.64E-4</v>
      </c>
      <c r="R126" s="543" t="str">
        <f t="shared" si="4"/>
        <v>A0034:一般財団法人泉佐野電力</v>
      </c>
      <c r="S126" s="544">
        <f t="shared" si="5"/>
        <v>4.64E-4</v>
      </c>
    </row>
    <row r="127" spans="2:19">
      <c r="B127" s="146" t="s">
        <v>1155</v>
      </c>
      <c r="C127" s="543" t="s">
        <v>1665</v>
      </c>
      <c r="D127" s="543" t="str">
        <f t="shared" si="3"/>
        <v>A0175:(株)フソウ・エナジー</v>
      </c>
      <c r="I127" s="146" t="s">
        <v>1064</v>
      </c>
      <c r="J127" s="146" t="s">
        <v>1574</v>
      </c>
      <c r="K127" s="544" t="s">
        <v>710</v>
      </c>
      <c r="L127" s="544">
        <v>0</v>
      </c>
      <c r="M127" s="544">
        <v>0</v>
      </c>
      <c r="N127" s="544">
        <v>0</v>
      </c>
      <c r="O127" s="544">
        <v>0</v>
      </c>
      <c r="P127" s="544">
        <v>0</v>
      </c>
      <c r="R127" s="543" t="str">
        <f t="shared" si="4"/>
        <v>A0035:コスモエネルギーソリューションズ(株)メニューA</v>
      </c>
      <c r="S127" s="544">
        <f t="shared" si="5"/>
        <v>0</v>
      </c>
    </row>
    <row r="128" spans="2:19">
      <c r="B128" s="146" t="s">
        <v>1156</v>
      </c>
      <c r="C128" s="543" t="s">
        <v>1666</v>
      </c>
      <c r="D128" s="543" t="str">
        <f t="shared" si="3"/>
        <v>A0177:湘南電力(株)</v>
      </c>
      <c r="I128" s="146" t="s">
        <v>1064</v>
      </c>
      <c r="J128" s="146" t="s">
        <v>1574</v>
      </c>
      <c r="K128" s="544" t="s">
        <v>787</v>
      </c>
      <c r="L128" s="544">
        <v>3.9999999999999998E-6</v>
      </c>
      <c r="M128" s="544">
        <v>3.9999999999999998E-6</v>
      </c>
      <c r="N128" s="544">
        <v>3.9999999999999998E-6</v>
      </c>
      <c r="O128" s="544">
        <v>3.9999999999999998E-6</v>
      </c>
      <c r="P128" s="544">
        <v>3.9999999999999998E-6</v>
      </c>
      <c r="R128" s="543" t="str">
        <f t="shared" si="4"/>
        <v>A0035:コスモエネルギーソリューションズ(株)メニューB</v>
      </c>
      <c r="S128" s="544">
        <f t="shared" si="5"/>
        <v>3.9999999999999998E-6</v>
      </c>
    </row>
    <row r="129" spans="2:19">
      <c r="B129" s="146" t="s">
        <v>1157</v>
      </c>
      <c r="C129" s="543" t="s">
        <v>1667</v>
      </c>
      <c r="D129" s="543" t="str">
        <f t="shared" si="3"/>
        <v>A0178:大東建託パートナーズ(株)</v>
      </c>
      <c r="I129" s="146" t="s">
        <v>1064</v>
      </c>
      <c r="J129" s="146" t="s">
        <v>1574</v>
      </c>
      <c r="K129" s="544" t="s">
        <v>788</v>
      </c>
      <c r="L129" s="544">
        <v>9.1000000000000003E-5</v>
      </c>
      <c r="M129" s="544">
        <v>9.1000000000000003E-5</v>
      </c>
      <c r="N129" s="544">
        <v>9.1000000000000003E-5</v>
      </c>
      <c r="O129" s="544">
        <v>9.1000000000000003E-5</v>
      </c>
      <c r="P129" s="544">
        <v>9.1000000000000003E-5</v>
      </c>
      <c r="R129" s="543" t="str">
        <f t="shared" si="4"/>
        <v>A0035:コスモエネルギーソリューションズ(株)メニューC</v>
      </c>
      <c r="S129" s="544">
        <f t="shared" si="5"/>
        <v>9.1000000000000003E-5</v>
      </c>
    </row>
    <row r="130" spans="2:19">
      <c r="B130" s="146" t="s">
        <v>1158</v>
      </c>
      <c r="C130" s="543" t="s">
        <v>1668</v>
      </c>
      <c r="D130" s="543" t="str">
        <f t="shared" si="3"/>
        <v>A0179:Japan電力(株)</v>
      </c>
      <c r="I130" s="146" t="s">
        <v>1064</v>
      </c>
      <c r="J130" s="146" t="s">
        <v>1574</v>
      </c>
      <c r="K130" s="544" t="s">
        <v>974</v>
      </c>
      <c r="L130" s="544">
        <v>1.12E-4</v>
      </c>
      <c r="M130" s="544">
        <v>1.12E-4</v>
      </c>
      <c r="N130" s="544">
        <v>1.12E-4</v>
      </c>
      <c r="O130" s="544">
        <v>1.12E-4</v>
      </c>
      <c r="P130" s="544">
        <v>1.12E-4</v>
      </c>
      <c r="R130" s="543" t="str">
        <f t="shared" si="4"/>
        <v>A0035:コスモエネルギーソリューションズ(株)メニューD</v>
      </c>
      <c r="S130" s="544">
        <f t="shared" si="5"/>
        <v>1.12E-4</v>
      </c>
    </row>
    <row r="131" spans="2:19">
      <c r="B131" s="146" t="s">
        <v>1159</v>
      </c>
      <c r="C131" s="543" t="s">
        <v>1669</v>
      </c>
      <c r="D131" s="543" t="str">
        <f t="shared" si="3"/>
        <v>A0180:電源開発(株)</v>
      </c>
      <c r="I131" s="146" t="s">
        <v>1064</v>
      </c>
      <c r="J131" s="146" t="s">
        <v>1574</v>
      </c>
      <c r="K131" s="544" t="s">
        <v>975</v>
      </c>
      <c r="L131" s="544">
        <v>9.2500000000000004E-4</v>
      </c>
      <c r="M131" s="544">
        <v>9.2500000000000004E-4</v>
      </c>
      <c r="N131" s="544">
        <v>9.2500000000000004E-4</v>
      </c>
      <c r="O131" s="544">
        <v>9.2500000000000004E-4</v>
      </c>
      <c r="P131" s="544">
        <v>9.2500000000000004E-4</v>
      </c>
      <c r="R131" s="543" t="str">
        <f t="shared" si="4"/>
        <v>A0035:コスモエネルギーソリューションズ(株)メニューE</v>
      </c>
      <c r="S131" s="544">
        <f t="shared" si="5"/>
        <v>9.2500000000000004E-4</v>
      </c>
    </row>
    <row r="132" spans="2:19">
      <c r="B132" s="146" t="s">
        <v>1160</v>
      </c>
      <c r="C132" s="543" t="s">
        <v>1670</v>
      </c>
      <c r="D132" s="543" t="str">
        <f t="shared" si="3"/>
        <v>A0181:鈴与商事(株)</v>
      </c>
      <c r="I132" s="146" t="s">
        <v>1064</v>
      </c>
      <c r="J132" s="146" t="s">
        <v>1574</v>
      </c>
      <c r="K132" s="544" t="s">
        <v>2058</v>
      </c>
      <c r="L132" s="544">
        <v>3.4900000000000003E-4</v>
      </c>
      <c r="M132" s="544">
        <v>3.4900000000000003E-4</v>
      </c>
      <c r="N132" s="544">
        <v>3.4900000000000003E-4</v>
      </c>
      <c r="O132" s="544">
        <v>3.4900000000000003E-4</v>
      </c>
      <c r="P132" s="544">
        <v>3.4900000000000003E-4</v>
      </c>
      <c r="R132" s="543" t="str">
        <f t="shared" si="4"/>
        <v>A0035:コスモエネルギーソリューションズ(株)(参考値)事業者全体</v>
      </c>
      <c r="S132" s="544">
        <f t="shared" si="5"/>
        <v>3.4900000000000003E-4</v>
      </c>
    </row>
    <row r="133" spans="2:19">
      <c r="B133" s="146" t="s">
        <v>1161</v>
      </c>
      <c r="C133" s="543" t="s">
        <v>1671</v>
      </c>
      <c r="D133" s="543" t="str">
        <f t="shared" si="3"/>
        <v>A0184:ワタミエナジー(株)</v>
      </c>
      <c r="I133" s="146" t="s">
        <v>1065</v>
      </c>
      <c r="J133" s="146" t="s">
        <v>1575</v>
      </c>
      <c r="K133" s="544" t="s">
        <v>710</v>
      </c>
      <c r="L133" s="544">
        <v>0</v>
      </c>
      <c r="M133" s="544">
        <v>0</v>
      </c>
      <c r="N133" s="544">
        <v>0</v>
      </c>
      <c r="O133" s="544">
        <v>0</v>
      </c>
      <c r="P133" s="544">
        <v>0</v>
      </c>
      <c r="R133" s="543" t="str">
        <f t="shared" si="4"/>
        <v>A0036:(株)グリーンサークルメニューA</v>
      </c>
      <c r="S133" s="544">
        <f t="shared" si="5"/>
        <v>0</v>
      </c>
    </row>
    <row r="134" spans="2:19">
      <c r="B134" s="146" t="s">
        <v>1162</v>
      </c>
      <c r="C134" s="543" t="s">
        <v>1672</v>
      </c>
      <c r="D134" s="543" t="str">
        <f t="shared" si="3"/>
        <v>A0185:(株)パルシステム電力</v>
      </c>
      <c r="I134" s="146" t="s">
        <v>1065</v>
      </c>
      <c r="J134" s="146" t="s">
        <v>1575</v>
      </c>
      <c r="K134" s="544" t="s">
        <v>787</v>
      </c>
      <c r="L134" s="544">
        <v>4.3600000000000003E-4</v>
      </c>
      <c r="M134" s="544">
        <v>4.3600000000000003E-4</v>
      </c>
      <c r="N134" s="544">
        <v>4.3600000000000003E-4</v>
      </c>
      <c r="O134" s="544">
        <v>4.3600000000000003E-4</v>
      </c>
      <c r="P134" s="544">
        <v>4.3600000000000003E-4</v>
      </c>
      <c r="R134" s="543" t="str">
        <f t="shared" si="4"/>
        <v>A0036:(株)グリーンサークルメニューB</v>
      </c>
      <c r="S134" s="544">
        <f t="shared" si="5"/>
        <v>4.3600000000000003E-4</v>
      </c>
    </row>
    <row r="135" spans="2:19">
      <c r="B135" s="146" t="s">
        <v>1163</v>
      </c>
      <c r="C135" s="543" t="s">
        <v>1673</v>
      </c>
      <c r="D135" s="543" t="str">
        <f t="shared" si="3"/>
        <v>A0186:SBパワー(株)</v>
      </c>
      <c r="I135" s="146" t="s">
        <v>1065</v>
      </c>
      <c r="J135" s="146" t="s">
        <v>1575</v>
      </c>
      <c r="K135" s="544" t="s">
        <v>2058</v>
      </c>
      <c r="L135" s="544">
        <v>2.8600000000000001E-4</v>
      </c>
      <c r="M135" s="544">
        <v>2.8600000000000001E-4</v>
      </c>
      <c r="N135" s="544">
        <v>2.8600000000000001E-4</v>
      </c>
      <c r="O135" s="544">
        <v>2.8600000000000001E-4</v>
      </c>
      <c r="P135" s="544">
        <v>2.8600000000000001E-4</v>
      </c>
      <c r="R135" s="543" t="str">
        <f t="shared" si="4"/>
        <v>A0036:(株)グリーンサークル(参考値)事業者全体</v>
      </c>
      <c r="S135" s="544">
        <f t="shared" si="5"/>
        <v>2.8600000000000001E-4</v>
      </c>
    </row>
    <row r="136" spans="2:19">
      <c r="B136" s="146" t="s">
        <v>1164</v>
      </c>
      <c r="C136" s="543" t="s">
        <v>1674</v>
      </c>
      <c r="D136" s="543" t="str">
        <f t="shared" si="3"/>
        <v>A0187:NFパワーサービス(株)</v>
      </c>
      <c r="I136" s="146" t="s">
        <v>1066</v>
      </c>
      <c r="J136" s="146" t="s">
        <v>1576</v>
      </c>
      <c r="K136" s="544" t="s">
        <v>710</v>
      </c>
      <c r="L136" s="544">
        <v>0</v>
      </c>
      <c r="M136" s="544">
        <v>0</v>
      </c>
      <c r="N136" s="544">
        <v>0</v>
      </c>
      <c r="O136" s="544">
        <v>0</v>
      </c>
      <c r="P136" s="544">
        <v>0</v>
      </c>
      <c r="R136" s="543" t="str">
        <f t="shared" si="4"/>
        <v>A0039:北海道瓦斯(株)メニューA</v>
      </c>
      <c r="S136" s="544">
        <f t="shared" si="5"/>
        <v>0</v>
      </c>
    </row>
    <row r="137" spans="2:19">
      <c r="B137" s="146" t="s">
        <v>1165</v>
      </c>
      <c r="C137" s="543" t="s">
        <v>1675</v>
      </c>
      <c r="D137" s="543" t="str">
        <f t="shared" si="3"/>
        <v>A0188:ひおき地域エネルギー(株)</v>
      </c>
      <c r="I137" s="146" t="s">
        <v>1066</v>
      </c>
      <c r="J137" s="146" t="s">
        <v>1576</v>
      </c>
      <c r="K137" s="544" t="s">
        <v>787</v>
      </c>
      <c r="L137" s="544">
        <v>5.6999999999999998E-4</v>
      </c>
      <c r="M137" s="544">
        <v>5.6999999999999998E-4</v>
      </c>
      <c r="N137" s="544">
        <v>5.6999999999999998E-4</v>
      </c>
      <c r="O137" s="544">
        <v>5.6999999999999998E-4</v>
      </c>
      <c r="P137" s="544">
        <v>5.6999999999999998E-4</v>
      </c>
      <c r="R137" s="543" t="str">
        <f t="shared" si="4"/>
        <v>A0039:北海道瓦斯(株)メニューB</v>
      </c>
      <c r="S137" s="544">
        <f t="shared" si="5"/>
        <v>5.6999999999999998E-4</v>
      </c>
    </row>
    <row r="138" spans="2:19">
      <c r="B138" s="146" t="s">
        <v>1166</v>
      </c>
      <c r="C138" s="543" t="s">
        <v>1676</v>
      </c>
      <c r="D138" s="543" t="str">
        <f t="shared" ref="D138:D201" si="6">IF(B138="","",B138&amp;":"&amp;C138)</f>
        <v>A0189:和歌山電力(株)</v>
      </c>
      <c r="I138" s="146" t="s">
        <v>1066</v>
      </c>
      <c r="J138" s="146" t="s">
        <v>1576</v>
      </c>
      <c r="K138" s="544" t="s">
        <v>2058</v>
      </c>
      <c r="L138" s="544">
        <v>4.7699999999999999E-4</v>
      </c>
      <c r="M138" s="544">
        <v>4.7699999999999999E-4</v>
      </c>
      <c r="N138" s="544">
        <v>4.7699999999999999E-4</v>
      </c>
      <c r="O138" s="544">
        <v>4.7699999999999999E-4</v>
      </c>
      <c r="P138" s="544">
        <v>4.7699999999999999E-4</v>
      </c>
      <c r="R138" s="543" t="str">
        <f t="shared" ref="R138:R201" si="7">I138&amp;":"&amp;J138&amp;K138</f>
        <v>A0039:北海道瓦斯(株)(参考値)事業者全体</v>
      </c>
      <c r="S138" s="544">
        <f t="shared" ref="S138:S201" si="8">HLOOKUP($S$8,$L$8:$P$2000,ROW()-7,FALSE)</f>
        <v>4.7699999999999999E-4</v>
      </c>
    </row>
    <row r="139" spans="2:19">
      <c r="B139" s="146" t="s">
        <v>1167</v>
      </c>
      <c r="C139" s="543" t="s">
        <v>1677</v>
      </c>
      <c r="D139" s="543" t="str">
        <f t="shared" si="6"/>
        <v>A0190:日本瓦斯(株)(日本ガス(株))</v>
      </c>
      <c r="I139" s="146" t="s">
        <v>1067</v>
      </c>
      <c r="J139" s="146" t="s">
        <v>1577</v>
      </c>
      <c r="K139" s="544"/>
      <c r="L139" s="544">
        <v>4.95E-4</v>
      </c>
      <c r="M139" s="544">
        <v>4.95E-4</v>
      </c>
      <c r="N139" s="544">
        <v>4.95E-4</v>
      </c>
      <c r="O139" s="544">
        <v>4.95E-4</v>
      </c>
      <c r="P139" s="544">
        <v>4.95E-4</v>
      </c>
      <c r="R139" s="543" t="str">
        <f t="shared" si="7"/>
        <v>A0040:アルカナエナジー(株)</v>
      </c>
      <c r="S139" s="544">
        <f t="shared" si="8"/>
        <v>4.95E-4</v>
      </c>
    </row>
    <row r="140" spans="2:19">
      <c r="B140" s="146" t="s">
        <v>1168</v>
      </c>
      <c r="C140" s="543" t="s">
        <v>1678</v>
      </c>
      <c r="D140" s="543" t="str">
        <f t="shared" si="6"/>
        <v>A0193:九電みらいエナジー(株)</v>
      </c>
      <c r="I140" s="146" t="s">
        <v>1068</v>
      </c>
      <c r="J140" s="146" t="s">
        <v>1578</v>
      </c>
      <c r="K140" s="544" t="s">
        <v>710</v>
      </c>
      <c r="L140" s="544">
        <v>5.5699999999999999E-4</v>
      </c>
      <c r="M140" s="544">
        <v>5.5699999999999999E-4</v>
      </c>
      <c r="N140" s="544">
        <v>5.5699999999999999E-4</v>
      </c>
      <c r="O140" s="544">
        <v>5.5699999999999999E-4</v>
      </c>
      <c r="P140" s="544">
        <v>5.5699999999999999E-4</v>
      </c>
      <c r="R140" s="543" t="str">
        <f t="shared" si="7"/>
        <v>A0042:新エネルギー開発(株)メニューA</v>
      </c>
      <c r="S140" s="544">
        <f t="shared" si="8"/>
        <v>5.5699999999999999E-4</v>
      </c>
    </row>
    <row r="141" spans="2:19">
      <c r="B141" s="146" t="s">
        <v>1169</v>
      </c>
      <c r="C141" s="543" t="s">
        <v>1679</v>
      </c>
      <c r="D141" s="543" t="str">
        <f t="shared" si="6"/>
        <v>A0195:(株)フォレストパワー</v>
      </c>
      <c r="I141" s="146" t="s">
        <v>1068</v>
      </c>
      <c r="J141" s="146" t="s">
        <v>1578</v>
      </c>
      <c r="K141" s="544" t="s">
        <v>787</v>
      </c>
      <c r="L141" s="544">
        <v>0</v>
      </c>
      <c r="M141" s="544">
        <v>0</v>
      </c>
      <c r="N141" s="544">
        <v>0</v>
      </c>
      <c r="O141" s="544">
        <v>0</v>
      </c>
      <c r="P141" s="544">
        <v>0</v>
      </c>
      <c r="R141" s="543" t="str">
        <f t="shared" si="7"/>
        <v>A0042:新エネルギー開発(株)メニューB</v>
      </c>
      <c r="S141" s="544">
        <f t="shared" si="8"/>
        <v>0</v>
      </c>
    </row>
    <row r="142" spans="2:19">
      <c r="B142" s="146" t="s">
        <v>1170</v>
      </c>
      <c r="C142" s="543" t="s">
        <v>1680</v>
      </c>
      <c r="D142" s="543" t="str">
        <f t="shared" si="6"/>
        <v>A0196:日高都市ガス(株)</v>
      </c>
      <c r="I142" s="146" t="s">
        <v>1068</v>
      </c>
      <c r="J142" s="146" t="s">
        <v>1578</v>
      </c>
      <c r="K142" s="544" t="s">
        <v>2058</v>
      </c>
      <c r="L142" s="544">
        <v>5.4900000000000001E-4</v>
      </c>
      <c r="M142" s="544">
        <v>5.4900000000000001E-4</v>
      </c>
      <c r="N142" s="544">
        <v>5.4900000000000001E-4</v>
      </c>
      <c r="O142" s="544">
        <v>5.4900000000000001E-4</v>
      </c>
      <c r="P142" s="544">
        <v>5.4900000000000001E-4</v>
      </c>
      <c r="R142" s="543" t="str">
        <f t="shared" si="7"/>
        <v>A0042:新エネルギー開発(株)(参考値)事業者全体</v>
      </c>
      <c r="S142" s="544">
        <f t="shared" si="8"/>
        <v>5.4900000000000001E-4</v>
      </c>
    </row>
    <row r="143" spans="2:19">
      <c r="B143" s="146" t="s">
        <v>1171</v>
      </c>
      <c r="C143" s="543" t="s">
        <v>1681</v>
      </c>
      <c r="D143" s="543" t="str">
        <f t="shared" si="6"/>
        <v>A0197:(株)アドバンテック</v>
      </c>
      <c r="I143" s="146" t="s">
        <v>1069</v>
      </c>
      <c r="J143" s="146" t="s">
        <v>1579</v>
      </c>
      <c r="K143" s="544" t="s">
        <v>710</v>
      </c>
      <c r="L143" s="544">
        <v>2.5300000000000002E-4</v>
      </c>
      <c r="M143" s="544">
        <v>2.5300000000000002E-4</v>
      </c>
      <c r="N143" s="544">
        <v>2.5300000000000002E-4</v>
      </c>
      <c r="O143" s="544">
        <v>2.5300000000000002E-4</v>
      </c>
      <c r="P143" s="544">
        <v>2.5300000000000002E-4</v>
      </c>
      <c r="R143" s="543" t="str">
        <f t="shared" si="7"/>
        <v>A0043:伊藤忠エネクス(株)メニューA</v>
      </c>
      <c r="S143" s="544">
        <f t="shared" si="8"/>
        <v>2.5300000000000002E-4</v>
      </c>
    </row>
    <row r="144" spans="2:19">
      <c r="B144" s="146" t="s">
        <v>1172</v>
      </c>
      <c r="C144" s="543" t="s">
        <v>1682</v>
      </c>
      <c r="D144" s="543" t="str">
        <f t="shared" si="6"/>
        <v>A0199:ローカルエナジー(株)</v>
      </c>
      <c r="I144" s="146" t="s">
        <v>1069</v>
      </c>
      <c r="J144" s="146" t="s">
        <v>1579</v>
      </c>
      <c r="K144" s="544" t="s">
        <v>787</v>
      </c>
      <c r="L144" s="544">
        <v>4.2200000000000001E-4</v>
      </c>
      <c r="M144" s="544">
        <v>4.2200000000000001E-4</v>
      </c>
      <c r="N144" s="544">
        <v>4.2200000000000001E-4</v>
      </c>
      <c r="O144" s="544">
        <v>4.2200000000000001E-4</v>
      </c>
      <c r="P144" s="544">
        <v>4.2200000000000001E-4</v>
      </c>
      <c r="R144" s="543" t="str">
        <f t="shared" si="7"/>
        <v>A0043:伊藤忠エネクス(株)メニューB</v>
      </c>
      <c r="S144" s="544">
        <f t="shared" si="8"/>
        <v>4.2200000000000001E-4</v>
      </c>
    </row>
    <row r="145" spans="2:19">
      <c r="B145" s="146" t="s">
        <v>1173</v>
      </c>
      <c r="C145" s="543" t="s">
        <v>1683</v>
      </c>
      <c r="D145" s="543" t="str">
        <f t="shared" si="6"/>
        <v>A0200:エネックス(株)</v>
      </c>
      <c r="I145" s="146" t="s">
        <v>1069</v>
      </c>
      <c r="J145" s="146" t="s">
        <v>1579</v>
      </c>
      <c r="K145" s="544" t="s">
        <v>2058</v>
      </c>
      <c r="L145" s="544">
        <v>4.2200000000000001E-4</v>
      </c>
      <c r="M145" s="544">
        <v>4.2200000000000001E-4</v>
      </c>
      <c r="N145" s="544">
        <v>4.2200000000000001E-4</v>
      </c>
      <c r="O145" s="544">
        <v>4.2200000000000001E-4</v>
      </c>
      <c r="P145" s="544">
        <v>4.2200000000000001E-4</v>
      </c>
      <c r="R145" s="543" t="str">
        <f t="shared" si="7"/>
        <v>A0043:伊藤忠エネクス(株)(参考値)事業者全体</v>
      </c>
      <c r="S145" s="544">
        <f t="shared" si="8"/>
        <v>4.2200000000000001E-4</v>
      </c>
    </row>
    <row r="146" spans="2:19">
      <c r="B146" s="146" t="s">
        <v>1174</v>
      </c>
      <c r="C146" s="543" t="s">
        <v>1684</v>
      </c>
      <c r="D146" s="543" t="str">
        <f t="shared" si="6"/>
        <v>A0203:(株)レクスポート</v>
      </c>
      <c r="I146" s="146" t="s">
        <v>1070</v>
      </c>
      <c r="J146" s="146" t="s">
        <v>1580</v>
      </c>
      <c r="K146" s="544" t="s">
        <v>710</v>
      </c>
      <c r="L146" s="544">
        <v>0</v>
      </c>
      <c r="M146" s="544">
        <v>0</v>
      </c>
      <c r="N146" s="544">
        <v>0</v>
      </c>
      <c r="O146" s="544">
        <v>0</v>
      </c>
      <c r="P146" s="544">
        <v>0</v>
      </c>
      <c r="R146" s="543" t="str">
        <f t="shared" si="7"/>
        <v>A0045:(株)VーPowerメニューA</v>
      </c>
      <c r="S146" s="544">
        <f t="shared" si="8"/>
        <v>0</v>
      </c>
    </row>
    <row r="147" spans="2:19">
      <c r="B147" s="146" t="s">
        <v>1175</v>
      </c>
      <c r="C147" s="543" t="s">
        <v>1685</v>
      </c>
      <c r="D147" s="543" t="str">
        <f t="shared" si="6"/>
        <v>A0204:なでしこ電力(株)</v>
      </c>
      <c r="I147" s="146" t="s">
        <v>1070</v>
      </c>
      <c r="J147" s="146" t="s">
        <v>1580</v>
      </c>
      <c r="K147" s="544" t="s">
        <v>787</v>
      </c>
      <c r="L147" s="544">
        <v>0</v>
      </c>
      <c r="M147" s="544">
        <v>0</v>
      </c>
      <c r="N147" s="544">
        <v>0</v>
      </c>
      <c r="O147" s="544">
        <v>0</v>
      </c>
      <c r="P147" s="544">
        <v>0</v>
      </c>
      <c r="R147" s="543" t="str">
        <f t="shared" si="7"/>
        <v>A0045:(株)VーPowerメニューB</v>
      </c>
      <c r="S147" s="544">
        <f t="shared" si="8"/>
        <v>0</v>
      </c>
    </row>
    <row r="148" spans="2:19">
      <c r="B148" s="146" t="s">
        <v>1176</v>
      </c>
      <c r="C148" s="543" t="s">
        <v>1686</v>
      </c>
      <c r="D148" s="543" t="str">
        <f t="shared" si="6"/>
        <v>A0206:日田グリーン電力(株)</v>
      </c>
      <c r="I148" s="146" t="s">
        <v>1070</v>
      </c>
      <c r="J148" s="146" t="s">
        <v>1580</v>
      </c>
      <c r="K148" s="544" t="s">
        <v>788</v>
      </c>
      <c r="L148" s="544">
        <v>0</v>
      </c>
      <c r="M148" s="544">
        <v>0</v>
      </c>
      <c r="N148" s="544">
        <v>0</v>
      </c>
      <c r="O148" s="544">
        <v>0</v>
      </c>
      <c r="P148" s="544">
        <v>0</v>
      </c>
      <c r="R148" s="543" t="str">
        <f t="shared" si="7"/>
        <v>A0045:(株)VーPowerメニューC</v>
      </c>
      <c r="S148" s="544">
        <f t="shared" si="8"/>
        <v>0</v>
      </c>
    </row>
    <row r="149" spans="2:19">
      <c r="B149" s="146" t="s">
        <v>1177</v>
      </c>
      <c r="C149" s="543" t="s">
        <v>1687</v>
      </c>
      <c r="D149" s="543" t="str">
        <f t="shared" si="6"/>
        <v>A0209:埼玉ガス(株)</v>
      </c>
      <c r="I149" s="146" t="s">
        <v>1070</v>
      </c>
      <c r="J149" s="146" t="s">
        <v>1580</v>
      </c>
      <c r="K149" s="544" t="s">
        <v>974</v>
      </c>
      <c r="L149" s="544">
        <v>4.8200000000000001E-4</v>
      </c>
      <c r="M149" s="544">
        <v>4.8200000000000001E-4</v>
      </c>
      <c r="N149" s="544">
        <v>4.8200000000000001E-4</v>
      </c>
      <c r="O149" s="544">
        <v>4.8200000000000001E-4</v>
      </c>
      <c r="P149" s="544">
        <v>4.8200000000000001E-4</v>
      </c>
      <c r="R149" s="543" t="str">
        <f t="shared" si="7"/>
        <v>A0045:(株)VーPowerメニューD</v>
      </c>
      <c r="S149" s="544">
        <f t="shared" si="8"/>
        <v>4.8200000000000001E-4</v>
      </c>
    </row>
    <row r="150" spans="2:19">
      <c r="B150" s="146" t="s">
        <v>1178</v>
      </c>
      <c r="C150" s="543" t="s">
        <v>1688</v>
      </c>
      <c r="D150" s="543" t="str">
        <f t="shared" si="6"/>
        <v>A0210:宮崎パワーライン(株)</v>
      </c>
      <c r="I150" s="146" t="s">
        <v>1070</v>
      </c>
      <c r="J150" s="146" t="s">
        <v>1580</v>
      </c>
      <c r="K150" s="544" t="s">
        <v>2058</v>
      </c>
      <c r="L150" s="544">
        <v>4.4700000000000002E-4</v>
      </c>
      <c r="M150" s="544">
        <v>4.4700000000000002E-4</v>
      </c>
      <c r="N150" s="544">
        <v>4.4700000000000002E-4</v>
      </c>
      <c r="O150" s="544">
        <v>4.4700000000000002E-4</v>
      </c>
      <c r="P150" s="544">
        <v>4.4700000000000002E-4</v>
      </c>
      <c r="R150" s="543" t="str">
        <f t="shared" si="7"/>
        <v>A0045:(株)VーPower(参考値)事業者全体</v>
      </c>
      <c r="S150" s="544">
        <f t="shared" si="8"/>
        <v>4.4700000000000002E-4</v>
      </c>
    </row>
    <row r="151" spans="2:19">
      <c r="B151" s="146" t="s">
        <v>1179</v>
      </c>
      <c r="C151" s="543" t="s">
        <v>1689</v>
      </c>
      <c r="D151" s="543" t="str">
        <f t="shared" si="6"/>
        <v>A0211:(株)パワー・オプティマイザー</v>
      </c>
      <c r="I151" s="146" t="s">
        <v>1071</v>
      </c>
      <c r="J151" s="146" t="s">
        <v>1581</v>
      </c>
      <c r="K151" s="544"/>
      <c r="L151" s="544">
        <v>4.5800000000000002E-4</v>
      </c>
      <c r="M151" s="544">
        <v>4.5800000000000002E-4</v>
      </c>
      <c r="N151" s="544">
        <v>4.5800000000000002E-4</v>
      </c>
      <c r="O151" s="544">
        <v>4.5800000000000002E-4</v>
      </c>
      <c r="P151" s="544">
        <v>4.5800000000000002E-4</v>
      </c>
      <c r="R151" s="543" t="str">
        <f t="shared" si="7"/>
        <v>A0046:大和エネルギー(株)</v>
      </c>
      <c r="S151" s="544">
        <f t="shared" si="8"/>
        <v>4.5800000000000002E-4</v>
      </c>
    </row>
    <row r="152" spans="2:19">
      <c r="B152" s="146" t="s">
        <v>1180</v>
      </c>
      <c r="C152" s="543" t="s">
        <v>1690</v>
      </c>
      <c r="D152" s="543" t="str">
        <f t="shared" si="6"/>
        <v>A0213:(株)UーPOWER</v>
      </c>
      <c r="I152" s="146" t="s">
        <v>1072</v>
      </c>
      <c r="J152" s="146" t="s">
        <v>1582</v>
      </c>
      <c r="K152" s="544" t="s">
        <v>710</v>
      </c>
      <c r="L152" s="544">
        <v>0</v>
      </c>
      <c r="M152" s="544">
        <v>0</v>
      </c>
      <c r="N152" s="544">
        <v>0</v>
      </c>
      <c r="O152" s="544">
        <v>0</v>
      </c>
      <c r="P152" s="544">
        <v>0</v>
      </c>
      <c r="R152" s="543" t="str">
        <f t="shared" si="7"/>
        <v>A0048:大阪瓦斯(株)メニューA</v>
      </c>
      <c r="S152" s="544">
        <f t="shared" si="8"/>
        <v>0</v>
      </c>
    </row>
    <row r="153" spans="2:19">
      <c r="B153" s="146" t="s">
        <v>1181</v>
      </c>
      <c r="C153" s="543" t="s">
        <v>1691</v>
      </c>
      <c r="D153" s="543" t="str">
        <f t="shared" si="6"/>
        <v>A0214:(株)TTSパワー</v>
      </c>
      <c r="I153" s="146" t="s">
        <v>1072</v>
      </c>
      <c r="J153" s="146" t="s">
        <v>1582</v>
      </c>
      <c r="K153" s="544" t="s">
        <v>787</v>
      </c>
      <c r="L153" s="544">
        <v>0</v>
      </c>
      <c r="M153" s="544">
        <v>0</v>
      </c>
      <c r="N153" s="544">
        <v>0</v>
      </c>
      <c r="O153" s="544">
        <v>0</v>
      </c>
      <c r="P153" s="544">
        <v>0</v>
      </c>
      <c r="R153" s="543" t="str">
        <f t="shared" si="7"/>
        <v>A0048:大阪瓦斯(株)メニューB</v>
      </c>
      <c r="S153" s="544">
        <f t="shared" si="8"/>
        <v>0</v>
      </c>
    </row>
    <row r="154" spans="2:19">
      <c r="B154" s="146" t="s">
        <v>1182</v>
      </c>
      <c r="C154" s="543" t="s">
        <v>1692</v>
      </c>
      <c r="D154" s="543" t="str">
        <f t="shared" si="6"/>
        <v>A0216:(株)岩手ウッドパワー</v>
      </c>
      <c r="I154" s="146" t="s">
        <v>1072</v>
      </c>
      <c r="J154" s="146" t="s">
        <v>1582</v>
      </c>
      <c r="K154" s="544" t="s">
        <v>788</v>
      </c>
      <c r="L154" s="544">
        <v>3.48E-4</v>
      </c>
      <c r="M154" s="544">
        <v>3.48E-4</v>
      </c>
      <c r="N154" s="544">
        <v>3.48E-4</v>
      </c>
      <c r="O154" s="544">
        <v>3.48E-4</v>
      </c>
      <c r="P154" s="544">
        <v>3.48E-4</v>
      </c>
      <c r="R154" s="543" t="str">
        <f t="shared" si="7"/>
        <v>A0048:大阪瓦斯(株)メニューC</v>
      </c>
      <c r="S154" s="544">
        <f t="shared" si="8"/>
        <v>3.48E-4</v>
      </c>
    </row>
    <row r="155" spans="2:19">
      <c r="B155" s="146" t="s">
        <v>1183</v>
      </c>
      <c r="C155" s="543" t="s">
        <v>1693</v>
      </c>
      <c r="D155" s="543" t="str">
        <f t="shared" si="6"/>
        <v>A0217:里山パワーワークス(株)</v>
      </c>
      <c r="I155" s="146" t="s">
        <v>1072</v>
      </c>
      <c r="J155" s="146" t="s">
        <v>1582</v>
      </c>
      <c r="K155" s="544" t="s">
        <v>974</v>
      </c>
      <c r="L155" s="544">
        <v>3.4900000000000003E-4</v>
      </c>
      <c r="M155" s="544">
        <v>3.4900000000000003E-4</v>
      </c>
      <c r="N155" s="544">
        <v>3.4900000000000003E-4</v>
      </c>
      <c r="O155" s="544">
        <v>3.4900000000000003E-4</v>
      </c>
      <c r="P155" s="544">
        <v>3.4900000000000003E-4</v>
      </c>
      <c r="R155" s="543" t="str">
        <f t="shared" si="7"/>
        <v>A0048:大阪瓦斯(株)メニューD</v>
      </c>
      <c r="S155" s="544">
        <f t="shared" si="8"/>
        <v>3.4900000000000003E-4</v>
      </c>
    </row>
    <row r="156" spans="2:19">
      <c r="B156" s="146" t="s">
        <v>1184</v>
      </c>
      <c r="C156" s="543" t="s">
        <v>1694</v>
      </c>
      <c r="D156" s="543" t="str">
        <f t="shared" si="6"/>
        <v>A0218:(株)中之条パワー</v>
      </c>
      <c r="I156" s="146" t="s">
        <v>1072</v>
      </c>
      <c r="J156" s="146" t="s">
        <v>1582</v>
      </c>
      <c r="K156" s="544" t="s">
        <v>975</v>
      </c>
      <c r="L156" s="544">
        <v>2.9500000000000001E-4</v>
      </c>
      <c r="M156" s="544">
        <v>2.9500000000000001E-4</v>
      </c>
      <c r="N156" s="544">
        <v>2.9500000000000001E-4</v>
      </c>
      <c r="O156" s="544">
        <v>2.9500000000000001E-4</v>
      </c>
      <c r="P156" s="544">
        <v>2.9500000000000001E-4</v>
      </c>
      <c r="R156" s="543" t="str">
        <f t="shared" si="7"/>
        <v>A0048:大阪瓦斯(株)メニューE</v>
      </c>
      <c r="S156" s="544">
        <f t="shared" si="8"/>
        <v>2.9500000000000001E-4</v>
      </c>
    </row>
    <row r="157" spans="2:19">
      <c r="B157" s="146" t="s">
        <v>1185</v>
      </c>
      <c r="C157" s="543" t="s">
        <v>1695</v>
      </c>
      <c r="D157" s="543" t="str">
        <f t="shared" si="6"/>
        <v>A0220:日産トレーデイング(株)</v>
      </c>
      <c r="I157" s="146" t="s">
        <v>1072</v>
      </c>
      <c r="J157" s="146" t="s">
        <v>1582</v>
      </c>
      <c r="K157" s="544" t="s">
        <v>2059</v>
      </c>
      <c r="L157" s="544">
        <v>0</v>
      </c>
      <c r="M157" s="544">
        <v>0</v>
      </c>
      <c r="N157" s="544">
        <v>0</v>
      </c>
      <c r="O157" s="544">
        <v>0</v>
      </c>
      <c r="P157" s="544">
        <v>0</v>
      </c>
      <c r="R157" s="543" t="str">
        <f t="shared" si="7"/>
        <v>A0048:大阪瓦斯(株)メニューF</v>
      </c>
      <c r="S157" s="544">
        <f t="shared" si="8"/>
        <v>0</v>
      </c>
    </row>
    <row r="158" spans="2:19">
      <c r="B158" s="146" t="s">
        <v>1186</v>
      </c>
      <c r="C158" s="543" t="s">
        <v>1696</v>
      </c>
      <c r="D158" s="543" t="str">
        <f t="shared" si="6"/>
        <v>A0221:(株)エネウィル</v>
      </c>
      <c r="I158" s="146" t="s">
        <v>1072</v>
      </c>
      <c r="J158" s="146" t="s">
        <v>1582</v>
      </c>
      <c r="K158" s="544" t="s">
        <v>2060</v>
      </c>
      <c r="L158" s="544">
        <v>5.0100000000000003E-4</v>
      </c>
      <c r="M158" s="544">
        <v>5.0100000000000003E-4</v>
      </c>
      <c r="N158" s="544">
        <v>5.0100000000000003E-4</v>
      </c>
      <c r="O158" s="544">
        <v>5.0100000000000003E-4</v>
      </c>
      <c r="P158" s="544">
        <v>5.0100000000000003E-4</v>
      </c>
      <c r="R158" s="543" t="str">
        <f t="shared" si="7"/>
        <v>A0048:大阪瓦斯(株)メニューG</v>
      </c>
      <c r="S158" s="544">
        <f t="shared" si="8"/>
        <v>5.0100000000000003E-4</v>
      </c>
    </row>
    <row r="159" spans="2:19">
      <c r="B159" s="146" t="s">
        <v>1187</v>
      </c>
      <c r="C159" s="543" t="s">
        <v>1697</v>
      </c>
      <c r="D159" s="543" t="str">
        <f t="shared" si="6"/>
        <v>A0222:Next Power(株)</v>
      </c>
      <c r="I159" s="146" t="s">
        <v>1072</v>
      </c>
      <c r="J159" s="146" t="s">
        <v>1582</v>
      </c>
      <c r="K159" s="544" t="s">
        <v>2058</v>
      </c>
      <c r="L159" s="544">
        <v>4.6500000000000003E-4</v>
      </c>
      <c r="M159" s="544">
        <v>4.6500000000000003E-4</v>
      </c>
      <c r="N159" s="544">
        <v>4.6500000000000003E-4</v>
      </c>
      <c r="O159" s="544">
        <v>4.6500000000000003E-4</v>
      </c>
      <c r="P159" s="544">
        <v>4.6500000000000003E-4</v>
      </c>
      <c r="R159" s="543" t="str">
        <f t="shared" si="7"/>
        <v>A0048:大阪瓦斯(株)(参考値)事業者全体</v>
      </c>
      <c r="S159" s="544">
        <f t="shared" si="8"/>
        <v>4.6500000000000003E-4</v>
      </c>
    </row>
    <row r="160" spans="2:19">
      <c r="B160" s="146" t="s">
        <v>1188</v>
      </c>
      <c r="C160" s="543" t="s">
        <v>1698</v>
      </c>
      <c r="D160" s="543" t="str">
        <f t="shared" si="6"/>
        <v>A0227:はりま電力(株)</v>
      </c>
      <c r="I160" s="146" t="s">
        <v>1073</v>
      </c>
      <c r="J160" s="146" t="s">
        <v>1583</v>
      </c>
      <c r="K160" s="544" t="s">
        <v>710</v>
      </c>
      <c r="L160" s="544">
        <v>1E-4</v>
      </c>
      <c r="M160" s="544">
        <v>1E-4</v>
      </c>
      <c r="N160" s="544">
        <v>1E-4</v>
      </c>
      <c r="O160" s="544">
        <v>1E-4</v>
      </c>
      <c r="P160" s="544">
        <v>1E-4</v>
      </c>
      <c r="R160" s="543" t="str">
        <f t="shared" si="7"/>
        <v>A0049:エフビットコミュニケーションズ(株)　メニューA</v>
      </c>
      <c r="S160" s="544">
        <f t="shared" si="8"/>
        <v>1E-4</v>
      </c>
    </row>
    <row r="161" spans="2:19">
      <c r="B161" s="146" t="s">
        <v>1189</v>
      </c>
      <c r="C161" s="543" t="s">
        <v>1699</v>
      </c>
      <c r="D161" s="543" t="str">
        <f t="shared" si="6"/>
        <v>A0228:(株)浜松新電力</v>
      </c>
      <c r="I161" s="146" t="s">
        <v>1073</v>
      </c>
      <c r="J161" s="146" t="s">
        <v>1583</v>
      </c>
      <c r="K161" s="544" t="s">
        <v>787</v>
      </c>
      <c r="L161" s="544">
        <v>0</v>
      </c>
      <c r="M161" s="544">
        <v>0</v>
      </c>
      <c r="N161" s="544">
        <v>0</v>
      </c>
      <c r="O161" s="544">
        <v>0</v>
      </c>
      <c r="P161" s="544">
        <v>0</v>
      </c>
      <c r="R161" s="543" t="str">
        <f t="shared" si="7"/>
        <v>A0049:エフビットコミュニケーションズ(株)　メニューB</v>
      </c>
      <c r="S161" s="544">
        <f t="shared" si="8"/>
        <v>0</v>
      </c>
    </row>
    <row r="162" spans="2:19">
      <c r="B162" s="146" t="s">
        <v>1190</v>
      </c>
      <c r="C162" s="543" t="s">
        <v>1700</v>
      </c>
      <c r="D162" s="543" t="str">
        <f t="shared" si="6"/>
        <v>A0229:ゼロワットパワー(株)</v>
      </c>
      <c r="I162" s="146" t="s">
        <v>1073</v>
      </c>
      <c r="J162" s="146" t="s">
        <v>1583</v>
      </c>
      <c r="K162" s="544" t="s">
        <v>788</v>
      </c>
      <c r="L162" s="544">
        <v>2.13E-4</v>
      </c>
      <c r="M162" s="544">
        <v>2.13E-4</v>
      </c>
      <c r="N162" s="544">
        <v>2.13E-4</v>
      </c>
      <c r="O162" s="544">
        <v>2.13E-4</v>
      </c>
      <c r="P162" s="544">
        <v>2.13E-4</v>
      </c>
      <c r="R162" s="543" t="str">
        <f t="shared" si="7"/>
        <v>A0049:エフビットコミュニケーションズ(株)　メニューC</v>
      </c>
      <c r="S162" s="544">
        <f t="shared" si="8"/>
        <v>2.13E-4</v>
      </c>
    </row>
    <row r="163" spans="2:19">
      <c r="B163" s="146" t="s">
        <v>1191</v>
      </c>
      <c r="C163" s="543" t="s">
        <v>1701</v>
      </c>
      <c r="D163" s="543" t="str">
        <f t="shared" si="6"/>
        <v>A0230:アストマックス(株)</v>
      </c>
      <c r="I163" s="146" t="s">
        <v>1073</v>
      </c>
      <c r="J163" s="146" t="s">
        <v>1583</v>
      </c>
      <c r="K163" s="544" t="s">
        <v>2058</v>
      </c>
      <c r="L163" s="544">
        <v>2.1100000000000001E-4</v>
      </c>
      <c r="M163" s="544">
        <v>2.1100000000000001E-4</v>
      </c>
      <c r="N163" s="544">
        <v>2.1100000000000001E-4</v>
      </c>
      <c r="O163" s="544">
        <v>2.1100000000000001E-4</v>
      </c>
      <c r="P163" s="544">
        <v>2.1100000000000001E-4</v>
      </c>
      <c r="R163" s="543" t="str">
        <f t="shared" si="7"/>
        <v>A0049:エフビットコミュニケーションズ(株)　(参考値)事業者全体</v>
      </c>
      <c r="S163" s="544">
        <f t="shared" si="8"/>
        <v>2.1100000000000001E-4</v>
      </c>
    </row>
    <row r="164" spans="2:19">
      <c r="B164" s="146" t="s">
        <v>1192</v>
      </c>
      <c r="C164" s="543" t="s">
        <v>1702</v>
      </c>
      <c r="D164" s="543" t="str">
        <f t="shared" si="6"/>
        <v>A0231:(株)やまがた新電力</v>
      </c>
      <c r="I164" s="146" t="s">
        <v>1074</v>
      </c>
      <c r="J164" s="146" t="s">
        <v>1584</v>
      </c>
      <c r="K164" s="544" t="s">
        <v>710</v>
      </c>
      <c r="L164" s="544">
        <v>0</v>
      </c>
      <c r="M164" s="544">
        <v>0</v>
      </c>
      <c r="N164" s="544">
        <v>0</v>
      </c>
      <c r="O164" s="544">
        <v>0</v>
      </c>
      <c r="P164" s="544">
        <v>0</v>
      </c>
      <c r="R164" s="543" t="str">
        <f t="shared" si="7"/>
        <v>A0050:ENEOS Power(株)（旧:ENEOS(株)）メニューA</v>
      </c>
      <c r="S164" s="544">
        <f t="shared" si="8"/>
        <v>0</v>
      </c>
    </row>
    <row r="165" spans="2:19">
      <c r="B165" s="146" t="s">
        <v>1193</v>
      </c>
      <c r="C165" s="543" t="s">
        <v>1703</v>
      </c>
      <c r="D165" s="543" t="str">
        <f t="shared" si="6"/>
        <v>A0232:一般社団法人東松島みらいとし機構</v>
      </c>
      <c r="I165" s="146" t="s">
        <v>1074</v>
      </c>
      <c r="J165" s="146" t="s">
        <v>1584</v>
      </c>
      <c r="K165" s="544" t="s">
        <v>787</v>
      </c>
      <c r="L165" s="544">
        <v>0</v>
      </c>
      <c r="M165" s="544">
        <v>0</v>
      </c>
      <c r="N165" s="544">
        <v>0</v>
      </c>
      <c r="O165" s="544">
        <v>0</v>
      </c>
      <c r="P165" s="544">
        <v>0</v>
      </c>
      <c r="R165" s="543" t="str">
        <f t="shared" si="7"/>
        <v>A0050:ENEOS Power(株)（旧:ENEOS(株)）メニューB</v>
      </c>
      <c r="S165" s="544">
        <f t="shared" si="8"/>
        <v>0</v>
      </c>
    </row>
    <row r="166" spans="2:19">
      <c r="B166" s="146" t="s">
        <v>1194</v>
      </c>
      <c r="C166" s="543" t="s">
        <v>1704</v>
      </c>
      <c r="D166" s="543" t="str">
        <f t="shared" si="6"/>
        <v>A0234:(株)グリーンパワー大東</v>
      </c>
      <c r="I166" s="146" t="s">
        <v>1074</v>
      </c>
      <c r="J166" s="146" t="s">
        <v>1584</v>
      </c>
      <c r="K166" s="544" t="s">
        <v>788</v>
      </c>
      <c r="L166" s="544">
        <v>0</v>
      </c>
      <c r="M166" s="544">
        <v>0</v>
      </c>
      <c r="N166" s="544">
        <v>0</v>
      </c>
      <c r="O166" s="544">
        <v>0</v>
      </c>
      <c r="P166" s="544">
        <v>0</v>
      </c>
      <c r="R166" s="543" t="str">
        <f t="shared" si="7"/>
        <v>A0050:ENEOS Power(株)（旧:ENEOS(株)）メニューC</v>
      </c>
      <c r="S166" s="544">
        <f t="shared" si="8"/>
        <v>0</v>
      </c>
    </row>
    <row r="167" spans="2:19">
      <c r="B167" s="146" t="s">
        <v>1195</v>
      </c>
      <c r="C167" s="543" t="s">
        <v>1705</v>
      </c>
      <c r="D167" s="543" t="str">
        <f t="shared" si="6"/>
        <v>A0236:(株)シーラソーラー</v>
      </c>
      <c r="I167" s="146" t="s">
        <v>1074</v>
      </c>
      <c r="J167" s="146" t="s">
        <v>1584</v>
      </c>
      <c r="K167" s="544" t="s">
        <v>974</v>
      </c>
      <c r="L167" s="544">
        <v>0</v>
      </c>
      <c r="M167" s="544">
        <v>0</v>
      </c>
      <c r="N167" s="544">
        <v>0</v>
      </c>
      <c r="O167" s="544">
        <v>0</v>
      </c>
      <c r="P167" s="544">
        <v>0</v>
      </c>
      <c r="R167" s="543" t="str">
        <f t="shared" si="7"/>
        <v>A0050:ENEOS Power(株)（旧:ENEOS(株)）メニューD</v>
      </c>
      <c r="S167" s="544">
        <f t="shared" si="8"/>
        <v>0</v>
      </c>
    </row>
    <row r="168" spans="2:19">
      <c r="B168" s="146" t="s">
        <v>1196</v>
      </c>
      <c r="C168" s="543" t="s">
        <v>1706</v>
      </c>
      <c r="D168" s="543" t="str">
        <f t="shared" si="6"/>
        <v>A0237:御所野縄文電力(株)</v>
      </c>
      <c r="I168" s="146" t="s">
        <v>1074</v>
      </c>
      <c r="J168" s="146" t="s">
        <v>1584</v>
      </c>
      <c r="K168" s="544" t="s">
        <v>975</v>
      </c>
      <c r="L168" s="544">
        <v>0</v>
      </c>
      <c r="M168" s="544">
        <v>0</v>
      </c>
      <c r="N168" s="544">
        <v>0</v>
      </c>
      <c r="O168" s="544">
        <v>0</v>
      </c>
      <c r="P168" s="544">
        <v>0</v>
      </c>
      <c r="R168" s="543" t="str">
        <f t="shared" si="7"/>
        <v>A0050:ENEOS Power(株)（旧:ENEOS(株)）メニューE</v>
      </c>
      <c r="S168" s="544">
        <f t="shared" si="8"/>
        <v>0</v>
      </c>
    </row>
    <row r="169" spans="2:19">
      <c r="B169" s="146" t="s">
        <v>1197</v>
      </c>
      <c r="C169" s="543" t="s">
        <v>1707</v>
      </c>
      <c r="D169" s="543" t="str">
        <f t="shared" si="6"/>
        <v>A0238:(株)カーボンニュートラル</v>
      </c>
      <c r="I169" s="146" t="s">
        <v>1074</v>
      </c>
      <c r="J169" s="146" t="s">
        <v>1584</v>
      </c>
      <c r="K169" s="544" t="s">
        <v>2059</v>
      </c>
      <c r="L169" s="544">
        <v>5.0799999999999999E-4</v>
      </c>
      <c r="M169" s="544">
        <v>5.0799999999999999E-4</v>
      </c>
      <c r="N169" s="544">
        <v>5.0799999999999999E-4</v>
      </c>
      <c r="O169" s="544">
        <v>5.0799999999999999E-4</v>
      </c>
      <c r="P169" s="544">
        <v>5.0799999999999999E-4</v>
      </c>
      <c r="R169" s="543" t="str">
        <f t="shared" si="7"/>
        <v>A0050:ENEOS Power(株)（旧:ENEOS(株)）メニューF</v>
      </c>
      <c r="S169" s="544">
        <f t="shared" si="8"/>
        <v>5.0799999999999999E-4</v>
      </c>
    </row>
    <row r="170" spans="2:19">
      <c r="B170" s="146" t="s">
        <v>1198</v>
      </c>
      <c r="C170" s="543" t="s">
        <v>1708</v>
      </c>
      <c r="D170" s="543" t="str">
        <f t="shared" si="6"/>
        <v>A0239:宮古新電力(株)</v>
      </c>
      <c r="I170" s="146" t="s">
        <v>1074</v>
      </c>
      <c r="J170" s="146" t="s">
        <v>1584</v>
      </c>
      <c r="K170" s="544" t="s">
        <v>2058</v>
      </c>
      <c r="L170" s="544">
        <v>4.8200000000000001E-4</v>
      </c>
      <c r="M170" s="544">
        <v>4.8200000000000001E-4</v>
      </c>
      <c r="N170" s="544">
        <v>4.8200000000000001E-4</v>
      </c>
      <c r="O170" s="544">
        <v>4.8200000000000001E-4</v>
      </c>
      <c r="P170" s="544">
        <v>4.8200000000000001E-4</v>
      </c>
      <c r="R170" s="543" t="str">
        <f t="shared" si="7"/>
        <v>A0050:ENEOS Power(株)（旧:ENEOS(株)）(参考値)事業者全体</v>
      </c>
      <c r="S170" s="544">
        <f t="shared" si="8"/>
        <v>4.8200000000000001E-4</v>
      </c>
    </row>
    <row r="171" spans="2:19">
      <c r="B171" s="146" t="s">
        <v>1199</v>
      </c>
      <c r="C171" s="543" t="s">
        <v>1709</v>
      </c>
      <c r="D171" s="543" t="str">
        <f t="shared" si="6"/>
        <v>A0240:長崎地域電力(株)</v>
      </c>
      <c r="I171" s="146" t="s">
        <v>1075</v>
      </c>
      <c r="J171" s="146" t="s">
        <v>1585</v>
      </c>
      <c r="K171" s="544"/>
      <c r="L171" s="544">
        <v>3.9800000000000002E-4</v>
      </c>
      <c r="M171" s="544">
        <v>3.9800000000000002E-4</v>
      </c>
      <c r="N171" s="544">
        <v>3.9800000000000002E-4</v>
      </c>
      <c r="O171" s="544">
        <v>3.9800000000000002E-4</v>
      </c>
      <c r="P171" s="544">
        <v>3.9800000000000002E-4</v>
      </c>
      <c r="R171" s="543" t="str">
        <f t="shared" si="7"/>
        <v>A0051:真庭バイオエネルギー(株)</v>
      </c>
      <c r="S171" s="544">
        <f t="shared" si="8"/>
        <v>3.9800000000000002E-4</v>
      </c>
    </row>
    <row r="172" spans="2:19">
      <c r="B172" s="146" t="s">
        <v>1200</v>
      </c>
      <c r="C172" s="543" t="s">
        <v>1710</v>
      </c>
      <c r="D172" s="543" t="str">
        <f t="shared" si="6"/>
        <v>A0241:(株)エネアーク関西</v>
      </c>
      <c r="I172" s="146" t="s">
        <v>1076</v>
      </c>
      <c r="J172" s="146" t="s">
        <v>1586</v>
      </c>
      <c r="K172" s="544" t="s">
        <v>710</v>
      </c>
      <c r="L172" s="544">
        <v>0</v>
      </c>
      <c r="M172" s="544">
        <v>0</v>
      </c>
      <c r="N172" s="544">
        <v>0</v>
      </c>
      <c r="O172" s="544">
        <v>0</v>
      </c>
      <c r="P172" s="544">
        <v>0</v>
      </c>
      <c r="R172" s="543" t="str">
        <f t="shared" si="7"/>
        <v>A0052:三井物産(株)メニューA</v>
      </c>
      <c r="S172" s="544">
        <f t="shared" si="8"/>
        <v>0</v>
      </c>
    </row>
    <row r="173" spans="2:19">
      <c r="B173" s="146" t="s">
        <v>1201</v>
      </c>
      <c r="C173" s="543" t="s">
        <v>1711</v>
      </c>
      <c r="D173" s="543" t="str">
        <f t="shared" si="6"/>
        <v>A0243:近畿電力(株)</v>
      </c>
      <c r="I173" s="146" t="s">
        <v>1076</v>
      </c>
      <c r="J173" s="146" t="s">
        <v>1586</v>
      </c>
      <c r="K173" s="544" t="s">
        <v>787</v>
      </c>
      <c r="L173" s="544">
        <v>0</v>
      </c>
      <c r="M173" s="544">
        <v>0</v>
      </c>
      <c r="N173" s="544">
        <v>0</v>
      </c>
      <c r="O173" s="544">
        <v>0</v>
      </c>
      <c r="P173" s="544">
        <v>0</v>
      </c>
      <c r="R173" s="543" t="str">
        <f t="shared" si="7"/>
        <v>A0052:三井物産(株)メニューB</v>
      </c>
      <c r="S173" s="544">
        <f t="shared" si="8"/>
        <v>0</v>
      </c>
    </row>
    <row r="174" spans="2:19">
      <c r="B174" s="146" t="s">
        <v>1202</v>
      </c>
      <c r="C174" s="543" t="s">
        <v>1712</v>
      </c>
      <c r="D174" s="543" t="str">
        <f t="shared" si="6"/>
        <v>A0245:新電力おおいた(株)</v>
      </c>
      <c r="I174" s="146" t="s">
        <v>1076</v>
      </c>
      <c r="J174" s="146" t="s">
        <v>1586</v>
      </c>
      <c r="K174" s="544" t="s">
        <v>788</v>
      </c>
      <c r="L174" s="544">
        <v>4.2400000000000001E-4</v>
      </c>
      <c r="M174" s="544">
        <v>4.2400000000000001E-4</v>
      </c>
      <c r="N174" s="544">
        <v>4.2400000000000001E-4</v>
      </c>
      <c r="O174" s="544">
        <v>4.2400000000000001E-4</v>
      </c>
      <c r="P174" s="544">
        <v>4.2400000000000001E-4</v>
      </c>
      <c r="R174" s="543" t="str">
        <f t="shared" si="7"/>
        <v>A0052:三井物産(株)メニューC</v>
      </c>
      <c r="S174" s="544">
        <f t="shared" si="8"/>
        <v>4.2400000000000001E-4</v>
      </c>
    </row>
    <row r="175" spans="2:19">
      <c r="B175" s="146" t="s">
        <v>1203</v>
      </c>
      <c r="C175" s="543" t="s">
        <v>1713</v>
      </c>
      <c r="D175" s="543" t="str">
        <f t="shared" si="6"/>
        <v>A0246:(株)日本セレモニー</v>
      </c>
      <c r="I175" s="146" t="s">
        <v>1076</v>
      </c>
      <c r="J175" s="146" t="s">
        <v>1586</v>
      </c>
      <c r="K175" s="544" t="s">
        <v>974</v>
      </c>
      <c r="L175" s="544">
        <v>1.2589999999999999E-3</v>
      </c>
      <c r="M175" s="544">
        <v>1.2589999999999999E-3</v>
      </c>
      <c r="N175" s="544">
        <v>1.2589999999999999E-3</v>
      </c>
      <c r="O175" s="544">
        <v>1.2589999999999999E-3</v>
      </c>
      <c r="P175" s="544">
        <v>1.2589999999999999E-3</v>
      </c>
      <c r="R175" s="543" t="str">
        <f t="shared" si="7"/>
        <v>A0052:三井物産(株)メニューD</v>
      </c>
      <c r="S175" s="544">
        <f t="shared" si="8"/>
        <v>1.2589999999999999E-3</v>
      </c>
    </row>
    <row r="176" spans="2:19">
      <c r="B176" s="146" t="s">
        <v>1204</v>
      </c>
      <c r="C176" s="543" t="s">
        <v>1714</v>
      </c>
      <c r="D176" s="543" t="str">
        <f t="shared" si="6"/>
        <v>A0248:(株)池見石油店</v>
      </c>
      <c r="I176" s="146" t="s">
        <v>1076</v>
      </c>
      <c r="J176" s="146" t="s">
        <v>1586</v>
      </c>
      <c r="K176" s="544" t="s">
        <v>2058</v>
      </c>
      <c r="L176" s="544">
        <v>8.2200000000000003E-4</v>
      </c>
      <c r="M176" s="544">
        <v>8.2200000000000003E-4</v>
      </c>
      <c r="N176" s="544">
        <v>8.2200000000000003E-4</v>
      </c>
      <c r="O176" s="544">
        <v>8.2200000000000003E-4</v>
      </c>
      <c r="P176" s="544">
        <v>8.2200000000000003E-4</v>
      </c>
      <c r="R176" s="543" t="str">
        <f t="shared" si="7"/>
        <v>A0052:三井物産(株)(参考値)事業者全体</v>
      </c>
      <c r="S176" s="544">
        <f t="shared" si="8"/>
        <v>8.2200000000000003E-4</v>
      </c>
    </row>
    <row r="177" spans="2:19">
      <c r="B177" s="146" t="s">
        <v>1205</v>
      </c>
      <c r="C177" s="543" t="s">
        <v>1715</v>
      </c>
      <c r="D177" s="543" t="str">
        <f t="shared" si="6"/>
        <v>A0250:芝浦電力(株)</v>
      </c>
      <c r="I177" s="146" t="s">
        <v>1077</v>
      </c>
      <c r="J177" s="146" t="s">
        <v>1587</v>
      </c>
      <c r="K177" s="544" t="s">
        <v>710</v>
      </c>
      <c r="L177" s="544">
        <v>3.9899999999999999E-4</v>
      </c>
      <c r="M177" s="544">
        <v>3.9899999999999999E-4</v>
      </c>
      <c r="N177" s="544">
        <v>3.9899999999999999E-4</v>
      </c>
      <c r="O177" s="544">
        <v>3.9899999999999999E-4</v>
      </c>
      <c r="P177" s="544">
        <v>3.9899999999999999E-4</v>
      </c>
      <c r="R177" s="543" t="str">
        <f t="shared" si="7"/>
        <v>A0053:オリックス(株)メニューA</v>
      </c>
      <c r="S177" s="544">
        <f t="shared" si="8"/>
        <v>3.9899999999999999E-4</v>
      </c>
    </row>
    <row r="178" spans="2:19">
      <c r="B178" s="146" t="s">
        <v>1206</v>
      </c>
      <c r="C178" s="543" t="s">
        <v>1716</v>
      </c>
      <c r="D178" s="543" t="str">
        <f t="shared" si="6"/>
        <v>A0253:(株)地域創生ホールディングス</v>
      </c>
      <c r="I178" s="146" t="s">
        <v>1077</v>
      </c>
      <c r="J178" s="146" t="s">
        <v>1587</v>
      </c>
      <c r="K178" s="544" t="s">
        <v>787</v>
      </c>
      <c r="L178" s="544">
        <v>2.99E-4</v>
      </c>
      <c r="M178" s="544">
        <v>2.99E-4</v>
      </c>
      <c r="N178" s="544">
        <v>2.99E-4</v>
      </c>
      <c r="O178" s="544">
        <v>2.99E-4</v>
      </c>
      <c r="P178" s="544">
        <v>2.99E-4</v>
      </c>
      <c r="R178" s="543" t="str">
        <f t="shared" si="7"/>
        <v>A0053:オリックス(株)メニューB</v>
      </c>
      <c r="S178" s="544">
        <f t="shared" si="8"/>
        <v>2.99E-4</v>
      </c>
    </row>
    <row r="179" spans="2:19">
      <c r="B179" s="146" t="s">
        <v>1207</v>
      </c>
      <c r="C179" s="543" t="s">
        <v>1717</v>
      </c>
      <c r="D179" s="543" t="str">
        <f t="shared" si="6"/>
        <v>A0256:(株)エーコープサービス</v>
      </c>
      <c r="I179" s="146" t="s">
        <v>1077</v>
      </c>
      <c r="J179" s="146" t="s">
        <v>1587</v>
      </c>
      <c r="K179" s="544" t="s">
        <v>788</v>
      </c>
      <c r="L179" s="544">
        <v>1.9900000000000001E-4</v>
      </c>
      <c r="M179" s="544">
        <v>1.9900000000000001E-4</v>
      </c>
      <c r="N179" s="544">
        <v>1.9900000000000001E-4</v>
      </c>
      <c r="O179" s="544">
        <v>1.9900000000000001E-4</v>
      </c>
      <c r="P179" s="544">
        <v>1.9900000000000001E-4</v>
      </c>
      <c r="R179" s="543" t="str">
        <f t="shared" si="7"/>
        <v>A0053:オリックス(株)メニューC</v>
      </c>
      <c r="S179" s="544">
        <f t="shared" si="8"/>
        <v>1.9900000000000001E-4</v>
      </c>
    </row>
    <row r="180" spans="2:19">
      <c r="B180" s="146" t="s">
        <v>1208</v>
      </c>
      <c r="C180" s="543" t="s">
        <v>1718</v>
      </c>
      <c r="D180" s="543" t="str">
        <f t="shared" si="6"/>
        <v>A0258:宮崎瓦斯(株)(旧：(株)宮崎ガスリビング)</v>
      </c>
      <c r="I180" s="146" t="s">
        <v>1077</v>
      </c>
      <c r="J180" s="146" t="s">
        <v>1587</v>
      </c>
      <c r="K180" s="544" t="s">
        <v>974</v>
      </c>
      <c r="L180" s="544">
        <v>0</v>
      </c>
      <c r="M180" s="544">
        <v>0</v>
      </c>
      <c r="N180" s="544">
        <v>0</v>
      </c>
      <c r="O180" s="544">
        <v>0</v>
      </c>
      <c r="P180" s="544">
        <v>0</v>
      </c>
      <c r="R180" s="543" t="str">
        <f t="shared" si="7"/>
        <v>A0053:オリックス(株)メニューD</v>
      </c>
      <c r="S180" s="544">
        <f t="shared" si="8"/>
        <v>0</v>
      </c>
    </row>
    <row r="181" spans="2:19">
      <c r="B181" s="146" t="s">
        <v>1209</v>
      </c>
      <c r="C181" s="543" t="s">
        <v>1719</v>
      </c>
      <c r="D181" s="543" t="str">
        <f t="shared" si="6"/>
        <v>A0259:山陰エレキ・アライアンス(株)</v>
      </c>
      <c r="I181" s="146" t="s">
        <v>1077</v>
      </c>
      <c r="J181" s="146" t="s">
        <v>1587</v>
      </c>
      <c r="K181" s="544" t="s">
        <v>975</v>
      </c>
      <c r="L181" s="544">
        <v>4.4999999999999999E-4</v>
      </c>
      <c r="M181" s="544">
        <v>4.4999999999999999E-4</v>
      </c>
      <c r="N181" s="544">
        <v>4.4999999999999999E-4</v>
      </c>
      <c r="O181" s="544">
        <v>4.4999999999999999E-4</v>
      </c>
      <c r="P181" s="544">
        <v>4.4999999999999999E-4</v>
      </c>
      <c r="R181" s="543" t="str">
        <f t="shared" si="7"/>
        <v>A0053:オリックス(株)メニューE</v>
      </c>
      <c r="S181" s="544">
        <f t="shared" si="8"/>
        <v>4.4999999999999999E-4</v>
      </c>
    </row>
    <row r="182" spans="2:19">
      <c r="B182" s="146" t="s">
        <v>1210</v>
      </c>
      <c r="C182" s="543" t="s">
        <v>1720</v>
      </c>
      <c r="D182" s="543" t="str">
        <f t="shared" si="6"/>
        <v>A0260:(株)ジョヴィ</v>
      </c>
      <c r="I182" s="146" t="s">
        <v>1077</v>
      </c>
      <c r="J182" s="146" t="s">
        <v>1587</v>
      </c>
      <c r="K182" s="544" t="s">
        <v>2059</v>
      </c>
      <c r="L182" s="544">
        <v>3.1500000000000001E-4</v>
      </c>
      <c r="M182" s="544">
        <v>3.1500000000000001E-4</v>
      </c>
      <c r="N182" s="544">
        <v>3.1500000000000001E-4</v>
      </c>
      <c r="O182" s="544">
        <v>3.1500000000000001E-4</v>
      </c>
      <c r="P182" s="544">
        <v>3.1500000000000001E-4</v>
      </c>
      <c r="R182" s="543" t="str">
        <f t="shared" si="7"/>
        <v>A0053:オリックス(株)メニューF</v>
      </c>
      <c r="S182" s="544">
        <f t="shared" si="8"/>
        <v>3.1500000000000001E-4</v>
      </c>
    </row>
    <row r="183" spans="2:19">
      <c r="B183" s="146" t="s">
        <v>1211</v>
      </c>
      <c r="C183" s="543" t="s">
        <v>1721</v>
      </c>
      <c r="D183" s="543" t="str">
        <f t="shared" si="6"/>
        <v xml:space="preserve">A0261:ミライフ東日本(株) </v>
      </c>
      <c r="I183" s="146" t="s">
        <v>1077</v>
      </c>
      <c r="J183" s="146" t="s">
        <v>1587</v>
      </c>
      <c r="K183" s="544" t="s">
        <v>2060</v>
      </c>
      <c r="L183" s="544">
        <v>2.3499999999999999E-4</v>
      </c>
      <c r="M183" s="544">
        <v>2.3499999999999999E-4</v>
      </c>
      <c r="N183" s="544">
        <v>2.3499999999999999E-4</v>
      </c>
      <c r="O183" s="544">
        <v>2.3499999999999999E-4</v>
      </c>
      <c r="P183" s="544">
        <v>2.3499999999999999E-4</v>
      </c>
      <c r="R183" s="543" t="str">
        <f t="shared" si="7"/>
        <v>A0053:オリックス(株)メニューG</v>
      </c>
      <c r="S183" s="544">
        <f t="shared" si="8"/>
        <v>2.3499999999999999E-4</v>
      </c>
    </row>
    <row r="184" spans="2:19">
      <c r="B184" s="146" t="s">
        <v>1212</v>
      </c>
      <c r="C184" s="543" t="s">
        <v>1722</v>
      </c>
      <c r="D184" s="543" t="str">
        <f t="shared" si="6"/>
        <v>A0264:山陰酸素工業(株)</v>
      </c>
      <c r="I184" s="146" t="s">
        <v>1077</v>
      </c>
      <c r="J184" s="146" t="s">
        <v>1587</v>
      </c>
      <c r="K184" s="544" t="s">
        <v>2061</v>
      </c>
      <c r="L184" s="544">
        <v>4.2200000000000001E-4</v>
      </c>
      <c r="M184" s="544">
        <v>4.2200000000000001E-4</v>
      </c>
      <c r="N184" s="544">
        <v>4.2200000000000001E-4</v>
      </c>
      <c r="O184" s="544">
        <v>4.2200000000000001E-4</v>
      </c>
      <c r="P184" s="544">
        <v>4.2200000000000001E-4</v>
      </c>
      <c r="R184" s="543" t="str">
        <f t="shared" si="7"/>
        <v>A0053:オリックス(株)メニューH</v>
      </c>
      <c r="S184" s="544">
        <f t="shared" si="8"/>
        <v>4.2200000000000001E-4</v>
      </c>
    </row>
    <row r="185" spans="2:19">
      <c r="B185" s="146" t="s">
        <v>1213</v>
      </c>
      <c r="C185" s="543" t="s">
        <v>1723</v>
      </c>
      <c r="D185" s="543" t="str">
        <f t="shared" si="6"/>
        <v>A0265:武陽ガス(株)</v>
      </c>
      <c r="I185" s="146" t="s">
        <v>1077</v>
      </c>
      <c r="J185" s="146" t="s">
        <v>1587</v>
      </c>
      <c r="K185" s="544" t="s">
        <v>2058</v>
      </c>
      <c r="L185" s="544">
        <v>1.096E-3</v>
      </c>
      <c r="M185" s="544">
        <v>1.096E-3</v>
      </c>
      <c r="N185" s="544">
        <v>1.096E-3</v>
      </c>
      <c r="O185" s="544">
        <v>1.096E-3</v>
      </c>
      <c r="P185" s="544">
        <v>1.096E-3</v>
      </c>
      <c r="R185" s="543" t="str">
        <f t="shared" si="7"/>
        <v>A0053:オリックス(株)(参考値)事業者全体</v>
      </c>
      <c r="S185" s="544">
        <f t="shared" si="8"/>
        <v>1.096E-3</v>
      </c>
    </row>
    <row r="186" spans="2:19">
      <c r="B186" s="146" t="s">
        <v>1214</v>
      </c>
      <c r="C186" s="543" t="s">
        <v>1724</v>
      </c>
      <c r="D186" s="543" t="str">
        <f t="shared" si="6"/>
        <v>A0266:常石商事(株)</v>
      </c>
      <c r="I186" s="146" t="s">
        <v>1078</v>
      </c>
      <c r="J186" s="146" t="s">
        <v>1588</v>
      </c>
      <c r="K186" s="544"/>
      <c r="L186" s="544">
        <v>3.3799999999999998E-4</v>
      </c>
      <c r="M186" s="544">
        <v>3.3799999999999998E-4</v>
      </c>
      <c r="N186" s="544">
        <v>3.3799999999999998E-4</v>
      </c>
      <c r="O186" s="544">
        <v>3.3799999999999998E-4</v>
      </c>
      <c r="P186" s="544">
        <v>3.3799999999999998E-4</v>
      </c>
      <c r="R186" s="543" t="str">
        <f t="shared" si="7"/>
        <v>A0054:(株)エネサンス関東</v>
      </c>
      <c r="S186" s="544">
        <f t="shared" si="8"/>
        <v>3.3799999999999998E-4</v>
      </c>
    </row>
    <row r="187" spans="2:19">
      <c r="B187" s="146" t="s">
        <v>1215</v>
      </c>
      <c r="C187" s="543" t="s">
        <v>1725</v>
      </c>
      <c r="D187" s="543" t="str">
        <f t="shared" si="6"/>
        <v>A0267:北海道電力(株)</v>
      </c>
      <c r="I187" s="146" t="s">
        <v>1079</v>
      </c>
      <c r="J187" s="146" t="s">
        <v>1589</v>
      </c>
      <c r="K187" s="544" t="s">
        <v>710</v>
      </c>
      <c r="L187" s="544">
        <v>0</v>
      </c>
      <c r="M187" s="544">
        <v>0</v>
      </c>
      <c r="N187" s="544">
        <v>0</v>
      </c>
      <c r="O187" s="544">
        <v>0</v>
      </c>
      <c r="P187" s="544">
        <v>0</v>
      </c>
      <c r="R187" s="543" t="str">
        <f t="shared" si="7"/>
        <v>A0055:(株)UPDATERメニューA</v>
      </c>
      <c r="S187" s="544">
        <f t="shared" si="8"/>
        <v>0</v>
      </c>
    </row>
    <row r="188" spans="2:19">
      <c r="B188" s="146" t="s">
        <v>1216</v>
      </c>
      <c r="C188" s="543" t="s">
        <v>1726</v>
      </c>
      <c r="D188" s="543" t="str">
        <f t="shared" si="6"/>
        <v>A0268:東北電力(株)</v>
      </c>
      <c r="I188" s="146" t="s">
        <v>1079</v>
      </c>
      <c r="J188" s="146" t="s">
        <v>1589</v>
      </c>
      <c r="K188" s="544" t="s">
        <v>787</v>
      </c>
      <c r="L188" s="544">
        <v>4.0499999999999998E-4</v>
      </c>
      <c r="M188" s="544">
        <v>4.0499999999999998E-4</v>
      </c>
      <c r="N188" s="544">
        <v>4.0499999999999998E-4</v>
      </c>
      <c r="O188" s="544">
        <v>4.0499999999999998E-4</v>
      </c>
      <c r="P188" s="544">
        <v>4.0499999999999998E-4</v>
      </c>
      <c r="R188" s="543" t="str">
        <f t="shared" si="7"/>
        <v>A0055:(株)UPDATERメニューB</v>
      </c>
      <c r="S188" s="544">
        <f t="shared" si="8"/>
        <v>4.0499999999999998E-4</v>
      </c>
    </row>
    <row r="189" spans="2:19">
      <c r="B189" s="146" t="s">
        <v>1217</v>
      </c>
      <c r="C189" s="543" t="s">
        <v>1727</v>
      </c>
      <c r="D189" s="543" t="str">
        <f t="shared" si="6"/>
        <v>A0270:中部電力ミライズ(株)</v>
      </c>
      <c r="I189" s="146" t="s">
        <v>1079</v>
      </c>
      <c r="J189" s="146" t="s">
        <v>1589</v>
      </c>
      <c r="K189" s="544" t="s">
        <v>2058</v>
      </c>
      <c r="L189" s="544">
        <v>3.8000000000000002E-5</v>
      </c>
      <c r="M189" s="544">
        <v>3.8000000000000002E-5</v>
      </c>
      <c r="N189" s="544">
        <v>3.8000000000000002E-5</v>
      </c>
      <c r="O189" s="544">
        <v>3.8000000000000002E-5</v>
      </c>
      <c r="P189" s="544">
        <v>3.8000000000000002E-5</v>
      </c>
      <c r="R189" s="543" t="str">
        <f t="shared" si="7"/>
        <v>A0055:(株)UPDATER(参考値)事業者全体</v>
      </c>
      <c r="S189" s="544">
        <f t="shared" si="8"/>
        <v>3.8000000000000002E-5</v>
      </c>
    </row>
    <row r="190" spans="2:19">
      <c r="B190" s="146" t="s">
        <v>1218</v>
      </c>
      <c r="C190" s="543" t="s">
        <v>1728</v>
      </c>
      <c r="D190" s="543" t="str">
        <f t="shared" si="6"/>
        <v>A0271:北陸電力(株)</v>
      </c>
      <c r="I190" s="146" t="s">
        <v>1080</v>
      </c>
      <c r="J190" s="146" t="s">
        <v>1590</v>
      </c>
      <c r="K190" s="544" t="s">
        <v>710</v>
      </c>
      <c r="L190" s="544">
        <v>4.2400000000000001E-4</v>
      </c>
      <c r="M190" s="544">
        <v>4.2400000000000001E-4</v>
      </c>
      <c r="N190" s="544">
        <v>4.2400000000000001E-4</v>
      </c>
      <c r="O190" s="544">
        <v>4.2400000000000001E-4</v>
      </c>
      <c r="P190" s="544">
        <v>4.2400000000000001E-4</v>
      </c>
      <c r="R190" s="543" t="str">
        <f t="shared" si="7"/>
        <v>A0056:シン・エナジー(株)メニューA</v>
      </c>
      <c r="S190" s="544">
        <f t="shared" si="8"/>
        <v>4.2400000000000001E-4</v>
      </c>
    </row>
    <row r="191" spans="2:19">
      <c r="B191" s="146" t="s">
        <v>1219</v>
      </c>
      <c r="C191" s="543" t="s">
        <v>1729</v>
      </c>
      <c r="D191" s="543" t="str">
        <f t="shared" si="6"/>
        <v>A0272:関西電力(株)</v>
      </c>
      <c r="I191" s="146" t="s">
        <v>1080</v>
      </c>
      <c r="J191" s="146" t="s">
        <v>1590</v>
      </c>
      <c r="K191" s="544" t="s">
        <v>787</v>
      </c>
      <c r="L191" s="544">
        <v>0</v>
      </c>
      <c r="M191" s="544">
        <v>0</v>
      </c>
      <c r="N191" s="544">
        <v>0</v>
      </c>
      <c r="O191" s="544">
        <v>0</v>
      </c>
      <c r="P191" s="544">
        <v>0</v>
      </c>
      <c r="R191" s="543" t="str">
        <f t="shared" si="7"/>
        <v>A0056:シン・エナジー(株)メニューB</v>
      </c>
      <c r="S191" s="544">
        <f t="shared" si="8"/>
        <v>0</v>
      </c>
    </row>
    <row r="192" spans="2:19">
      <c r="B192" s="146" t="s">
        <v>1220</v>
      </c>
      <c r="C192" s="543" t="s">
        <v>1730</v>
      </c>
      <c r="D192" s="543" t="str">
        <f t="shared" si="6"/>
        <v>A0273:中国電力(株)</v>
      </c>
      <c r="I192" s="146" t="s">
        <v>1080</v>
      </c>
      <c r="J192" s="146" t="s">
        <v>1590</v>
      </c>
      <c r="K192" s="544" t="s">
        <v>788</v>
      </c>
      <c r="L192" s="544">
        <v>3.0899999999999998E-4</v>
      </c>
      <c r="M192" s="544">
        <v>3.0899999999999998E-4</v>
      </c>
      <c r="N192" s="544">
        <v>3.0899999999999998E-4</v>
      </c>
      <c r="O192" s="544">
        <v>3.0899999999999998E-4</v>
      </c>
      <c r="P192" s="544">
        <v>3.0899999999999998E-4</v>
      </c>
      <c r="R192" s="543" t="str">
        <f t="shared" si="7"/>
        <v>A0056:シン・エナジー(株)メニューC</v>
      </c>
      <c r="S192" s="544">
        <f t="shared" si="8"/>
        <v>3.0899999999999998E-4</v>
      </c>
    </row>
    <row r="193" spans="2:19">
      <c r="B193" s="146" t="s">
        <v>1221</v>
      </c>
      <c r="C193" s="543" t="s">
        <v>1731</v>
      </c>
      <c r="D193" s="543" t="str">
        <f t="shared" si="6"/>
        <v>A0274:四国電力(株)</v>
      </c>
      <c r="I193" s="146" t="s">
        <v>1080</v>
      </c>
      <c r="J193" s="146" t="s">
        <v>1590</v>
      </c>
      <c r="K193" s="544" t="s">
        <v>974</v>
      </c>
      <c r="L193" s="544">
        <v>0</v>
      </c>
      <c r="M193" s="544">
        <v>0</v>
      </c>
      <c r="N193" s="544">
        <v>0</v>
      </c>
      <c r="O193" s="544">
        <v>0</v>
      </c>
      <c r="P193" s="544">
        <v>0</v>
      </c>
      <c r="R193" s="543" t="str">
        <f t="shared" si="7"/>
        <v>A0056:シン・エナジー(株)メニューD</v>
      </c>
      <c r="S193" s="544">
        <f t="shared" si="8"/>
        <v>0</v>
      </c>
    </row>
    <row r="194" spans="2:19">
      <c r="B194" s="146" t="s">
        <v>1222</v>
      </c>
      <c r="C194" s="543" t="s">
        <v>1732</v>
      </c>
      <c r="D194" s="543" t="str">
        <f t="shared" si="6"/>
        <v>A0275:九州電力(株)</v>
      </c>
      <c r="I194" s="146" t="s">
        <v>1080</v>
      </c>
      <c r="J194" s="146" t="s">
        <v>1590</v>
      </c>
      <c r="K194" s="544" t="s">
        <v>975</v>
      </c>
      <c r="L194" s="544">
        <v>5.9599999999999996E-4</v>
      </c>
      <c r="M194" s="544">
        <v>5.9599999999999996E-4</v>
      </c>
      <c r="N194" s="544">
        <v>5.9599999999999996E-4</v>
      </c>
      <c r="O194" s="544">
        <v>5.9599999999999996E-4</v>
      </c>
      <c r="P194" s="544">
        <v>5.9599999999999996E-4</v>
      </c>
      <c r="R194" s="543" t="str">
        <f t="shared" si="7"/>
        <v>A0056:シン・エナジー(株)メニューE</v>
      </c>
      <c r="S194" s="544">
        <f t="shared" si="8"/>
        <v>5.9599999999999996E-4</v>
      </c>
    </row>
    <row r="195" spans="2:19">
      <c r="B195" s="146" t="s">
        <v>1223</v>
      </c>
      <c r="C195" s="543" t="s">
        <v>1733</v>
      </c>
      <c r="D195" s="543" t="str">
        <f t="shared" si="6"/>
        <v>A0276:沖縄電力(株)</v>
      </c>
      <c r="I195" s="146" t="s">
        <v>1080</v>
      </c>
      <c r="J195" s="146" t="s">
        <v>1590</v>
      </c>
      <c r="K195" s="544" t="s">
        <v>2058</v>
      </c>
      <c r="L195" s="544">
        <v>5.3799999999999996E-4</v>
      </c>
      <c r="M195" s="544">
        <v>5.3799999999999996E-4</v>
      </c>
      <c r="N195" s="544">
        <v>5.3799999999999996E-4</v>
      </c>
      <c r="O195" s="544">
        <v>5.3799999999999996E-4</v>
      </c>
      <c r="P195" s="544">
        <v>5.3799999999999996E-4</v>
      </c>
      <c r="R195" s="543" t="str">
        <f t="shared" si="7"/>
        <v>A0056:シン・エナジー(株)(参考値)事業者全体</v>
      </c>
      <c r="S195" s="544">
        <f t="shared" si="8"/>
        <v>5.3799999999999996E-4</v>
      </c>
    </row>
    <row r="196" spans="2:19">
      <c r="B196" s="146" t="s">
        <v>1224</v>
      </c>
      <c r="C196" s="543" t="s">
        <v>1734</v>
      </c>
      <c r="D196" s="543" t="str">
        <f t="shared" si="6"/>
        <v>A0277:北日本石油(株)</v>
      </c>
      <c r="I196" s="146" t="s">
        <v>1081</v>
      </c>
      <c r="J196" s="146" t="s">
        <v>1591</v>
      </c>
      <c r="K196" s="544" t="s">
        <v>710</v>
      </c>
      <c r="L196" s="544">
        <v>0</v>
      </c>
      <c r="M196" s="544">
        <v>0</v>
      </c>
      <c r="N196" s="544">
        <v>0</v>
      </c>
      <c r="O196" s="544">
        <v>0</v>
      </c>
      <c r="P196" s="544">
        <v>0</v>
      </c>
      <c r="R196" s="543" t="str">
        <f t="shared" si="7"/>
        <v>A0057:(株)サニックスメニューA</v>
      </c>
      <c r="S196" s="544">
        <f t="shared" si="8"/>
        <v>0</v>
      </c>
    </row>
    <row r="197" spans="2:19">
      <c r="B197" s="146" t="s">
        <v>1225</v>
      </c>
      <c r="C197" s="543" t="s">
        <v>1735</v>
      </c>
      <c r="D197" s="543" t="str">
        <f t="shared" si="6"/>
        <v>A0278:千葉電力(株)</v>
      </c>
      <c r="I197" s="146" t="s">
        <v>1081</v>
      </c>
      <c r="J197" s="146" t="s">
        <v>1591</v>
      </c>
      <c r="K197" s="544" t="s">
        <v>787</v>
      </c>
      <c r="L197" s="544">
        <v>0</v>
      </c>
      <c r="M197" s="544">
        <v>0</v>
      </c>
      <c r="N197" s="544">
        <v>0</v>
      </c>
      <c r="O197" s="544">
        <v>0</v>
      </c>
      <c r="P197" s="544">
        <v>0</v>
      </c>
      <c r="R197" s="543" t="str">
        <f t="shared" si="7"/>
        <v>A0057:(株)サニックスメニューB</v>
      </c>
      <c r="S197" s="544">
        <f t="shared" si="8"/>
        <v>0</v>
      </c>
    </row>
    <row r="198" spans="2:19">
      <c r="B198" s="146" t="s">
        <v>1226</v>
      </c>
      <c r="C198" s="543" t="s">
        <v>1736</v>
      </c>
      <c r="D198" s="543" t="str">
        <f t="shared" si="6"/>
        <v>A0280:やめエネルギー(株)</v>
      </c>
      <c r="I198" s="146" t="s">
        <v>1081</v>
      </c>
      <c r="J198" s="146" t="s">
        <v>1591</v>
      </c>
      <c r="K198" s="544" t="s">
        <v>788</v>
      </c>
      <c r="L198" s="544">
        <v>2.99E-4</v>
      </c>
      <c r="M198" s="544">
        <v>2.99E-4</v>
      </c>
      <c r="N198" s="544">
        <v>2.99E-4</v>
      </c>
      <c r="O198" s="544">
        <v>2.99E-4</v>
      </c>
      <c r="P198" s="544">
        <v>2.99E-4</v>
      </c>
      <c r="R198" s="543" t="str">
        <f t="shared" si="7"/>
        <v>A0057:(株)サニックスメニューC</v>
      </c>
      <c r="S198" s="544">
        <f t="shared" si="8"/>
        <v>2.99E-4</v>
      </c>
    </row>
    <row r="199" spans="2:19">
      <c r="B199" s="146" t="s">
        <v>1227</v>
      </c>
      <c r="C199" s="543" t="s">
        <v>1737</v>
      </c>
      <c r="D199" s="543" t="str">
        <f t="shared" si="6"/>
        <v>A0281:(株)アースインフィニティ</v>
      </c>
      <c r="I199" s="146" t="s">
        <v>1081</v>
      </c>
      <c r="J199" s="146" t="s">
        <v>1591</v>
      </c>
      <c r="K199" s="544" t="s">
        <v>974</v>
      </c>
      <c r="L199" s="544">
        <v>2.72E-4</v>
      </c>
      <c r="M199" s="544">
        <v>2.72E-4</v>
      </c>
      <c r="N199" s="544">
        <v>2.72E-4</v>
      </c>
      <c r="O199" s="544">
        <v>2.72E-4</v>
      </c>
      <c r="P199" s="544">
        <v>2.72E-4</v>
      </c>
      <c r="R199" s="543" t="str">
        <f t="shared" si="7"/>
        <v>A0057:(株)サニックスメニューD</v>
      </c>
      <c r="S199" s="544">
        <f t="shared" si="8"/>
        <v>2.72E-4</v>
      </c>
    </row>
    <row r="200" spans="2:19">
      <c r="B200" s="146" t="s">
        <v>1228</v>
      </c>
      <c r="C200" s="543" t="s">
        <v>1738</v>
      </c>
      <c r="D200" s="543" t="str">
        <f t="shared" si="6"/>
        <v>A0283:足利ガス(株)</v>
      </c>
      <c r="I200" s="146" t="s">
        <v>1081</v>
      </c>
      <c r="J200" s="146" t="s">
        <v>1591</v>
      </c>
      <c r="K200" s="544" t="s">
        <v>975</v>
      </c>
      <c r="L200" s="544">
        <v>4.84E-4</v>
      </c>
      <c r="M200" s="544">
        <v>4.84E-4</v>
      </c>
      <c r="N200" s="544">
        <v>4.84E-4</v>
      </c>
      <c r="O200" s="544">
        <v>4.84E-4</v>
      </c>
      <c r="P200" s="544">
        <v>4.84E-4</v>
      </c>
      <c r="R200" s="543" t="str">
        <f t="shared" si="7"/>
        <v>A0057:(株)サニックスメニューE</v>
      </c>
      <c r="S200" s="544">
        <f t="shared" si="8"/>
        <v>4.84E-4</v>
      </c>
    </row>
    <row r="201" spans="2:19">
      <c r="B201" s="146" t="s">
        <v>1229</v>
      </c>
      <c r="C201" s="543" t="s">
        <v>1739</v>
      </c>
      <c r="D201" s="543" t="str">
        <f t="shared" si="6"/>
        <v>A0284:(株)Misumi</v>
      </c>
      <c r="I201" s="146" t="s">
        <v>1081</v>
      </c>
      <c r="J201" s="146" t="s">
        <v>1591</v>
      </c>
      <c r="K201" s="544" t="s">
        <v>2058</v>
      </c>
      <c r="L201" s="544">
        <v>4.7800000000000002E-4</v>
      </c>
      <c r="M201" s="544">
        <v>4.7800000000000002E-4</v>
      </c>
      <c r="N201" s="544">
        <v>4.7800000000000002E-4</v>
      </c>
      <c r="O201" s="544">
        <v>4.7800000000000002E-4</v>
      </c>
      <c r="P201" s="544">
        <v>4.7800000000000002E-4</v>
      </c>
      <c r="R201" s="543" t="str">
        <f t="shared" si="7"/>
        <v>A0057:(株)サニックス(参考値)事業者全体</v>
      </c>
      <c r="S201" s="544">
        <f t="shared" si="8"/>
        <v>4.7800000000000002E-4</v>
      </c>
    </row>
    <row r="202" spans="2:19">
      <c r="B202" s="146" t="s">
        <v>1230</v>
      </c>
      <c r="C202" s="543" t="s">
        <v>1740</v>
      </c>
      <c r="D202" s="543" t="str">
        <f t="shared" ref="D202:D265" si="9">IF(B202="","",B202&amp;":"&amp;C202)</f>
        <v>A0285:米子瓦斯(株)</v>
      </c>
      <c r="I202" s="146" t="s">
        <v>1082</v>
      </c>
      <c r="J202" s="146" t="s">
        <v>1592</v>
      </c>
      <c r="K202" s="544" t="s">
        <v>710</v>
      </c>
      <c r="L202" s="544">
        <v>0</v>
      </c>
      <c r="M202" s="544">
        <v>0</v>
      </c>
      <c r="N202" s="544">
        <v>0</v>
      </c>
      <c r="O202" s="544">
        <v>0</v>
      </c>
      <c r="P202" s="544">
        <v>0</v>
      </c>
      <c r="R202" s="543" t="str">
        <f t="shared" ref="R202:R265" si="10">I202&amp;":"&amp;J202&amp;K202</f>
        <v>A0058:(株)コンシェルジュメニューA</v>
      </c>
      <c r="S202" s="544">
        <f t="shared" ref="S202:S265" si="11">HLOOKUP($S$8,$L$8:$P$2000,ROW()-7,FALSE)</f>
        <v>0</v>
      </c>
    </row>
    <row r="203" spans="2:19">
      <c r="B203" s="146" t="s">
        <v>1231</v>
      </c>
      <c r="C203" s="543" t="s">
        <v>1741</v>
      </c>
      <c r="D203" s="543" t="str">
        <f t="shared" si="9"/>
        <v>A0286:(株)エルピオ</v>
      </c>
      <c r="I203" s="146" t="s">
        <v>1082</v>
      </c>
      <c r="J203" s="146" t="s">
        <v>1592</v>
      </c>
      <c r="K203" s="544" t="s">
        <v>787</v>
      </c>
      <c r="L203" s="544">
        <v>7.5500000000000003E-4</v>
      </c>
      <c r="M203" s="544">
        <v>7.5500000000000003E-4</v>
      </c>
      <c r="N203" s="544">
        <v>7.5500000000000003E-4</v>
      </c>
      <c r="O203" s="544">
        <v>7.5500000000000003E-4</v>
      </c>
      <c r="P203" s="544">
        <v>7.5500000000000003E-4</v>
      </c>
      <c r="R203" s="543" t="str">
        <f t="shared" si="10"/>
        <v>A0058:(株)コンシェルジュメニューB</v>
      </c>
      <c r="S203" s="544">
        <f t="shared" si="11"/>
        <v>7.5500000000000003E-4</v>
      </c>
    </row>
    <row r="204" spans="2:19">
      <c r="B204" s="146" t="s">
        <v>1232</v>
      </c>
      <c r="C204" s="543" t="s">
        <v>1742</v>
      </c>
      <c r="D204" s="543" t="str">
        <f t="shared" si="9"/>
        <v>A0287:浜田ガス(株)</v>
      </c>
      <c r="I204" s="146" t="s">
        <v>1082</v>
      </c>
      <c r="J204" s="146" t="s">
        <v>1592</v>
      </c>
      <c r="K204" s="544" t="s">
        <v>2058</v>
      </c>
      <c r="L204" s="544">
        <v>1.74E-4</v>
      </c>
      <c r="M204" s="544">
        <v>1.74E-4</v>
      </c>
      <c r="N204" s="544">
        <v>1.74E-4</v>
      </c>
      <c r="O204" s="544">
        <v>1.74E-4</v>
      </c>
      <c r="P204" s="544">
        <v>1.74E-4</v>
      </c>
      <c r="R204" s="543" t="str">
        <f t="shared" si="10"/>
        <v>A0058:(株)コンシェルジュ(参考値)事業者全体</v>
      </c>
      <c r="S204" s="544">
        <f t="shared" si="11"/>
        <v>1.74E-4</v>
      </c>
    </row>
    <row r="205" spans="2:19">
      <c r="B205" s="146" t="s">
        <v>1233</v>
      </c>
      <c r="C205" s="543" t="s">
        <v>1743</v>
      </c>
      <c r="D205" s="543" t="str">
        <f t="shared" si="9"/>
        <v>A0288:(株)アメニティ電力</v>
      </c>
      <c r="I205" s="146" t="s">
        <v>1083</v>
      </c>
      <c r="J205" s="146" t="s">
        <v>1593</v>
      </c>
      <c r="K205" s="544" t="s">
        <v>710</v>
      </c>
      <c r="L205" s="544">
        <v>0</v>
      </c>
      <c r="M205" s="544">
        <v>0</v>
      </c>
      <c r="N205" s="544">
        <v>0</v>
      </c>
      <c r="O205" s="544">
        <v>0</v>
      </c>
      <c r="P205" s="544">
        <v>0</v>
      </c>
      <c r="R205" s="543" t="str">
        <f t="shared" si="10"/>
        <v>A0060:(株)アイ・グリッド・ソリューションズメニューA</v>
      </c>
      <c r="S205" s="544">
        <f t="shared" si="11"/>
        <v>0</v>
      </c>
    </row>
    <row r="206" spans="2:19">
      <c r="B206" s="146" t="s">
        <v>1234</v>
      </c>
      <c r="C206" s="543" t="s">
        <v>1744</v>
      </c>
      <c r="D206" s="543" t="str">
        <f t="shared" si="9"/>
        <v>A0292:岡田建設(株)</v>
      </c>
      <c r="I206" s="146" t="s">
        <v>1083</v>
      </c>
      <c r="J206" s="146" t="s">
        <v>1593</v>
      </c>
      <c r="K206" s="544" t="s">
        <v>787</v>
      </c>
      <c r="L206" s="544">
        <v>5.6499999999999996E-4</v>
      </c>
      <c r="M206" s="544">
        <v>5.6499999999999996E-4</v>
      </c>
      <c r="N206" s="544">
        <v>5.6499999999999996E-4</v>
      </c>
      <c r="O206" s="544">
        <v>5.6499999999999996E-4</v>
      </c>
      <c r="P206" s="544">
        <v>5.6499999999999996E-4</v>
      </c>
      <c r="R206" s="543" t="str">
        <f t="shared" si="10"/>
        <v>A0060:(株)アイ・グリッド・ソリューションズメニューB</v>
      </c>
      <c r="S206" s="544">
        <f t="shared" si="11"/>
        <v>5.6499999999999996E-4</v>
      </c>
    </row>
    <row r="207" spans="2:19">
      <c r="B207" s="146" t="s">
        <v>1235</v>
      </c>
      <c r="C207" s="543" t="s">
        <v>1745</v>
      </c>
      <c r="D207" s="543" t="str">
        <f t="shared" si="9"/>
        <v>A0293:出雲ガス(株)</v>
      </c>
      <c r="I207" s="146" t="s">
        <v>1083</v>
      </c>
      <c r="J207" s="146" t="s">
        <v>1593</v>
      </c>
      <c r="K207" s="544" t="s">
        <v>2058</v>
      </c>
      <c r="L207" s="544">
        <v>4.6799999999999999E-4</v>
      </c>
      <c r="M207" s="544">
        <v>4.6799999999999999E-4</v>
      </c>
      <c r="N207" s="544">
        <v>4.6799999999999999E-4</v>
      </c>
      <c r="O207" s="544">
        <v>4.6799999999999999E-4</v>
      </c>
      <c r="P207" s="544">
        <v>4.6799999999999999E-4</v>
      </c>
      <c r="R207" s="543" t="str">
        <f t="shared" si="10"/>
        <v>A0060:(株)アイ・グリッド・ソリューションズ(参考値)事業者全体</v>
      </c>
      <c r="S207" s="544">
        <f t="shared" si="11"/>
        <v>4.6799999999999999E-4</v>
      </c>
    </row>
    <row r="208" spans="2:19">
      <c r="B208" s="146" t="s">
        <v>1236</v>
      </c>
      <c r="C208" s="543" t="s">
        <v>1746</v>
      </c>
      <c r="D208" s="543" t="str">
        <f t="shared" si="9"/>
        <v>A0295:一般社団法人グリーンコープでんき</v>
      </c>
      <c r="I208" s="146" t="s">
        <v>1084</v>
      </c>
      <c r="J208" s="146" t="s">
        <v>1594</v>
      </c>
      <c r="K208" s="544" t="s">
        <v>710</v>
      </c>
      <c r="L208" s="544">
        <v>0</v>
      </c>
      <c r="M208" s="544">
        <v>0</v>
      </c>
      <c r="N208" s="544">
        <v>0</v>
      </c>
      <c r="O208" s="544">
        <v>0</v>
      </c>
      <c r="P208" s="544">
        <v>0</v>
      </c>
      <c r="R208" s="543" t="str">
        <f t="shared" si="10"/>
        <v>A0061:サミットエナジー(株)メニューA</v>
      </c>
      <c r="S208" s="544">
        <f t="shared" si="11"/>
        <v>0</v>
      </c>
    </row>
    <row r="209" spans="2:19">
      <c r="B209" s="146" t="s">
        <v>1237</v>
      </c>
      <c r="C209" s="543" t="s">
        <v>1747</v>
      </c>
      <c r="D209" s="543" t="str">
        <f t="shared" si="9"/>
        <v>A0296:公益財団法人東京都環境公社</v>
      </c>
      <c r="I209" s="146" t="s">
        <v>1084</v>
      </c>
      <c r="J209" s="146" t="s">
        <v>1594</v>
      </c>
      <c r="K209" s="544" t="s">
        <v>787</v>
      </c>
      <c r="L209" s="544">
        <v>5.2400000000000005E-4</v>
      </c>
      <c r="M209" s="544">
        <v>5.2400000000000005E-4</v>
      </c>
      <c r="N209" s="544">
        <v>5.2400000000000005E-4</v>
      </c>
      <c r="O209" s="544">
        <v>5.2400000000000005E-4</v>
      </c>
      <c r="P209" s="544">
        <v>5.2400000000000005E-4</v>
      </c>
      <c r="R209" s="543" t="str">
        <f t="shared" si="10"/>
        <v>A0061:サミットエナジー(株)メニューB</v>
      </c>
      <c r="S209" s="544">
        <f t="shared" si="11"/>
        <v>5.2400000000000005E-4</v>
      </c>
    </row>
    <row r="210" spans="2:19">
      <c r="B210" s="146" t="s">
        <v>1238</v>
      </c>
      <c r="C210" s="543" t="s">
        <v>1748</v>
      </c>
      <c r="D210" s="543" t="str">
        <f t="shared" si="9"/>
        <v>A0300:(株)ファミリーネット・ジャパン</v>
      </c>
      <c r="I210" s="146" t="s">
        <v>1084</v>
      </c>
      <c r="J210" s="146" t="s">
        <v>1594</v>
      </c>
      <c r="K210" s="544" t="s">
        <v>2058</v>
      </c>
      <c r="L210" s="544">
        <v>4.2000000000000002E-4</v>
      </c>
      <c r="M210" s="544">
        <v>4.2000000000000002E-4</v>
      </c>
      <c r="N210" s="544">
        <v>4.2000000000000002E-4</v>
      </c>
      <c r="O210" s="544">
        <v>4.2000000000000002E-4</v>
      </c>
      <c r="P210" s="544">
        <v>4.2000000000000002E-4</v>
      </c>
      <c r="R210" s="543" t="str">
        <f t="shared" si="10"/>
        <v>A0061:サミットエナジー(株)(参考値)事業者全体</v>
      </c>
      <c r="S210" s="544">
        <f t="shared" si="11"/>
        <v>4.2000000000000002E-4</v>
      </c>
    </row>
    <row r="211" spans="2:19">
      <c r="B211" s="146" t="s">
        <v>1239</v>
      </c>
      <c r="C211" s="543" t="s">
        <v>1749</v>
      </c>
      <c r="D211" s="543" t="str">
        <f t="shared" si="9"/>
        <v>A0303:MKステーションズ(株)</v>
      </c>
      <c r="I211" s="146" t="s">
        <v>1085</v>
      </c>
      <c r="J211" s="146" t="s">
        <v>1595</v>
      </c>
      <c r="K211" s="544" t="s">
        <v>710</v>
      </c>
      <c r="L211" s="544">
        <v>0</v>
      </c>
      <c r="M211" s="544">
        <v>0</v>
      </c>
      <c r="N211" s="544">
        <v>0</v>
      </c>
      <c r="O211" s="544">
        <v>0</v>
      </c>
      <c r="P211" s="544">
        <v>0</v>
      </c>
      <c r="R211" s="543" t="str">
        <f t="shared" si="10"/>
        <v>A0062:リコージャパン(株)メニューA</v>
      </c>
      <c r="S211" s="544">
        <f t="shared" si="11"/>
        <v>0</v>
      </c>
    </row>
    <row r="212" spans="2:19">
      <c r="B212" s="146" t="s">
        <v>1240</v>
      </c>
      <c r="C212" s="543" t="s">
        <v>1750</v>
      </c>
      <c r="D212" s="543" t="str">
        <f t="shared" si="9"/>
        <v>A0305:フラワーペイメント(株)</v>
      </c>
      <c r="I212" s="146" t="s">
        <v>1085</v>
      </c>
      <c r="J212" s="146" t="s">
        <v>1595</v>
      </c>
      <c r="K212" s="544" t="s">
        <v>787</v>
      </c>
      <c r="L212" s="544">
        <v>0</v>
      </c>
      <c r="M212" s="544">
        <v>0</v>
      </c>
      <c r="N212" s="544">
        <v>0</v>
      </c>
      <c r="O212" s="544">
        <v>0</v>
      </c>
      <c r="P212" s="544">
        <v>0</v>
      </c>
      <c r="R212" s="543" t="str">
        <f t="shared" si="10"/>
        <v>A0062:リコージャパン(株)メニューB</v>
      </c>
      <c r="S212" s="544">
        <f t="shared" si="11"/>
        <v>0</v>
      </c>
    </row>
    <row r="213" spans="2:19">
      <c r="B213" s="146" t="s">
        <v>1241</v>
      </c>
      <c r="C213" s="543" t="s">
        <v>1751</v>
      </c>
      <c r="D213" s="543" t="str">
        <f t="shared" si="9"/>
        <v>A0306:(株)JTBコミュニケーションデザイン</v>
      </c>
      <c r="I213" s="146" t="s">
        <v>1085</v>
      </c>
      <c r="J213" s="146" t="s">
        <v>1595</v>
      </c>
      <c r="K213" s="544" t="s">
        <v>788</v>
      </c>
      <c r="L213" s="544">
        <v>3.0699999999999998E-4</v>
      </c>
      <c r="M213" s="544">
        <v>3.0699999999999998E-4</v>
      </c>
      <c r="N213" s="544">
        <v>3.0699999999999998E-4</v>
      </c>
      <c r="O213" s="544">
        <v>3.0699999999999998E-4</v>
      </c>
      <c r="P213" s="544">
        <v>3.0699999999999998E-4</v>
      </c>
      <c r="R213" s="543" t="str">
        <f t="shared" si="10"/>
        <v>A0062:リコージャパン(株)メニューC</v>
      </c>
      <c r="S213" s="544">
        <f t="shared" si="11"/>
        <v>3.0699999999999998E-4</v>
      </c>
    </row>
    <row r="214" spans="2:19">
      <c r="B214" s="146" t="s">
        <v>1242</v>
      </c>
      <c r="C214" s="543" t="s">
        <v>1752</v>
      </c>
      <c r="D214" s="543" t="str">
        <f t="shared" si="9"/>
        <v>A0310:全農エネルギー(株)</v>
      </c>
      <c r="I214" s="146" t="s">
        <v>1085</v>
      </c>
      <c r="J214" s="146" t="s">
        <v>1595</v>
      </c>
      <c r="K214" s="544" t="s">
        <v>974</v>
      </c>
      <c r="L214" s="544">
        <v>0</v>
      </c>
      <c r="M214" s="544">
        <v>0</v>
      </c>
      <c r="N214" s="544">
        <v>0</v>
      </c>
      <c r="O214" s="544">
        <v>0</v>
      </c>
      <c r="P214" s="544">
        <v>0</v>
      </c>
      <c r="R214" s="543" t="str">
        <f t="shared" si="10"/>
        <v>A0062:リコージャパン(株)メニューD</v>
      </c>
      <c r="S214" s="544">
        <f t="shared" si="11"/>
        <v>0</v>
      </c>
    </row>
    <row r="215" spans="2:19">
      <c r="B215" s="146" t="s">
        <v>1243</v>
      </c>
      <c r="C215" s="543" t="s">
        <v>1753</v>
      </c>
      <c r="D215" s="543" t="str">
        <f t="shared" si="9"/>
        <v>A0311:(株)ハルエネ</v>
      </c>
      <c r="I215" s="146" t="s">
        <v>1085</v>
      </c>
      <c r="J215" s="146" t="s">
        <v>1595</v>
      </c>
      <c r="K215" s="544" t="s">
        <v>975</v>
      </c>
      <c r="L215" s="544">
        <v>3.6999999999999999E-4</v>
      </c>
      <c r="M215" s="544">
        <v>3.6999999999999999E-4</v>
      </c>
      <c r="N215" s="544">
        <v>3.6999999999999999E-4</v>
      </c>
      <c r="O215" s="544">
        <v>3.6999999999999999E-4</v>
      </c>
      <c r="P215" s="544">
        <v>3.6999999999999999E-4</v>
      </c>
      <c r="R215" s="543" t="str">
        <f t="shared" si="10"/>
        <v>A0062:リコージャパン(株)メニューE</v>
      </c>
      <c r="S215" s="544">
        <f t="shared" si="11"/>
        <v>3.6999999999999999E-4</v>
      </c>
    </row>
    <row r="216" spans="2:19">
      <c r="B216" s="146" t="s">
        <v>1244</v>
      </c>
      <c r="C216" s="543" t="s">
        <v>1754</v>
      </c>
      <c r="D216" s="543" t="str">
        <f t="shared" si="9"/>
        <v>A0314:(株)ビビット</v>
      </c>
      <c r="I216" s="146" t="s">
        <v>1085</v>
      </c>
      <c r="J216" s="146" t="s">
        <v>1595</v>
      </c>
      <c r="K216" s="544" t="s">
        <v>2059</v>
      </c>
      <c r="L216" s="544">
        <v>5.3499999999999999E-4</v>
      </c>
      <c r="M216" s="544">
        <v>5.3499999999999999E-4</v>
      </c>
      <c r="N216" s="544">
        <v>5.3499999999999999E-4</v>
      </c>
      <c r="O216" s="544">
        <v>5.3499999999999999E-4</v>
      </c>
      <c r="P216" s="544">
        <v>5.3499999999999999E-4</v>
      </c>
      <c r="R216" s="543" t="str">
        <f t="shared" si="10"/>
        <v>A0062:リコージャパン(株)メニューF</v>
      </c>
      <c r="S216" s="544">
        <f t="shared" si="11"/>
        <v>5.3499999999999999E-4</v>
      </c>
    </row>
    <row r="217" spans="2:19">
      <c r="B217" s="146" t="s">
        <v>1245</v>
      </c>
      <c r="C217" s="543" t="s">
        <v>1755</v>
      </c>
      <c r="D217" s="543" t="str">
        <f t="shared" si="9"/>
        <v>A0315:(株)おおた電力</v>
      </c>
      <c r="I217" s="146" t="s">
        <v>1085</v>
      </c>
      <c r="J217" s="146" t="s">
        <v>1595</v>
      </c>
      <c r="K217" s="544" t="s">
        <v>2058</v>
      </c>
      <c r="L217" s="544">
        <v>4.7699999999999999E-4</v>
      </c>
      <c r="M217" s="544">
        <v>4.7699999999999999E-4</v>
      </c>
      <c r="N217" s="544">
        <v>4.7699999999999999E-4</v>
      </c>
      <c r="O217" s="544">
        <v>4.7699999999999999E-4</v>
      </c>
      <c r="P217" s="544">
        <v>4.7699999999999999E-4</v>
      </c>
      <c r="R217" s="543" t="str">
        <f t="shared" si="10"/>
        <v>A0062:リコージャパン(株)(参考値)事業者全体</v>
      </c>
      <c r="S217" s="544">
        <f t="shared" si="11"/>
        <v>4.7699999999999999E-4</v>
      </c>
    </row>
    <row r="218" spans="2:19">
      <c r="B218" s="146" t="s">
        <v>1246</v>
      </c>
      <c r="C218" s="543" t="s">
        <v>1756</v>
      </c>
      <c r="D218" s="543" t="str">
        <f t="shared" si="9"/>
        <v>A0317:伊藤忠プランテック(株)</v>
      </c>
      <c r="I218" s="146" t="s">
        <v>1086</v>
      </c>
      <c r="J218" s="146" t="s">
        <v>1596</v>
      </c>
      <c r="K218" s="544" t="s">
        <v>710</v>
      </c>
      <c r="L218" s="544">
        <v>0</v>
      </c>
      <c r="M218" s="544">
        <v>0</v>
      </c>
      <c r="N218" s="544">
        <v>0</v>
      </c>
      <c r="O218" s="544">
        <v>0</v>
      </c>
      <c r="P218" s="544">
        <v>0</v>
      </c>
      <c r="R218" s="543" t="str">
        <f t="shared" si="10"/>
        <v>A0063:(株)エネルギア・ソリューション・アンド・サービスメニューA</v>
      </c>
      <c r="S218" s="544">
        <f t="shared" si="11"/>
        <v>0</v>
      </c>
    </row>
    <row r="219" spans="2:19">
      <c r="B219" s="146" t="s">
        <v>1247</v>
      </c>
      <c r="C219" s="543" t="s">
        <v>1757</v>
      </c>
      <c r="D219" s="543" t="str">
        <f t="shared" si="9"/>
        <v>A0318:(株)オカモト</v>
      </c>
      <c r="I219" s="146" t="s">
        <v>1086</v>
      </c>
      <c r="J219" s="146" t="s">
        <v>1596</v>
      </c>
      <c r="K219" s="544" t="s">
        <v>787</v>
      </c>
      <c r="L219" s="544">
        <v>5.5000000000000003E-4</v>
      </c>
      <c r="M219" s="544">
        <v>5.5000000000000003E-4</v>
      </c>
      <c r="N219" s="544">
        <v>5.5000000000000003E-4</v>
      </c>
      <c r="O219" s="544">
        <v>5.5000000000000003E-4</v>
      </c>
      <c r="P219" s="544">
        <v>5.5000000000000003E-4</v>
      </c>
      <c r="R219" s="543" t="str">
        <f t="shared" si="10"/>
        <v>A0063:(株)エネルギア・ソリューション・アンド・サービスメニューB</v>
      </c>
      <c r="S219" s="544">
        <f t="shared" si="11"/>
        <v>5.5000000000000003E-4</v>
      </c>
    </row>
    <row r="220" spans="2:19">
      <c r="B220" s="146" t="s">
        <v>1248</v>
      </c>
      <c r="C220" s="543" t="s">
        <v>1758</v>
      </c>
      <c r="D220" s="543" t="str">
        <f t="shared" si="9"/>
        <v>A0323:キタコー(株)</v>
      </c>
      <c r="I220" s="146" t="s">
        <v>1086</v>
      </c>
      <c r="J220" s="146" t="s">
        <v>1596</v>
      </c>
      <c r="K220" s="544" t="s">
        <v>2058</v>
      </c>
      <c r="L220" s="544">
        <v>5.2700000000000002E-4</v>
      </c>
      <c r="M220" s="544">
        <v>5.2700000000000002E-4</v>
      </c>
      <c r="N220" s="544">
        <v>5.2700000000000002E-4</v>
      </c>
      <c r="O220" s="544">
        <v>5.2700000000000002E-4</v>
      </c>
      <c r="P220" s="544">
        <v>5.2700000000000002E-4</v>
      </c>
      <c r="R220" s="543" t="str">
        <f t="shared" si="10"/>
        <v>A0063:(株)エネルギア・ソリューション・アンド・サービス(参考値)事業者全体</v>
      </c>
      <c r="S220" s="544">
        <f t="shared" si="11"/>
        <v>5.2700000000000002E-4</v>
      </c>
    </row>
    <row r="221" spans="2:19">
      <c r="B221" s="146" t="s">
        <v>1249</v>
      </c>
      <c r="C221" s="543" t="s">
        <v>1759</v>
      </c>
      <c r="D221" s="543" t="str">
        <f t="shared" si="9"/>
        <v>A0330:香川電力(株)　</v>
      </c>
      <c r="I221" s="146" t="s">
        <v>1087</v>
      </c>
      <c r="J221" s="146" t="s">
        <v>1597</v>
      </c>
      <c r="K221" s="544" t="s">
        <v>710</v>
      </c>
      <c r="L221" s="544">
        <v>0</v>
      </c>
      <c r="M221" s="544">
        <v>0</v>
      </c>
      <c r="N221" s="544">
        <v>0</v>
      </c>
      <c r="O221" s="544">
        <v>0</v>
      </c>
      <c r="P221" s="544">
        <v>0</v>
      </c>
      <c r="R221" s="543" t="str">
        <f t="shared" si="10"/>
        <v>A0064:東京ガス(株)メニューA</v>
      </c>
      <c r="S221" s="544">
        <f t="shared" si="11"/>
        <v>0</v>
      </c>
    </row>
    <row r="222" spans="2:19">
      <c r="B222" s="146" t="s">
        <v>1250</v>
      </c>
      <c r="C222" s="543" t="s">
        <v>1760</v>
      </c>
      <c r="D222" s="543" t="str">
        <f t="shared" si="9"/>
        <v>A0332:(株)PinT</v>
      </c>
      <c r="I222" s="146" t="s">
        <v>1087</v>
      </c>
      <c r="J222" s="146" t="s">
        <v>1597</v>
      </c>
      <c r="K222" s="544" t="s">
        <v>787</v>
      </c>
      <c r="L222" s="544">
        <v>0</v>
      </c>
      <c r="M222" s="544">
        <v>0</v>
      </c>
      <c r="N222" s="544">
        <v>0</v>
      </c>
      <c r="O222" s="544">
        <v>0</v>
      </c>
      <c r="P222" s="544">
        <v>0</v>
      </c>
      <c r="R222" s="543" t="str">
        <f t="shared" si="10"/>
        <v>A0064:東京ガス(株)メニューB</v>
      </c>
      <c r="S222" s="544">
        <f t="shared" si="11"/>
        <v>0</v>
      </c>
    </row>
    <row r="223" spans="2:19">
      <c r="B223" s="146" t="s">
        <v>1251</v>
      </c>
      <c r="C223" s="543" t="s">
        <v>1761</v>
      </c>
      <c r="D223" s="543" t="str">
        <f t="shared" si="9"/>
        <v>A0336:(株)沖縄ガスニューパワー</v>
      </c>
      <c r="I223" s="146" t="s">
        <v>1087</v>
      </c>
      <c r="J223" s="146" t="s">
        <v>1597</v>
      </c>
      <c r="K223" s="544" t="s">
        <v>788</v>
      </c>
      <c r="L223" s="544">
        <v>0</v>
      </c>
      <c r="M223" s="544">
        <v>0</v>
      </c>
      <c r="N223" s="544">
        <v>0</v>
      </c>
      <c r="O223" s="544">
        <v>0</v>
      </c>
      <c r="P223" s="544">
        <v>0</v>
      </c>
      <c r="R223" s="543" t="str">
        <f t="shared" si="10"/>
        <v>A0064:東京ガス(株)メニューC</v>
      </c>
      <c r="S223" s="544">
        <f t="shared" si="11"/>
        <v>0</v>
      </c>
    </row>
    <row r="224" spans="2:19">
      <c r="B224" s="146" t="s">
        <v>1252</v>
      </c>
      <c r="C224" s="543" t="s">
        <v>1762</v>
      </c>
      <c r="D224" s="543" t="str">
        <f t="shared" si="9"/>
        <v>A0337:諏訪瓦斯(株)</v>
      </c>
      <c r="I224" s="146" t="s">
        <v>1087</v>
      </c>
      <c r="J224" s="146" t="s">
        <v>1597</v>
      </c>
      <c r="K224" s="544" t="s">
        <v>974</v>
      </c>
      <c r="L224" s="544">
        <v>0</v>
      </c>
      <c r="M224" s="544">
        <v>0</v>
      </c>
      <c r="N224" s="544">
        <v>0</v>
      </c>
      <c r="O224" s="544">
        <v>0</v>
      </c>
      <c r="P224" s="544">
        <v>0</v>
      </c>
      <c r="R224" s="543" t="str">
        <f t="shared" si="10"/>
        <v>A0064:東京ガス(株)メニューD</v>
      </c>
      <c r="S224" s="544">
        <f t="shared" si="11"/>
        <v>0</v>
      </c>
    </row>
    <row r="225" spans="2:19">
      <c r="B225" s="146" t="s">
        <v>1253</v>
      </c>
      <c r="C225" s="543" t="s">
        <v>1763</v>
      </c>
      <c r="D225" s="543" t="str">
        <f t="shared" si="9"/>
        <v>A0338:エッセンシャルエナジー(株)</v>
      </c>
      <c r="I225" s="146" t="s">
        <v>1087</v>
      </c>
      <c r="J225" s="146" t="s">
        <v>1597</v>
      </c>
      <c r="K225" s="544" t="s">
        <v>975</v>
      </c>
      <c r="L225" s="544">
        <v>0</v>
      </c>
      <c r="M225" s="544">
        <v>0</v>
      </c>
      <c r="N225" s="544">
        <v>0</v>
      </c>
      <c r="O225" s="544">
        <v>0</v>
      </c>
      <c r="P225" s="544">
        <v>0</v>
      </c>
      <c r="R225" s="543" t="str">
        <f t="shared" si="10"/>
        <v>A0064:東京ガス(株)メニューE</v>
      </c>
      <c r="S225" s="544">
        <f t="shared" si="11"/>
        <v>0</v>
      </c>
    </row>
    <row r="226" spans="2:19">
      <c r="B226" s="146" t="s">
        <v>1254</v>
      </c>
      <c r="C226" s="543" t="s">
        <v>1764</v>
      </c>
      <c r="D226" s="543" t="str">
        <f t="shared" si="9"/>
        <v>A0342:(株)いちき串木野電力</v>
      </c>
      <c r="I226" s="146" t="s">
        <v>1087</v>
      </c>
      <c r="J226" s="146" t="s">
        <v>1597</v>
      </c>
      <c r="K226" s="544" t="s">
        <v>2059</v>
      </c>
      <c r="L226" s="544">
        <v>3.68E-4</v>
      </c>
      <c r="M226" s="544">
        <v>3.68E-4</v>
      </c>
      <c r="N226" s="544">
        <v>3.68E-4</v>
      </c>
      <c r="O226" s="544">
        <v>3.68E-4</v>
      </c>
      <c r="P226" s="544">
        <v>3.68E-4</v>
      </c>
      <c r="R226" s="543" t="str">
        <f t="shared" si="10"/>
        <v>A0064:東京ガス(株)メニューF</v>
      </c>
      <c r="S226" s="544">
        <f t="shared" si="11"/>
        <v>3.68E-4</v>
      </c>
    </row>
    <row r="227" spans="2:19">
      <c r="B227" s="146" t="s">
        <v>1255</v>
      </c>
      <c r="C227" s="543" t="s">
        <v>1765</v>
      </c>
      <c r="D227" s="543" t="str">
        <f t="shared" si="9"/>
        <v>A0343:(株)クローバー・テクノロジーズ</v>
      </c>
      <c r="I227" s="146" t="s">
        <v>1087</v>
      </c>
      <c r="J227" s="146" t="s">
        <v>1597</v>
      </c>
      <c r="K227" s="544" t="s">
        <v>2058</v>
      </c>
      <c r="L227" s="544">
        <v>3.5399999999999999E-4</v>
      </c>
      <c r="M227" s="544">
        <v>3.5399999999999999E-4</v>
      </c>
      <c r="N227" s="544">
        <v>3.5399999999999999E-4</v>
      </c>
      <c r="O227" s="544">
        <v>3.5399999999999999E-4</v>
      </c>
      <c r="P227" s="544">
        <v>3.5399999999999999E-4</v>
      </c>
      <c r="R227" s="543" t="str">
        <f t="shared" si="10"/>
        <v>A0064:東京ガス(株)(参考値)事業者全体</v>
      </c>
      <c r="S227" s="544">
        <f t="shared" si="11"/>
        <v>3.5399999999999999E-4</v>
      </c>
    </row>
    <row r="228" spans="2:19">
      <c r="B228" s="146" t="s">
        <v>1256</v>
      </c>
      <c r="C228" s="543" t="s">
        <v>1766</v>
      </c>
      <c r="D228" s="543" t="str">
        <f t="shared" si="9"/>
        <v>A0344:西武ガス(株)</v>
      </c>
      <c r="I228" s="146" t="s">
        <v>1088</v>
      </c>
      <c r="J228" s="146" t="s">
        <v>1598</v>
      </c>
      <c r="K228" s="544" t="s">
        <v>710</v>
      </c>
      <c r="L228" s="544">
        <v>0</v>
      </c>
      <c r="M228" s="544">
        <v>0</v>
      </c>
      <c r="N228" s="544">
        <v>0</v>
      </c>
      <c r="O228" s="544">
        <v>0</v>
      </c>
      <c r="P228" s="544">
        <v>0</v>
      </c>
      <c r="R228" s="543" t="str">
        <f t="shared" si="10"/>
        <v>A0065:テス・エンジニアリング(株)メニューA</v>
      </c>
      <c r="S228" s="544">
        <f t="shared" si="11"/>
        <v>0</v>
      </c>
    </row>
    <row r="229" spans="2:19">
      <c r="B229" s="146" t="s">
        <v>1257</v>
      </c>
      <c r="C229" s="543" t="s">
        <v>1767</v>
      </c>
      <c r="D229" s="543" t="str">
        <f t="shared" si="9"/>
        <v>A0345:松本ガス(株)</v>
      </c>
      <c r="I229" s="146" t="s">
        <v>1088</v>
      </c>
      <c r="J229" s="146" t="s">
        <v>1598</v>
      </c>
      <c r="K229" s="544" t="s">
        <v>787</v>
      </c>
      <c r="L229" s="544">
        <v>0</v>
      </c>
      <c r="M229" s="544">
        <v>0</v>
      </c>
      <c r="N229" s="544">
        <v>0</v>
      </c>
      <c r="O229" s="544">
        <v>0</v>
      </c>
      <c r="P229" s="544">
        <v>0</v>
      </c>
      <c r="R229" s="543" t="str">
        <f t="shared" si="10"/>
        <v>A0065:テス・エンジニアリング(株)メニューB</v>
      </c>
      <c r="S229" s="544">
        <f t="shared" si="11"/>
        <v>0</v>
      </c>
    </row>
    <row r="230" spans="2:19">
      <c r="B230" s="146" t="s">
        <v>1258</v>
      </c>
      <c r="C230" s="543" t="s">
        <v>1768</v>
      </c>
      <c r="D230" s="543" t="str">
        <f t="shared" si="9"/>
        <v>A0348:南部だんだんエナジー(株)</v>
      </c>
      <c r="I230" s="146" t="s">
        <v>1088</v>
      </c>
      <c r="J230" s="146" t="s">
        <v>1598</v>
      </c>
      <c r="K230" s="544" t="s">
        <v>788</v>
      </c>
      <c r="L230" s="544">
        <v>4.28E-4</v>
      </c>
      <c r="M230" s="544">
        <v>4.28E-4</v>
      </c>
      <c r="N230" s="544">
        <v>4.28E-4</v>
      </c>
      <c r="O230" s="544">
        <v>4.28E-4</v>
      </c>
      <c r="P230" s="544">
        <v>4.28E-4</v>
      </c>
      <c r="R230" s="543" t="str">
        <f t="shared" si="10"/>
        <v>A0065:テス・エンジニアリング(株)メニューC</v>
      </c>
      <c r="S230" s="544">
        <f t="shared" si="11"/>
        <v>4.28E-4</v>
      </c>
    </row>
    <row r="231" spans="2:19">
      <c r="B231" s="146" t="s">
        <v>1259</v>
      </c>
      <c r="C231" s="543" t="s">
        <v>1769</v>
      </c>
      <c r="D231" s="543" t="str">
        <f t="shared" si="9"/>
        <v>A0349:(株)エフエネ</v>
      </c>
      <c r="I231" s="146" t="s">
        <v>1088</v>
      </c>
      <c r="J231" s="146" t="s">
        <v>1598</v>
      </c>
      <c r="K231" s="544" t="s">
        <v>2058</v>
      </c>
      <c r="L231" s="544">
        <v>4.1100000000000002E-4</v>
      </c>
      <c r="M231" s="544">
        <v>4.1100000000000002E-4</v>
      </c>
      <c r="N231" s="544">
        <v>4.1100000000000002E-4</v>
      </c>
      <c r="O231" s="544">
        <v>4.1100000000000002E-4</v>
      </c>
      <c r="P231" s="544">
        <v>4.1100000000000002E-4</v>
      </c>
      <c r="R231" s="543" t="str">
        <f t="shared" si="10"/>
        <v>A0065:テス・エンジニアリング(株)(参考値)事業者全体</v>
      </c>
      <c r="S231" s="544">
        <f t="shared" si="11"/>
        <v>4.1100000000000002E-4</v>
      </c>
    </row>
    <row r="232" spans="2:19">
      <c r="B232" s="146" t="s">
        <v>1260</v>
      </c>
      <c r="C232" s="543" t="s">
        <v>1770</v>
      </c>
      <c r="D232" s="543" t="str">
        <f t="shared" si="9"/>
        <v>A0350:こなんウルトラパワー(株)</v>
      </c>
      <c r="I232" s="146" t="s">
        <v>1089</v>
      </c>
      <c r="J232" s="146" t="s">
        <v>1599</v>
      </c>
      <c r="K232" s="544" t="s">
        <v>710</v>
      </c>
      <c r="L232" s="544">
        <v>0</v>
      </c>
      <c r="M232" s="544">
        <v>0</v>
      </c>
      <c r="N232" s="544">
        <v>0</v>
      </c>
      <c r="O232" s="544">
        <v>0</v>
      </c>
      <c r="P232" s="544">
        <v>0</v>
      </c>
      <c r="R232" s="543" t="str">
        <f t="shared" si="10"/>
        <v>A0066:青梅ガス(株)メニューA</v>
      </c>
      <c r="S232" s="544">
        <f t="shared" si="11"/>
        <v>0</v>
      </c>
    </row>
    <row r="233" spans="2:19">
      <c r="B233" s="146" t="s">
        <v>1261</v>
      </c>
      <c r="C233" s="543" t="s">
        <v>1771</v>
      </c>
      <c r="D233" s="543" t="str">
        <f t="shared" si="9"/>
        <v>A0351:(株)CHIBAむつざわエナジー</v>
      </c>
      <c r="I233" s="146" t="s">
        <v>1089</v>
      </c>
      <c r="J233" s="146" t="s">
        <v>1599</v>
      </c>
      <c r="K233" s="544" t="s">
        <v>787</v>
      </c>
      <c r="L233" s="544">
        <v>4.2000000000000002E-4</v>
      </c>
      <c r="M233" s="544">
        <v>4.2000000000000002E-4</v>
      </c>
      <c r="N233" s="544">
        <v>4.2000000000000002E-4</v>
      </c>
      <c r="O233" s="544">
        <v>4.2000000000000002E-4</v>
      </c>
      <c r="P233" s="544">
        <v>4.2000000000000002E-4</v>
      </c>
      <c r="R233" s="543" t="str">
        <f t="shared" si="10"/>
        <v>A0066:青梅ガス(株)メニューB</v>
      </c>
      <c r="S233" s="544">
        <f t="shared" si="11"/>
        <v>4.2000000000000002E-4</v>
      </c>
    </row>
    <row r="234" spans="2:19">
      <c r="B234" s="146" t="s">
        <v>1262</v>
      </c>
      <c r="C234" s="543" t="s">
        <v>1772</v>
      </c>
      <c r="D234" s="543" t="str">
        <f t="shared" si="9"/>
        <v>A0352:(株)関西空調</v>
      </c>
      <c r="I234" s="146" t="s">
        <v>1089</v>
      </c>
      <c r="J234" s="146" t="s">
        <v>1599</v>
      </c>
      <c r="K234" s="544" t="s">
        <v>2058</v>
      </c>
      <c r="L234" s="544">
        <v>4.1800000000000002E-4</v>
      </c>
      <c r="M234" s="544">
        <v>4.1800000000000002E-4</v>
      </c>
      <c r="N234" s="544">
        <v>4.1800000000000002E-4</v>
      </c>
      <c r="O234" s="544">
        <v>4.1800000000000002E-4</v>
      </c>
      <c r="P234" s="544">
        <v>4.1800000000000002E-4</v>
      </c>
      <c r="R234" s="543" t="str">
        <f t="shared" si="10"/>
        <v>A0066:青梅ガス(株)(参考値)事業者全体</v>
      </c>
      <c r="S234" s="544">
        <f t="shared" si="11"/>
        <v>4.1800000000000002E-4</v>
      </c>
    </row>
    <row r="235" spans="2:19">
      <c r="B235" s="146" t="s">
        <v>1263</v>
      </c>
      <c r="C235" s="543" t="s">
        <v>1773</v>
      </c>
      <c r="D235" s="543" t="str">
        <f t="shared" si="9"/>
        <v>A0353:奥出雲電力(株)</v>
      </c>
      <c r="I235" s="146" t="s">
        <v>1090</v>
      </c>
      <c r="J235" s="146" t="s">
        <v>1600</v>
      </c>
      <c r="K235" s="544" t="s">
        <v>710</v>
      </c>
      <c r="L235" s="544">
        <v>0</v>
      </c>
      <c r="M235" s="544">
        <v>0</v>
      </c>
      <c r="N235" s="544">
        <v>0</v>
      </c>
      <c r="O235" s="544">
        <v>0</v>
      </c>
      <c r="P235" s="544">
        <v>0</v>
      </c>
      <c r="R235" s="543" t="str">
        <f t="shared" si="10"/>
        <v>A0067:(株)イーネットワークシステムズメニューA</v>
      </c>
      <c r="S235" s="544">
        <f t="shared" si="11"/>
        <v>0</v>
      </c>
    </row>
    <row r="236" spans="2:19">
      <c r="B236" s="146" t="s">
        <v>1264</v>
      </c>
      <c r="C236" s="543" t="s">
        <v>1774</v>
      </c>
      <c r="D236" s="543" t="str">
        <f t="shared" si="9"/>
        <v>A0355:レジル(株)</v>
      </c>
      <c r="I236" s="146" t="s">
        <v>1090</v>
      </c>
      <c r="J236" s="146" t="s">
        <v>1600</v>
      </c>
      <c r="K236" s="544" t="s">
        <v>787</v>
      </c>
      <c r="L236" s="544">
        <v>0</v>
      </c>
      <c r="M236" s="544">
        <v>0</v>
      </c>
      <c r="N236" s="544">
        <v>0</v>
      </c>
      <c r="O236" s="544">
        <v>0</v>
      </c>
      <c r="P236" s="544">
        <v>0</v>
      </c>
      <c r="R236" s="543" t="str">
        <f t="shared" si="10"/>
        <v>A0067:(株)イーネットワークシステムズメニューB</v>
      </c>
      <c r="S236" s="544">
        <f t="shared" si="11"/>
        <v>0</v>
      </c>
    </row>
    <row r="237" spans="2:19">
      <c r="B237" s="146" t="s">
        <v>1265</v>
      </c>
      <c r="C237" s="543" t="s">
        <v>1775</v>
      </c>
      <c r="D237" s="543" t="str">
        <f t="shared" si="9"/>
        <v>A0356:(株)成田香取エネルギー</v>
      </c>
      <c r="I237" s="146" t="s">
        <v>1090</v>
      </c>
      <c r="J237" s="146" t="s">
        <v>1600</v>
      </c>
      <c r="K237" s="544" t="s">
        <v>788</v>
      </c>
      <c r="L237" s="544">
        <v>0</v>
      </c>
      <c r="M237" s="544">
        <v>0</v>
      </c>
      <c r="N237" s="544">
        <v>0</v>
      </c>
      <c r="O237" s="544">
        <v>0</v>
      </c>
      <c r="P237" s="544">
        <v>0</v>
      </c>
      <c r="R237" s="543" t="str">
        <f t="shared" si="10"/>
        <v>A0067:(株)イーネットワークシステムズメニューC</v>
      </c>
      <c r="S237" s="544">
        <f t="shared" si="11"/>
        <v>0</v>
      </c>
    </row>
    <row r="238" spans="2:19">
      <c r="B238" s="146" t="s">
        <v>1266</v>
      </c>
      <c r="C238" s="543" t="s">
        <v>1776</v>
      </c>
      <c r="D238" s="543" t="str">
        <f t="shared" si="9"/>
        <v>A0362:(株)CWS</v>
      </c>
      <c r="I238" s="146" t="s">
        <v>1090</v>
      </c>
      <c r="J238" s="146" t="s">
        <v>1600</v>
      </c>
      <c r="K238" s="544" t="s">
        <v>974</v>
      </c>
      <c r="L238" s="544">
        <v>0</v>
      </c>
      <c r="M238" s="544">
        <v>0</v>
      </c>
      <c r="N238" s="544">
        <v>0</v>
      </c>
      <c r="O238" s="544">
        <v>0</v>
      </c>
      <c r="P238" s="544">
        <v>0</v>
      </c>
      <c r="R238" s="543" t="str">
        <f t="shared" si="10"/>
        <v>A0067:(株)イーネットワークシステムズメニューD</v>
      </c>
      <c r="S238" s="544">
        <f t="shared" si="11"/>
        <v>0</v>
      </c>
    </row>
    <row r="239" spans="2:19">
      <c r="B239" s="146" t="s">
        <v>1267</v>
      </c>
      <c r="C239" s="543" t="s">
        <v>1777</v>
      </c>
      <c r="D239" s="543" t="str">
        <f t="shared" si="9"/>
        <v>A0364:ふくしま新電力(株)</v>
      </c>
      <c r="I239" s="146" t="s">
        <v>1090</v>
      </c>
      <c r="J239" s="146" t="s">
        <v>1600</v>
      </c>
      <c r="K239" s="544" t="s">
        <v>975</v>
      </c>
      <c r="L239" s="544">
        <v>6.3900000000000003E-4</v>
      </c>
      <c r="M239" s="544">
        <v>6.3900000000000003E-4</v>
      </c>
      <c r="N239" s="544">
        <v>6.3900000000000003E-4</v>
      </c>
      <c r="O239" s="544">
        <v>6.3900000000000003E-4</v>
      </c>
      <c r="P239" s="544">
        <v>6.3900000000000003E-4</v>
      </c>
      <c r="R239" s="543" t="str">
        <f t="shared" si="10"/>
        <v>A0067:(株)イーネットワークシステムズメニューE</v>
      </c>
      <c r="S239" s="544">
        <f t="shared" si="11"/>
        <v>6.3900000000000003E-4</v>
      </c>
    </row>
    <row r="240" spans="2:19">
      <c r="B240" s="146" t="s">
        <v>1268</v>
      </c>
      <c r="C240" s="543" t="s">
        <v>1778</v>
      </c>
      <c r="D240" s="543" t="str">
        <f t="shared" si="9"/>
        <v>A0365:ティーダッシュ合同会社</v>
      </c>
      <c r="I240" s="146" t="s">
        <v>1090</v>
      </c>
      <c r="J240" s="146" t="s">
        <v>1600</v>
      </c>
      <c r="K240" s="544" t="s">
        <v>2058</v>
      </c>
      <c r="L240" s="544">
        <v>5.2300000000000003E-4</v>
      </c>
      <c r="M240" s="544">
        <v>5.2300000000000003E-4</v>
      </c>
      <c r="N240" s="544">
        <v>5.2300000000000003E-4</v>
      </c>
      <c r="O240" s="544">
        <v>5.2300000000000003E-4</v>
      </c>
      <c r="P240" s="544">
        <v>5.2300000000000003E-4</v>
      </c>
      <c r="R240" s="543" t="str">
        <f t="shared" si="10"/>
        <v>A0067:(株)イーネットワークシステムズ(参考値)事業者全体</v>
      </c>
      <c r="S240" s="544">
        <f t="shared" si="11"/>
        <v>5.2300000000000003E-4</v>
      </c>
    </row>
    <row r="241" spans="2:19">
      <c r="B241" s="146" t="s">
        <v>1269</v>
      </c>
      <c r="C241" s="543" t="s">
        <v>1779</v>
      </c>
      <c r="D241" s="543" t="str">
        <f t="shared" si="9"/>
        <v>A0366:(株)エネクスライフサービス</v>
      </c>
      <c r="I241" s="146" t="s">
        <v>1091</v>
      </c>
      <c r="J241" s="146" t="s">
        <v>1601</v>
      </c>
      <c r="K241" s="544"/>
      <c r="L241" s="544">
        <v>3.9800000000000002E-4</v>
      </c>
      <c r="M241" s="544">
        <v>3.9800000000000002E-4</v>
      </c>
      <c r="N241" s="544">
        <v>3.9800000000000002E-4</v>
      </c>
      <c r="O241" s="544">
        <v>3.9800000000000002E-4</v>
      </c>
      <c r="P241" s="544">
        <v>3.9800000000000002E-4</v>
      </c>
      <c r="R241" s="543" t="str">
        <f t="shared" si="10"/>
        <v>A0068:(株)エネアーク関東</v>
      </c>
      <c r="S241" s="544">
        <f t="shared" si="11"/>
        <v>3.9800000000000002E-4</v>
      </c>
    </row>
    <row r="242" spans="2:19">
      <c r="B242" s="146" t="s">
        <v>1270</v>
      </c>
      <c r="C242" s="543" t="s">
        <v>1780</v>
      </c>
      <c r="D242" s="543" t="str">
        <f t="shared" si="9"/>
        <v>A0367:ネイチャーエナジー小国(株)</v>
      </c>
      <c r="I242" s="146" t="s">
        <v>1092</v>
      </c>
      <c r="J242" s="146" t="s">
        <v>1602</v>
      </c>
      <c r="K242" s="544" t="s">
        <v>710</v>
      </c>
      <c r="L242" s="544">
        <v>0</v>
      </c>
      <c r="M242" s="544">
        <v>0</v>
      </c>
      <c r="N242" s="544">
        <v>0</v>
      </c>
      <c r="O242" s="544">
        <v>0</v>
      </c>
      <c r="P242" s="544">
        <v>0</v>
      </c>
      <c r="R242" s="543" t="str">
        <f t="shared" si="10"/>
        <v>A0069:(株)東急パワーサプライメニューA</v>
      </c>
      <c r="S242" s="544">
        <f t="shared" si="11"/>
        <v>0</v>
      </c>
    </row>
    <row r="243" spans="2:19">
      <c r="B243" s="146" t="s">
        <v>1271</v>
      </c>
      <c r="C243" s="543" t="s">
        <v>1781</v>
      </c>
      <c r="D243" s="543" t="str">
        <f t="shared" si="9"/>
        <v>A0368:リエスパワーネクスト(株)</v>
      </c>
      <c r="I243" s="146" t="s">
        <v>1092</v>
      </c>
      <c r="J243" s="146" t="s">
        <v>1602</v>
      </c>
      <c r="K243" s="544" t="s">
        <v>787</v>
      </c>
      <c r="L243" s="544">
        <v>0</v>
      </c>
      <c r="M243" s="544">
        <v>0</v>
      </c>
      <c r="N243" s="544">
        <v>0</v>
      </c>
      <c r="O243" s="544">
        <v>0</v>
      </c>
      <c r="P243" s="544">
        <v>0</v>
      </c>
      <c r="R243" s="543" t="str">
        <f t="shared" si="10"/>
        <v>A0069:(株)東急パワーサプライメニューB</v>
      </c>
      <c r="S243" s="544">
        <f t="shared" si="11"/>
        <v>0</v>
      </c>
    </row>
    <row r="244" spans="2:19">
      <c r="B244" s="146" t="s">
        <v>1272</v>
      </c>
      <c r="C244" s="543" t="s">
        <v>1782</v>
      </c>
      <c r="D244" s="543" t="str">
        <f t="shared" si="9"/>
        <v>A0371:エネルギーパワー(株)</v>
      </c>
      <c r="I244" s="146" t="s">
        <v>1092</v>
      </c>
      <c r="J244" s="146" t="s">
        <v>1602</v>
      </c>
      <c r="K244" s="544" t="s">
        <v>788</v>
      </c>
      <c r="L244" s="544">
        <v>0</v>
      </c>
      <c r="M244" s="544">
        <v>0</v>
      </c>
      <c r="N244" s="544">
        <v>0</v>
      </c>
      <c r="O244" s="544">
        <v>0</v>
      </c>
      <c r="P244" s="544">
        <v>0</v>
      </c>
      <c r="R244" s="543" t="str">
        <f t="shared" si="10"/>
        <v>A0069:(株)東急パワーサプライメニューC</v>
      </c>
      <c r="S244" s="544">
        <f t="shared" si="11"/>
        <v>0</v>
      </c>
    </row>
    <row r="245" spans="2:19">
      <c r="B245" s="146" t="s">
        <v>1273</v>
      </c>
      <c r="C245" s="543" t="s">
        <v>1783</v>
      </c>
      <c r="D245" s="543" t="str">
        <f t="shared" si="9"/>
        <v>A0372:(株)グリムスパワー</v>
      </c>
      <c r="I245" s="146" t="s">
        <v>1092</v>
      </c>
      <c r="J245" s="146" t="s">
        <v>1602</v>
      </c>
      <c r="K245" s="544" t="s">
        <v>974</v>
      </c>
      <c r="L245" s="544">
        <v>0</v>
      </c>
      <c r="M245" s="544">
        <v>0</v>
      </c>
      <c r="N245" s="544">
        <v>0</v>
      </c>
      <c r="O245" s="544">
        <v>0</v>
      </c>
      <c r="P245" s="544">
        <v>0</v>
      </c>
      <c r="R245" s="543" t="str">
        <f t="shared" si="10"/>
        <v>A0069:(株)東急パワーサプライメニューD</v>
      </c>
      <c r="S245" s="544">
        <f t="shared" si="11"/>
        <v>0</v>
      </c>
    </row>
    <row r="246" spans="2:19">
      <c r="B246" s="146" t="s">
        <v>1274</v>
      </c>
      <c r="C246" s="543" t="s">
        <v>1784</v>
      </c>
      <c r="D246" s="543" t="str">
        <f t="shared" si="9"/>
        <v>A0376:自然電力(株)</v>
      </c>
      <c r="I246" s="146" t="s">
        <v>1092</v>
      </c>
      <c r="J246" s="146" t="s">
        <v>1602</v>
      </c>
      <c r="K246" s="544" t="s">
        <v>975</v>
      </c>
      <c r="L246" s="544">
        <v>0</v>
      </c>
      <c r="M246" s="544">
        <v>0</v>
      </c>
      <c r="N246" s="544">
        <v>0</v>
      </c>
      <c r="O246" s="544">
        <v>0</v>
      </c>
      <c r="P246" s="544">
        <v>0</v>
      </c>
      <c r="R246" s="543" t="str">
        <f t="shared" si="10"/>
        <v>A0069:(株)東急パワーサプライメニューE</v>
      </c>
      <c r="S246" s="544">
        <f t="shared" si="11"/>
        <v>0</v>
      </c>
    </row>
    <row r="247" spans="2:19">
      <c r="B247" s="146" t="s">
        <v>1275</v>
      </c>
      <c r="C247" s="543" t="s">
        <v>1785</v>
      </c>
      <c r="D247" s="543" t="str">
        <f t="shared" si="9"/>
        <v>A0378:本庄ガス(株)</v>
      </c>
      <c r="I247" s="146" t="s">
        <v>1092</v>
      </c>
      <c r="J247" s="146" t="s">
        <v>1602</v>
      </c>
      <c r="K247" s="544" t="s">
        <v>2059</v>
      </c>
      <c r="L247" s="544">
        <v>0</v>
      </c>
      <c r="M247" s="544">
        <v>0</v>
      </c>
      <c r="N247" s="544">
        <v>0</v>
      </c>
      <c r="O247" s="544">
        <v>0</v>
      </c>
      <c r="P247" s="544">
        <v>0</v>
      </c>
      <c r="R247" s="543" t="str">
        <f t="shared" si="10"/>
        <v>A0069:(株)東急パワーサプライメニューF</v>
      </c>
      <c r="S247" s="544">
        <f t="shared" si="11"/>
        <v>0</v>
      </c>
    </row>
    <row r="248" spans="2:19">
      <c r="B248" s="146" t="s">
        <v>1276</v>
      </c>
      <c r="C248" s="543" t="s">
        <v>1786</v>
      </c>
      <c r="D248" s="543" t="str">
        <f t="shared" si="9"/>
        <v>A0380:青森県民エナジー(株)</v>
      </c>
      <c r="I248" s="146" t="s">
        <v>1092</v>
      </c>
      <c r="J248" s="146" t="s">
        <v>1602</v>
      </c>
      <c r="K248" s="544" t="s">
        <v>2060</v>
      </c>
      <c r="L248" s="544">
        <v>6.1899999999999998E-4</v>
      </c>
      <c r="M248" s="544">
        <v>6.1899999999999998E-4</v>
      </c>
      <c r="N248" s="544">
        <v>6.1899999999999998E-4</v>
      </c>
      <c r="O248" s="544">
        <v>6.1899999999999998E-4</v>
      </c>
      <c r="P248" s="544">
        <v>6.1899999999999998E-4</v>
      </c>
      <c r="R248" s="543" t="str">
        <f t="shared" si="10"/>
        <v>A0069:(株)東急パワーサプライメニューG</v>
      </c>
      <c r="S248" s="544">
        <f t="shared" si="11"/>
        <v>6.1899999999999998E-4</v>
      </c>
    </row>
    <row r="249" spans="2:19">
      <c r="B249" s="146" t="s">
        <v>1277</v>
      </c>
      <c r="C249" s="543" t="s">
        <v>1787</v>
      </c>
      <c r="D249" s="543" t="str">
        <f t="shared" si="9"/>
        <v>A0381:国際航業(株)</v>
      </c>
      <c r="I249" s="146" t="s">
        <v>1092</v>
      </c>
      <c r="J249" s="146" t="s">
        <v>1602</v>
      </c>
      <c r="K249" s="544" t="s">
        <v>2058</v>
      </c>
      <c r="L249" s="544">
        <v>1.3300000000000001E-4</v>
      </c>
      <c r="M249" s="544">
        <v>1.3300000000000001E-4</v>
      </c>
      <c r="N249" s="544">
        <v>1.3300000000000001E-4</v>
      </c>
      <c r="O249" s="544">
        <v>1.3300000000000001E-4</v>
      </c>
      <c r="P249" s="544">
        <v>1.3300000000000001E-4</v>
      </c>
      <c r="R249" s="543" t="str">
        <f t="shared" si="10"/>
        <v>A0069:(株)東急パワーサプライ(参考値)事業者全体</v>
      </c>
      <c r="S249" s="544">
        <f t="shared" si="11"/>
        <v>1.3300000000000001E-4</v>
      </c>
    </row>
    <row r="250" spans="2:19">
      <c r="B250" s="146" t="s">
        <v>1278</v>
      </c>
      <c r="C250" s="543" t="s">
        <v>1788</v>
      </c>
      <c r="D250" s="543" t="str">
        <f t="shared" si="9"/>
        <v>A0382:ローカルでんき(株)</v>
      </c>
      <c r="I250" s="146" t="s">
        <v>1093</v>
      </c>
      <c r="J250" s="146" t="s">
        <v>1603</v>
      </c>
      <c r="K250" s="544" t="s">
        <v>710</v>
      </c>
      <c r="L250" s="544">
        <v>0</v>
      </c>
      <c r="M250" s="544">
        <v>0</v>
      </c>
      <c r="N250" s="544">
        <v>0</v>
      </c>
      <c r="O250" s="544">
        <v>0</v>
      </c>
      <c r="P250" s="544">
        <v>0</v>
      </c>
      <c r="R250" s="543" t="str">
        <f t="shared" si="10"/>
        <v>A0070:王子・伊藤忠エネクス電力販売(株)メニューA</v>
      </c>
      <c r="S250" s="544">
        <f t="shared" si="11"/>
        <v>0</v>
      </c>
    </row>
    <row r="251" spans="2:19">
      <c r="B251" s="146" t="s">
        <v>1279</v>
      </c>
      <c r="C251" s="543" t="s">
        <v>1789</v>
      </c>
      <c r="D251" s="543" t="str">
        <f t="shared" si="9"/>
        <v>A0383:(株)明治産業</v>
      </c>
      <c r="I251" s="146" t="s">
        <v>1093</v>
      </c>
      <c r="J251" s="146" t="s">
        <v>1603</v>
      </c>
      <c r="K251" s="544" t="s">
        <v>787</v>
      </c>
      <c r="L251" s="544">
        <v>1.2999999999999999E-4</v>
      </c>
      <c r="M251" s="544">
        <v>1.2999999999999999E-4</v>
      </c>
      <c r="N251" s="544">
        <v>1.2999999999999999E-4</v>
      </c>
      <c r="O251" s="544">
        <v>1.2999999999999999E-4</v>
      </c>
      <c r="P251" s="544">
        <v>1.2999999999999999E-4</v>
      </c>
      <c r="R251" s="543" t="str">
        <f t="shared" si="10"/>
        <v>A0070:王子・伊藤忠エネクス電力販売(株)メニューB</v>
      </c>
      <c r="S251" s="544">
        <f t="shared" si="11"/>
        <v>1.2999999999999999E-4</v>
      </c>
    </row>
    <row r="252" spans="2:19">
      <c r="B252" s="146" t="s">
        <v>1280</v>
      </c>
      <c r="C252" s="543" t="s">
        <v>1790</v>
      </c>
      <c r="D252" s="543" t="str">
        <f t="shared" si="9"/>
        <v>A0385:岡山電力(株)</v>
      </c>
      <c r="I252" s="146" t="s">
        <v>1093</v>
      </c>
      <c r="J252" s="146" t="s">
        <v>1603</v>
      </c>
      <c r="K252" s="544" t="s">
        <v>788</v>
      </c>
      <c r="L252" s="544">
        <v>2.3699999999999999E-4</v>
      </c>
      <c r="M252" s="544">
        <v>2.3699999999999999E-4</v>
      </c>
      <c r="N252" s="544">
        <v>2.3699999999999999E-4</v>
      </c>
      <c r="O252" s="544">
        <v>2.3699999999999999E-4</v>
      </c>
      <c r="P252" s="544">
        <v>2.3699999999999999E-4</v>
      </c>
      <c r="R252" s="543" t="str">
        <f t="shared" si="10"/>
        <v>A0070:王子・伊藤忠エネクス電力販売(株)メニューC</v>
      </c>
      <c r="S252" s="544">
        <f t="shared" si="11"/>
        <v>2.3699999999999999E-4</v>
      </c>
    </row>
    <row r="253" spans="2:19">
      <c r="B253" s="146" t="s">
        <v>1281</v>
      </c>
      <c r="C253" s="543" t="s">
        <v>1791</v>
      </c>
      <c r="D253" s="543" t="str">
        <f t="shared" si="9"/>
        <v>A0386:ミライフ(株)</v>
      </c>
      <c r="I253" s="146" t="s">
        <v>1093</v>
      </c>
      <c r="J253" s="146" t="s">
        <v>1603</v>
      </c>
      <c r="K253" s="544" t="s">
        <v>974</v>
      </c>
      <c r="L253" s="544">
        <v>2.5900000000000001E-4</v>
      </c>
      <c r="M253" s="544">
        <v>2.5900000000000001E-4</v>
      </c>
      <c r="N253" s="544">
        <v>2.5900000000000001E-4</v>
      </c>
      <c r="O253" s="544">
        <v>2.5900000000000001E-4</v>
      </c>
      <c r="P253" s="544">
        <v>2.5900000000000001E-4</v>
      </c>
      <c r="R253" s="543" t="str">
        <f t="shared" si="10"/>
        <v>A0070:王子・伊藤忠エネクス電力販売(株)メニューD</v>
      </c>
      <c r="S253" s="544">
        <f t="shared" si="11"/>
        <v>2.5900000000000001E-4</v>
      </c>
    </row>
    <row r="254" spans="2:19">
      <c r="B254" s="146" t="s">
        <v>1282</v>
      </c>
      <c r="C254" s="543" t="s">
        <v>1792</v>
      </c>
      <c r="D254" s="543" t="str">
        <f t="shared" si="9"/>
        <v>A0388:楽天モバイル(株)(旧：楽天エナジー(株))</v>
      </c>
      <c r="I254" s="146" t="s">
        <v>1093</v>
      </c>
      <c r="J254" s="146" t="s">
        <v>1603</v>
      </c>
      <c r="K254" s="544" t="s">
        <v>975</v>
      </c>
      <c r="L254" s="544">
        <v>3.01E-4</v>
      </c>
      <c r="M254" s="544">
        <v>3.01E-4</v>
      </c>
      <c r="N254" s="544">
        <v>3.01E-4</v>
      </c>
      <c r="O254" s="544">
        <v>3.01E-4</v>
      </c>
      <c r="P254" s="544">
        <v>3.01E-4</v>
      </c>
      <c r="R254" s="543" t="str">
        <f t="shared" si="10"/>
        <v>A0070:王子・伊藤忠エネクス電力販売(株)メニューE</v>
      </c>
      <c r="S254" s="544">
        <f t="shared" si="11"/>
        <v>3.01E-4</v>
      </c>
    </row>
    <row r="255" spans="2:19">
      <c r="B255" s="146" t="s">
        <v>1283</v>
      </c>
      <c r="C255" s="543" t="s">
        <v>1793</v>
      </c>
      <c r="D255" s="543" t="str">
        <f t="shared" si="9"/>
        <v>A0389:うすきエネルギー(株)</v>
      </c>
      <c r="I255" s="146" t="s">
        <v>1093</v>
      </c>
      <c r="J255" s="146" t="s">
        <v>1603</v>
      </c>
      <c r="K255" s="544" t="s">
        <v>2059</v>
      </c>
      <c r="L255" s="544">
        <v>3.2600000000000001E-4</v>
      </c>
      <c r="M255" s="544">
        <v>3.2600000000000001E-4</v>
      </c>
      <c r="N255" s="544">
        <v>3.2600000000000001E-4</v>
      </c>
      <c r="O255" s="544">
        <v>3.2600000000000001E-4</v>
      </c>
      <c r="P255" s="544">
        <v>3.2600000000000001E-4</v>
      </c>
      <c r="R255" s="543" t="str">
        <f t="shared" si="10"/>
        <v>A0070:王子・伊藤忠エネクス電力販売(株)メニューF</v>
      </c>
      <c r="S255" s="544">
        <f t="shared" si="11"/>
        <v>3.2600000000000001E-4</v>
      </c>
    </row>
    <row r="256" spans="2:19">
      <c r="B256" s="146" t="s">
        <v>1284</v>
      </c>
      <c r="C256" s="543" t="s">
        <v>1794</v>
      </c>
      <c r="D256" s="543" t="str">
        <f t="shared" si="9"/>
        <v>A0391:森のエネルギー(株)</v>
      </c>
      <c r="I256" s="146" t="s">
        <v>1093</v>
      </c>
      <c r="J256" s="146" t="s">
        <v>1603</v>
      </c>
      <c r="K256" s="544" t="s">
        <v>2060</v>
      </c>
      <c r="L256" s="544">
        <v>4.2200000000000001E-4</v>
      </c>
      <c r="M256" s="544">
        <v>4.2200000000000001E-4</v>
      </c>
      <c r="N256" s="544">
        <v>4.2200000000000001E-4</v>
      </c>
      <c r="O256" s="544">
        <v>4.2200000000000001E-4</v>
      </c>
      <c r="P256" s="544">
        <v>4.2200000000000001E-4</v>
      </c>
      <c r="R256" s="543" t="str">
        <f t="shared" si="10"/>
        <v>A0070:王子・伊藤忠エネクス電力販売(株)メニューG</v>
      </c>
      <c r="S256" s="544">
        <f t="shared" si="11"/>
        <v>4.2200000000000001E-4</v>
      </c>
    </row>
    <row r="257" spans="2:19">
      <c r="B257" s="146" t="s">
        <v>1285</v>
      </c>
      <c r="C257" s="543" t="s">
        <v>1795</v>
      </c>
      <c r="D257" s="543" t="str">
        <f t="shared" si="9"/>
        <v>A0392:岐阜電力(株)</v>
      </c>
      <c r="I257" s="146" t="s">
        <v>1093</v>
      </c>
      <c r="J257" s="146" t="s">
        <v>1603</v>
      </c>
      <c r="K257" s="544" t="s">
        <v>2058</v>
      </c>
      <c r="L257" s="544">
        <v>2.14E-4</v>
      </c>
      <c r="M257" s="544">
        <v>2.14E-4</v>
      </c>
      <c r="N257" s="544">
        <v>2.14E-4</v>
      </c>
      <c r="O257" s="544">
        <v>2.14E-4</v>
      </c>
      <c r="P257" s="544">
        <v>2.14E-4</v>
      </c>
      <c r="R257" s="543" t="str">
        <f t="shared" si="10"/>
        <v>A0070:王子・伊藤忠エネクス電力販売(株)(参考値)事業者全体</v>
      </c>
      <c r="S257" s="544">
        <f t="shared" si="11"/>
        <v>2.14E-4</v>
      </c>
    </row>
    <row r="258" spans="2:19">
      <c r="B258" s="146" t="s">
        <v>1286</v>
      </c>
      <c r="C258" s="543" t="s">
        <v>1796</v>
      </c>
      <c r="D258" s="543" t="str">
        <f t="shared" si="9"/>
        <v>A0397:名南共同エネルギー(株)</v>
      </c>
      <c r="I258" s="146" t="s">
        <v>1094</v>
      </c>
      <c r="J258" s="146" t="s">
        <v>1604</v>
      </c>
      <c r="K258" s="544" t="s">
        <v>710</v>
      </c>
      <c r="L258" s="544">
        <v>0</v>
      </c>
      <c r="M258" s="544">
        <v>0</v>
      </c>
      <c r="N258" s="544">
        <v>0</v>
      </c>
      <c r="O258" s="544">
        <v>0</v>
      </c>
      <c r="P258" s="544">
        <v>0</v>
      </c>
      <c r="R258" s="543" t="str">
        <f t="shared" si="10"/>
        <v>A0071:伊藤忠商事(株)メニューA</v>
      </c>
      <c r="S258" s="544">
        <f t="shared" si="11"/>
        <v>0</v>
      </c>
    </row>
    <row r="259" spans="2:19">
      <c r="B259" s="146" t="s">
        <v>1287</v>
      </c>
      <c r="C259" s="543" t="s">
        <v>1797</v>
      </c>
      <c r="D259" s="543" t="str">
        <f t="shared" si="9"/>
        <v>A0398:Apaman Energy(株)</v>
      </c>
      <c r="I259" s="146" t="s">
        <v>1094</v>
      </c>
      <c r="J259" s="146" t="s">
        <v>1604</v>
      </c>
      <c r="K259" s="544" t="s">
        <v>787</v>
      </c>
      <c r="L259" s="544">
        <v>0</v>
      </c>
      <c r="M259" s="544">
        <v>0</v>
      </c>
      <c r="N259" s="544">
        <v>0</v>
      </c>
      <c r="O259" s="544">
        <v>0</v>
      </c>
      <c r="P259" s="544">
        <v>0</v>
      </c>
      <c r="R259" s="543" t="str">
        <f t="shared" si="10"/>
        <v>A0071:伊藤忠商事(株)メニューB</v>
      </c>
      <c r="S259" s="544">
        <f t="shared" si="11"/>
        <v>0</v>
      </c>
    </row>
    <row r="260" spans="2:19">
      <c r="B260" s="146" t="s">
        <v>1288</v>
      </c>
      <c r="C260" s="543" t="s">
        <v>1798</v>
      </c>
      <c r="D260" s="543" t="str">
        <f t="shared" si="9"/>
        <v>A0405:アストマックス・エネルギー(株)</v>
      </c>
      <c r="I260" s="146" t="s">
        <v>1094</v>
      </c>
      <c r="J260" s="146" t="s">
        <v>1604</v>
      </c>
      <c r="K260" s="544" t="s">
        <v>788</v>
      </c>
      <c r="L260" s="544">
        <v>4.2200000000000001E-4</v>
      </c>
      <c r="M260" s="544">
        <v>4.2200000000000001E-4</v>
      </c>
      <c r="N260" s="544">
        <v>4.2200000000000001E-4</v>
      </c>
      <c r="O260" s="544">
        <v>4.2200000000000001E-4</v>
      </c>
      <c r="P260" s="544">
        <v>4.2200000000000001E-4</v>
      </c>
      <c r="R260" s="543" t="str">
        <f t="shared" si="10"/>
        <v>A0071:伊藤忠商事(株)メニューC</v>
      </c>
      <c r="S260" s="544">
        <f t="shared" si="11"/>
        <v>4.2200000000000001E-4</v>
      </c>
    </row>
    <row r="261" spans="2:19">
      <c r="B261" s="146" t="s">
        <v>1289</v>
      </c>
      <c r="C261" s="543" t="s">
        <v>1799</v>
      </c>
      <c r="D261" s="543" t="str">
        <f t="shared" si="9"/>
        <v>A0407:ALL GREEN POWER(株)</v>
      </c>
      <c r="I261" s="146" t="s">
        <v>1094</v>
      </c>
      <c r="J261" s="146" t="s">
        <v>1604</v>
      </c>
      <c r="K261" s="544" t="s">
        <v>2058</v>
      </c>
      <c r="L261" s="544">
        <v>4.2200000000000001E-4</v>
      </c>
      <c r="M261" s="544">
        <v>4.2200000000000001E-4</v>
      </c>
      <c r="N261" s="544">
        <v>4.2200000000000001E-4</v>
      </c>
      <c r="O261" s="544">
        <v>4.2200000000000001E-4</v>
      </c>
      <c r="P261" s="544">
        <v>4.2200000000000001E-4</v>
      </c>
      <c r="R261" s="543" t="str">
        <f t="shared" si="10"/>
        <v>A0071:伊藤忠商事(株)(参考値)事業者全体</v>
      </c>
      <c r="S261" s="544">
        <f t="shared" si="11"/>
        <v>4.2200000000000001E-4</v>
      </c>
    </row>
    <row r="262" spans="2:19">
      <c r="B262" s="146" t="s">
        <v>1290</v>
      </c>
      <c r="C262" s="543" t="s">
        <v>1800</v>
      </c>
      <c r="D262" s="543" t="str">
        <f t="shared" si="9"/>
        <v>A0411:福井電力(株)</v>
      </c>
      <c r="I262" s="146" t="s">
        <v>1095</v>
      </c>
      <c r="J262" s="146" t="s">
        <v>1605</v>
      </c>
      <c r="K262" s="544" t="s">
        <v>710</v>
      </c>
      <c r="L262" s="544">
        <v>0</v>
      </c>
      <c r="M262" s="544">
        <v>0</v>
      </c>
      <c r="N262" s="544">
        <v>0</v>
      </c>
      <c r="O262" s="544">
        <v>0</v>
      </c>
      <c r="P262" s="544">
        <v>0</v>
      </c>
      <c r="R262" s="543" t="str">
        <f t="shared" si="10"/>
        <v>A0072:(株)エコスタイルメニューA</v>
      </c>
      <c r="S262" s="544">
        <f t="shared" si="11"/>
        <v>0</v>
      </c>
    </row>
    <row r="263" spans="2:19">
      <c r="B263" s="146" t="s">
        <v>1291</v>
      </c>
      <c r="C263" s="543" t="s">
        <v>1801</v>
      </c>
      <c r="D263" s="543" t="str">
        <f t="shared" si="9"/>
        <v>A0413:(株)MKエネルギー</v>
      </c>
      <c r="I263" s="146" t="s">
        <v>1095</v>
      </c>
      <c r="J263" s="146" t="s">
        <v>1605</v>
      </c>
      <c r="K263" s="544" t="s">
        <v>787</v>
      </c>
      <c r="L263" s="544">
        <v>0</v>
      </c>
      <c r="M263" s="544">
        <v>0</v>
      </c>
      <c r="N263" s="544">
        <v>0</v>
      </c>
      <c r="O263" s="544">
        <v>0</v>
      </c>
      <c r="P263" s="544">
        <v>0</v>
      </c>
      <c r="R263" s="543" t="str">
        <f t="shared" si="10"/>
        <v>A0072:(株)エコスタイルメニューB</v>
      </c>
      <c r="S263" s="544">
        <f t="shared" si="11"/>
        <v>0</v>
      </c>
    </row>
    <row r="264" spans="2:19">
      <c r="B264" s="146" t="s">
        <v>1292</v>
      </c>
      <c r="C264" s="543" t="s">
        <v>1802</v>
      </c>
      <c r="D264" s="543" t="str">
        <f t="shared" si="9"/>
        <v>A0415:エネラボ(株)</v>
      </c>
      <c r="I264" s="146" t="s">
        <v>1095</v>
      </c>
      <c r="J264" s="146" t="s">
        <v>1605</v>
      </c>
      <c r="K264" s="544" t="s">
        <v>788</v>
      </c>
      <c r="L264" s="544">
        <v>4.37E-4</v>
      </c>
      <c r="M264" s="544">
        <v>4.37E-4</v>
      </c>
      <c r="N264" s="544">
        <v>4.37E-4</v>
      </c>
      <c r="O264" s="544">
        <v>4.37E-4</v>
      </c>
      <c r="P264" s="544">
        <v>4.37E-4</v>
      </c>
      <c r="R264" s="543" t="str">
        <f t="shared" si="10"/>
        <v>A0072:(株)エコスタイルメニューC</v>
      </c>
      <c r="S264" s="544">
        <f t="shared" si="11"/>
        <v>4.37E-4</v>
      </c>
    </row>
    <row r="265" spans="2:19">
      <c r="B265" s="146" t="s">
        <v>1293</v>
      </c>
      <c r="C265" s="543" t="s">
        <v>1803</v>
      </c>
      <c r="D265" s="543" t="str">
        <f t="shared" si="9"/>
        <v>A0419:スマートエナジー磐田(株)</v>
      </c>
      <c r="I265" s="146" t="s">
        <v>1095</v>
      </c>
      <c r="J265" s="146" t="s">
        <v>1605</v>
      </c>
      <c r="K265" s="544" t="s">
        <v>2058</v>
      </c>
      <c r="L265" s="544">
        <v>3.8099999999999999E-4</v>
      </c>
      <c r="M265" s="544">
        <v>3.8099999999999999E-4</v>
      </c>
      <c r="N265" s="544">
        <v>3.8099999999999999E-4</v>
      </c>
      <c r="O265" s="544">
        <v>3.8099999999999999E-4</v>
      </c>
      <c r="P265" s="544">
        <v>3.8099999999999999E-4</v>
      </c>
      <c r="R265" s="543" t="str">
        <f t="shared" si="10"/>
        <v>A0072:(株)エコスタイル(参考値)事業者全体</v>
      </c>
      <c r="S265" s="544">
        <f t="shared" si="11"/>
        <v>3.8099999999999999E-4</v>
      </c>
    </row>
    <row r="266" spans="2:19">
      <c r="B266" s="146" t="s">
        <v>1294</v>
      </c>
      <c r="C266" s="543" t="s">
        <v>1804</v>
      </c>
      <c r="D266" s="543" t="str">
        <f t="shared" ref="D266:D329" si="12">IF(B266="","",B266&amp;":"&amp;C266)</f>
        <v>A0420:そうまIグリッド合同会社</v>
      </c>
      <c r="I266" s="146" t="s">
        <v>1096</v>
      </c>
      <c r="J266" s="146" t="s">
        <v>1606</v>
      </c>
      <c r="K266" s="544"/>
      <c r="L266" s="544">
        <v>4.1899999999999999E-4</v>
      </c>
      <c r="M266" s="544">
        <v>4.1899999999999999E-4</v>
      </c>
      <c r="N266" s="544">
        <v>4.1899999999999999E-4</v>
      </c>
      <c r="O266" s="544">
        <v>4.1899999999999999E-4</v>
      </c>
      <c r="P266" s="544">
        <v>4.1899999999999999E-4</v>
      </c>
      <c r="R266" s="543" t="str">
        <f t="shared" ref="R266:R329" si="13">I266&amp;":"&amp;J266&amp;K266</f>
        <v>A0073:入間ガス(株)</v>
      </c>
      <c r="S266" s="544">
        <f t="shared" ref="S266:S329" si="14">HLOOKUP($S$8,$L$8:$P$2000,ROW()-7,FALSE)</f>
        <v>4.1899999999999999E-4</v>
      </c>
    </row>
    <row r="267" spans="2:19">
      <c r="B267" s="146" t="s">
        <v>1295</v>
      </c>
      <c r="C267" s="543" t="s">
        <v>1805</v>
      </c>
      <c r="D267" s="543" t="str">
        <f t="shared" si="12"/>
        <v>A0425:エネトレード(株)</v>
      </c>
      <c r="I267" s="146" t="s">
        <v>1097</v>
      </c>
      <c r="J267" s="146" t="s">
        <v>1607</v>
      </c>
      <c r="K267" s="544"/>
      <c r="L267" s="544">
        <v>5.2899999999999996E-4</v>
      </c>
      <c r="M267" s="544">
        <v>5.2899999999999996E-4</v>
      </c>
      <c r="N267" s="544">
        <v>5.2899999999999996E-4</v>
      </c>
      <c r="O267" s="544">
        <v>5.2899999999999996E-4</v>
      </c>
      <c r="P267" s="544">
        <v>5.2899999999999996E-4</v>
      </c>
      <c r="R267" s="543" t="str">
        <f t="shared" si="13"/>
        <v>A0075:(株)とんでんホールディングス</v>
      </c>
      <c r="S267" s="544">
        <f t="shared" si="14"/>
        <v>5.2899999999999996E-4</v>
      </c>
    </row>
    <row r="268" spans="2:19">
      <c r="B268" s="146" t="s">
        <v>1296</v>
      </c>
      <c r="C268" s="543" t="s">
        <v>1806</v>
      </c>
      <c r="D268" s="543" t="str">
        <f t="shared" si="12"/>
        <v>A0429:ニシムラ(株)</v>
      </c>
      <c r="I268" s="146" t="s">
        <v>1098</v>
      </c>
      <c r="J268" s="146" t="s">
        <v>1608</v>
      </c>
      <c r="K268" s="544" t="s">
        <v>710</v>
      </c>
      <c r="L268" s="544">
        <v>0</v>
      </c>
      <c r="M268" s="544">
        <v>0</v>
      </c>
      <c r="N268" s="544">
        <v>0</v>
      </c>
      <c r="O268" s="544">
        <v>0</v>
      </c>
      <c r="P268" s="544">
        <v>0</v>
      </c>
      <c r="R268" s="543" t="str">
        <f t="shared" si="13"/>
        <v>A0076:日鉄エンジニアリング(株)メニューA</v>
      </c>
      <c r="S268" s="544">
        <f t="shared" si="14"/>
        <v>0</v>
      </c>
    </row>
    <row r="269" spans="2:19">
      <c r="B269" s="146" t="s">
        <v>1297</v>
      </c>
      <c r="C269" s="543" t="s">
        <v>1807</v>
      </c>
      <c r="D269" s="543" t="str">
        <f t="shared" si="12"/>
        <v>A0430:(株)さくら新電力</v>
      </c>
      <c r="I269" s="146" t="s">
        <v>1098</v>
      </c>
      <c r="J269" s="146" t="s">
        <v>1608</v>
      </c>
      <c r="K269" s="544" t="s">
        <v>787</v>
      </c>
      <c r="L269" s="544">
        <v>0</v>
      </c>
      <c r="M269" s="544">
        <v>0</v>
      </c>
      <c r="N269" s="544">
        <v>0</v>
      </c>
      <c r="O269" s="544">
        <v>0</v>
      </c>
      <c r="P269" s="544">
        <v>0</v>
      </c>
      <c r="R269" s="543" t="str">
        <f t="shared" si="13"/>
        <v>A0076:日鉄エンジニアリング(株)メニューB</v>
      </c>
      <c r="S269" s="544">
        <f t="shared" si="14"/>
        <v>0</v>
      </c>
    </row>
    <row r="270" spans="2:19">
      <c r="B270" s="146" t="s">
        <v>1298</v>
      </c>
      <c r="C270" s="543" t="s">
        <v>1808</v>
      </c>
      <c r="D270" s="543" t="str">
        <f t="shared" si="12"/>
        <v>A0431:(株)グローアップ</v>
      </c>
      <c r="I270" s="146" t="s">
        <v>1098</v>
      </c>
      <c r="J270" s="146" t="s">
        <v>1608</v>
      </c>
      <c r="K270" s="544" t="s">
        <v>788</v>
      </c>
      <c r="L270" s="544">
        <v>1E-4</v>
      </c>
      <c r="M270" s="544">
        <v>1E-4</v>
      </c>
      <c r="N270" s="544">
        <v>1E-4</v>
      </c>
      <c r="O270" s="544">
        <v>1E-4</v>
      </c>
      <c r="P270" s="544">
        <v>1E-4</v>
      </c>
      <c r="R270" s="543" t="str">
        <f t="shared" si="13"/>
        <v>A0076:日鉄エンジニアリング(株)メニューC</v>
      </c>
      <c r="S270" s="544">
        <f t="shared" si="14"/>
        <v>1E-4</v>
      </c>
    </row>
    <row r="271" spans="2:19">
      <c r="B271" s="146" t="s">
        <v>1299</v>
      </c>
      <c r="C271" s="543" t="s">
        <v>1809</v>
      </c>
      <c r="D271" s="543" t="str">
        <f t="shared" si="12"/>
        <v>A0435:いこま市民パワー(株)</v>
      </c>
      <c r="I271" s="146" t="s">
        <v>1098</v>
      </c>
      <c r="J271" s="146" t="s">
        <v>1608</v>
      </c>
      <c r="K271" s="544" t="s">
        <v>974</v>
      </c>
      <c r="L271" s="544">
        <v>2.5000000000000001E-4</v>
      </c>
      <c r="M271" s="544">
        <v>2.5000000000000001E-4</v>
      </c>
      <c r="N271" s="544">
        <v>2.5000000000000001E-4</v>
      </c>
      <c r="O271" s="544">
        <v>2.5000000000000001E-4</v>
      </c>
      <c r="P271" s="544">
        <v>2.5000000000000001E-4</v>
      </c>
      <c r="R271" s="543" t="str">
        <f t="shared" si="13"/>
        <v>A0076:日鉄エンジニアリング(株)メニューD</v>
      </c>
      <c r="S271" s="544">
        <f t="shared" si="14"/>
        <v>2.5000000000000001E-4</v>
      </c>
    </row>
    <row r="272" spans="2:19">
      <c r="B272" s="146" t="s">
        <v>1300</v>
      </c>
      <c r="C272" s="543" t="s">
        <v>1810</v>
      </c>
      <c r="D272" s="543" t="str">
        <f t="shared" si="12"/>
        <v>A0437:おもてなし山形(株)</v>
      </c>
      <c r="I272" s="146" t="s">
        <v>1098</v>
      </c>
      <c r="J272" s="146" t="s">
        <v>1608</v>
      </c>
      <c r="K272" s="544" t="s">
        <v>975</v>
      </c>
      <c r="L272" s="544">
        <v>6.9200000000000002E-4</v>
      </c>
      <c r="M272" s="544">
        <v>6.9200000000000002E-4</v>
      </c>
      <c r="N272" s="544">
        <v>6.9200000000000002E-4</v>
      </c>
      <c r="O272" s="544">
        <v>6.9200000000000002E-4</v>
      </c>
      <c r="P272" s="544">
        <v>6.9200000000000002E-4</v>
      </c>
      <c r="R272" s="543" t="str">
        <f t="shared" si="13"/>
        <v>A0076:日鉄エンジニアリング(株)メニューE</v>
      </c>
      <c r="S272" s="544">
        <f t="shared" si="14"/>
        <v>6.9200000000000002E-4</v>
      </c>
    </row>
    <row r="273" spans="2:19">
      <c r="B273" s="146" t="s">
        <v>1301</v>
      </c>
      <c r="C273" s="543" t="s">
        <v>1811</v>
      </c>
      <c r="D273" s="543" t="str">
        <f t="shared" si="12"/>
        <v>A0438:長野都市ガス(株)</v>
      </c>
      <c r="I273" s="146" t="s">
        <v>1098</v>
      </c>
      <c r="J273" s="146" t="s">
        <v>1608</v>
      </c>
      <c r="K273" s="544" t="s">
        <v>2058</v>
      </c>
      <c r="L273" s="544">
        <v>5.44E-4</v>
      </c>
      <c r="M273" s="544">
        <v>5.44E-4</v>
      </c>
      <c r="N273" s="544">
        <v>5.44E-4</v>
      </c>
      <c r="O273" s="544">
        <v>5.44E-4</v>
      </c>
      <c r="P273" s="544">
        <v>5.44E-4</v>
      </c>
      <c r="R273" s="543" t="str">
        <f t="shared" si="13"/>
        <v>A0076:日鉄エンジニアリング(株)(参考値)事業者全体</v>
      </c>
      <c r="S273" s="544">
        <f t="shared" si="14"/>
        <v>5.44E-4</v>
      </c>
    </row>
    <row r="274" spans="2:19">
      <c r="B274" s="146" t="s">
        <v>1302</v>
      </c>
      <c r="C274" s="543" t="s">
        <v>1812</v>
      </c>
      <c r="D274" s="543" t="str">
        <f t="shared" si="12"/>
        <v>A0439:上田ガス(株)</v>
      </c>
      <c r="I274" s="146" t="s">
        <v>1099</v>
      </c>
      <c r="J274" s="146" t="s">
        <v>1609</v>
      </c>
      <c r="K274" s="544" t="s">
        <v>710</v>
      </c>
      <c r="L274" s="544">
        <v>0</v>
      </c>
      <c r="M274" s="544">
        <v>0</v>
      </c>
      <c r="N274" s="544">
        <v>0</v>
      </c>
      <c r="O274" s="544">
        <v>0</v>
      </c>
      <c r="P274" s="544">
        <v>0</v>
      </c>
      <c r="R274" s="543" t="str">
        <f t="shared" si="13"/>
        <v>A0077:auエネルギー＆ライフ(株)メニューA</v>
      </c>
      <c r="S274" s="544">
        <f t="shared" si="14"/>
        <v>0</v>
      </c>
    </row>
    <row r="275" spans="2:19">
      <c r="B275" s="146" t="s">
        <v>1303</v>
      </c>
      <c r="C275" s="543" t="s">
        <v>1813</v>
      </c>
      <c r="D275" s="543" t="str">
        <f t="shared" si="12"/>
        <v>A0440:日本瓦斯(株)</v>
      </c>
      <c r="I275" s="146" t="s">
        <v>1099</v>
      </c>
      <c r="J275" s="146" t="s">
        <v>1609</v>
      </c>
      <c r="K275" s="544" t="s">
        <v>787</v>
      </c>
      <c r="L275" s="544">
        <v>0</v>
      </c>
      <c r="M275" s="544">
        <v>0</v>
      </c>
      <c r="N275" s="544">
        <v>0</v>
      </c>
      <c r="O275" s="544">
        <v>0</v>
      </c>
      <c r="P275" s="544">
        <v>0</v>
      </c>
      <c r="R275" s="543" t="str">
        <f t="shared" si="13"/>
        <v>A0077:auエネルギー＆ライフ(株)メニューB</v>
      </c>
      <c r="S275" s="544">
        <f t="shared" si="14"/>
        <v>0</v>
      </c>
    </row>
    <row r="276" spans="2:19">
      <c r="B276" s="146" t="s">
        <v>1304</v>
      </c>
      <c r="C276" s="543" t="s">
        <v>1814</v>
      </c>
      <c r="D276" s="543" t="str">
        <f t="shared" si="12"/>
        <v>A0442:(株)シグナストラスト</v>
      </c>
      <c r="I276" s="146" t="s">
        <v>1099</v>
      </c>
      <c r="J276" s="146" t="s">
        <v>1609</v>
      </c>
      <c r="K276" s="544" t="s">
        <v>788</v>
      </c>
      <c r="L276" s="544">
        <v>4.2499999999999998E-4</v>
      </c>
      <c r="M276" s="544">
        <v>4.2499999999999998E-4</v>
      </c>
      <c r="N276" s="544">
        <v>4.2499999999999998E-4</v>
      </c>
      <c r="O276" s="544">
        <v>4.2499999999999998E-4</v>
      </c>
      <c r="P276" s="544">
        <v>4.2499999999999998E-4</v>
      </c>
      <c r="R276" s="543" t="str">
        <f t="shared" si="13"/>
        <v>A0077:auエネルギー＆ライフ(株)メニューC</v>
      </c>
      <c r="S276" s="544">
        <f t="shared" si="14"/>
        <v>4.2499999999999998E-4</v>
      </c>
    </row>
    <row r="277" spans="2:19">
      <c r="B277" s="146" t="s">
        <v>1305</v>
      </c>
      <c r="C277" s="543" t="s">
        <v>1815</v>
      </c>
      <c r="D277" s="543" t="str">
        <f t="shared" si="12"/>
        <v>A0443:ゲーテハウス(株)</v>
      </c>
      <c r="I277" s="146" t="s">
        <v>1099</v>
      </c>
      <c r="J277" s="146" t="s">
        <v>1609</v>
      </c>
      <c r="K277" s="544" t="s">
        <v>2058</v>
      </c>
      <c r="L277" s="544">
        <v>4.0200000000000001E-4</v>
      </c>
      <c r="M277" s="544">
        <v>4.0200000000000001E-4</v>
      </c>
      <c r="N277" s="544">
        <v>4.0200000000000001E-4</v>
      </c>
      <c r="O277" s="544">
        <v>4.0200000000000001E-4</v>
      </c>
      <c r="P277" s="544">
        <v>4.0200000000000001E-4</v>
      </c>
      <c r="R277" s="543" t="str">
        <f t="shared" si="13"/>
        <v>A0077:auエネルギー＆ライフ(株)(参考値)事業者全体</v>
      </c>
      <c r="S277" s="544">
        <f t="shared" si="14"/>
        <v>4.0200000000000001E-4</v>
      </c>
    </row>
    <row r="278" spans="2:19">
      <c r="B278" s="146" t="s">
        <v>1306</v>
      </c>
      <c r="C278" s="543" t="s">
        <v>1816</v>
      </c>
      <c r="D278" s="543" t="str">
        <f t="shared" si="12"/>
        <v>A0446:JPエネルギー(株)</v>
      </c>
      <c r="I278" s="146" t="s">
        <v>1100</v>
      </c>
      <c r="J278" s="146" t="s">
        <v>1610</v>
      </c>
      <c r="K278" s="544"/>
      <c r="L278" s="544">
        <v>5.8799999999999998E-4</v>
      </c>
      <c r="M278" s="544">
        <v>5.8799999999999998E-4</v>
      </c>
      <c r="N278" s="544">
        <v>5.8799999999999998E-4</v>
      </c>
      <c r="O278" s="544">
        <v>5.8799999999999998E-4</v>
      </c>
      <c r="P278" s="544">
        <v>5.8799999999999998E-4</v>
      </c>
      <c r="R278" s="543" t="str">
        <f t="shared" si="13"/>
        <v>A0079:イワタニ関東(株)</v>
      </c>
      <c r="S278" s="544">
        <f t="shared" si="14"/>
        <v>5.8799999999999998E-4</v>
      </c>
    </row>
    <row r="279" spans="2:19">
      <c r="B279" s="146" t="s">
        <v>1307</v>
      </c>
      <c r="C279" s="543" t="s">
        <v>1817</v>
      </c>
      <c r="D279" s="543" t="str">
        <f t="shared" si="12"/>
        <v>A0447:兵庫電力(株)</v>
      </c>
      <c r="I279" s="146" t="s">
        <v>1101</v>
      </c>
      <c r="J279" s="146" t="s">
        <v>1611</v>
      </c>
      <c r="K279" s="544"/>
      <c r="L279" s="544">
        <v>5.6099999999999998E-4</v>
      </c>
      <c r="M279" s="544">
        <v>5.6099999999999998E-4</v>
      </c>
      <c r="N279" s="544">
        <v>5.6099999999999998E-4</v>
      </c>
      <c r="O279" s="544">
        <v>5.6099999999999998E-4</v>
      </c>
      <c r="P279" s="544">
        <v>5.6099999999999998E-4</v>
      </c>
      <c r="R279" s="543" t="str">
        <f t="shared" si="13"/>
        <v>A0080:イワタニ首都圏(株)</v>
      </c>
      <c r="S279" s="544">
        <f t="shared" si="14"/>
        <v>5.6099999999999998E-4</v>
      </c>
    </row>
    <row r="280" spans="2:19">
      <c r="B280" s="146" t="s">
        <v>1308</v>
      </c>
      <c r="C280" s="543" t="s">
        <v>1818</v>
      </c>
      <c r="D280" s="543" t="str">
        <f t="shared" si="12"/>
        <v>A0451:Cocoテラスたがわ(株)</v>
      </c>
      <c r="I280" s="146" t="s">
        <v>1102</v>
      </c>
      <c r="J280" s="146" t="s">
        <v>1612</v>
      </c>
      <c r="K280" s="544" t="s">
        <v>710</v>
      </c>
      <c r="L280" s="544">
        <v>0</v>
      </c>
      <c r="M280" s="544">
        <v>0</v>
      </c>
      <c r="N280" s="544">
        <v>0</v>
      </c>
      <c r="O280" s="544">
        <v>0</v>
      </c>
      <c r="P280" s="544">
        <v>0</v>
      </c>
      <c r="R280" s="543" t="str">
        <f t="shared" si="13"/>
        <v>A0081:サーラeエナジー(株)メニューA</v>
      </c>
      <c r="S280" s="544">
        <f t="shared" si="14"/>
        <v>0</v>
      </c>
    </row>
    <row r="281" spans="2:19">
      <c r="B281" s="146" t="s">
        <v>1309</v>
      </c>
      <c r="C281" s="543" t="s">
        <v>1819</v>
      </c>
      <c r="D281" s="543" t="str">
        <f t="shared" si="12"/>
        <v>A0452:東北電力エナジートレーディング(株)</v>
      </c>
      <c r="I281" s="146" t="s">
        <v>1102</v>
      </c>
      <c r="J281" s="146" t="s">
        <v>1612</v>
      </c>
      <c r="K281" s="544" t="s">
        <v>787</v>
      </c>
      <c r="L281" s="544">
        <v>3.8699999999999997E-4</v>
      </c>
      <c r="M281" s="544">
        <v>3.8699999999999997E-4</v>
      </c>
      <c r="N281" s="544">
        <v>3.8699999999999997E-4</v>
      </c>
      <c r="O281" s="544">
        <v>3.8699999999999997E-4</v>
      </c>
      <c r="P281" s="544">
        <v>3.8699999999999997E-4</v>
      </c>
      <c r="R281" s="543" t="str">
        <f t="shared" si="13"/>
        <v>A0081:サーラeエナジー(株)メニューB</v>
      </c>
      <c r="S281" s="544">
        <f t="shared" si="14"/>
        <v>3.8699999999999997E-4</v>
      </c>
    </row>
    <row r="282" spans="2:19">
      <c r="B282" s="146" t="s">
        <v>1310</v>
      </c>
      <c r="C282" s="543" t="s">
        <v>1820</v>
      </c>
      <c r="D282" s="543" t="str">
        <f t="shared" si="12"/>
        <v>A0454:(株)まち未来製作所</v>
      </c>
      <c r="I282" s="146" t="s">
        <v>1102</v>
      </c>
      <c r="J282" s="146" t="s">
        <v>1612</v>
      </c>
      <c r="K282" s="544" t="s">
        <v>788</v>
      </c>
      <c r="L282" s="544">
        <v>4.2000000000000002E-4</v>
      </c>
      <c r="M282" s="544">
        <v>4.2000000000000002E-4</v>
      </c>
      <c r="N282" s="544">
        <v>4.2000000000000002E-4</v>
      </c>
      <c r="O282" s="544">
        <v>4.2000000000000002E-4</v>
      </c>
      <c r="P282" s="544">
        <v>4.2000000000000002E-4</v>
      </c>
      <c r="R282" s="543" t="str">
        <f t="shared" si="13"/>
        <v>A0081:サーラeエナジー(株)メニューC</v>
      </c>
      <c r="S282" s="544">
        <f t="shared" si="14"/>
        <v>4.2000000000000002E-4</v>
      </c>
    </row>
    <row r="283" spans="2:19">
      <c r="B283" s="146" t="s">
        <v>1311</v>
      </c>
      <c r="C283" s="543" t="s">
        <v>1821</v>
      </c>
      <c r="D283" s="543" t="str">
        <f t="shared" si="12"/>
        <v>A0456:(株)どさんこパワー</v>
      </c>
      <c r="I283" s="146" t="s">
        <v>1102</v>
      </c>
      <c r="J283" s="146" t="s">
        <v>1612</v>
      </c>
      <c r="K283" s="544" t="s">
        <v>2058</v>
      </c>
      <c r="L283" s="544">
        <v>4.1300000000000001E-4</v>
      </c>
      <c r="M283" s="544">
        <v>4.1300000000000001E-4</v>
      </c>
      <c r="N283" s="544">
        <v>4.1300000000000001E-4</v>
      </c>
      <c r="O283" s="544">
        <v>4.1300000000000001E-4</v>
      </c>
      <c r="P283" s="544">
        <v>4.1300000000000001E-4</v>
      </c>
      <c r="R283" s="543" t="str">
        <f t="shared" si="13"/>
        <v>A0081:サーラeエナジー(株)(参考値)事業者全体</v>
      </c>
      <c r="S283" s="544">
        <f t="shared" si="14"/>
        <v>4.1300000000000001E-4</v>
      </c>
    </row>
    <row r="284" spans="2:19">
      <c r="B284" s="146" t="s">
        <v>1312</v>
      </c>
      <c r="C284" s="543" t="s">
        <v>1822</v>
      </c>
      <c r="D284" s="543" t="str">
        <f t="shared" si="12"/>
        <v>A0457:トリニティエナジー(株)</v>
      </c>
      <c r="I284" s="146" t="s">
        <v>1103</v>
      </c>
      <c r="J284" s="146" t="s">
        <v>1613</v>
      </c>
      <c r="K284" s="544" t="s">
        <v>710</v>
      </c>
      <c r="L284" s="544">
        <v>0</v>
      </c>
      <c r="M284" s="544">
        <v>0</v>
      </c>
      <c r="N284" s="544">
        <v>0</v>
      </c>
      <c r="O284" s="544">
        <v>0</v>
      </c>
      <c r="P284" s="544">
        <v>0</v>
      </c>
      <c r="R284" s="543" t="str">
        <f t="shared" si="13"/>
        <v>A0082:(株)地球クラブメニューA</v>
      </c>
      <c r="S284" s="544">
        <f t="shared" si="14"/>
        <v>0</v>
      </c>
    </row>
    <row r="285" spans="2:19">
      <c r="B285" s="146" t="s">
        <v>1313</v>
      </c>
      <c r="C285" s="543" t="s">
        <v>1823</v>
      </c>
      <c r="D285" s="543" t="str">
        <f t="shared" si="12"/>
        <v>A0461:(株)LIXIL TEPCO スマートパートナーズ</v>
      </c>
      <c r="I285" s="146" t="s">
        <v>1103</v>
      </c>
      <c r="J285" s="146" t="s">
        <v>1613</v>
      </c>
      <c r="K285" s="544" t="s">
        <v>787</v>
      </c>
      <c r="L285" s="544">
        <v>3.7199999999999999E-4</v>
      </c>
      <c r="M285" s="544">
        <v>3.7199999999999999E-4</v>
      </c>
      <c r="N285" s="544">
        <v>3.7199999999999999E-4</v>
      </c>
      <c r="O285" s="544">
        <v>3.7199999999999999E-4</v>
      </c>
      <c r="P285" s="544">
        <v>3.7199999999999999E-4</v>
      </c>
      <c r="R285" s="543" t="str">
        <f t="shared" si="13"/>
        <v>A0082:(株)地球クラブメニューB</v>
      </c>
      <c r="S285" s="544">
        <f t="shared" si="14"/>
        <v>3.7199999999999999E-4</v>
      </c>
    </row>
    <row r="286" spans="2:19">
      <c r="B286" s="146" t="s">
        <v>1314</v>
      </c>
      <c r="C286" s="543" t="s">
        <v>1824</v>
      </c>
      <c r="D286" s="543" t="str">
        <f t="shared" si="12"/>
        <v>A0463:(株)NEXT ONE</v>
      </c>
      <c r="I286" s="146" t="s">
        <v>1103</v>
      </c>
      <c r="J286" s="146" t="s">
        <v>1613</v>
      </c>
      <c r="K286" s="544" t="s">
        <v>2058</v>
      </c>
      <c r="L286" s="544">
        <v>3.3599999999999998E-4</v>
      </c>
      <c r="M286" s="544">
        <v>3.3599999999999998E-4</v>
      </c>
      <c r="N286" s="544">
        <v>3.3599999999999998E-4</v>
      </c>
      <c r="O286" s="544">
        <v>3.3599999999999998E-4</v>
      </c>
      <c r="P286" s="544">
        <v>3.3599999999999998E-4</v>
      </c>
      <c r="R286" s="543" t="str">
        <f t="shared" si="13"/>
        <v>A0082:(株)地球クラブ(参考値)事業者全体</v>
      </c>
      <c r="S286" s="544">
        <f t="shared" si="14"/>
        <v>3.3599999999999998E-4</v>
      </c>
    </row>
    <row r="287" spans="2:19">
      <c r="B287" s="146" t="s">
        <v>1315</v>
      </c>
      <c r="C287" s="543" t="s">
        <v>1825</v>
      </c>
      <c r="D287" s="543" t="str">
        <f t="shared" si="12"/>
        <v>A0465:(株)テラス(旧：(株)ネオ・コーポレーション)</v>
      </c>
      <c r="I287" s="146" t="s">
        <v>1104</v>
      </c>
      <c r="J287" s="146" t="s">
        <v>1614</v>
      </c>
      <c r="K287" s="544" t="s">
        <v>710</v>
      </c>
      <c r="L287" s="544">
        <v>0</v>
      </c>
      <c r="M287" s="544">
        <v>0</v>
      </c>
      <c r="N287" s="544">
        <v>0</v>
      </c>
      <c r="O287" s="544">
        <v>0</v>
      </c>
      <c r="P287" s="544">
        <v>0</v>
      </c>
      <c r="R287" s="543" t="str">
        <f t="shared" si="13"/>
        <v>A0084:西部瓦斯(株)メニューA</v>
      </c>
      <c r="S287" s="544">
        <f t="shared" si="14"/>
        <v>0</v>
      </c>
    </row>
    <row r="288" spans="2:19">
      <c r="B288" s="146" t="s">
        <v>1316</v>
      </c>
      <c r="C288" s="543" t="s">
        <v>1826</v>
      </c>
      <c r="D288" s="543" t="str">
        <f t="shared" si="12"/>
        <v>A0467:つばさでんき(株)(旧：(株)アルファライズ)</v>
      </c>
      <c r="I288" s="146" t="s">
        <v>1104</v>
      </c>
      <c r="J288" s="146" t="s">
        <v>1614</v>
      </c>
      <c r="K288" s="544" t="s">
        <v>787</v>
      </c>
      <c r="L288" s="544">
        <v>4.5399999999999998E-4</v>
      </c>
      <c r="M288" s="544">
        <v>4.5399999999999998E-4</v>
      </c>
      <c r="N288" s="544">
        <v>4.5399999999999998E-4</v>
      </c>
      <c r="O288" s="544">
        <v>4.5399999999999998E-4</v>
      </c>
      <c r="P288" s="544">
        <v>4.5399999999999998E-4</v>
      </c>
      <c r="R288" s="543" t="str">
        <f t="shared" si="13"/>
        <v>A0084:西部瓦斯(株)メニューB</v>
      </c>
      <c r="S288" s="544">
        <f t="shared" si="14"/>
        <v>4.5399999999999998E-4</v>
      </c>
    </row>
    <row r="289" spans="2:19">
      <c r="B289" s="146" t="s">
        <v>1317</v>
      </c>
      <c r="C289" s="543" t="s">
        <v>1827</v>
      </c>
      <c r="D289" s="543" t="str">
        <f t="shared" si="12"/>
        <v>A0468:おおすみ半島スマートエネルギー(株)</v>
      </c>
      <c r="I289" s="146" t="s">
        <v>1104</v>
      </c>
      <c r="J289" s="146" t="s">
        <v>1614</v>
      </c>
      <c r="K289" s="544" t="s">
        <v>2058</v>
      </c>
      <c r="L289" s="544">
        <v>4.1399999999999998E-4</v>
      </c>
      <c r="M289" s="544">
        <v>4.1399999999999998E-4</v>
      </c>
      <c r="N289" s="544">
        <v>4.1399999999999998E-4</v>
      </c>
      <c r="O289" s="544">
        <v>4.1399999999999998E-4</v>
      </c>
      <c r="P289" s="544">
        <v>4.1399999999999998E-4</v>
      </c>
      <c r="R289" s="543" t="str">
        <f t="shared" si="13"/>
        <v>A0084:西部瓦斯(株)(参考値)事業者全体</v>
      </c>
      <c r="S289" s="544">
        <f t="shared" si="14"/>
        <v>4.1399999999999998E-4</v>
      </c>
    </row>
    <row r="290" spans="2:19">
      <c r="B290" s="146" t="s">
        <v>1318</v>
      </c>
      <c r="C290" s="543" t="s">
        <v>1828</v>
      </c>
      <c r="D290" s="543" t="str">
        <f t="shared" si="12"/>
        <v>A0470:おきなわコープエナジー(株)</v>
      </c>
      <c r="I290" s="146" t="s">
        <v>1105</v>
      </c>
      <c r="J290" s="146" t="s">
        <v>1615</v>
      </c>
      <c r="K290" s="544" t="s">
        <v>710</v>
      </c>
      <c r="L290" s="544">
        <v>3.2000000000000003E-4</v>
      </c>
      <c r="M290" s="544">
        <v>3.2000000000000003E-4</v>
      </c>
      <c r="N290" s="544">
        <v>3.2000000000000003E-4</v>
      </c>
      <c r="O290" s="544">
        <v>3.2000000000000003E-4</v>
      </c>
      <c r="P290" s="544">
        <v>3.2000000000000003E-4</v>
      </c>
      <c r="R290" s="543" t="str">
        <f t="shared" si="13"/>
        <v>A0085:東邦ガス(株)メニューA</v>
      </c>
      <c r="S290" s="544">
        <f t="shared" si="14"/>
        <v>3.2000000000000003E-4</v>
      </c>
    </row>
    <row r="291" spans="2:19">
      <c r="B291" s="146" t="s">
        <v>1319</v>
      </c>
      <c r="C291" s="543" t="s">
        <v>1829</v>
      </c>
      <c r="D291" s="543" t="str">
        <f t="shared" si="12"/>
        <v>A0471:久慈地域エネルギー(株)</v>
      </c>
      <c r="I291" s="146" t="s">
        <v>1105</v>
      </c>
      <c r="J291" s="146" t="s">
        <v>1615</v>
      </c>
      <c r="K291" s="544" t="s">
        <v>787</v>
      </c>
      <c r="L291" s="544">
        <v>0</v>
      </c>
      <c r="M291" s="544">
        <v>0</v>
      </c>
      <c r="N291" s="544">
        <v>0</v>
      </c>
      <c r="O291" s="544">
        <v>0</v>
      </c>
      <c r="P291" s="544">
        <v>0</v>
      </c>
      <c r="R291" s="543" t="str">
        <f t="shared" si="13"/>
        <v>A0085:東邦ガス(株)メニューB</v>
      </c>
      <c r="S291" s="544">
        <f t="shared" si="14"/>
        <v>0</v>
      </c>
    </row>
    <row r="292" spans="2:19">
      <c r="B292" s="146" t="s">
        <v>1320</v>
      </c>
      <c r="C292" s="543" t="s">
        <v>1830</v>
      </c>
      <c r="D292" s="543" t="str">
        <f t="shared" si="12"/>
        <v>A0472:弘前ガス(株)</v>
      </c>
      <c r="I292" s="146" t="s">
        <v>1105</v>
      </c>
      <c r="J292" s="146" t="s">
        <v>1615</v>
      </c>
      <c r="K292" s="544" t="s">
        <v>788</v>
      </c>
      <c r="L292" s="544">
        <v>5.4299999999999997E-4</v>
      </c>
      <c r="M292" s="544">
        <v>5.4299999999999997E-4</v>
      </c>
      <c r="N292" s="544">
        <v>5.4299999999999997E-4</v>
      </c>
      <c r="O292" s="544">
        <v>5.4299999999999997E-4</v>
      </c>
      <c r="P292" s="544">
        <v>5.4299999999999997E-4</v>
      </c>
      <c r="R292" s="543" t="str">
        <f t="shared" si="13"/>
        <v>A0085:東邦ガス(株)メニューC</v>
      </c>
      <c r="S292" s="544">
        <f t="shared" si="14"/>
        <v>5.4299999999999997E-4</v>
      </c>
    </row>
    <row r="293" spans="2:19">
      <c r="B293" s="146" t="s">
        <v>1321</v>
      </c>
      <c r="C293" s="543" t="s">
        <v>1831</v>
      </c>
      <c r="D293" s="543" t="str">
        <f t="shared" si="12"/>
        <v>A0473:(株)フォーバルテレコム</v>
      </c>
      <c r="I293" s="146" t="s">
        <v>1105</v>
      </c>
      <c r="J293" s="146" t="s">
        <v>1615</v>
      </c>
      <c r="K293" s="544" t="s">
        <v>2058</v>
      </c>
      <c r="L293" s="544">
        <v>5.1400000000000003E-4</v>
      </c>
      <c r="M293" s="544">
        <v>5.1400000000000003E-4</v>
      </c>
      <c r="N293" s="544">
        <v>5.1400000000000003E-4</v>
      </c>
      <c r="O293" s="544">
        <v>5.1400000000000003E-4</v>
      </c>
      <c r="P293" s="544">
        <v>5.1400000000000003E-4</v>
      </c>
      <c r="R293" s="543" t="str">
        <f t="shared" si="13"/>
        <v>A0085:東邦ガス(株)(参考値)事業者全体</v>
      </c>
      <c r="S293" s="544">
        <f t="shared" si="14"/>
        <v>5.1400000000000003E-4</v>
      </c>
    </row>
    <row r="294" spans="2:19">
      <c r="B294" s="146" t="s">
        <v>1322</v>
      </c>
      <c r="C294" s="543" t="s">
        <v>1832</v>
      </c>
      <c r="D294" s="543" t="str">
        <f t="shared" si="12"/>
        <v>A0476:(株)ストエネ</v>
      </c>
      <c r="I294" s="146" t="s">
        <v>1106</v>
      </c>
      <c r="J294" s="146" t="s">
        <v>1616</v>
      </c>
      <c r="K294" s="544" t="s">
        <v>710</v>
      </c>
      <c r="L294" s="544">
        <v>0</v>
      </c>
      <c r="M294" s="544">
        <v>0</v>
      </c>
      <c r="N294" s="544">
        <v>0</v>
      </c>
      <c r="O294" s="544">
        <v>0</v>
      </c>
      <c r="P294" s="544">
        <v>0</v>
      </c>
      <c r="R294" s="543" t="str">
        <f t="shared" si="13"/>
        <v>A0086:シナネン(株)メニューA</v>
      </c>
      <c r="S294" s="544">
        <f t="shared" si="14"/>
        <v>0</v>
      </c>
    </row>
    <row r="295" spans="2:19">
      <c r="B295" s="146" t="s">
        <v>1323</v>
      </c>
      <c r="C295" s="543" t="s">
        <v>1833</v>
      </c>
      <c r="D295" s="543" t="str">
        <f t="shared" si="12"/>
        <v>A0477:くるめエネルギー(株)</v>
      </c>
      <c r="I295" s="146" t="s">
        <v>1106</v>
      </c>
      <c r="J295" s="146" t="s">
        <v>1616</v>
      </c>
      <c r="K295" s="544" t="s">
        <v>787</v>
      </c>
      <c r="L295" s="544">
        <v>1.25E-4</v>
      </c>
      <c r="M295" s="544">
        <v>1.25E-4</v>
      </c>
      <c r="N295" s="544">
        <v>1.25E-4</v>
      </c>
      <c r="O295" s="544">
        <v>1.25E-4</v>
      </c>
      <c r="P295" s="544">
        <v>1.25E-4</v>
      </c>
      <c r="R295" s="543" t="str">
        <f t="shared" si="13"/>
        <v>A0086:シナネン(株)メニューB</v>
      </c>
      <c r="S295" s="544">
        <f t="shared" si="14"/>
        <v>1.25E-4</v>
      </c>
    </row>
    <row r="296" spans="2:19">
      <c r="B296" s="146" t="s">
        <v>1324</v>
      </c>
      <c r="C296" s="543" t="s">
        <v>1834</v>
      </c>
      <c r="D296" s="543" t="str">
        <f t="shared" si="12"/>
        <v>A0480:松阪新電力(株)</v>
      </c>
      <c r="I296" s="146" t="s">
        <v>1106</v>
      </c>
      <c r="J296" s="146" t="s">
        <v>1616</v>
      </c>
      <c r="K296" s="544" t="s">
        <v>788</v>
      </c>
      <c r="L296" s="544">
        <v>1.7799999999999999E-4</v>
      </c>
      <c r="M296" s="544">
        <v>1.7799999999999999E-4</v>
      </c>
      <c r="N296" s="544">
        <v>1.7799999999999999E-4</v>
      </c>
      <c r="O296" s="544">
        <v>1.7799999999999999E-4</v>
      </c>
      <c r="P296" s="544">
        <v>1.7799999999999999E-4</v>
      </c>
      <c r="R296" s="543" t="str">
        <f t="shared" si="13"/>
        <v>A0086:シナネン(株)メニューC</v>
      </c>
      <c r="S296" s="544">
        <f t="shared" si="14"/>
        <v>1.7799999999999999E-4</v>
      </c>
    </row>
    <row r="297" spans="2:19">
      <c r="B297" s="146" t="s">
        <v>1325</v>
      </c>
      <c r="C297" s="543" t="s">
        <v>1835</v>
      </c>
      <c r="D297" s="543" t="str">
        <f t="shared" si="12"/>
        <v>A0481:ヒューリックプロパティソリューション(株)</v>
      </c>
      <c r="I297" s="146" t="s">
        <v>1106</v>
      </c>
      <c r="J297" s="146" t="s">
        <v>1616</v>
      </c>
      <c r="K297" s="544" t="s">
        <v>974</v>
      </c>
      <c r="L297" s="544">
        <v>2.4699999999999999E-4</v>
      </c>
      <c r="M297" s="544">
        <v>2.4699999999999999E-4</v>
      </c>
      <c r="N297" s="544">
        <v>2.4699999999999999E-4</v>
      </c>
      <c r="O297" s="544">
        <v>2.4699999999999999E-4</v>
      </c>
      <c r="P297" s="544">
        <v>2.4699999999999999E-4</v>
      </c>
      <c r="R297" s="543" t="str">
        <f t="shared" si="13"/>
        <v>A0086:シナネン(株)メニューD</v>
      </c>
      <c r="S297" s="544">
        <f t="shared" si="14"/>
        <v>2.4699999999999999E-4</v>
      </c>
    </row>
    <row r="298" spans="2:19">
      <c r="B298" s="146" t="s">
        <v>1326</v>
      </c>
      <c r="C298" s="543" t="s">
        <v>1836</v>
      </c>
      <c r="D298" s="543" t="str">
        <f t="shared" si="12"/>
        <v>A0482:宮崎電力(株)</v>
      </c>
      <c r="I298" s="146" t="s">
        <v>1106</v>
      </c>
      <c r="J298" s="146" t="s">
        <v>1616</v>
      </c>
      <c r="K298" s="544" t="s">
        <v>975</v>
      </c>
      <c r="L298" s="544">
        <v>3.8099999999999999E-4</v>
      </c>
      <c r="M298" s="544">
        <v>3.8099999999999999E-4</v>
      </c>
      <c r="N298" s="544">
        <v>3.8099999999999999E-4</v>
      </c>
      <c r="O298" s="544">
        <v>3.8099999999999999E-4</v>
      </c>
      <c r="P298" s="544">
        <v>3.8099999999999999E-4</v>
      </c>
      <c r="R298" s="543" t="str">
        <f t="shared" si="13"/>
        <v>A0086:シナネン(株)メニューE</v>
      </c>
      <c r="S298" s="544">
        <f t="shared" si="14"/>
        <v>3.8099999999999999E-4</v>
      </c>
    </row>
    <row r="299" spans="2:19">
      <c r="B299" s="146" t="s">
        <v>1327</v>
      </c>
      <c r="C299" s="543" t="s">
        <v>1837</v>
      </c>
      <c r="D299" s="543" t="str">
        <f t="shared" si="12"/>
        <v>A0490:(株)CDエナジーダイレクト</v>
      </c>
      <c r="I299" s="146" t="s">
        <v>1106</v>
      </c>
      <c r="J299" s="146" t="s">
        <v>1616</v>
      </c>
      <c r="K299" s="544" t="s">
        <v>2059</v>
      </c>
      <c r="L299" s="544">
        <v>2.9E-4</v>
      </c>
      <c r="M299" s="544">
        <v>2.9E-4</v>
      </c>
      <c r="N299" s="544">
        <v>2.9E-4</v>
      </c>
      <c r="O299" s="544">
        <v>2.9E-4</v>
      </c>
      <c r="P299" s="544">
        <v>2.9E-4</v>
      </c>
      <c r="R299" s="543" t="str">
        <f t="shared" si="13"/>
        <v>A0086:シナネン(株)メニューF</v>
      </c>
      <c r="S299" s="544">
        <f t="shared" si="14"/>
        <v>2.9E-4</v>
      </c>
    </row>
    <row r="300" spans="2:19">
      <c r="B300" s="146" t="s">
        <v>1328</v>
      </c>
      <c r="C300" s="543" t="s">
        <v>1838</v>
      </c>
      <c r="D300" s="543" t="str">
        <f t="shared" si="12"/>
        <v>A0491:Q.ENESTでんき(株)</v>
      </c>
      <c r="I300" s="146" t="s">
        <v>1106</v>
      </c>
      <c r="J300" s="146" t="s">
        <v>1616</v>
      </c>
      <c r="K300" s="544" t="s">
        <v>2060</v>
      </c>
      <c r="L300" s="544">
        <v>3.8999999999999999E-4</v>
      </c>
      <c r="M300" s="544">
        <v>3.8999999999999999E-4</v>
      </c>
      <c r="N300" s="544">
        <v>3.8999999999999999E-4</v>
      </c>
      <c r="O300" s="544">
        <v>3.8999999999999999E-4</v>
      </c>
      <c r="P300" s="544">
        <v>3.8999999999999999E-4</v>
      </c>
      <c r="R300" s="543" t="str">
        <f t="shared" si="13"/>
        <v>A0086:シナネン(株)メニューG</v>
      </c>
      <c r="S300" s="544">
        <f t="shared" si="14"/>
        <v>3.8999999999999999E-4</v>
      </c>
    </row>
    <row r="301" spans="2:19">
      <c r="B301" s="146" t="s">
        <v>1329</v>
      </c>
      <c r="C301" s="543" t="s">
        <v>1839</v>
      </c>
      <c r="D301" s="543" t="str">
        <f t="shared" si="12"/>
        <v>A0493:(株)ぶんごおおのエナジー</v>
      </c>
      <c r="I301" s="146" t="s">
        <v>1106</v>
      </c>
      <c r="J301" s="146" t="s">
        <v>1616</v>
      </c>
      <c r="K301" s="544" t="s">
        <v>2061</v>
      </c>
      <c r="L301" s="544">
        <v>0</v>
      </c>
      <c r="M301" s="544">
        <v>0</v>
      </c>
      <c r="N301" s="544">
        <v>0</v>
      </c>
      <c r="O301" s="544">
        <v>0</v>
      </c>
      <c r="P301" s="544">
        <v>0</v>
      </c>
      <c r="R301" s="543" t="str">
        <f t="shared" si="13"/>
        <v>A0086:シナネン(株)メニューH</v>
      </c>
      <c r="S301" s="544">
        <f t="shared" si="14"/>
        <v>0</v>
      </c>
    </row>
    <row r="302" spans="2:19">
      <c r="B302" s="146" t="s">
        <v>1330</v>
      </c>
      <c r="C302" s="543" t="s">
        <v>1840</v>
      </c>
      <c r="D302" s="543" t="str">
        <f t="shared" si="12"/>
        <v>A0494:ヴィジョナリーパワー(株)</v>
      </c>
      <c r="I302" s="146" t="s">
        <v>1106</v>
      </c>
      <c r="J302" s="146" t="s">
        <v>1616</v>
      </c>
      <c r="K302" s="544" t="s">
        <v>2058</v>
      </c>
      <c r="L302" s="544">
        <v>1.5E-5</v>
      </c>
      <c r="M302" s="544">
        <v>1.5E-5</v>
      </c>
      <c r="N302" s="544">
        <v>1.5E-5</v>
      </c>
      <c r="O302" s="544">
        <v>1.5E-5</v>
      </c>
      <c r="P302" s="544">
        <v>1.5E-5</v>
      </c>
      <c r="R302" s="543" t="str">
        <f t="shared" si="13"/>
        <v>A0086:シナネン(株)(参考値)事業者全体</v>
      </c>
      <c r="S302" s="544">
        <f t="shared" si="14"/>
        <v>1.5E-5</v>
      </c>
    </row>
    <row r="303" spans="2:19">
      <c r="B303" s="146" t="s">
        <v>1331</v>
      </c>
      <c r="C303" s="543" t="s">
        <v>1841</v>
      </c>
      <c r="D303" s="543" t="str">
        <f t="shared" si="12"/>
        <v>A0495:有明エナジー(株)</v>
      </c>
      <c r="I303" s="146" t="s">
        <v>1107</v>
      </c>
      <c r="J303" s="146" t="s">
        <v>1617</v>
      </c>
      <c r="K303" s="544" t="s">
        <v>710</v>
      </c>
      <c r="L303" s="544">
        <v>0</v>
      </c>
      <c r="M303" s="544">
        <v>0</v>
      </c>
      <c r="N303" s="544">
        <v>0</v>
      </c>
      <c r="O303" s="544">
        <v>0</v>
      </c>
      <c r="P303" s="544">
        <v>0</v>
      </c>
      <c r="R303" s="543" t="str">
        <f t="shared" si="13"/>
        <v>A0088:カワサキグリーンエナジー(株)メニューA</v>
      </c>
      <c r="S303" s="544">
        <f t="shared" si="14"/>
        <v>0</v>
      </c>
    </row>
    <row r="304" spans="2:19">
      <c r="B304" s="146" t="s">
        <v>1332</v>
      </c>
      <c r="C304" s="543" t="s">
        <v>1842</v>
      </c>
      <c r="D304" s="543" t="str">
        <f t="shared" si="12"/>
        <v>A0499:厚木瓦斯(株)</v>
      </c>
      <c r="I304" s="146" t="s">
        <v>1107</v>
      </c>
      <c r="J304" s="146" t="s">
        <v>1617</v>
      </c>
      <c r="K304" s="544" t="s">
        <v>787</v>
      </c>
      <c r="L304" s="544">
        <v>2.9999999999999997E-4</v>
      </c>
      <c r="M304" s="544">
        <v>2.9999999999999997E-4</v>
      </c>
      <c r="N304" s="544">
        <v>2.9999999999999997E-4</v>
      </c>
      <c r="O304" s="544">
        <v>2.9999999999999997E-4</v>
      </c>
      <c r="P304" s="544">
        <v>2.9999999999999997E-4</v>
      </c>
      <c r="R304" s="543" t="str">
        <f t="shared" si="13"/>
        <v>A0088:カワサキグリーンエナジー(株)メニューB</v>
      </c>
      <c r="S304" s="544">
        <f t="shared" si="14"/>
        <v>2.9999999999999997E-4</v>
      </c>
    </row>
    <row r="305" spans="2:19">
      <c r="B305" s="146" t="s">
        <v>1333</v>
      </c>
      <c r="C305" s="543" t="s">
        <v>1843</v>
      </c>
      <c r="D305" s="543" t="str">
        <f t="shared" si="12"/>
        <v>A0500:(株)エネ・ビジョン</v>
      </c>
      <c r="I305" s="146" t="s">
        <v>1107</v>
      </c>
      <c r="J305" s="146" t="s">
        <v>1617</v>
      </c>
      <c r="K305" s="544" t="s">
        <v>788</v>
      </c>
      <c r="L305" s="544">
        <v>5.3799999999999996E-4</v>
      </c>
      <c r="M305" s="544">
        <v>5.3799999999999996E-4</v>
      </c>
      <c r="N305" s="544">
        <v>5.3799999999999996E-4</v>
      </c>
      <c r="O305" s="544">
        <v>5.3799999999999996E-4</v>
      </c>
      <c r="P305" s="544">
        <v>5.3799999999999996E-4</v>
      </c>
      <c r="R305" s="543" t="str">
        <f t="shared" si="13"/>
        <v>A0088:カワサキグリーンエナジー(株)メニューC</v>
      </c>
      <c r="S305" s="544">
        <f t="shared" si="14"/>
        <v>5.3799999999999996E-4</v>
      </c>
    </row>
    <row r="306" spans="2:19">
      <c r="B306" s="146" t="s">
        <v>1334</v>
      </c>
      <c r="C306" s="543" t="s">
        <v>1844</v>
      </c>
      <c r="D306" s="543" t="str">
        <f t="shared" si="12"/>
        <v>A0501:イワタニ三重(株)</v>
      </c>
      <c r="I306" s="146" t="s">
        <v>1107</v>
      </c>
      <c r="J306" s="146" t="s">
        <v>1617</v>
      </c>
      <c r="K306" s="544" t="s">
        <v>2058</v>
      </c>
      <c r="L306" s="544">
        <v>3.9199999999999999E-4</v>
      </c>
      <c r="M306" s="544">
        <v>3.9199999999999999E-4</v>
      </c>
      <c r="N306" s="544">
        <v>3.9199999999999999E-4</v>
      </c>
      <c r="O306" s="544">
        <v>3.9199999999999999E-4</v>
      </c>
      <c r="P306" s="544">
        <v>3.9199999999999999E-4</v>
      </c>
      <c r="R306" s="543" t="str">
        <f t="shared" si="13"/>
        <v>A0088:カワサキグリーンエナジー(株)(参考値)事業者全体</v>
      </c>
      <c r="S306" s="544">
        <f t="shared" si="14"/>
        <v>3.9199999999999999E-4</v>
      </c>
    </row>
    <row r="307" spans="2:19">
      <c r="B307" s="146" t="s">
        <v>1335</v>
      </c>
      <c r="C307" s="543" t="s">
        <v>1845</v>
      </c>
      <c r="D307" s="543" t="str">
        <f t="shared" si="12"/>
        <v>A0502:(株)マルヰ</v>
      </c>
      <c r="I307" s="146" t="s">
        <v>1108</v>
      </c>
      <c r="J307" s="146" t="s">
        <v>1618</v>
      </c>
      <c r="K307" s="544" t="s">
        <v>710</v>
      </c>
      <c r="L307" s="544">
        <v>0</v>
      </c>
      <c r="M307" s="544">
        <v>0</v>
      </c>
      <c r="N307" s="544">
        <v>0</v>
      </c>
      <c r="O307" s="544">
        <v>0</v>
      </c>
      <c r="P307" s="544">
        <v>0</v>
      </c>
      <c r="R307" s="543" t="str">
        <f t="shared" si="13"/>
        <v>A0089:大一ガス(株)メニューA</v>
      </c>
      <c r="S307" s="544">
        <f t="shared" si="14"/>
        <v>0</v>
      </c>
    </row>
    <row r="308" spans="2:19">
      <c r="B308" s="146" t="s">
        <v>1336</v>
      </c>
      <c r="C308" s="543" t="s">
        <v>1846</v>
      </c>
      <c r="D308" s="543" t="str">
        <f t="shared" si="12"/>
        <v>A0503:大多喜ガス(株)</v>
      </c>
      <c r="I308" s="146" t="s">
        <v>1108</v>
      </c>
      <c r="J308" s="146" t="s">
        <v>1618</v>
      </c>
      <c r="K308" s="544" t="s">
        <v>787</v>
      </c>
      <c r="L308" s="544">
        <v>4.57E-4</v>
      </c>
      <c r="M308" s="544">
        <v>4.57E-4</v>
      </c>
      <c r="N308" s="544">
        <v>4.57E-4</v>
      </c>
      <c r="O308" s="544">
        <v>4.57E-4</v>
      </c>
      <c r="P308" s="544">
        <v>4.57E-4</v>
      </c>
      <c r="R308" s="543" t="str">
        <f t="shared" si="13"/>
        <v>A0089:大一ガス(株)メニューB</v>
      </c>
      <c r="S308" s="544">
        <f t="shared" si="14"/>
        <v>4.57E-4</v>
      </c>
    </row>
    <row r="309" spans="2:19">
      <c r="B309" s="146" t="s">
        <v>1337</v>
      </c>
      <c r="C309" s="543" t="s">
        <v>1847</v>
      </c>
      <c r="D309" s="543" t="str">
        <f t="shared" si="12"/>
        <v>A0506:鈴与電力(株)</v>
      </c>
      <c r="I309" s="146" t="s">
        <v>1108</v>
      </c>
      <c r="J309" s="146" t="s">
        <v>1618</v>
      </c>
      <c r="K309" s="544" t="s">
        <v>788</v>
      </c>
      <c r="L309" s="544">
        <v>5.1699999999999999E-4</v>
      </c>
      <c r="M309" s="544">
        <v>5.1699999999999999E-4</v>
      </c>
      <c r="N309" s="544">
        <v>5.1699999999999999E-4</v>
      </c>
      <c r="O309" s="544">
        <v>5.1699999999999999E-4</v>
      </c>
      <c r="P309" s="544">
        <v>5.1699999999999999E-4</v>
      </c>
      <c r="R309" s="543" t="str">
        <f t="shared" si="13"/>
        <v>A0089:大一ガス(株)メニューC</v>
      </c>
      <c r="S309" s="544">
        <f t="shared" si="14"/>
        <v>5.1699999999999999E-4</v>
      </c>
    </row>
    <row r="310" spans="2:19">
      <c r="B310" s="146" t="s">
        <v>1338</v>
      </c>
      <c r="C310" s="543" t="s">
        <v>1848</v>
      </c>
      <c r="D310" s="543" t="str">
        <f t="shared" si="12"/>
        <v>A0507:コープ電力(株)</v>
      </c>
      <c r="I310" s="146" t="s">
        <v>1108</v>
      </c>
      <c r="J310" s="146" t="s">
        <v>1618</v>
      </c>
      <c r="K310" s="544" t="s">
        <v>2058</v>
      </c>
      <c r="L310" s="544">
        <v>5.13E-4</v>
      </c>
      <c r="M310" s="544">
        <v>5.13E-4</v>
      </c>
      <c r="N310" s="544">
        <v>5.13E-4</v>
      </c>
      <c r="O310" s="544">
        <v>5.13E-4</v>
      </c>
      <c r="P310" s="544">
        <v>5.13E-4</v>
      </c>
      <c r="R310" s="543" t="str">
        <f t="shared" si="13"/>
        <v>A0089:大一ガス(株)(参考値)事業者全体</v>
      </c>
      <c r="S310" s="544">
        <f t="shared" si="14"/>
        <v>5.13E-4</v>
      </c>
    </row>
    <row r="311" spans="2:19">
      <c r="B311" s="146" t="s">
        <v>1339</v>
      </c>
      <c r="C311" s="543" t="s">
        <v>1849</v>
      </c>
      <c r="D311" s="543" t="str">
        <f t="shared" si="12"/>
        <v>A0511:亀岡ふるさとエナジー(株)</v>
      </c>
      <c r="I311" s="146" t="s">
        <v>1109</v>
      </c>
      <c r="J311" s="146" t="s">
        <v>1619</v>
      </c>
      <c r="K311" s="544" t="s">
        <v>710</v>
      </c>
      <c r="L311" s="544">
        <v>0</v>
      </c>
      <c r="M311" s="544">
        <v>0</v>
      </c>
      <c r="N311" s="544">
        <v>0</v>
      </c>
      <c r="O311" s="544">
        <v>0</v>
      </c>
      <c r="P311" s="544">
        <v>0</v>
      </c>
      <c r="R311" s="543" t="str">
        <f t="shared" si="13"/>
        <v>A0090:(株)リミックスポイントメニューA</v>
      </c>
      <c r="S311" s="544">
        <f t="shared" si="14"/>
        <v>0</v>
      </c>
    </row>
    <row r="312" spans="2:19">
      <c r="B312" s="146" t="s">
        <v>1340</v>
      </c>
      <c r="C312" s="543" t="s">
        <v>1850</v>
      </c>
      <c r="D312" s="543" t="str">
        <f t="shared" si="12"/>
        <v>A0513:(株)織戸組</v>
      </c>
      <c r="I312" s="146" t="s">
        <v>1109</v>
      </c>
      <c r="J312" s="146" t="s">
        <v>1619</v>
      </c>
      <c r="K312" s="544" t="s">
        <v>787</v>
      </c>
      <c r="L312" s="544">
        <v>0</v>
      </c>
      <c r="M312" s="544">
        <v>0</v>
      </c>
      <c r="N312" s="544">
        <v>0</v>
      </c>
      <c r="O312" s="544">
        <v>0</v>
      </c>
      <c r="P312" s="544">
        <v>0</v>
      </c>
      <c r="R312" s="543" t="str">
        <f t="shared" si="13"/>
        <v>A0090:(株)リミックスポイントメニューB</v>
      </c>
      <c r="S312" s="544">
        <f t="shared" si="14"/>
        <v>0</v>
      </c>
    </row>
    <row r="313" spans="2:19">
      <c r="B313" s="146" t="s">
        <v>1341</v>
      </c>
      <c r="C313" s="543" t="s">
        <v>1851</v>
      </c>
      <c r="D313" s="543" t="str">
        <f t="shared" si="12"/>
        <v>A0514:ふかやeパワー(株)</v>
      </c>
      <c r="I313" s="146" t="s">
        <v>1109</v>
      </c>
      <c r="J313" s="146" t="s">
        <v>1619</v>
      </c>
      <c r="K313" s="544" t="s">
        <v>788</v>
      </c>
      <c r="L313" s="544">
        <v>4.0000000000000002E-4</v>
      </c>
      <c r="M313" s="544">
        <v>4.0000000000000002E-4</v>
      </c>
      <c r="N313" s="544">
        <v>4.0000000000000002E-4</v>
      </c>
      <c r="O313" s="544">
        <v>4.0000000000000002E-4</v>
      </c>
      <c r="P313" s="544">
        <v>4.0000000000000002E-4</v>
      </c>
      <c r="R313" s="543" t="str">
        <f t="shared" si="13"/>
        <v>A0090:(株)リミックスポイントメニューC</v>
      </c>
      <c r="S313" s="544">
        <f t="shared" si="14"/>
        <v>4.0000000000000002E-4</v>
      </c>
    </row>
    <row r="314" spans="2:19">
      <c r="B314" s="146" t="s">
        <v>1342</v>
      </c>
      <c r="C314" s="543" t="s">
        <v>1852</v>
      </c>
      <c r="D314" s="543" t="str">
        <f t="shared" si="12"/>
        <v>A0515:(株)Link Life</v>
      </c>
      <c r="I314" s="146" t="s">
        <v>1109</v>
      </c>
      <c r="J314" s="146" t="s">
        <v>1619</v>
      </c>
      <c r="K314" s="544" t="s">
        <v>974</v>
      </c>
      <c r="L314" s="544">
        <v>5.3499999999999999E-4</v>
      </c>
      <c r="M314" s="544">
        <v>5.3499999999999999E-4</v>
      </c>
      <c r="N314" s="544">
        <v>5.3499999999999999E-4</v>
      </c>
      <c r="O314" s="544">
        <v>5.3499999999999999E-4</v>
      </c>
      <c r="P314" s="544">
        <v>5.3499999999999999E-4</v>
      </c>
      <c r="R314" s="543" t="str">
        <f t="shared" si="13"/>
        <v>A0090:(株)リミックスポイントメニューD</v>
      </c>
      <c r="S314" s="544">
        <f t="shared" si="14"/>
        <v>5.3499999999999999E-4</v>
      </c>
    </row>
    <row r="315" spans="2:19">
      <c r="B315" s="146" t="s">
        <v>1343</v>
      </c>
      <c r="C315" s="543" t="s">
        <v>1853</v>
      </c>
      <c r="D315" s="543" t="str">
        <f t="shared" si="12"/>
        <v>A0518:(株)グローバルキャスト</v>
      </c>
      <c r="I315" s="146" t="s">
        <v>1109</v>
      </c>
      <c r="J315" s="146" t="s">
        <v>1619</v>
      </c>
      <c r="K315" s="544" t="s">
        <v>2058</v>
      </c>
      <c r="L315" s="544">
        <v>5.2999999999999998E-4</v>
      </c>
      <c r="M315" s="544">
        <v>5.2999999999999998E-4</v>
      </c>
      <c r="N315" s="544">
        <v>5.2999999999999998E-4</v>
      </c>
      <c r="O315" s="544">
        <v>5.2999999999999998E-4</v>
      </c>
      <c r="P315" s="544">
        <v>5.2999999999999998E-4</v>
      </c>
      <c r="R315" s="543" t="str">
        <f t="shared" si="13"/>
        <v>A0090:(株)リミックスポイント(参考値)事業者全体</v>
      </c>
      <c r="S315" s="544">
        <f t="shared" si="14"/>
        <v>5.2999999999999998E-4</v>
      </c>
    </row>
    <row r="316" spans="2:19">
      <c r="B316" s="146" t="s">
        <v>1344</v>
      </c>
      <c r="C316" s="543" t="s">
        <v>1854</v>
      </c>
      <c r="D316" s="543" t="str">
        <f t="shared" si="12"/>
        <v>A0519:日本エネルギー総合システム(株)</v>
      </c>
      <c r="I316" s="146" t="s">
        <v>1110</v>
      </c>
      <c r="J316" s="146" t="s">
        <v>1620</v>
      </c>
      <c r="K316" s="544"/>
      <c r="L316" s="544">
        <v>7.3999999999999999E-4</v>
      </c>
      <c r="M316" s="544">
        <v>7.3999999999999999E-4</v>
      </c>
      <c r="N316" s="544">
        <v>7.3999999999999999E-4</v>
      </c>
      <c r="O316" s="544">
        <v>7.3999999999999999E-4</v>
      </c>
      <c r="P316" s="544">
        <v>7.3999999999999999E-4</v>
      </c>
      <c r="R316" s="543" t="str">
        <f t="shared" si="13"/>
        <v>A0092:(株)中海テレビ放送</v>
      </c>
      <c r="S316" s="544">
        <f t="shared" si="14"/>
        <v>7.3999999999999999E-4</v>
      </c>
    </row>
    <row r="317" spans="2:19">
      <c r="B317" s="146" t="s">
        <v>1345</v>
      </c>
      <c r="C317" s="543" t="s">
        <v>1855</v>
      </c>
      <c r="D317" s="543" t="str">
        <f t="shared" si="12"/>
        <v>A0520:イワタニ東海(株)</v>
      </c>
      <c r="I317" s="146" t="s">
        <v>1111</v>
      </c>
      <c r="J317" s="146" t="s">
        <v>1621</v>
      </c>
      <c r="K317" s="544" t="s">
        <v>710</v>
      </c>
      <c r="L317" s="544">
        <v>0</v>
      </c>
      <c r="M317" s="544">
        <v>0</v>
      </c>
      <c r="N317" s="544">
        <v>0</v>
      </c>
      <c r="O317" s="544">
        <v>0</v>
      </c>
      <c r="P317" s="544">
        <v>0</v>
      </c>
      <c r="R317" s="543" t="str">
        <f t="shared" si="13"/>
        <v>A0093:パシフィックパワー(株)メニューA</v>
      </c>
      <c r="S317" s="544">
        <f t="shared" si="14"/>
        <v>0</v>
      </c>
    </row>
    <row r="318" spans="2:19">
      <c r="B318" s="146" t="s">
        <v>1346</v>
      </c>
      <c r="C318" s="543" t="s">
        <v>1856</v>
      </c>
      <c r="D318" s="543" t="str">
        <f t="shared" si="12"/>
        <v>A0525:(株)ところざわ未来電力</v>
      </c>
      <c r="I318" s="146" t="s">
        <v>1111</v>
      </c>
      <c r="J318" s="146" t="s">
        <v>1621</v>
      </c>
      <c r="K318" s="544" t="s">
        <v>787</v>
      </c>
      <c r="L318" s="544">
        <v>0</v>
      </c>
      <c r="M318" s="544">
        <v>0</v>
      </c>
      <c r="N318" s="544">
        <v>0</v>
      </c>
      <c r="O318" s="544">
        <v>0</v>
      </c>
      <c r="P318" s="544">
        <v>0</v>
      </c>
      <c r="R318" s="543" t="str">
        <f t="shared" si="13"/>
        <v>A0093:パシフィックパワー(株)メニューB</v>
      </c>
      <c r="S318" s="544">
        <f t="shared" si="14"/>
        <v>0</v>
      </c>
    </row>
    <row r="319" spans="2:19">
      <c r="B319" s="146" t="s">
        <v>1347</v>
      </c>
      <c r="C319" s="543" t="s">
        <v>1857</v>
      </c>
      <c r="D319" s="543" t="str">
        <f t="shared" si="12"/>
        <v>A0526:朝日ガスエナジー(株)</v>
      </c>
      <c r="I319" s="146" t="s">
        <v>1111</v>
      </c>
      <c r="J319" s="146" t="s">
        <v>1621</v>
      </c>
      <c r="K319" s="544" t="s">
        <v>788</v>
      </c>
      <c r="L319" s="544">
        <v>4.0299999999999998E-4</v>
      </c>
      <c r="M319" s="544">
        <v>4.0299999999999998E-4</v>
      </c>
      <c r="N319" s="544">
        <v>4.0299999999999998E-4</v>
      </c>
      <c r="O319" s="544">
        <v>4.0299999999999998E-4</v>
      </c>
      <c r="P319" s="544">
        <v>4.0299999999999998E-4</v>
      </c>
      <c r="R319" s="543" t="str">
        <f t="shared" si="13"/>
        <v>A0093:パシフィックパワー(株)メニューC</v>
      </c>
      <c r="S319" s="544">
        <f t="shared" si="14"/>
        <v>4.0299999999999998E-4</v>
      </c>
    </row>
    <row r="320" spans="2:19">
      <c r="B320" s="146" t="s">
        <v>1348</v>
      </c>
      <c r="C320" s="543" t="s">
        <v>1858</v>
      </c>
      <c r="D320" s="543" t="str">
        <f t="shared" si="12"/>
        <v>A0528:(株)エネファント</v>
      </c>
      <c r="I320" s="146" t="s">
        <v>1111</v>
      </c>
      <c r="J320" s="146" t="s">
        <v>1621</v>
      </c>
      <c r="K320" s="544" t="s">
        <v>2058</v>
      </c>
      <c r="L320" s="544">
        <v>1.63E-4</v>
      </c>
      <c r="M320" s="544">
        <v>1.63E-4</v>
      </c>
      <c r="N320" s="544">
        <v>1.63E-4</v>
      </c>
      <c r="O320" s="544">
        <v>1.63E-4</v>
      </c>
      <c r="P320" s="544">
        <v>1.63E-4</v>
      </c>
      <c r="R320" s="543" t="str">
        <f t="shared" si="13"/>
        <v>A0093:パシフィックパワー(株)(参考値)事業者全体</v>
      </c>
      <c r="S320" s="544">
        <f t="shared" si="14"/>
        <v>1.63E-4</v>
      </c>
    </row>
    <row r="321" spans="2:19">
      <c r="B321" s="146" t="s">
        <v>1349</v>
      </c>
      <c r="C321" s="543" t="s">
        <v>1859</v>
      </c>
      <c r="D321" s="543" t="str">
        <f t="shared" si="12"/>
        <v>A0529:(株)エスエナジー</v>
      </c>
      <c r="I321" s="146" t="s">
        <v>1112</v>
      </c>
      <c r="J321" s="146" t="s">
        <v>1622</v>
      </c>
      <c r="K321" s="544" t="s">
        <v>710</v>
      </c>
      <c r="L321" s="544">
        <v>0</v>
      </c>
      <c r="M321" s="544">
        <v>0</v>
      </c>
      <c r="N321" s="544">
        <v>0</v>
      </c>
      <c r="O321" s="544">
        <v>0</v>
      </c>
      <c r="P321" s="544">
        <v>0</v>
      </c>
      <c r="R321" s="543" t="str">
        <f t="shared" si="13"/>
        <v>A0104:(株)ジェイコム札幌メニューA</v>
      </c>
      <c r="S321" s="544">
        <f t="shared" si="14"/>
        <v>0</v>
      </c>
    </row>
    <row r="322" spans="2:19">
      <c r="B322" s="146" t="s">
        <v>1350</v>
      </c>
      <c r="C322" s="543" t="s">
        <v>1860</v>
      </c>
      <c r="D322" s="543" t="str">
        <f t="shared" si="12"/>
        <v>A0532:(株)フリクト電力(旧：(株)Mpower)</v>
      </c>
      <c r="I322" s="146" t="s">
        <v>1112</v>
      </c>
      <c r="J322" s="146" t="s">
        <v>1622</v>
      </c>
      <c r="K322" s="544" t="s">
        <v>787</v>
      </c>
      <c r="L322" s="544">
        <v>5.4699999999999996E-4</v>
      </c>
      <c r="M322" s="544">
        <v>5.4699999999999996E-4</v>
      </c>
      <c r="N322" s="544">
        <v>5.4699999999999996E-4</v>
      </c>
      <c r="O322" s="544">
        <v>5.4699999999999996E-4</v>
      </c>
      <c r="P322" s="544">
        <v>5.4699999999999996E-4</v>
      </c>
      <c r="R322" s="543" t="str">
        <f t="shared" si="13"/>
        <v>A0104:(株)ジェイコム札幌メニューB</v>
      </c>
      <c r="S322" s="544">
        <f t="shared" si="14"/>
        <v>5.4699999999999996E-4</v>
      </c>
    </row>
    <row r="323" spans="2:19">
      <c r="B323" s="146" t="s">
        <v>1351</v>
      </c>
      <c r="C323" s="543" t="s">
        <v>1861</v>
      </c>
      <c r="D323" s="543" t="str">
        <f t="shared" si="12"/>
        <v>A0533:秩父新電力(株)</v>
      </c>
      <c r="I323" s="146" t="s">
        <v>1112</v>
      </c>
      <c r="J323" s="146" t="s">
        <v>1622</v>
      </c>
      <c r="K323" s="544" t="s">
        <v>2058</v>
      </c>
      <c r="L323" s="544">
        <v>5.3700000000000004E-4</v>
      </c>
      <c r="M323" s="544">
        <v>5.3700000000000004E-4</v>
      </c>
      <c r="N323" s="544">
        <v>5.3700000000000004E-4</v>
      </c>
      <c r="O323" s="544">
        <v>5.3700000000000004E-4</v>
      </c>
      <c r="P323" s="544">
        <v>5.3700000000000004E-4</v>
      </c>
      <c r="R323" s="543" t="str">
        <f t="shared" si="13"/>
        <v>A0104:(株)ジェイコム札幌(参考値)事業者全体</v>
      </c>
      <c r="S323" s="544">
        <f t="shared" si="14"/>
        <v>5.3700000000000004E-4</v>
      </c>
    </row>
    <row r="324" spans="2:19">
      <c r="B324" s="146" t="s">
        <v>1352</v>
      </c>
      <c r="C324" s="543" t="s">
        <v>1862</v>
      </c>
      <c r="D324" s="543" t="str">
        <f t="shared" si="12"/>
        <v>A0534:みよしエナジー(株)</v>
      </c>
      <c r="I324" s="146" t="s">
        <v>1113</v>
      </c>
      <c r="J324" s="146" t="s">
        <v>1623</v>
      </c>
      <c r="K324" s="544"/>
      <c r="L324" s="544">
        <v>4.0900000000000002E-4</v>
      </c>
      <c r="M324" s="544">
        <v>4.0900000000000002E-4</v>
      </c>
      <c r="N324" s="544">
        <v>4.0900000000000002E-4</v>
      </c>
      <c r="O324" s="544">
        <v>4.0900000000000002E-4</v>
      </c>
      <c r="P324" s="544">
        <v>4.0900000000000002E-4</v>
      </c>
      <c r="R324" s="543" t="str">
        <f t="shared" si="13"/>
        <v>A0120:鹿児島電力(株)</v>
      </c>
      <c r="S324" s="544">
        <f t="shared" si="14"/>
        <v>4.0900000000000002E-4</v>
      </c>
    </row>
    <row r="325" spans="2:19">
      <c r="B325" s="146" t="s">
        <v>1353</v>
      </c>
      <c r="C325" s="543" t="s">
        <v>1863</v>
      </c>
      <c r="D325" s="543" t="str">
        <f t="shared" si="12"/>
        <v>A0538:綿半パートナーズ(株)</v>
      </c>
      <c r="I325" s="146" t="s">
        <v>1114</v>
      </c>
      <c r="J325" s="146" t="s">
        <v>1624</v>
      </c>
      <c r="K325" s="544"/>
      <c r="L325" s="544">
        <v>4.2900000000000002E-4</v>
      </c>
      <c r="M325" s="544">
        <v>4.2900000000000002E-4</v>
      </c>
      <c r="N325" s="544">
        <v>4.2900000000000002E-4</v>
      </c>
      <c r="O325" s="544">
        <v>4.2900000000000002E-4</v>
      </c>
      <c r="P325" s="544">
        <v>4.2900000000000002E-4</v>
      </c>
      <c r="R325" s="543" t="str">
        <f t="shared" si="13"/>
        <v>A0121:太陽ガス(株)</v>
      </c>
      <c r="S325" s="544">
        <f t="shared" si="14"/>
        <v>4.2900000000000002E-4</v>
      </c>
    </row>
    <row r="326" spans="2:19">
      <c r="B326" s="146" t="s">
        <v>1354</v>
      </c>
      <c r="C326" s="543" t="s">
        <v>1864</v>
      </c>
      <c r="D326" s="543" t="str">
        <f t="shared" si="12"/>
        <v>A0539:(株)karch</v>
      </c>
      <c r="I326" s="146" t="s">
        <v>1115</v>
      </c>
      <c r="J326" s="146" t="s">
        <v>1625</v>
      </c>
      <c r="K326" s="544" t="s">
        <v>710</v>
      </c>
      <c r="L326" s="544">
        <v>0</v>
      </c>
      <c r="M326" s="544">
        <v>0</v>
      </c>
      <c r="N326" s="544">
        <v>0</v>
      </c>
      <c r="O326" s="544">
        <v>0</v>
      </c>
      <c r="P326" s="544">
        <v>0</v>
      </c>
      <c r="R326" s="543" t="str">
        <f t="shared" si="13"/>
        <v>A0122:アーバンエナジー(株)メニューA</v>
      </c>
      <c r="S326" s="544">
        <f t="shared" si="14"/>
        <v>0</v>
      </c>
    </row>
    <row r="327" spans="2:19">
      <c r="B327" s="146" t="s">
        <v>1355</v>
      </c>
      <c r="C327" s="543" t="s">
        <v>1865</v>
      </c>
      <c r="D327" s="543" t="str">
        <f t="shared" si="12"/>
        <v>A0543:(株)かみでん里山公社</v>
      </c>
      <c r="I327" s="146" t="s">
        <v>1115</v>
      </c>
      <c r="J327" s="146" t="s">
        <v>1625</v>
      </c>
      <c r="K327" s="544" t="s">
        <v>787</v>
      </c>
      <c r="L327" s="544">
        <v>2.9E-4</v>
      </c>
      <c r="M327" s="544">
        <v>2.9E-4</v>
      </c>
      <c r="N327" s="544">
        <v>2.9E-4</v>
      </c>
      <c r="O327" s="544">
        <v>2.9E-4</v>
      </c>
      <c r="P327" s="544">
        <v>2.9E-4</v>
      </c>
      <c r="R327" s="543" t="str">
        <f t="shared" si="13"/>
        <v>A0122:アーバンエナジー(株)メニューB</v>
      </c>
      <c r="S327" s="544">
        <f t="shared" si="14"/>
        <v>2.9E-4</v>
      </c>
    </row>
    <row r="328" spans="2:19">
      <c r="B328" s="146" t="s">
        <v>1356</v>
      </c>
      <c r="C328" s="543" t="s">
        <v>1866</v>
      </c>
      <c r="D328" s="543" t="str">
        <f t="shared" si="12"/>
        <v>A0546:(株)三郷ひまわりエナジー</v>
      </c>
      <c r="I328" s="146" t="s">
        <v>1115</v>
      </c>
      <c r="J328" s="146" t="s">
        <v>1625</v>
      </c>
      <c r="K328" s="544" t="s">
        <v>788</v>
      </c>
      <c r="L328" s="544">
        <v>3.1599999999999998E-4</v>
      </c>
      <c r="M328" s="544">
        <v>3.1599999999999998E-4</v>
      </c>
      <c r="N328" s="544">
        <v>3.1599999999999998E-4</v>
      </c>
      <c r="O328" s="544">
        <v>3.1599999999999998E-4</v>
      </c>
      <c r="P328" s="544">
        <v>3.1599999999999998E-4</v>
      </c>
      <c r="R328" s="543" t="str">
        <f t="shared" si="13"/>
        <v>A0122:アーバンエナジー(株)メニューC</v>
      </c>
      <c r="S328" s="544">
        <f t="shared" si="14"/>
        <v>3.1599999999999998E-4</v>
      </c>
    </row>
    <row r="329" spans="2:19">
      <c r="B329" s="146" t="s">
        <v>1357</v>
      </c>
      <c r="C329" s="543" t="s">
        <v>1867</v>
      </c>
      <c r="D329" s="543" t="str">
        <f t="shared" si="12"/>
        <v>A0547:(株)球磨村森電力</v>
      </c>
      <c r="I329" s="146" t="s">
        <v>1115</v>
      </c>
      <c r="J329" s="146" t="s">
        <v>1625</v>
      </c>
      <c r="K329" s="544" t="s">
        <v>974</v>
      </c>
      <c r="L329" s="544">
        <v>2.5500000000000002E-4</v>
      </c>
      <c r="M329" s="544">
        <v>2.5500000000000002E-4</v>
      </c>
      <c r="N329" s="544">
        <v>2.5500000000000002E-4</v>
      </c>
      <c r="O329" s="544">
        <v>2.5500000000000002E-4</v>
      </c>
      <c r="P329" s="544">
        <v>2.5500000000000002E-4</v>
      </c>
      <c r="R329" s="543" t="str">
        <f t="shared" si="13"/>
        <v>A0122:アーバンエナジー(株)メニューD</v>
      </c>
      <c r="S329" s="544">
        <f t="shared" si="14"/>
        <v>2.5500000000000002E-4</v>
      </c>
    </row>
    <row r="330" spans="2:19">
      <c r="B330" s="146" t="s">
        <v>1358</v>
      </c>
      <c r="C330" s="543" t="s">
        <v>1868</v>
      </c>
      <c r="D330" s="543" t="str">
        <f t="shared" ref="D330:D393" si="15">IF(B330="","",B330&amp;":"&amp;C330)</f>
        <v>A0549:くこくエネルギー(株)</v>
      </c>
      <c r="I330" s="146" t="s">
        <v>1115</v>
      </c>
      <c r="J330" s="146" t="s">
        <v>1625</v>
      </c>
      <c r="K330" s="544" t="s">
        <v>975</v>
      </c>
      <c r="L330" s="544">
        <v>3.7300000000000001E-4</v>
      </c>
      <c r="M330" s="544">
        <v>3.7300000000000001E-4</v>
      </c>
      <c r="N330" s="544">
        <v>3.7300000000000001E-4</v>
      </c>
      <c r="O330" s="544">
        <v>3.7300000000000001E-4</v>
      </c>
      <c r="P330" s="544">
        <v>3.7300000000000001E-4</v>
      </c>
      <c r="R330" s="543" t="str">
        <f t="shared" ref="R330:R393" si="16">I330&amp;":"&amp;J330&amp;K330</f>
        <v>A0122:アーバンエナジー(株)メニューE</v>
      </c>
      <c r="S330" s="544">
        <f t="shared" ref="S330:S393" si="17">HLOOKUP($S$8,$L$8:$P$2000,ROW()-7,FALSE)</f>
        <v>3.7300000000000001E-4</v>
      </c>
    </row>
    <row r="331" spans="2:19">
      <c r="B331" s="146" t="s">
        <v>1359</v>
      </c>
      <c r="C331" s="543" t="s">
        <v>1869</v>
      </c>
      <c r="D331" s="543" t="str">
        <f t="shared" si="15"/>
        <v>A0550:(株)エコログ</v>
      </c>
      <c r="I331" s="146" t="s">
        <v>1115</v>
      </c>
      <c r="J331" s="146" t="s">
        <v>1625</v>
      </c>
      <c r="K331" s="544" t="s">
        <v>2059</v>
      </c>
      <c r="L331" s="544">
        <v>3.6200000000000002E-4</v>
      </c>
      <c r="M331" s="544">
        <v>3.6200000000000002E-4</v>
      </c>
      <c r="N331" s="544">
        <v>3.6200000000000002E-4</v>
      </c>
      <c r="O331" s="544">
        <v>3.6200000000000002E-4</v>
      </c>
      <c r="P331" s="544">
        <v>3.6200000000000002E-4</v>
      </c>
      <c r="R331" s="543" t="str">
        <f t="shared" si="16"/>
        <v>A0122:アーバンエナジー(株)メニューF</v>
      </c>
      <c r="S331" s="544">
        <f t="shared" si="17"/>
        <v>3.6200000000000002E-4</v>
      </c>
    </row>
    <row r="332" spans="2:19">
      <c r="B332" s="146" t="s">
        <v>1360</v>
      </c>
      <c r="C332" s="543" t="s">
        <v>1870</v>
      </c>
      <c r="D332" s="543" t="str">
        <f t="shared" si="15"/>
        <v>A0551:飯田まちづくり電力(株)</v>
      </c>
      <c r="I332" s="146" t="s">
        <v>1115</v>
      </c>
      <c r="J332" s="146" t="s">
        <v>1625</v>
      </c>
      <c r="K332" s="544" t="s">
        <v>2060</v>
      </c>
      <c r="L332" s="544">
        <v>3.8000000000000002E-4</v>
      </c>
      <c r="M332" s="544">
        <v>3.8000000000000002E-4</v>
      </c>
      <c r="N332" s="544">
        <v>3.8000000000000002E-4</v>
      </c>
      <c r="O332" s="544">
        <v>3.8000000000000002E-4</v>
      </c>
      <c r="P332" s="544">
        <v>3.8000000000000002E-4</v>
      </c>
      <c r="R332" s="543" t="str">
        <f t="shared" si="16"/>
        <v>A0122:アーバンエナジー(株)メニューG</v>
      </c>
      <c r="S332" s="544">
        <f t="shared" si="17"/>
        <v>3.8000000000000002E-4</v>
      </c>
    </row>
    <row r="333" spans="2:19">
      <c r="B333" s="146" t="s">
        <v>1361</v>
      </c>
      <c r="C333" s="543" t="s">
        <v>1871</v>
      </c>
      <c r="D333" s="543" t="str">
        <f t="shared" si="15"/>
        <v>A0552:イワタニ長野(株)</v>
      </c>
      <c r="I333" s="146" t="s">
        <v>1115</v>
      </c>
      <c r="J333" s="146" t="s">
        <v>1625</v>
      </c>
      <c r="K333" s="544" t="s">
        <v>2058</v>
      </c>
      <c r="L333" s="544">
        <v>1.65E-4</v>
      </c>
      <c r="M333" s="544">
        <v>1.65E-4</v>
      </c>
      <c r="N333" s="544">
        <v>1.65E-4</v>
      </c>
      <c r="O333" s="544">
        <v>1.65E-4</v>
      </c>
      <c r="P333" s="544">
        <v>1.65E-4</v>
      </c>
      <c r="R333" s="543" t="str">
        <f t="shared" si="16"/>
        <v>A0122:アーバンエナジー(株)(参考値)事業者全体</v>
      </c>
      <c r="S333" s="544">
        <f t="shared" si="17"/>
        <v>1.65E-4</v>
      </c>
    </row>
    <row r="334" spans="2:19">
      <c r="B334" s="146" t="s">
        <v>1362</v>
      </c>
      <c r="C334" s="543" t="s">
        <v>1872</v>
      </c>
      <c r="D334" s="543" t="str">
        <f t="shared" si="15"/>
        <v>A0553:シェルジャパン(株)</v>
      </c>
      <c r="I334" s="146" t="s">
        <v>1116</v>
      </c>
      <c r="J334" s="146" t="s">
        <v>1626</v>
      </c>
      <c r="K334" s="544"/>
      <c r="L334" s="544">
        <v>1.2019999999999999E-3</v>
      </c>
      <c r="M334" s="544">
        <v>1.2019999999999999E-3</v>
      </c>
      <c r="N334" s="544">
        <v>1.2019999999999999E-3</v>
      </c>
      <c r="O334" s="544">
        <v>1.2019999999999999E-3</v>
      </c>
      <c r="P334" s="544">
        <v>1.2019999999999999E-3</v>
      </c>
      <c r="R334" s="543" t="str">
        <f t="shared" si="16"/>
        <v>A0123:パワーネクスト(株)</v>
      </c>
      <c r="S334" s="544">
        <f t="shared" si="17"/>
        <v>1.2019999999999999E-3</v>
      </c>
    </row>
    <row r="335" spans="2:19">
      <c r="B335" s="146" t="s">
        <v>1363</v>
      </c>
      <c r="C335" s="543" t="s">
        <v>1873</v>
      </c>
      <c r="D335" s="543" t="str">
        <f t="shared" si="15"/>
        <v>A0555:石油資源開発(株)</v>
      </c>
      <c r="I335" s="146" t="s">
        <v>1117</v>
      </c>
      <c r="J335" s="146" t="s">
        <v>1627</v>
      </c>
      <c r="K335" s="544" t="s">
        <v>710</v>
      </c>
      <c r="L335" s="544">
        <v>0</v>
      </c>
      <c r="M335" s="544">
        <v>0</v>
      </c>
      <c r="N335" s="544">
        <v>0</v>
      </c>
      <c r="O335" s="544">
        <v>0</v>
      </c>
      <c r="P335" s="544">
        <v>0</v>
      </c>
      <c r="R335" s="543" t="str">
        <f t="shared" si="16"/>
        <v>A0124:合同会社北上新電力メニューA</v>
      </c>
      <c r="S335" s="544">
        <f t="shared" si="17"/>
        <v>0</v>
      </c>
    </row>
    <row r="336" spans="2:19">
      <c r="B336" s="146" t="s">
        <v>1364</v>
      </c>
      <c r="C336" s="543" t="s">
        <v>1874</v>
      </c>
      <c r="D336" s="543" t="str">
        <f t="shared" si="15"/>
        <v>A0556:越後天然ガス(株)</v>
      </c>
      <c r="I336" s="146" t="s">
        <v>1117</v>
      </c>
      <c r="J336" s="146" t="s">
        <v>1627</v>
      </c>
      <c r="K336" s="544" t="s">
        <v>787</v>
      </c>
      <c r="L336" s="544">
        <v>6.1600000000000001E-4</v>
      </c>
      <c r="M336" s="544">
        <v>6.1600000000000001E-4</v>
      </c>
      <c r="N336" s="544">
        <v>6.1600000000000001E-4</v>
      </c>
      <c r="O336" s="544">
        <v>6.1600000000000001E-4</v>
      </c>
      <c r="P336" s="544">
        <v>6.1600000000000001E-4</v>
      </c>
      <c r="R336" s="543" t="str">
        <f t="shared" si="16"/>
        <v>A0124:合同会社北上新電力メニューB</v>
      </c>
      <c r="S336" s="544">
        <f t="shared" si="17"/>
        <v>6.1600000000000001E-4</v>
      </c>
    </row>
    <row r="337" spans="2:19">
      <c r="B337" s="146" t="s">
        <v>1365</v>
      </c>
      <c r="C337" s="543" t="s">
        <v>1875</v>
      </c>
      <c r="D337" s="543" t="str">
        <f t="shared" si="15"/>
        <v>A0558:坂戸ガス(株)</v>
      </c>
      <c r="I337" s="146" t="s">
        <v>1117</v>
      </c>
      <c r="J337" s="146" t="s">
        <v>1627</v>
      </c>
      <c r="K337" s="544" t="s">
        <v>2058</v>
      </c>
      <c r="L337" s="544">
        <v>6.1600000000000001E-4</v>
      </c>
      <c r="M337" s="544">
        <v>6.1600000000000001E-4</v>
      </c>
      <c r="N337" s="544">
        <v>6.1600000000000001E-4</v>
      </c>
      <c r="O337" s="544">
        <v>6.1600000000000001E-4</v>
      </c>
      <c r="P337" s="544">
        <v>6.1600000000000001E-4</v>
      </c>
      <c r="R337" s="543" t="str">
        <f t="shared" si="16"/>
        <v>A0124:合同会社北上新電力(参考値)事業者全体</v>
      </c>
      <c r="S337" s="544">
        <f t="shared" si="17"/>
        <v>6.1600000000000001E-4</v>
      </c>
    </row>
    <row r="338" spans="2:19">
      <c r="B338" s="146" t="s">
        <v>1366</v>
      </c>
      <c r="C338" s="543" t="s">
        <v>1876</v>
      </c>
      <c r="D338" s="543" t="str">
        <f t="shared" si="15"/>
        <v>A0559:(株)デベロップ</v>
      </c>
      <c r="I338" s="146" t="s">
        <v>1118</v>
      </c>
      <c r="J338" s="146" t="s">
        <v>1628</v>
      </c>
      <c r="K338" s="544" t="s">
        <v>710</v>
      </c>
      <c r="L338" s="544">
        <v>0</v>
      </c>
      <c r="M338" s="544">
        <v>0</v>
      </c>
      <c r="N338" s="544">
        <v>0</v>
      </c>
      <c r="O338" s="544">
        <v>0</v>
      </c>
      <c r="P338" s="544">
        <v>0</v>
      </c>
      <c r="R338" s="543" t="str">
        <f t="shared" si="16"/>
        <v>A0126:(株)タクマエナジーメニューA</v>
      </c>
      <c r="S338" s="544">
        <f t="shared" si="17"/>
        <v>0</v>
      </c>
    </row>
    <row r="339" spans="2:19">
      <c r="B339" s="146" t="s">
        <v>1367</v>
      </c>
      <c r="C339" s="543" t="s">
        <v>1877</v>
      </c>
      <c r="D339" s="543" t="str">
        <f t="shared" si="15"/>
        <v>A0560:(株)テレ・マーカー</v>
      </c>
      <c r="I339" s="146" t="s">
        <v>1118</v>
      </c>
      <c r="J339" s="146" t="s">
        <v>1628</v>
      </c>
      <c r="K339" s="544" t="s">
        <v>787</v>
      </c>
      <c r="L339" s="544">
        <v>0</v>
      </c>
      <c r="M339" s="544">
        <v>0</v>
      </c>
      <c r="N339" s="544">
        <v>0</v>
      </c>
      <c r="O339" s="544">
        <v>0</v>
      </c>
      <c r="P339" s="544">
        <v>0</v>
      </c>
      <c r="R339" s="543" t="str">
        <f t="shared" si="16"/>
        <v>A0126:(株)タクマエナジーメニューB</v>
      </c>
      <c r="S339" s="544">
        <f t="shared" si="17"/>
        <v>0</v>
      </c>
    </row>
    <row r="340" spans="2:19">
      <c r="B340" s="146" t="s">
        <v>1368</v>
      </c>
      <c r="C340" s="543" t="s">
        <v>1878</v>
      </c>
      <c r="D340" s="543" t="str">
        <f t="shared" si="15"/>
        <v>A0562:MGCエネルギー(株)</v>
      </c>
      <c r="I340" s="146" t="s">
        <v>1118</v>
      </c>
      <c r="J340" s="146" t="s">
        <v>1628</v>
      </c>
      <c r="K340" s="544" t="s">
        <v>788</v>
      </c>
      <c r="L340" s="544">
        <v>0</v>
      </c>
      <c r="M340" s="544">
        <v>0</v>
      </c>
      <c r="N340" s="544">
        <v>0</v>
      </c>
      <c r="O340" s="544">
        <v>0</v>
      </c>
      <c r="P340" s="544">
        <v>0</v>
      </c>
      <c r="R340" s="543" t="str">
        <f t="shared" si="16"/>
        <v>A0126:(株)タクマエナジーメニューC</v>
      </c>
      <c r="S340" s="544">
        <f t="shared" si="17"/>
        <v>0</v>
      </c>
    </row>
    <row r="341" spans="2:19">
      <c r="B341" s="146" t="s">
        <v>1369</v>
      </c>
      <c r="C341" s="543" t="s">
        <v>1879</v>
      </c>
      <c r="D341" s="543" t="str">
        <f t="shared" si="15"/>
        <v>A0565:福島フェニックス電力(株)</v>
      </c>
      <c r="I341" s="146" t="s">
        <v>1118</v>
      </c>
      <c r="J341" s="146" t="s">
        <v>1628</v>
      </c>
      <c r="K341" s="544" t="s">
        <v>974</v>
      </c>
      <c r="L341" s="544">
        <v>0</v>
      </c>
      <c r="M341" s="544">
        <v>0</v>
      </c>
      <c r="N341" s="544">
        <v>0</v>
      </c>
      <c r="O341" s="544">
        <v>0</v>
      </c>
      <c r="P341" s="544">
        <v>0</v>
      </c>
      <c r="R341" s="543" t="str">
        <f t="shared" si="16"/>
        <v>A0126:(株)タクマエナジーメニューD</v>
      </c>
      <c r="S341" s="544">
        <f t="shared" si="17"/>
        <v>0</v>
      </c>
    </row>
    <row r="342" spans="2:19">
      <c r="B342" s="146" t="s">
        <v>1370</v>
      </c>
      <c r="C342" s="543" t="s">
        <v>1880</v>
      </c>
      <c r="D342" s="543" t="str">
        <f t="shared" si="15"/>
        <v>A0567:(株)美作国電力</v>
      </c>
      <c r="I342" s="146" t="s">
        <v>1118</v>
      </c>
      <c r="J342" s="146" t="s">
        <v>1628</v>
      </c>
      <c r="K342" s="544" t="s">
        <v>975</v>
      </c>
      <c r="L342" s="544">
        <v>0</v>
      </c>
      <c r="M342" s="544">
        <v>0</v>
      </c>
      <c r="N342" s="544">
        <v>0</v>
      </c>
      <c r="O342" s="544">
        <v>0</v>
      </c>
      <c r="P342" s="544">
        <v>0</v>
      </c>
      <c r="R342" s="543" t="str">
        <f t="shared" si="16"/>
        <v>A0126:(株)タクマエナジーメニューE</v>
      </c>
      <c r="S342" s="544">
        <f t="shared" si="17"/>
        <v>0</v>
      </c>
    </row>
    <row r="343" spans="2:19">
      <c r="B343" s="146" t="s">
        <v>1371</v>
      </c>
      <c r="C343" s="543" t="s">
        <v>1881</v>
      </c>
      <c r="D343" s="543" t="str">
        <f t="shared" si="15"/>
        <v>A0570:八幡商事(株)</v>
      </c>
      <c r="I343" s="146" t="s">
        <v>1118</v>
      </c>
      <c r="J343" s="146" t="s">
        <v>1628</v>
      </c>
      <c r="K343" s="544" t="s">
        <v>2059</v>
      </c>
      <c r="L343" s="544">
        <v>0</v>
      </c>
      <c r="M343" s="544">
        <v>0</v>
      </c>
      <c r="N343" s="544">
        <v>0</v>
      </c>
      <c r="O343" s="544">
        <v>0</v>
      </c>
      <c r="P343" s="544">
        <v>0</v>
      </c>
      <c r="R343" s="543" t="str">
        <f t="shared" si="16"/>
        <v>A0126:(株)タクマエナジーメニューF</v>
      </c>
      <c r="S343" s="544">
        <f t="shared" si="17"/>
        <v>0</v>
      </c>
    </row>
    <row r="344" spans="2:19">
      <c r="B344" s="146" t="s">
        <v>1372</v>
      </c>
      <c r="C344" s="543" t="s">
        <v>1882</v>
      </c>
      <c r="D344" s="543" t="str">
        <f t="shared" si="15"/>
        <v>A0571:おいでんエネルギー(株)</v>
      </c>
      <c r="I344" s="146" t="s">
        <v>1118</v>
      </c>
      <c r="J344" s="146" t="s">
        <v>1628</v>
      </c>
      <c r="K344" s="544" t="s">
        <v>2060</v>
      </c>
      <c r="L344" s="544">
        <v>0</v>
      </c>
      <c r="M344" s="544">
        <v>0</v>
      </c>
      <c r="N344" s="544">
        <v>0</v>
      </c>
      <c r="O344" s="544">
        <v>0</v>
      </c>
      <c r="P344" s="544">
        <v>0</v>
      </c>
      <c r="R344" s="543" t="str">
        <f t="shared" si="16"/>
        <v>A0126:(株)タクマエナジーメニューG</v>
      </c>
      <c r="S344" s="544">
        <f t="shared" si="17"/>
        <v>0</v>
      </c>
    </row>
    <row r="345" spans="2:19">
      <c r="B345" s="146" t="s">
        <v>1373</v>
      </c>
      <c r="C345" s="543" t="s">
        <v>1883</v>
      </c>
      <c r="D345" s="543" t="str">
        <f t="shared" si="15"/>
        <v>A0572:(株)イシオ</v>
      </c>
      <c r="I345" s="146" t="s">
        <v>1118</v>
      </c>
      <c r="J345" s="146" t="s">
        <v>1628</v>
      </c>
      <c r="K345" s="544" t="s">
        <v>2061</v>
      </c>
      <c r="L345" s="544">
        <v>0</v>
      </c>
      <c r="M345" s="544">
        <v>0</v>
      </c>
      <c r="N345" s="544">
        <v>0</v>
      </c>
      <c r="O345" s="544">
        <v>0</v>
      </c>
      <c r="P345" s="544">
        <v>0</v>
      </c>
      <c r="R345" s="543" t="str">
        <f t="shared" si="16"/>
        <v>A0126:(株)タクマエナジーメニューH</v>
      </c>
      <c r="S345" s="544">
        <f t="shared" si="17"/>
        <v>0</v>
      </c>
    </row>
    <row r="346" spans="2:19">
      <c r="B346" s="146" t="s">
        <v>1374</v>
      </c>
      <c r="C346" s="543" t="s">
        <v>1884</v>
      </c>
      <c r="D346" s="543" t="str">
        <f t="shared" si="15"/>
        <v>A0573:北陸電力ビズ・エナジーソリューション(株)</v>
      </c>
      <c r="I346" s="146" t="s">
        <v>1118</v>
      </c>
      <c r="J346" s="146" t="s">
        <v>1628</v>
      </c>
      <c r="K346" s="544" t="s">
        <v>2062</v>
      </c>
      <c r="L346" s="544">
        <v>0</v>
      </c>
      <c r="M346" s="544">
        <v>0</v>
      </c>
      <c r="N346" s="544">
        <v>0</v>
      </c>
      <c r="O346" s="544">
        <v>0</v>
      </c>
      <c r="P346" s="544">
        <v>0</v>
      </c>
      <c r="R346" s="543" t="str">
        <f t="shared" si="16"/>
        <v>A0126:(株)タクマエナジーメニューI</v>
      </c>
      <c r="S346" s="544">
        <f t="shared" si="17"/>
        <v>0</v>
      </c>
    </row>
    <row r="347" spans="2:19">
      <c r="B347" s="146" t="s">
        <v>1375</v>
      </c>
      <c r="C347" s="543" t="s">
        <v>1885</v>
      </c>
      <c r="D347" s="543" t="str">
        <f t="shared" si="15"/>
        <v>A0574:リニューアブルトレード(株)</v>
      </c>
      <c r="I347" s="146" t="s">
        <v>1118</v>
      </c>
      <c r="J347" s="146" t="s">
        <v>1628</v>
      </c>
      <c r="K347" s="544" t="s">
        <v>2063</v>
      </c>
      <c r="L347" s="544">
        <v>7.7300000000000003E-4</v>
      </c>
      <c r="M347" s="544">
        <v>7.7300000000000003E-4</v>
      </c>
      <c r="N347" s="544">
        <v>7.7300000000000003E-4</v>
      </c>
      <c r="O347" s="544">
        <v>7.7300000000000003E-4</v>
      </c>
      <c r="P347" s="544">
        <v>7.7300000000000003E-4</v>
      </c>
      <c r="R347" s="543" t="str">
        <f t="shared" si="16"/>
        <v>A0126:(株)タクマエナジーメニューJ</v>
      </c>
      <c r="S347" s="544">
        <f t="shared" si="17"/>
        <v>7.7300000000000003E-4</v>
      </c>
    </row>
    <row r="348" spans="2:19">
      <c r="B348" s="146" t="s">
        <v>1376</v>
      </c>
      <c r="C348" s="543" t="s">
        <v>1886</v>
      </c>
      <c r="D348" s="543" t="str">
        <f t="shared" si="15"/>
        <v>A0577:ICT伊那みらいでんき(株)(旧:丸紅伊那みらいでんき(株))</v>
      </c>
      <c r="I348" s="146" t="s">
        <v>1118</v>
      </c>
      <c r="J348" s="146" t="s">
        <v>1628</v>
      </c>
      <c r="K348" s="544" t="s">
        <v>2058</v>
      </c>
      <c r="L348" s="544">
        <v>3.5199999999999999E-4</v>
      </c>
      <c r="M348" s="544">
        <v>3.5199999999999999E-4</v>
      </c>
      <c r="N348" s="544">
        <v>3.5199999999999999E-4</v>
      </c>
      <c r="O348" s="544">
        <v>3.5199999999999999E-4</v>
      </c>
      <c r="P348" s="544">
        <v>3.5199999999999999E-4</v>
      </c>
      <c r="R348" s="543" t="str">
        <f t="shared" si="16"/>
        <v>A0126:(株)タクマエナジー(参考値)事業者全体</v>
      </c>
      <c r="S348" s="544">
        <f t="shared" si="17"/>
        <v>3.5199999999999999E-4</v>
      </c>
    </row>
    <row r="349" spans="2:19">
      <c r="B349" s="146" t="s">
        <v>1377</v>
      </c>
      <c r="C349" s="543" t="s">
        <v>1887</v>
      </c>
      <c r="D349" s="543" t="str">
        <f t="shared" si="15"/>
        <v>A0578:富士山エナジー(株)</v>
      </c>
      <c r="I349" s="146" t="s">
        <v>1119</v>
      </c>
      <c r="J349" s="146" t="s">
        <v>1629</v>
      </c>
      <c r="K349" s="544" t="s">
        <v>710</v>
      </c>
      <c r="L349" s="544">
        <v>0</v>
      </c>
      <c r="M349" s="544">
        <v>0</v>
      </c>
      <c r="N349" s="544">
        <v>0</v>
      </c>
      <c r="O349" s="544">
        <v>0</v>
      </c>
      <c r="P349" s="544">
        <v>0</v>
      </c>
      <c r="R349" s="543" t="str">
        <f t="shared" si="16"/>
        <v>A0130:丸紅新電力(株)メニューA</v>
      </c>
      <c r="S349" s="544">
        <f t="shared" si="17"/>
        <v>0</v>
      </c>
    </row>
    <row r="350" spans="2:19">
      <c r="B350" s="146" t="s">
        <v>1378</v>
      </c>
      <c r="C350" s="543" t="s">
        <v>1888</v>
      </c>
      <c r="D350" s="543" t="str">
        <f t="shared" si="15"/>
        <v>A0581:WSエナジー(株)</v>
      </c>
      <c r="I350" s="146" t="s">
        <v>1119</v>
      </c>
      <c r="J350" s="146" t="s">
        <v>1629</v>
      </c>
      <c r="K350" s="544" t="s">
        <v>787</v>
      </c>
      <c r="L350" s="544">
        <v>1.6699999999999999E-4</v>
      </c>
      <c r="M350" s="544">
        <v>1.6699999999999999E-4</v>
      </c>
      <c r="N350" s="544">
        <v>1.6699999999999999E-4</v>
      </c>
      <c r="O350" s="544">
        <v>1.6699999999999999E-4</v>
      </c>
      <c r="P350" s="544">
        <v>1.6699999999999999E-4</v>
      </c>
      <c r="R350" s="543" t="str">
        <f t="shared" si="16"/>
        <v>A0130:丸紅新電力(株)メニューB</v>
      </c>
      <c r="S350" s="544">
        <f t="shared" si="17"/>
        <v>1.6699999999999999E-4</v>
      </c>
    </row>
    <row r="351" spans="2:19">
      <c r="B351" s="146" t="s">
        <v>1379</v>
      </c>
      <c r="C351" s="543" t="s">
        <v>1889</v>
      </c>
      <c r="D351" s="543" t="str">
        <f t="shared" si="15"/>
        <v>A0582:TERA Energy(株)</v>
      </c>
      <c r="I351" s="146" t="s">
        <v>1119</v>
      </c>
      <c r="J351" s="146" t="s">
        <v>1629</v>
      </c>
      <c r="K351" s="544" t="s">
        <v>788</v>
      </c>
      <c r="L351" s="544">
        <v>2.5300000000000002E-4</v>
      </c>
      <c r="M351" s="544">
        <v>2.5300000000000002E-4</v>
      </c>
      <c r="N351" s="544">
        <v>2.5300000000000002E-4</v>
      </c>
      <c r="O351" s="544">
        <v>2.5300000000000002E-4</v>
      </c>
      <c r="P351" s="544">
        <v>2.5300000000000002E-4</v>
      </c>
      <c r="R351" s="543" t="str">
        <f t="shared" si="16"/>
        <v>A0130:丸紅新電力(株)メニューC</v>
      </c>
      <c r="S351" s="544">
        <f t="shared" si="17"/>
        <v>2.5300000000000002E-4</v>
      </c>
    </row>
    <row r="352" spans="2:19">
      <c r="B352" s="146" t="s">
        <v>1380</v>
      </c>
      <c r="C352" s="543" t="s">
        <v>1890</v>
      </c>
      <c r="D352" s="543" t="str">
        <f t="shared" si="15"/>
        <v>A0584:MCPD(株)</v>
      </c>
      <c r="I352" s="146" t="s">
        <v>1119</v>
      </c>
      <c r="J352" s="146" t="s">
        <v>1629</v>
      </c>
      <c r="K352" s="544" t="s">
        <v>974</v>
      </c>
      <c r="L352" s="544">
        <v>2.7399999999999999E-4</v>
      </c>
      <c r="M352" s="544">
        <v>2.7399999999999999E-4</v>
      </c>
      <c r="N352" s="544">
        <v>2.7399999999999999E-4</v>
      </c>
      <c r="O352" s="544">
        <v>2.7399999999999999E-4</v>
      </c>
      <c r="P352" s="544">
        <v>2.7399999999999999E-4</v>
      </c>
      <c r="R352" s="543" t="str">
        <f t="shared" si="16"/>
        <v>A0130:丸紅新電力(株)メニューD</v>
      </c>
      <c r="S352" s="544">
        <f t="shared" si="17"/>
        <v>2.7399999999999999E-4</v>
      </c>
    </row>
    <row r="353" spans="2:19">
      <c r="B353" s="146" t="s">
        <v>1381</v>
      </c>
      <c r="C353" s="543" t="s">
        <v>1891</v>
      </c>
      <c r="D353" s="543" t="str">
        <f t="shared" si="15"/>
        <v>A0586:グリーンシティこばやし(株)</v>
      </c>
      <c r="I353" s="146" t="s">
        <v>1119</v>
      </c>
      <c r="J353" s="146" t="s">
        <v>1629</v>
      </c>
      <c r="K353" s="544" t="s">
        <v>975</v>
      </c>
      <c r="L353" s="544">
        <v>2.9500000000000001E-4</v>
      </c>
      <c r="M353" s="544">
        <v>2.9500000000000001E-4</v>
      </c>
      <c r="N353" s="544">
        <v>2.9500000000000001E-4</v>
      </c>
      <c r="O353" s="544">
        <v>2.9500000000000001E-4</v>
      </c>
      <c r="P353" s="544">
        <v>2.9500000000000001E-4</v>
      </c>
      <c r="R353" s="543" t="str">
        <f t="shared" si="16"/>
        <v>A0130:丸紅新電力(株)メニューE</v>
      </c>
      <c r="S353" s="544">
        <f t="shared" si="17"/>
        <v>2.9500000000000001E-4</v>
      </c>
    </row>
    <row r="354" spans="2:19">
      <c r="B354" s="146" t="s">
        <v>1382</v>
      </c>
      <c r="C354" s="543" t="s">
        <v>1892</v>
      </c>
      <c r="D354" s="543" t="str">
        <f t="shared" si="15"/>
        <v>A0587:(株)吉田石油店</v>
      </c>
      <c r="I354" s="146" t="s">
        <v>1119</v>
      </c>
      <c r="J354" s="146" t="s">
        <v>1629</v>
      </c>
      <c r="K354" s="544" t="s">
        <v>2059</v>
      </c>
      <c r="L354" s="544">
        <v>3.8699999999999997E-4</v>
      </c>
      <c r="M354" s="544">
        <v>3.8699999999999997E-4</v>
      </c>
      <c r="N354" s="544">
        <v>3.8699999999999997E-4</v>
      </c>
      <c r="O354" s="544">
        <v>3.8699999999999997E-4</v>
      </c>
      <c r="P354" s="544">
        <v>3.8699999999999997E-4</v>
      </c>
      <c r="R354" s="543" t="str">
        <f t="shared" si="16"/>
        <v>A0130:丸紅新電力(株)メニューF</v>
      </c>
      <c r="S354" s="544">
        <f t="shared" si="17"/>
        <v>3.8699999999999997E-4</v>
      </c>
    </row>
    <row r="355" spans="2:19">
      <c r="B355" s="146" t="s">
        <v>1383</v>
      </c>
      <c r="C355" s="543" t="s">
        <v>1893</v>
      </c>
      <c r="D355" s="543" t="str">
        <f t="shared" si="15"/>
        <v>A0589:スマートエナジー熊本(株)</v>
      </c>
      <c r="I355" s="146" t="s">
        <v>1119</v>
      </c>
      <c r="J355" s="146" t="s">
        <v>1629</v>
      </c>
      <c r="K355" s="544" t="s">
        <v>2060</v>
      </c>
      <c r="L355" s="544">
        <v>0</v>
      </c>
      <c r="M355" s="544">
        <v>0</v>
      </c>
      <c r="N355" s="544">
        <v>0</v>
      </c>
      <c r="O355" s="544">
        <v>0</v>
      </c>
      <c r="P355" s="544">
        <v>0</v>
      </c>
      <c r="R355" s="543" t="str">
        <f t="shared" si="16"/>
        <v>A0130:丸紅新電力(株)メニューG</v>
      </c>
      <c r="S355" s="544">
        <f t="shared" si="17"/>
        <v>0</v>
      </c>
    </row>
    <row r="356" spans="2:19">
      <c r="B356" s="146" t="s">
        <v>1384</v>
      </c>
      <c r="C356" s="543" t="s">
        <v>1894</v>
      </c>
      <c r="D356" s="543" t="str">
        <f t="shared" si="15"/>
        <v>A0590:福山未来エナジー(株)</v>
      </c>
      <c r="I356" s="146" t="s">
        <v>1119</v>
      </c>
      <c r="J356" s="146" t="s">
        <v>1629</v>
      </c>
      <c r="K356" s="544" t="s">
        <v>2061</v>
      </c>
      <c r="L356" s="544">
        <v>0</v>
      </c>
      <c r="M356" s="544">
        <v>0</v>
      </c>
      <c r="N356" s="544">
        <v>0</v>
      </c>
      <c r="O356" s="544">
        <v>0</v>
      </c>
      <c r="P356" s="544">
        <v>0</v>
      </c>
      <c r="R356" s="543" t="str">
        <f t="shared" si="16"/>
        <v>A0130:丸紅新電力(株)メニューH</v>
      </c>
      <c r="S356" s="544">
        <f t="shared" si="17"/>
        <v>0</v>
      </c>
    </row>
    <row r="357" spans="2:19">
      <c r="B357" s="146" t="s">
        <v>1385</v>
      </c>
      <c r="C357" s="543" t="s">
        <v>1895</v>
      </c>
      <c r="D357" s="543" t="str">
        <f t="shared" si="15"/>
        <v>A0596:五島市民電力(株)</v>
      </c>
      <c r="I357" s="146" t="s">
        <v>1119</v>
      </c>
      <c r="J357" s="146" t="s">
        <v>1629</v>
      </c>
      <c r="K357" s="544" t="s">
        <v>2062</v>
      </c>
      <c r="L357" s="544">
        <v>3.3E-4</v>
      </c>
      <c r="M357" s="544">
        <v>3.3E-4</v>
      </c>
      <c r="N357" s="544">
        <v>3.3E-4</v>
      </c>
      <c r="O357" s="544">
        <v>3.3E-4</v>
      </c>
      <c r="P357" s="544">
        <v>3.3E-4</v>
      </c>
      <c r="R357" s="543" t="str">
        <f t="shared" si="16"/>
        <v>A0130:丸紅新電力(株)メニューI</v>
      </c>
      <c r="S357" s="544">
        <f t="shared" si="17"/>
        <v>3.3E-4</v>
      </c>
    </row>
    <row r="358" spans="2:19">
      <c r="B358" s="146" t="s">
        <v>1386</v>
      </c>
      <c r="C358" s="543" t="s">
        <v>1896</v>
      </c>
      <c r="D358" s="543" t="str">
        <f t="shared" si="15"/>
        <v>A0598:リストプロパティーズ(株)</v>
      </c>
      <c r="I358" s="146" t="s">
        <v>1119</v>
      </c>
      <c r="J358" s="146" t="s">
        <v>1629</v>
      </c>
      <c r="K358" s="544" t="s">
        <v>2063</v>
      </c>
      <c r="L358" s="544">
        <v>0</v>
      </c>
      <c r="M358" s="544">
        <v>0</v>
      </c>
      <c r="N358" s="544">
        <v>0</v>
      </c>
      <c r="O358" s="544">
        <v>0</v>
      </c>
      <c r="P358" s="544">
        <v>0</v>
      </c>
      <c r="R358" s="543" t="str">
        <f t="shared" si="16"/>
        <v>A0130:丸紅新電力(株)メニューJ</v>
      </c>
      <c r="S358" s="544">
        <f t="shared" si="17"/>
        <v>0</v>
      </c>
    </row>
    <row r="359" spans="2:19">
      <c r="B359" s="146" t="s">
        <v>1387</v>
      </c>
      <c r="C359" s="543" t="s">
        <v>1897</v>
      </c>
      <c r="D359" s="543" t="str">
        <f t="shared" si="15"/>
        <v>A0602:(株)情熱電力</v>
      </c>
      <c r="I359" s="146" t="s">
        <v>1119</v>
      </c>
      <c r="J359" s="146" t="s">
        <v>1629</v>
      </c>
      <c r="K359" s="544" t="s">
        <v>2064</v>
      </c>
      <c r="L359" s="544">
        <v>6.5700000000000003E-4</v>
      </c>
      <c r="M359" s="544">
        <v>6.5700000000000003E-4</v>
      </c>
      <c r="N359" s="544">
        <v>6.5700000000000003E-4</v>
      </c>
      <c r="O359" s="544">
        <v>6.5700000000000003E-4</v>
      </c>
      <c r="P359" s="544">
        <v>6.5700000000000003E-4</v>
      </c>
      <c r="R359" s="543" t="str">
        <f t="shared" si="16"/>
        <v>A0130:丸紅新電力(株)メニューK</v>
      </c>
      <c r="S359" s="544">
        <f t="shared" si="17"/>
        <v>6.5700000000000003E-4</v>
      </c>
    </row>
    <row r="360" spans="2:19">
      <c r="B360" s="146" t="s">
        <v>1388</v>
      </c>
      <c r="C360" s="543" t="s">
        <v>1898</v>
      </c>
      <c r="D360" s="543" t="str">
        <f t="shared" si="15"/>
        <v>A0603:バンプーパワートレーディング合同会社</v>
      </c>
      <c r="I360" s="146" t="s">
        <v>1119</v>
      </c>
      <c r="J360" s="146" t="s">
        <v>1629</v>
      </c>
      <c r="K360" s="544" t="s">
        <v>2058</v>
      </c>
      <c r="L360" s="544">
        <v>4.5399999999999998E-4</v>
      </c>
      <c r="M360" s="544">
        <v>4.5399999999999998E-4</v>
      </c>
      <c r="N360" s="544">
        <v>4.5399999999999998E-4</v>
      </c>
      <c r="O360" s="544">
        <v>4.5399999999999998E-4</v>
      </c>
      <c r="P360" s="544">
        <v>4.5399999999999998E-4</v>
      </c>
      <c r="R360" s="543" t="str">
        <f t="shared" si="16"/>
        <v>A0130:丸紅新電力(株)(参考値)事業者全体</v>
      </c>
      <c r="S360" s="544">
        <f t="shared" si="17"/>
        <v>4.5399999999999998E-4</v>
      </c>
    </row>
    <row r="361" spans="2:19">
      <c r="B361" s="146" t="s">
        <v>1389</v>
      </c>
      <c r="C361" s="543" t="s">
        <v>1899</v>
      </c>
      <c r="D361" s="543" t="str">
        <f t="shared" si="15"/>
        <v>A0605:(株)センカク</v>
      </c>
      <c r="I361" s="146" t="s">
        <v>1120</v>
      </c>
      <c r="J361" s="146" t="s">
        <v>1630</v>
      </c>
      <c r="K361" s="544"/>
      <c r="L361" s="544">
        <v>6.29E-4</v>
      </c>
      <c r="M361" s="544">
        <v>6.29E-4</v>
      </c>
      <c r="N361" s="544">
        <v>6.29E-4</v>
      </c>
      <c r="O361" s="544">
        <v>6.29E-4</v>
      </c>
      <c r="P361" s="544">
        <v>6.29E-4</v>
      </c>
      <c r="R361" s="543" t="str">
        <f t="shared" si="16"/>
        <v>A0133:奈良電力(株)</v>
      </c>
      <c r="S361" s="544">
        <f t="shared" si="17"/>
        <v>6.29E-4</v>
      </c>
    </row>
    <row r="362" spans="2:19">
      <c r="B362" s="146" t="s">
        <v>1390</v>
      </c>
      <c r="C362" s="543" t="s">
        <v>1900</v>
      </c>
      <c r="D362" s="543" t="str">
        <f t="shared" si="15"/>
        <v>A0609:(株)ミナサポ</v>
      </c>
      <c r="I362" s="146" t="s">
        <v>1121</v>
      </c>
      <c r="J362" s="146" t="s">
        <v>1631</v>
      </c>
      <c r="K362" s="544" t="s">
        <v>710</v>
      </c>
      <c r="L362" s="544">
        <v>0</v>
      </c>
      <c r="M362" s="544">
        <v>0</v>
      </c>
      <c r="N362" s="544">
        <v>0</v>
      </c>
      <c r="O362" s="544">
        <v>0</v>
      </c>
      <c r="P362" s="544">
        <v>0</v>
      </c>
      <c r="R362" s="543" t="str">
        <f t="shared" si="16"/>
        <v>A0134:カナデビア(株)（旧:日立造船(株)）メニューA</v>
      </c>
      <c r="S362" s="544">
        <f t="shared" si="17"/>
        <v>0</v>
      </c>
    </row>
    <row r="363" spans="2:19">
      <c r="B363" s="146" t="s">
        <v>1391</v>
      </c>
      <c r="C363" s="543" t="s">
        <v>1901</v>
      </c>
      <c r="D363" s="543" t="str">
        <f t="shared" si="15"/>
        <v>A0610:唐津電力(株)</v>
      </c>
      <c r="I363" s="146" t="s">
        <v>1121</v>
      </c>
      <c r="J363" s="146" t="s">
        <v>1631</v>
      </c>
      <c r="K363" s="544" t="s">
        <v>787</v>
      </c>
      <c r="L363" s="544">
        <v>0</v>
      </c>
      <c r="M363" s="544">
        <v>0</v>
      </c>
      <c r="N363" s="544">
        <v>0</v>
      </c>
      <c r="O363" s="544">
        <v>0</v>
      </c>
      <c r="P363" s="544">
        <v>0</v>
      </c>
      <c r="R363" s="543" t="str">
        <f t="shared" si="16"/>
        <v>A0134:カナデビア(株)（旧:日立造船(株)）メニューB</v>
      </c>
      <c r="S363" s="544">
        <f t="shared" si="17"/>
        <v>0</v>
      </c>
    </row>
    <row r="364" spans="2:19">
      <c r="B364" s="146" t="s">
        <v>1392</v>
      </c>
      <c r="C364" s="543" t="s">
        <v>1902</v>
      </c>
      <c r="D364" s="543" t="str">
        <f t="shared" si="15"/>
        <v>A0611:RE100電力(株)</v>
      </c>
      <c r="I364" s="146" t="s">
        <v>1121</v>
      </c>
      <c r="J364" s="146" t="s">
        <v>1631</v>
      </c>
      <c r="K364" s="544" t="s">
        <v>788</v>
      </c>
      <c r="L364" s="544">
        <v>2.0000000000000001E-4</v>
      </c>
      <c r="M364" s="544">
        <v>2.0000000000000001E-4</v>
      </c>
      <c r="N364" s="544">
        <v>2.0000000000000001E-4</v>
      </c>
      <c r="O364" s="544">
        <v>2.0000000000000001E-4</v>
      </c>
      <c r="P364" s="544">
        <v>2.0000000000000001E-4</v>
      </c>
      <c r="R364" s="543" t="str">
        <f t="shared" si="16"/>
        <v>A0134:カナデビア(株)（旧:日立造船(株)）メニューC</v>
      </c>
      <c r="S364" s="544">
        <f t="shared" si="17"/>
        <v>2.0000000000000001E-4</v>
      </c>
    </row>
    <row r="365" spans="2:19">
      <c r="B365" s="146" t="s">
        <v>1393</v>
      </c>
      <c r="C365" s="543" t="s">
        <v>1903</v>
      </c>
      <c r="D365" s="543" t="str">
        <f t="shared" si="15"/>
        <v>A0612:日本エネルギーファーム(株)</v>
      </c>
      <c r="I365" s="146" t="s">
        <v>1121</v>
      </c>
      <c r="J365" s="146" t="s">
        <v>1631</v>
      </c>
      <c r="K365" s="544" t="s">
        <v>2058</v>
      </c>
      <c r="L365" s="544">
        <v>1.18E-4</v>
      </c>
      <c r="M365" s="544">
        <v>1.18E-4</v>
      </c>
      <c r="N365" s="544">
        <v>1.18E-4</v>
      </c>
      <c r="O365" s="544">
        <v>1.18E-4</v>
      </c>
      <c r="P365" s="544">
        <v>1.18E-4</v>
      </c>
      <c r="R365" s="543" t="str">
        <f t="shared" si="16"/>
        <v>A0134:カナデビア(株)（旧:日立造船(株)）(参考値)事業者全体</v>
      </c>
      <c r="S365" s="544">
        <f t="shared" si="17"/>
        <v>1.18E-4</v>
      </c>
    </row>
    <row r="366" spans="2:19">
      <c r="B366" s="146" t="s">
        <v>1394</v>
      </c>
      <c r="C366" s="543" t="s">
        <v>1904</v>
      </c>
      <c r="D366" s="543" t="str">
        <f t="shared" si="15"/>
        <v>A0615:(株)イーネットワーク</v>
      </c>
      <c r="I366" s="146" t="s">
        <v>1122</v>
      </c>
      <c r="J366" s="146" t="s">
        <v>1632</v>
      </c>
      <c r="K366" s="544" t="s">
        <v>710</v>
      </c>
      <c r="L366" s="544">
        <v>0</v>
      </c>
      <c r="M366" s="544">
        <v>0</v>
      </c>
      <c r="N366" s="544">
        <v>0</v>
      </c>
      <c r="O366" s="544">
        <v>0</v>
      </c>
      <c r="P366" s="544">
        <v>0</v>
      </c>
      <c r="R366" s="543" t="str">
        <f t="shared" si="16"/>
        <v>A0135:大東ガス(株)メニューA</v>
      </c>
      <c r="S366" s="544">
        <f t="shared" si="17"/>
        <v>0</v>
      </c>
    </row>
    <row r="367" spans="2:19">
      <c r="B367" s="146" t="s">
        <v>1395</v>
      </c>
      <c r="C367" s="543" t="s">
        <v>1905</v>
      </c>
      <c r="D367" s="543" t="str">
        <f t="shared" si="15"/>
        <v>A0617:スマートエコエナジー(株)</v>
      </c>
      <c r="I367" s="146" t="s">
        <v>1122</v>
      </c>
      <c r="J367" s="146" t="s">
        <v>1632</v>
      </c>
      <c r="K367" s="544" t="s">
        <v>787</v>
      </c>
      <c r="L367" s="544">
        <v>4.17E-4</v>
      </c>
      <c r="M367" s="544">
        <v>4.17E-4</v>
      </c>
      <c r="N367" s="544">
        <v>4.17E-4</v>
      </c>
      <c r="O367" s="544">
        <v>4.17E-4</v>
      </c>
      <c r="P367" s="544">
        <v>4.17E-4</v>
      </c>
      <c r="R367" s="543" t="str">
        <f t="shared" si="16"/>
        <v>A0135:大東ガス(株)メニューB</v>
      </c>
      <c r="S367" s="544">
        <f t="shared" si="17"/>
        <v>4.17E-4</v>
      </c>
    </row>
    <row r="368" spans="2:19">
      <c r="B368" s="146" t="s">
        <v>1396</v>
      </c>
      <c r="C368" s="543" t="s">
        <v>1906</v>
      </c>
      <c r="D368" s="543" t="str">
        <f t="shared" si="15"/>
        <v>A0620:(株)LENETS</v>
      </c>
      <c r="I368" s="146" t="s">
        <v>1122</v>
      </c>
      <c r="J368" s="146" t="s">
        <v>1632</v>
      </c>
      <c r="K368" s="544" t="s">
        <v>2058</v>
      </c>
      <c r="L368" s="544">
        <v>3.6900000000000002E-4</v>
      </c>
      <c r="M368" s="544">
        <v>3.6900000000000002E-4</v>
      </c>
      <c r="N368" s="544">
        <v>3.6900000000000002E-4</v>
      </c>
      <c r="O368" s="544">
        <v>3.6900000000000002E-4</v>
      </c>
      <c r="P368" s="544">
        <v>3.6900000000000002E-4</v>
      </c>
      <c r="R368" s="543" t="str">
        <f t="shared" si="16"/>
        <v>A0135:大東ガス(株)(参考値)事業者全体</v>
      </c>
      <c r="S368" s="544">
        <f t="shared" si="17"/>
        <v>3.6900000000000002E-4</v>
      </c>
    </row>
    <row r="369" spans="2:19">
      <c r="B369" s="146" t="s">
        <v>1397</v>
      </c>
      <c r="C369" s="543" t="s">
        <v>1907</v>
      </c>
      <c r="D369" s="543" t="str">
        <f t="shared" si="15"/>
        <v>A0622:アイエスジー(株)</v>
      </c>
      <c r="I369" s="146" t="s">
        <v>1123</v>
      </c>
      <c r="J369" s="146" t="s">
        <v>1633</v>
      </c>
      <c r="K369" s="544" t="s">
        <v>710</v>
      </c>
      <c r="L369" s="544">
        <v>0</v>
      </c>
      <c r="M369" s="544">
        <v>0</v>
      </c>
      <c r="N369" s="544">
        <v>0</v>
      </c>
      <c r="O369" s="544">
        <v>0</v>
      </c>
      <c r="P369" s="544">
        <v>0</v>
      </c>
      <c r="R369" s="543" t="str">
        <f t="shared" si="16"/>
        <v>A0136:パナソニックオペレーショナルエクセレンス(株)メニューA</v>
      </c>
      <c r="S369" s="544">
        <f t="shared" si="17"/>
        <v>0</v>
      </c>
    </row>
    <row r="370" spans="2:19">
      <c r="B370" s="146" t="s">
        <v>1398</v>
      </c>
      <c r="C370" s="543" t="s">
        <v>1908</v>
      </c>
      <c r="D370" s="543" t="str">
        <f t="shared" si="15"/>
        <v>A0624:(株)エネクル</v>
      </c>
      <c r="I370" s="146" t="s">
        <v>1123</v>
      </c>
      <c r="J370" s="146" t="s">
        <v>1633</v>
      </c>
      <c r="K370" s="544" t="s">
        <v>787</v>
      </c>
      <c r="L370" s="544">
        <v>0</v>
      </c>
      <c r="M370" s="544">
        <v>0</v>
      </c>
      <c r="N370" s="544">
        <v>0</v>
      </c>
      <c r="O370" s="544">
        <v>0</v>
      </c>
      <c r="P370" s="544">
        <v>0</v>
      </c>
      <c r="R370" s="543" t="str">
        <f t="shared" si="16"/>
        <v>A0136:パナソニックオペレーショナルエクセレンス(株)メニューB</v>
      </c>
      <c r="S370" s="544">
        <f t="shared" si="17"/>
        <v>0</v>
      </c>
    </row>
    <row r="371" spans="2:19">
      <c r="B371" s="146" t="s">
        <v>1399</v>
      </c>
      <c r="C371" s="543" t="s">
        <v>1909</v>
      </c>
      <c r="D371" s="543" t="str">
        <f t="shared" si="15"/>
        <v>A0627:フィンテックラボ協同組合</v>
      </c>
      <c r="I371" s="146" t="s">
        <v>1123</v>
      </c>
      <c r="J371" s="146" t="s">
        <v>1633</v>
      </c>
      <c r="K371" s="544" t="s">
        <v>788</v>
      </c>
      <c r="L371" s="544">
        <v>5.3899999999999998E-4</v>
      </c>
      <c r="M371" s="544">
        <v>5.3899999999999998E-4</v>
      </c>
      <c r="N371" s="544">
        <v>5.3899999999999998E-4</v>
      </c>
      <c r="O371" s="544">
        <v>5.3899999999999998E-4</v>
      </c>
      <c r="P371" s="544">
        <v>5.3899999999999998E-4</v>
      </c>
      <c r="R371" s="543" t="str">
        <f t="shared" si="16"/>
        <v>A0136:パナソニックオペレーショナルエクセレンス(株)メニューC</v>
      </c>
      <c r="S371" s="544">
        <f t="shared" si="17"/>
        <v>5.3899999999999998E-4</v>
      </c>
    </row>
    <row r="372" spans="2:19">
      <c r="B372" s="146" t="s">
        <v>1400</v>
      </c>
      <c r="C372" s="543" t="s">
        <v>1910</v>
      </c>
      <c r="D372" s="543" t="str">
        <f t="shared" si="15"/>
        <v>A0629:新電力新潟(株)</v>
      </c>
      <c r="I372" s="146" t="s">
        <v>1123</v>
      </c>
      <c r="J372" s="146" t="s">
        <v>1633</v>
      </c>
      <c r="K372" s="544" t="s">
        <v>2058</v>
      </c>
      <c r="L372" s="544">
        <v>3.9100000000000002E-4</v>
      </c>
      <c r="M372" s="544">
        <v>3.9100000000000002E-4</v>
      </c>
      <c r="N372" s="544">
        <v>3.9100000000000002E-4</v>
      </c>
      <c r="O372" s="544">
        <v>3.9100000000000002E-4</v>
      </c>
      <c r="P372" s="544">
        <v>3.9100000000000002E-4</v>
      </c>
      <c r="R372" s="543" t="str">
        <f t="shared" si="16"/>
        <v>A0136:パナソニックオペレーショナルエクセレンス(株)(参考値)事業者全体</v>
      </c>
      <c r="S372" s="544">
        <f t="shared" si="17"/>
        <v>3.9100000000000002E-4</v>
      </c>
    </row>
    <row r="373" spans="2:19">
      <c r="B373" s="146" t="s">
        <v>1401</v>
      </c>
      <c r="C373" s="543" t="s">
        <v>1911</v>
      </c>
      <c r="D373" s="543" t="str">
        <f t="shared" si="15"/>
        <v>A0630:(株)タケエイでんき</v>
      </c>
      <c r="I373" s="146" t="s">
        <v>1124</v>
      </c>
      <c r="J373" s="146" t="s">
        <v>1634</v>
      </c>
      <c r="K373" s="544"/>
      <c r="L373" s="544">
        <v>3.2299999999999999E-4</v>
      </c>
      <c r="M373" s="544">
        <v>3.2299999999999999E-4</v>
      </c>
      <c r="N373" s="544">
        <v>3.2299999999999999E-4</v>
      </c>
      <c r="O373" s="544">
        <v>3.2299999999999999E-4</v>
      </c>
      <c r="P373" s="544">
        <v>3.2299999999999999E-4</v>
      </c>
      <c r="R373" s="543" t="str">
        <f t="shared" si="16"/>
        <v>A0137:アストモスエネルギー(株)</v>
      </c>
      <c r="S373" s="544">
        <f t="shared" si="17"/>
        <v>3.2299999999999999E-4</v>
      </c>
    </row>
    <row r="374" spans="2:19">
      <c r="B374" s="146" t="s">
        <v>1402</v>
      </c>
      <c r="C374" s="543" t="s">
        <v>1912</v>
      </c>
      <c r="D374" s="543" t="str">
        <f t="shared" si="15"/>
        <v>A0631:気仙沼グリーンエナジー(株)</v>
      </c>
      <c r="I374" s="146" t="s">
        <v>1125</v>
      </c>
      <c r="J374" s="146" t="s">
        <v>1635</v>
      </c>
      <c r="K374" s="544" t="s">
        <v>710</v>
      </c>
      <c r="L374" s="544">
        <v>0</v>
      </c>
      <c r="M374" s="544">
        <v>0</v>
      </c>
      <c r="N374" s="544">
        <v>0</v>
      </c>
      <c r="O374" s="544">
        <v>0</v>
      </c>
      <c r="P374" s="544">
        <v>0</v>
      </c>
      <c r="R374" s="543" t="str">
        <f t="shared" si="16"/>
        <v>A0138:(株)関電エネルギーソリューションメニューA</v>
      </c>
      <c r="S374" s="544">
        <f t="shared" si="17"/>
        <v>0</v>
      </c>
    </row>
    <row r="375" spans="2:19">
      <c r="B375" s="146" t="s">
        <v>1403</v>
      </c>
      <c r="C375" s="543" t="s">
        <v>1913</v>
      </c>
      <c r="D375" s="543" t="str">
        <f t="shared" si="15"/>
        <v>A0632:(株)ユーラスグリーンエナジー</v>
      </c>
      <c r="I375" s="146" t="s">
        <v>1125</v>
      </c>
      <c r="J375" s="146" t="s">
        <v>1635</v>
      </c>
      <c r="K375" s="544" t="s">
        <v>787</v>
      </c>
      <c r="L375" s="544">
        <v>6.38E-4</v>
      </c>
      <c r="M375" s="544">
        <v>6.38E-4</v>
      </c>
      <c r="N375" s="544">
        <v>6.38E-4</v>
      </c>
      <c r="O375" s="544">
        <v>6.38E-4</v>
      </c>
      <c r="P375" s="544">
        <v>6.38E-4</v>
      </c>
      <c r="R375" s="543" t="str">
        <f t="shared" si="16"/>
        <v>A0138:(株)関電エネルギーソリューションメニューB</v>
      </c>
      <c r="S375" s="544">
        <f t="shared" si="17"/>
        <v>6.38E-4</v>
      </c>
    </row>
    <row r="376" spans="2:19">
      <c r="B376" s="146" t="s">
        <v>1404</v>
      </c>
      <c r="C376" s="543" t="s">
        <v>1914</v>
      </c>
      <c r="D376" s="543" t="str">
        <f t="shared" si="15"/>
        <v>A0639:酒田天然瓦斯(株)</v>
      </c>
      <c r="I376" s="146" t="s">
        <v>1125</v>
      </c>
      <c r="J376" s="146" t="s">
        <v>1635</v>
      </c>
      <c r="K376" s="544" t="s">
        <v>2058</v>
      </c>
      <c r="L376" s="544">
        <v>5.6800000000000004E-4</v>
      </c>
      <c r="M376" s="544">
        <v>5.6800000000000004E-4</v>
      </c>
      <c r="N376" s="544">
        <v>5.6800000000000004E-4</v>
      </c>
      <c r="O376" s="544">
        <v>5.6800000000000004E-4</v>
      </c>
      <c r="P376" s="544">
        <v>5.6800000000000004E-4</v>
      </c>
      <c r="R376" s="543" t="str">
        <f t="shared" si="16"/>
        <v>A0138:(株)関電エネルギーソリューション(参考値)事業者全体</v>
      </c>
      <c r="S376" s="544">
        <f t="shared" si="17"/>
        <v>5.6800000000000004E-4</v>
      </c>
    </row>
    <row r="377" spans="2:19">
      <c r="B377" s="146" t="s">
        <v>1405</v>
      </c>
      <c r="C377" s="543" t="s">
        <v>1915</v>
      </c>
      <c r="D377" s="543" t="str">
        <f t="shared" si="15"/>
        <v>A0640:東亜ガス(株)</v>
      </c>
      <c r="I377" s="146" t="s">
        <v>1126</v>
      </c>
      <c r="J377" s="146" t="s">
        <v>1636</v>
      </c>
      <c r="K377" s="544" t="s">
        <v>710</v>
      </c>
      <c r="L377" s="544">
        <v>0</v>
      </c>
      <c r="M377" s="544">
        <v>0</v>
      </c>
      <c r="N377" s="544">
        <v>0</v>
      </c>
      <c r="O377" s="544">
        <v>0</v>
      </c>
      <c r="P377" s="544">
        <v>0</v>
      </c>
      <c r="R377" s="543" t="str">
        <f t="shared" si="16"/>
        <v>A0140:MCリテールエナジー(株)メニューA</v>
      </c>
      <c r="S377" s="544">
        <f t="shared" si="17"/>
        <v>0</v>
      </c>
    </row>
    <row r="378" spans="2:19">
      <c r="B378" s="146" t="s">
        <v>1406</v>
      </c>
      <c r="C378" s="543" t="s">
        <v>1916</v>
      </c>
      <c r="D378" s="543" t="str">
        <f t="shared" si="15"/>
        <v>A0641:(株)三河の山里コミュニティパワー</v>
      </c>
      <c r="I378" s="146" t="s">
        <v>1126</v>
      </c>
      <c r="J378" s="146" t="s">
        <v>1636</v>
      </c>
      <c r="K378" s="544" t="s">
        <v>787</v>
      </c>
      <c r="L378" s="544">
        <v>0</v>
      </c>
      <c r="M378" s="544">
        <v>0</v>
      </c>
      <c r="N378" s="544">
        <v>0</v>
      </c>
      <c r="O378" s="544">
        <v>0</v>
      </c>
      <c r="P378" s="544">
        <v>0</v>
      </c>
      <c r="R378" s="543" t="str">
        <f t="shared" si="16"/>
        <v>A0140:MCリテールエナジー(株)メニューB</v>
      </c>
      <c r="S378" s="544">
        <f t="shared" si="17"/>
        <v>0</v>
      </c>
    </row>
    <row r="379" spans="2:19">
      <c r="B379" s="146" t="s">
        <v>1407</v>
      </c>
      <c r="C379" s="543" t="s">
        <v>1917</v>
      </c>
      <c r="D379" s="543" t="str">
        <f t="shared" si="15"/>
        <v>A0642:新潟スワンエナジー(株)</v>
      </c>
      <c r="I379" s="146" t="s">
        <v>1126</v>
      </c>
      <c r="J379" s="146" t="s">
        <v>1636</v>
      </c>
      <c r="K379" s="544" t="s">
        <v>788</v>
      </c>
      <c r="L379" s="544">
        <v>5.0500000000000002E-4</v>
      </c>
      <c r="M379" s="544">
        <v>5.0500000000000002E-4</v>
      </c>
      <c r="N379" s="544">
        <v>5.0500000000000002E-4</v>
      </c>
      <c r="O379" s="544">
        <v>5.0500000000000002E-4</v>
      </c>
      <c r="P379" s="544">
        <v>5.0500000000000002E-4</v>
      </c>
      <c r="R379" s="543" t="str">
        <f t="shared" si="16"/>
        <v>A0140:MCリテールエナジー(株)メニューC</v>
      </c>
      <c r="S379" s="544">
        <f t="shared" si="17"/>
        <v>5.0500000000000002E-4</v>
      </c>
    </row>
    <row r="380" spans="2:19">
      <c r="B380" s="146" t="s">
        <v>1408</v>
      </c>
      <c r="C380" s="543" t="s">
        <v>1918</v>
      </c>
      <c r="D380" s="543" t="str">
        <f t="shared" si="15"/>
        <v>A0644:グリーンピープルズパワー(株)</v>
      </c>
      <c r="I380" s="146" t="s">
        <v>1126</v>
      </c>
      <c r="J380" s="146" t="s">
        <v>1636</v>
      </c>
      <c r="K380" s="544" t="s">
        <v>2058</v>
      </c>
      <c r="L380" s="544">
        <v>4.8700000000000002E-4</v>
      </c>
      <c r="M380" s="544">
        <v>4.8700000000000002E-4</v>
      </c>
      <c r="N380" s="544">
        <v>4.8700000000000002E-4</v>
      </c>
      <c r="O380" s="544">
        <v>4.8700000000000002E-4</v>
      </c>
      <c r="P380" s="544">
        <v>4.8700000000000002E-4</v>
      </c>
      <c r="R380" s="543" t="str">
        <f t="shared" si="16"/>
        <v>A0140:MCリテールエナジー(株)(参考値)事業者全体</v>
      </c>
      <c r="S380" s="544">
        <f t="shared" si="17"/>
        <v>4.8700000000000002E-4</v>
      </c>
    </row>
    <row r="381" spans="2:19">
      <c r="B381" s="146" t="s">
        <v>1409</v>
      </c>
      <c r="C381" s="543" t="s">
        <v>1919</v>
      </c>
      <c r="D381" s="543" t="str">
        <f t="shared" si="15"/>
        <v>A0648:(株)マルイファシリティーズ</v>
      </c>
      <c r="I381" s="146" t="s">
        <v>1127</v>
      </c>
      <c r="J381" s="146" t="s">
        <v>1637</v>
      </c>
      <c r="K381" s="544" t="s">
        <v>710</v>
      </c>
      <c r="L381" s="544">
        <v>0</v>
      </c>
      <c r="M381" s="544">
        <v>0</v>
      </c>
      <c r="N381" s="544">
        <v>0</v>
      </c>
      <c r="O381" s="544">
        <v>0</v>
      </c>
      <c r="P381" s="544">
        <v>0</v>
      </c>
      <c r="R381" s="543" t="str">
        <f t="shared" si="16"/>
        <v>A0141:(株)北九州パワーメニューA</v>
      </c>
      <c r="S381" s="544">
        <f t="shared" si="17"/>
        <v>0</v>
      </c>
    </row>
    <row r="382" spans="2:19">
      <c r="B382" s="146" t="s">
        <v>1410</v>
      </c>
      <c r="C382" s="543" t="s">
        <v>1920</v>
      </c>
      <c r="D382" s="543" t="str">
        <f t="shared" si="15"/>
        <v>A0649:(株)デンケン</v>
      </c>
      <c r="I382" s="146" t="s">
        <v>1127</v>
      </c>
      <c r="J382" s="146" t="s">
        <v>1637</v>
      </c>
      <c r="K382" s="544" t="s">
        <v>787</v>
      </c>
      <c r="L382" s="544">
        <v>0</v>
      </c>
      <c r="M382" s="544">
        <v>0</v>
      </c>
      <c r="N382" s="544">
        <v>0</v>
      </c>
      <c r="O382" s="544">
        <v>0</v>
      </c>
      <c r="P382" s="544">
        <v>0</v>
      </c>
      <c r="R382" s="543" t="str">
        <f t="shared" si="16"/>
        <v>A0141:(株)北九州パワーメニューB</v>
      </c>
      <c r="S382" s="544">
        <f t="shared" si="17"/>
        <v>0</v>
      </c>
    </row>
    <row r="383" spans="2:19">
      <c r="B383" s="146" t="s">
        <v>1411</v>
      </c>
      <c r="C383" s="543" t="s">
        <v>1921</v>
      </c>
      <c r="D383" s="543" t="str">
        <f t="shared" si="15"/>
        <v>A0650:(株)東名</v>
      </c>
      <c r="I383" s="146" t="s">
        <v>1127</v>
      </c>
      <c r="J383" s="146" t="s">
        <v>1637</v>
      </c>
      <c r="K383" s="544" t="s">
        <v>788</v>
      </c>
      <c r="L383" s="544">
        <v>2.23E-4</v>
      </c>
      <c r="M383" s="544">
        <v>2.23E-4</v>
      </c>
      <c r="N383" s="544">
        <v>2.23E-4</v>
      </c>
      <c r="O383" s="544">
        <v>2.23E-4</v>
      </c>
      <c r="P383" s="544">
        <v>2.23E-4</v>
      </c>
      <c r="R383" s="543" t="str">
        <f t="shared" si="16"/>
        <v>A0141:(株)北九州パワーメニューC</v>
      </c>
      <c r="S383" s="544">
        <f t="shared" si="17"/>
        <v>2.23E-4</v>
      </c>
    </row>
    <row r="384" spans="2:19">
      <c r="B384" s="146" t="s">
        <v>1412</v>
      </c>
      <c r="C384" s="543" t="s">
        <v>1922</v>
      </c>
      <c r="D384" s="543" t="str">
        <f t="shared" si="15"/>
        <v>A0653:NTTアノードエナジー(株)</v>
      </c>
      <c r="I384" s="146" t="s">
        <v>1127</v>
      </c>
      <c r="J384" s="146" t="s">
        <v>1637</v>
      </c>
      <c r="K384" s="544" t="s">
        <v>2058</v>
      </c>
      <c r="L384" s="544">
        <v>6.0000000000000002E-5</v>
      </c>
      <c r="M384" s="544">
        <v>6.0000000000000002E-5</v>
      </c>
      <c r="N384" s="544">
        <v>6.0000000000000002E-5</v>
      </c>
      <c r="O384" s="544">
        <v>6.0000000000000002E-5</v>
      </c>
      <c r="P384" s="544">
        <v>6.0000000000000002E-5</v>
      </c>
      <c r="R384" s="543" t="str">
        <f t="shared" si="16"/>
        <v>A0141:(株)北九州パワー(参考値)事業者全体</v>
      </c>
      <c r="S384" s="544">
        <f t="shared" si="17"/>
        <v>6.0000000000000002E-5</v>
      </c>
    </row>
    <row r="385" spans="2:19">
      <c r="B385" s="146" t="s">
        <v>1413</v>
      </c>
      <c r="C385" s="543" t="s">
        <v>1923</v>
      </c>
      <c r="D385" s="543" t="str">
        <f t="shared" si="15"/>
        <v>A0654:スマート電気(株)</v>
      </c>
      <c r="I385" s="146" t="s">
        <v>1128</v>
      </c>
      <c r="J385" s="146" t="s">
        <v>1638</v>
      </c>
      <c r="K385" s="544" t="s">
        <v>710</v>
      </c>
      <c r="L385" s="544">
        <v>0</v>
      </c>
      <c r="M385" s="544">
        <v>0</v>
      </c>
      <c r="N385" s="544">
        <v>0</v>
      </c>
      <c r="O385" s="544">
        <v>0</v>
      </c>
      <c r="P385" s="544">
        <v>0</v>
      </c>
      <c r="R385" s="543" t="str">
        <f t="shared" si="16"/>
        <v>A0142:武州瓦斯(株)メニューA</v>
      </c>
      <c r="S385" s="544">
        <f t="shared" si="17"/>
        <v>0</v>
      </c>
    </row>
    <row r="386" spans="2:19">
      <c r="B386" s="146" t="s">
        <v>1414</v>
      </c>
      <c r="C386" s="543" t="s">
        <v>1924</v>
      </c>
      <c r="D386" s="543" t="str">
        <f t="shared" si="15"/>
        <v>A0655:(株)唐津パワーホールディングス</v>
      </c>
      <c r="I386" s="146" t="s">
        <v>1128</v>
      </c>
      <c r="J386" s="146" t="s">
        <v>1638</v>
      </c>
      <c r="K386" s="544" t="s">
        <v>787</v>
      </c>
      <c r="L386" s="544">
        <v>4.2000000000000002E-4</v>
      </c>
      <c r="M386" s="544">
        <v>4.2000000000000002E-4</v>
      </c>
      <c r="N386" s="544">
        <v>4.2000000000000002E-4</v>
      </c>
      <c r="O386" s="544">
        <v>4.2000000000000002E-4</v>
      </c>
      <c r="P386" s="544">
        <v>4.2000000000000002E-4</v>
      </c>
      <c r="R386" s="543" t="str">
        <f t="shared" si="16"/>
        <v>A0142:武州瓦斯(株)メニューB</v>
      </c>
      <c r="S386" s="544">
        <f t="shared" si="17"/>
        <v>4.2000000000000002E-4</v>
      </c>
    </row>
    <row r="387" spans="2:19">
      <c r="B387" s="146" t="s">
        <v>1415</v>
      </c>
      <c r="C387" s="543" t="s">
        <v>1925</v>
      </c>
      <c r="D387" s="543" t="str">
        <f t="shared" si="15"/>
        <v>A0656:(株)クリーンエネルギー総合研究所</v>
      </c>
      <c r="I387" s="146" t="s">
        <v>1128</v>
      </c>
      <c r="J387" s="146" t="s">
        <v>1638</v>
      </c>
      <c r="K387" s="544" t="s">
        <v>2058</v>
      </c>
      <c r="L387" s="544">
        <v>4.1599999999999997E-4</v>
      </c>
      <c r="M387" s="544">
        <v>4.1599999999999997E-4</v>
      </c>
      <c r="N387" s="544">
        <v>4.1599999999999997E-4</v>
      </c>
      <c r="O387" s="544">
        <v>4.1599999999999997E-4</v>
      </c>
      <c r="P387" s="544">
        <v>4.1599999999999997E-4</v>
      </c>
      <c r="R387" s="543" t="str">
        <f t="shared" si="16"/>
        <v>A0142:武州瓦斯(株)(参考値)事業者全体</v>
      </c>
      <c r="S387" s="544">
        <f t="shared" si="17"/>
        <v>4.1599999999999997E-4</v>
      </c>
    </row>
    <row r="388" spans="2:19">
      <c r="B388" s="146" t="s">
        <v>1416</v>
      </c>
      <c r="C388" s="543" t="s">
        <v>1926</v>
      </c>
      <c r="D388" s="543" t="str">
        <f t="shared" si="15"/>
        <v>A0659:(株)かづのパワー</v>
      </c>
      <c r="I388" s="146" t="s">
        <v>1129</v>
      </c>
      <c r="J388" s="146" t="s">
        <v>1639</v>
      </c>
      <c r="K388" s="544" t="s">
        <v>710</v>
      </c>
      <c r="L388" s="544">
        <v>0</v>
      </c>
      <c r="M388" s="544">
        <v>0</v>
      </c>
      <c r="N388" s="544">
        <v>0</v>
      </c>
      <c r="O388" s="544">
        <v>0</v>
      </c>
      <c r="P388" s="544">
        <v>0</v>
      </c>
      <c r="R388" s="543" t="str">
        <f t="shared" si="16"/>
        <v>A0143:リニューアブル・ジャパン(株)メニューA</v>
      </c>
      <c r="S388" s="544">
        <f t="shared" si="17"/>
        <v>0</v>
      </c>
    </row>
    <row r="389" spans="2:19">
      <c r="B389" s="146" t="s">
        <v>1417</v>
      </c>
      <c r="C389" s="543" t="s">
        <v>1927</v>
      </c>
      <c r="D389" s="543" t="str">
        <f t="shared" si="15"/>
        <v>A0660:UNIVERGY(株)</v>
      </c>
      <c r="I389" s="146" t="s">
        <v>1129</v>
      </c>
      <c r="J389" s="146" t="s">
        <v>1639</v>
      </c>
      <c r="K389" s="544" t="s">
        <v>2058</v>
      </c>
      <c r="L389" s="544">
        <v>0</v>
      </c>
      <c r="M389" s="544">
        <v>0</v>
      </c>
      <c r="N389" s="544">
        <v>0</v>
      </c>
      <c r="O389" s="544">
        <v>0</v>
      </c>
      <c r="P389" s="544">
        <v>0</v>
      </c>
      <c r="R389" s="543" t="str">
        <f t="shared" si="16"/>
        <v>A0143:リニューアブル・ジャパン(株)(参考値)事業者全体</v>
      </c>
      <c r="S389" s="544">
        <f t="shared" si="17"/>
        <v>0</v>
      </c>
    </row>
    <row r="390" spans="2:19">
      <c r="B390" s="146" t="s">
        <v>1418</v>
      </c>
      <c r="C390" s="543" t="s">
        <v>1928</v>
      </c>
      <c r="D390" s="543" t="str">
        <f t="shared" si="15"/>
        <v>A0664:デジタルグリッド(株)</v>
      </c>
      <c r="I390" s="146" t="s">
        <v>1130</v>
      </c>
      <c r="J390" s="146" t="s">
        <v>1640</v>
      </c>
      <c r="K390" s="544"/>
      <c r="L390" s="544">
        <v>4.1899999999999999E-4</v>
      </c>
      <c r="M390" s="544">
        <v>4.1899999999999999E-4</v>
      </c>
      <c r="N390" s="544">
        <v>4.1899999999999999E-4</v>
      </c>
      <c r="O390" s="544">
        <v>4.1899999999999999E-4</v>
      </c>
      <c r="P390" s="544">
        <v>4.1899999999999999E-4</v>
      </c>
      <c r="R390" s="543" t="str">
        <f t="shared" si="16"/>
        <v>A0144:大垣ガス(株)</v>
      </c>
      <c r="S390" s="544">
        <f t="shared" si="17"/>
        <v>4.1899999999999999E-4</v>
      </c>
    </row>
    <row r="391" spans="2:19">
      <c r="B391" s="146" t="s">
        <v>1419</v>
      </c>
      <c r="C391" s="543" t="s">
        <v>1929</v>
      </c>
      <c r="D391" s="543" t="str">
        <f t="shared" si="15"/>
        <v>A0666:(株)西九州させぼパワーズ</v>
      </c>
      <c r="I391" s="146" t="s">
        <v>1131</v>
      </c>
      <c r="J391" s="146" t="s">
        <v>1641</v>
      </c>
      <c r="K391" s="544" t="s">
        <v>710</v>
      </c>
      <c r="L391" s="544">
        <v>2.0599999999999999E-4</v>
      </c>
      <c r="M391" s="544">
        <v>2.0599999999999999E-4</v>
      </c>
      <c r="N391" s="544">
        <v>2.0599999999999999E-4</v>
      </c>
      <c r="O391" s="544">
        <v>2.0599999999999999E-4</v>
      </c>
      <c r="P391" s="544">
        <v>2.0599999999999999E-4</v>
      </c>
      <c r="R391" s="543" t="str">
        <f t="shared" si="16"/>
        <v>A0145:(株)藤田商店メニューA</v>
      </c>
      <c r="S391" s="544">
        <f t="shared" si="17"/>
        <v>2.0599999999999999E-4</v>
      </c>
    </row>
    <row r="392" spans="2:19">
      <c r="B392" s="146" t="s">
        <v>1420</v>
      </c>
      <c r="C392" s="543" t="s">
        <v>1930</v>
      </c>
      <c r="D392" s="543" t="str">
        <f t="shared" si="15"/>
        <v>A0667:たんたんエナジー(株)</v>
      </c>
      <c r="I392" s="146" t="s">
        <v>1131</v>
      </c>
      <c r="J392" s="146" t="s">
        <v>1641</v>
      </c>
      <c r="K392" s="544" t="s">
        <v>787</v>
      </c>
      <c r="L392" s="544">
        <v>3.2499999999999999E-4</v>
      </c>
      <c r="M392" s="544">
        <v>3.2499999999999999E-4</v>
      </c>
      <c r="N392" s="544">
        <v>3.2499999999999999E-4</v>
      </c>
      <c r="O392" s="544">
        <v>3.2499999999999999E-4</v>
      </c>
      <c r="P392" s="544">
        <v>3.2499999999999999E-4</v>
      </c>
      <c r="R392" s="543" t="str">
        <f t="shared" si="16"/>
        <v>A0145:(株)藤田商店メニューB</v>
      </c>
      <c r="S392" s="544">
        <f t="shared" si="17"/>
        <v>3.2499999999999999E-4</v>
      </c>
    </row>
    <row r="393" spans="2:19">
      <c r="B393" s="146" t="s">
        <v>1421</v>
      </c>
      <c r="C393" s="543" t="s">
        <v>1931</v>
      </c>
      <c r="D393" s="543" t="str">
        <f t="shared" si="15"/>
        <v>A0668:(株)能勢・豊能まちづくり</v>
      </c>
      <c r="I393" s="146" t="s">
        <v>1131</v>
      </c>
      <c r="J393" s="146" t="s">
        <v>1641</v>
      </c>
      <c r="K393" s="544" t="s">
        <v>788</v>
      </c>
      <c r="L393" s="544">
        <v>5.2999999999999998E-4</v>
      </c>
      <c r="M393" s="544">
        <v>5.2999999999999998E-4</v>
      </c>
      <c r="N393" s="544">
        <v>5.2999999999999998E-4</v>
      </c>
      <c r="O393" s="544">
        <v>5.2999999999999998E-4</v>
      </c>
      <c r="P393" s="544">
        <v>5.2999999999999998E-4</v>
      </c>
      <c r="R393" s="543" t="str">
        <f t="shared" si="16"/>
        <v>A0145:(株)藤田商店メニューC</v>
      </c>
      <c r="S393" s="544">
        <f t="shared" si="17"/>
        <v>5.2999999999999998E-4</v>
      </c>
    </row>
    <row r="394" spans="2:19">
      <c r="B394" s="146" t="s">
        <v>1422</v>
      </c>
      <c r="C394" s="543" t="s">
        <v>1932</v>
      </c>
      <c r="D394" s="543" t="str">
        <f t="shared" ref="D394:D457" si="18">IF(B394="","",B394&amp;":"&amp;C394)</f>
        <v>A0670:(株)再エネ思考電力</v>
      </c>
      <c r="I394" s="146" t="s">
        <v>1131</v>
      </c>
      <c r="J394" s="146" t="s">
        <v>1641</v>
      </c>
      <c r="K394" s="544" t="s">
        <v>2058</v>
      </c>
      <c r="L394" s="544">
        <v>4.8999999999999998E-4</v>
      </c>
      <c r="M394" s="544">
        <v>4.8999999999999998E-4</v>
      </c>
      <c r="N394" s="544">
        <v>4.8999999999999998E-4</v>
      </c>
      <c r="O394" s="544">
        <v>4.8999999999999998E-4</v>
      </c>
      <c r="P394" s="544">
        <v>4.8999999999999998E-4</v>
      </c>
      <c r="R394" s="543" t="str">
        <f t="shared" ref="R394:R457" si="19">I394&amp;":"&amp;J394&amp;K394</f>
        <v>A0145:(株)藤田商店(参考値)事業者全体</v>
      </c>
      <c r="S394" s="544">
        <f t="shared" ref="S394:S457" si="20">HLOOKUP($S$8,$L$8:$P$2000,ROW()-7,FALSE)</f>
        <v>4.8999999999999998E-4</v>
      </c>
    </row>
    <row r="395" spans="2:19">
      <c r="B395" s="146" t="s">
        <v>1423</v>
      </c>
      <c r="C395" s="543" t="s">
        <v>1933</v>
      </c>
      <c r="D395" s="543" t="str">
        <f t="shared" si="18"/>
        <v>A0671:(株)スマート</v>
      </c>
      <c r="I395" s="146" t="s">
        <v>1132</v>
      </c>
      <c r="J395" s="146" t="s">
        <v>1642</v>
      </c>
      <c r="K395" s="544" t="s">
        <v>710</v>
      </c>
      <c r="L395" s="544">
        <v>0</v>
      </c>
      <c r="M395" s="544">
        <v>0</v>
      </c>
      <c r="N395" s="544">
        <v>0</v>
      </c>
      <c r="O395" s="544">
        <v>0</v>
      </c>
      <c r="P395" s="544">
        <v>0</v>
      </c>
      <c r="R395" s="543" t="str">
        <f t="shared" si="19"/>
        <v>A0149:(株)グローバルエンジニアリングメニューA</v>
      </c>
      <c r="S395" s="544">
        <f t="shared" si="20"/>
        <v>0</v>
      </c>
    </row>
    <row r="396" spans="2:19">
      <c r="B396" s="146" t="s">
        <v>1424</v>
      </c>
      <c r="C396" s="543" t="s">
        <v>1934</v>
      </c>
      <c r="D396" s="543" t="str">
        <f t="shared" si="18"/>
        <v>A0673:(株)ジャパネットサービスイノベーション</v>
      </c>
      <c r="I396" s="146" t="s">
        <v>1132</v>
      </c>
      <c r="J396" s="146" t="s">
        <v>1642</v>
      </c>
      <c r="K396" s="544" t="s">
        <v>787</v>
      </c>
      <c r="L396" s="544">
        <v>0</v>
      </c>
      <c r="M396" s="544">
        <v>0</v>
      </c>
      <c r="N396" s="544">
        <v>0</v>
      </c>
      <c r="O396" s="544">
        <v>0</v>
      </c>
      <c r="P396" s="544">
        <v>0</v>
      </c>
      <c r="R396" s="543" t="str">
        <f t="shared" si="19"/>
        <v>A0149:(株)グローバルエンジニアリングメニューB</v>
      </c>
      <c r="S396" s="544">
        <f t="shared" si="20"/>
        <v>0</v>
      </c>
    </row>
    <row r="397" spans="2:19">
      <c r="B397" s="146" t="s">
        <v>1425</v>
      </c>
      <c r="C397" s="543" t="s">
        <v>1935</v>
      </c>
      <c r="D397" s="543" t="str">
        <f t="shared" si="18"/>
        <v>A0676:KBN(株)</v>
      </c>
      <c r="I397" s="146" t="s">
        <v>1132</v>
      </c>
      <c r="J397" s="146" t="s">
        <v>1642</v>
      </c>
      <c r="K397" s="544" t="s">
        <v>788</v>
      </c>
      <c r="L397" s="544">
        <v>4.5199999999999998E-4</v>
      </c>
      <c r="M397" s="544">
        <v>4.5199999999999998E-4</v>
      </c>
      <c r="N397" s="544">
        <v>4.5199999999999998E-4</v>
      </c>
      <c r="O397" s="544">
        <v>4.5199999999999998E-4</v>
      </c>
      <c r="P397" s="544">
        <v>4.5199999999999998E-4</v>
      </c>
      <c r="R397" s="543" t="str">
        <f t="shared" si="19"/>
        <v>A0149:(株)グローバルエンジニアリングメニューC</v>
      </c>
      <c r="S397" s="544">
        <f t="shared" si="20"/>
        <v>4.5199999999999998E-4</v>
      </c>
    </row>
    <row r="398" spans="2:19">
      <c r="B398" s="146" t="s">
        <v>1426</v>
      </c>
      <c r="C398" s="543" t="s">
        <v>1936</v>
      </c>
      <c r="D398" s="543" t="str">
        <f t="shared" si="18"/>
        <v>A0677:(株)しおさい電力</v>
      </c>
      <c r="I398" s="146" t="s">
        <v>1132</v>
      </c>
      <c r="J398" s="146" t="s">
        <v>1642</v>
      </c>
      <c r="K398" s="544" t="s">
        <v>2058</v>
      </c>
      <c r="L398" s="544">
        <v>4.1899999999999999E-4</v>
      </c>
      <c r="M398" s="544">
        <v>4.1899999999999999E-4</v>
      </c>
      <c r="N398" s="544">
        <v>4.1899999999999999E-4</v>
      </c>
      <c r="O398" s="544">
        <v>4.1899999999999999E-4</v>
      </c>
      <c r="P398" s="544">
        <v>4.1899999999999999E-4</v>
      </c>
      <c r="R398" s="543" t="str">
        <f t="shared" si="19"/>
        <v>A0149:(株)グローバルエンジニアリング(参考値)事業者全体</v>
      </c>
      <c r="S398" s="544">
        <f t="shared" si="20"/>
        <v>4.1899999999999999E-4</v>
      </c>
    </row>
    <row r="399" spans="2:19">
      <c r="B399" s="146" t="s">
        <v>1427</v>
      </c>
      <c r="C399" s="543" t="s">
        <v>1937</v>
      </c>
      <c r="D399" s="543" t="str">
        <f t="shared" si="18"/>
        <v>A0680:会津エナジー(株)</v>
      </c>
      <c r="I399" s="146" t="s">
        <v>1133</v>
      </c>
      <c r="J399" s="146" t="s">
        <v>1643</v>
      </c>
      <c r="K399" s="544" t="s">
        <v>710</v>
      </c>
      <c r="L399" s="544">
        <v>0</v>
      </c>
      <c r="M399" s="544">
        <v>0</v>
      </c>
      <c r="N399" s="544">
        <v>0</v>
      </c>
      <c r="O399" s="544">
        <v>0</v>
      </c>
      <c r="P399" s="544">
        <v>0</v>
      </c>
      <c r="R399" s="543" t="str">
        <f t="shared" si="19"/>
        <v>A0150:九州エナジー(株)メニューA</v>
      </c>
      <c r="S399" s="544">
        <f t="shared" si="20"/>
        <v>0</v>
      </c>
    </row>
    <row r="400" spans="2:19">
      <c r="B400" s="146" t="s">
        <v>1428</v>
      </c>
      <c r="C400" s="543" t="s">
        <v>1938</v>
      </c>
      <c r="D400" s="543" t="str">
        <f t="shared" si="18"/>
        <v>A0681:うべ未来エネルギー(株)</v>
      </c>
      <c r="I400" s="146" t="s">
        <v>1133</v>
      </c>
      <c r="J400" s="146" t="s">
        <v>1643</v>
      </c>
      <c r="K400" s="544" t="s">
        <v>787</v>
      </c>
      <c r="L400" s="544">
        <v>2.1800000000000001E-4</v>
      </c>
      <c r="M400" s="544">
        <v>2.1800000000000001E-4</v>
      </c>
      <c r="N400" s="544">
        <v>2.1800000000000001E-4</v>
      </c>
      <c r="O400" s="544">
        <v>2.1800000000000001E-4</v>
      </c>
      <c r="P400" s="544">
        <v>2.1800000000000001E-4</v>
      </c>
      <c r="R400" s="543" t="str">
        <f t="shared" si="19"/>
        <v>A0150:九州エナジー(株)メニューB</v>
      </c>
      <c r="S400" s="544">
        <f t="shared" si="20"/>
        <v>2.1800000000000001E-4</v>
      </c>
    </row>
    <row r="401" spans="2:19">
      <c r="B401" s="146" t="s">
        <v>1429</v>
      </c>
      <c r="C401" s="543" t="s">
        <v>1939</v>
      </c>
      <c r="D401" s="543" t="str">
        <f t="shared" si="18"/>
        <v>A0683:永井自動車工業(株)</v>
      </c>
      <c r="I401" s="146" t="s">
        <v>1133</v>
      </c>
      <c r="J401" s="146" t="s">
        <v>1643</v>
      </c>
      <c r="K401" s="544" t="s">
        <v>2058</v>
      </c>
      <c r="L401" s="544">
        <v>2.13E-4</v>
      </c>
      <c r="M401" s="544">
        <v>2.13E-4</v>
      </c>
      <c r="N401" s="544">
        <v>2.13E-4</v>
      </c>
      <c r="O401" s="544">
        <v>2.13E-4</v>
      </c>
      <c r="P401" s="544">
        <v>2.13E-4</v>
      </c>
      <c r="R401" s="543" t="str">
        <f t="shared" si="19"/>
        <v>A0150:九州エナジー(株)(参考値)事業者全体</v>
      </c>
      <c r="S401" s="544">
        <f t="shared" si="20"/>
        <v>2.13E-4</v>
      </c>
    </row>
    <row r="402" spans="2:19">
      <c r="B402" s="146" t="s">
        <v>1430</v>
      </c>
      <c r="C402" s="543" t="s">
        <v>1940</v>
      </c>
      <c r="D402" s="543" t="str">
        <f t="shared" si="18"/>
        <v>A0685:陸前高田しみんエネルギー(株)</v>
      </c>
      <c r="I402" s="146" t="s">
        <v>1134</v>
      </c>
      <c r="J402" s="146" t="s">
        <v>1644</v>
      </c>
      <c r="K402" s="544" t="s">
        <v>710</v>
      </c>
      <c r="L402" s="544">
        <v>0</v>
      </c>
      <c r="M402" s="544">
        <v>0</v>
      </c>
      <c r="N402" s="544">
        <v>0</v>
      </c>
      <c r="O402" s="544">
        <v>0</v>
      </c>
      <c r="P402" s="544">
        <v>0</v>
      </c>
      <c r="R402" s="543" t="str">
        <f t="shared" si="19"/>
        <v>A0151:(株)トヨタエナジーソリューションズメニューA</v>
      </c>
      <c r="S402" s="544">
        <f t="shared" si="20"/>
        <v>0</v>
      </c>
    </row>
    <row r="403" spans="2:19">
      <c r="B403" s="146" t="s">
        <v>1431</v>
      </c>
      <c r="C403" s="543" t="s">
        <v>1941</v>
      </c>
      <c r="D403" s="543" t="str">
        <f t="shared" si="18"/>
        <v>A0687:(株)チャームドライフ</v>
      </c>
      <c r="I403" s="146" t="s">
        <v>1134</v>
      </c>
      <c r="J403" s="146" t="s">
        <v>1644</v>
      </c>
      <c r="K403" s="544" t="s">
        <v>787</v>
      </c>
      <c r="L403" s="544">
        <v>4.8999999999999998E-4</v>
      </c>
      <c r="M403" s="544">
        <v>4.8999999999999998E-4</v>
      </c>
      <c r="N403" s="544">
        <v>4.8999999999999998E-4</v>
      </c>
      <c r="O403" s="544">
        <v>4.8999999999999998E-4</v>
      </c>
      <c r="P403" s="544">
        <v>4.8999999999999998E-4</v>
      </c>
      <c r="R403" s="543" t="str">
        <f t="shared" si="19"/>
        <v>A0151:(株)トヨタエナジーソリューションズメニューB</v>
      </c>
      <c r="S403" s="544">
        <f t="shared" si="20"/>
        <v>4.8999999999999998E-4</v>
      </c>
    </row>
    <row r="404" spans="2:19">
      <c r="B404" s="146" t="s">
        <v>1432</v>
      </c>
      <c r="C404" s="543" t="s">
        <v>1942</v>
      </c>
      <c r="D404" s="543" t="str">
        <f t="shared" si="18"/>
        <v>A0689:スターティア(株)</v>
      </c>
      <c r="I404" s="146" t="s">
        <v>1134</v>
      </c>
      <c r="J404" s="146" t="s">
        <v>1644</v>
      </c>
      <c r="K404" s="544" t="s">
        <v>2058</v>
      </c>
      <c r="L404" s="544">
        <v>4.8299999999999998E-4</v>
      </c>
      <c r="M404" s="544">
        <v>4.8299999999999998E-4</v>
      </c>
      <c r="N404" s="544">
        <v>4.8299999999999998E-4</v>
      </c>
      <c r="O404" s="544">
        <v>4.8299999999999998E-4</v>
      </c>
      <c r="P404" s="544">
        <v>4.8299999999999998E-4</v>
      </c>
      <c r="R404" s="543" t="str">
        <f t="shared" si="19"/>
        <v>A0151:(株)トヨタエナジーソリューションズ(参考値)事業者全体</v>
      </c>
      <c r="S404" s="544">
        <f t="shared" si="20"/>
        <v>4.8299999999999998E-4</v>
      </c>
    </row>
    <row r="405" spans="2:19">
      <c r="B405" s="146" t="s">
        <v>1433</v>
      </c>
      <c r="C405" s="543" t="s">
        <v>1943</v>
      </c>
      <c r="D405" s="543" t="str">
        <f t="shared" si="18"/>
        <v>A0690:東広島スマートエネルギー(株)</v>
      </c>
      <c r="I405" s="146" t="s">
        <v>1135</v>
      </c>
      <c r="J405" s="146" t="s">
        <v>1645</v>
      </c>
      <c r="K405" s="544" t="s">
        <v>710</v>
      </c>
      <c r="L405" s="544">
        <v>0</v>
      </c>
      <c r="M405" s="544">
        <v>0</v>
      </c>
      <c r="N405" s="544">
        <v>0</v>
      </c>
      <c r="O405" s="544">
        <v>0</v>
      </c>
      <c r="P405" s="544">
        <v>0</v>
      </c>
      <c r="R405" s="543" t="str">
        <f t="shared" si="19"/>
        <v>A0153:(株)エナリス・パワー・マーケティングメニューA</v>
      </c>
      <c r="S405" s="544">
        <f t="shared" si="20"/>
        <v>0</v>
      </c>
    </row>
    <row r="406" spans="2:19">
      <c r="B406" s="146" t="s">
        <v>1434</v>
      </c>
      <c r="C406" s="543" t="s">
        <v>1944</v>
      </c>
      <c r="D406" s="543" t="str">
        <f t="shared" si="18"/>
        <v>A0692:旭化成(株)</v>
      </c>
      <c r="I406" s="146" t="s">
        <v>1135</v>
      </c>
      <c r="J406" s="146" t="s">
        <v>1645</v>
      </c>
      <c r="K406" s="544" t="s">
        <v>787</v>
      </c>
      <c r="L406" s="544">
        <v>0</v>
      </c>
      <c r="M406" s="544">
        <v>0</v>
      </c>
      <c r="N406" s="544">
        <v>0</v>
      </c>
      <c r="O406" s="544">
        <v>0</v>
      </c>
      <c r="P406" s="544">
        <v>0</v>
      </c>
      <c r="R406" s="543" t="str">
        <f t="shared" si="19"/>
        <v>A0153:(株)エナリス・パワー・マーケティングメニューB</v>
      </c>
      <c r="S406" s="544">
        <f t="shared" si="20"/>
        <v>0</v>
      </c>
    </row>
    <row r="407" spans="2:19">
      <c r="B407" s="146" t="s">
        <v>1435</v>
      </c>
      <c r="C407" s="543" t="s">
        <v>1945</v>
      </c>
      <c r="D407" s="543" t="str">
        <f t="shared" si="18"/>
        <v>A0693:京和ガス(株)</v>
      </c>
      <c r="I407" s="146" t="s">
        <v>1135</v>
      </c>
      <c r="J407" s="146" t="s">
        <v>1645</v>
      </c>
      <c r="K407" s="544" t="s">
        <v>788</v>
      </c>
      <c r="L407" s="544">
        <v>4.0000000000000002E-4</v>
      </c>
      <c r="M407" s="544">
        <v>4.0000000000000002E-4</v>
      </c>
      <c r="N407" s="544">
        <v>4.0000000000000002E-4</v>
      </c>
      <c r="O407" s="544">
        <v>4.0000000000000002E-4</v>
      </c>
      <c r="P407" s="544">
        <v>4.0000000000000002E-4</v>
      </c>
      <c r="R407" s="543" t="str">
        <f t="shared" si="19"/>
        <v>A0153:(株)エナリス・パワー・マーケティングメニューC</v>
      </c>
      <c r="S407" s="544">
        <f t="shared" si="20"/>
        <v>4.0000000000000002E-4</v>
      </c>
    </row>
    <row r="408" spans="2:19">
      <c r="B408" s="146" t="s">
        <v>1436</v>
      </c>
      <c r="C408" s="543" t="s">
        <v>1946</v>
      </c>
      <c r="D408" s="543" t="str">
        <f t="shared" si="18"/>
        <v>A0695:KMパワー(株)</v>
      </c>
      <c r="I408" s="146" t="s">
        <v>1135</v>
      </c>
      <c r="J408" s="146" t="s">
        <v>1645</v>
      </c>
      <c r="K408" s="544" t="s">
        <v>974</v>
      </c>
      <c r="L408" s="544">
        <v>0</v>
      </c>
      <c r="M408" s="544">
        <v>0</v>
      </c>
      <c r="N408" s="544">
        <v>0</v>
      </c>
      <c r="O408" s="544">
        <v>0</v>
      </c>
      <c r="P408" s="544">
        <v>0</v>
      </c>
      <c r="R408" s="543" t="str">
        <f t="shared" si="19"/>
        <v>A0153:(株)エナリス・パワー・マーケティングメニューD</v>
      </c>
      <c r="S408" s="544">
        <f t="shared" si="20"/>
        <v>0</v>
      </c>
    </row>
    <row r="409" spans="2:19">
      <c r="B409" s="146" t="s">
        <v>1437</v>
      </c>
      <c r="C409" s="543" t="s">
        <v>1947</v>
      </c>
      <c r="D409" s="543" t="str">
        <f t="shared" si="18"/>
        <v>A0696:(株)Okazaki</v>
      </c>
      <c r="I409" s="146" t="s">
        <v>1135</v>
      </c>
      <c r="J409" s="146" t="s">
        <v>1645</v>
      </c>
      <c r="K409" s="544" t="s">
        <v>975</v>
      </c>
      <c r="L409" s="544">
        <v>4.2200000000000001E-4</v>
      </c>
      <c r="M409" s="544">
        <v>4.2200000000000001E-4</v>
      </c>
      <c r="N409" s="544">
        <v>4.2200000000000001E-4</v>
      </c>
      <c r="O409" s="544">
        <v>4.2200000000000001E-4</v>
      </c>
      <c r="P409" s="544">
        <v>4.2200000000000001E-4</v>
      </c>
      <c r="R409" s="543" t="str">
        <f t="shared" si="19"/>
        <v>A0153:(株)エナリス・パワー・マーケティングメニューE</v>
      </c>
      <c r="S409" s="544">
        <f t="shared" si="20"/>
        <v>4.2200000000000001E-4</v>
      </c>
    </row>
    <row r="410" spans="2:19">
      <c r="B410" s="146" t="s">
        <v>1438</v>
      </c>
      <c r="C410" s="543" t="s">
        <v>1948</v>
      </c>
      <c r="D410" s="543" t="str">
        <f t="shared" si="18"/>
        <v>A0698:(株)エフオン</v>
      </c>
      <c r="I410" s="146" t="s">
        <v>1135</v>
      </c>
      <c r="J410" s="146" t="s">
        <v>1645</v>
      </c>
      <c r="K410" s="544" t="s">
        <v>2058</v>
      </c>
      <c r="L410" s="544">
        <v>4.57E-4</v>
      </c>
      <c r="M410" s="544">
        <v>4.57E-4</v>
      </c>
      <c r="N410" s="544">
        <v>4.57E-4</v>
      </c>
      <c r="O410" s="544">
        <v>4.57E-4</v>
      </c>
      <c r="P410" s="544">
        <v>4.57E-4</v>
      </c>
      <c r="R410" s="543" t="str">
        <f t="shared" si="19"/>
        <v>A0153:(株)エナリス・パワー・マーケティング(参考値)事業者全体</v>
      </c>
      <c r="S410" s="544">
        <f t="shared" si="20"/>
        <v>4.57E-4</v>
      </c>
    </row>
    <row r="411" spans="2:19">
      <c r="B411" s="146" t="s">
        <v>1439</v>
      </c>
      <c r="C411" s="543" t="s">
        <v>1949</v>
      </c>
      <c r="D411" s="543" t="str">
        <f t="shared" si="18"/>
        <v>A0699:(株)岡崎さくら電力</v>
      </c>
      <c r="I411" s="146" t="s">
        <v>1136</v>
      </c>
      <c r="J411" s="146" t="s">
        <v>1646</v>
      </c>
      <c r="K411" s="544"/>
      <c r="L411" s="544">
        <v>5.7700000000000004E-4</v>
      </c>
      <c r="M411" s="544">
        <v>5.7700000000000004E-4</v>
      </c>
      <c r="N411" s="544">
        <v>5.7700000000000004E-4</v>
      </c>
      <c r="O411" s="544">
        <v>5.7700000000000004E-4</v>
      </c>
      <c r="P411" s="544">
        <v>5.7700000000000004E-4</v>
      </c>
      <c r="R411" s="543" t="str">
        <f t="shared" si="19"/>
        <v>A0154:歌舞伎エナジー(株)</v>
      </c>
      <c r="S411" s="544">
        <f t="shared" si="20"/>
        <v>5.7700000000000004E-4</v>
      </c>
    </row>
    <row r="412" spans="2:19">
      <c r="B412" s="146" t="s">
        <v>1440</v>
      </c>
      <c r="C412" s="543" t="s">
        <v>1950</v>
      </c>
      <c r="D412" s="543" t="str">
        <f t="shared" si="18"/>
        <v>A0702:旭マルヰ(株)(旧：旭マルヰガス(株))</v>
      </c>
      <c r="I412" s="146" t="s">
        <v>1137</v>
      </c>
      <c r="J412" s="146" t="s">
        <v>1647</v>
      </c>
      <c r="K412" s="544" t="s">
        <v>710</v>
      </c>
      <c r="L412" s="544">
        <v>0</v>
      </c>
      <c r="M412" s="544">
        <v>0</v>
      </c>
      <c r="N412" s="544">
        <v>0</v>
      </c>
      <c r="O412" s="544">
        <v>0</v>
      </c>
      <c r="P412" s="544">
        <v>0</v>
      </c>
      <c r="R412" s="543" t="str">
        <f t="shared" si="19"/>
        <v>A0155:みやまスマートエネルギー(株)メニューA</v>
      </c>
      <c r="S412" s="544">
        <f t="shared" si="20"/>
        <v>0</v>
      </c>
    </row>
    <row r="413" spans="2:19">
      <c r="B413" s="146" t="s">
        <v>1441</v>
      </c>
      <c r="C413" s="543" t="s">
        <v>1951</v>
      </c>
      <c r="D413" s="543" t="str">
        <f t="shared" si="18"/>
        <v>A0703:ENEOSリニューアブル・エナジー・ソリューションズ(株)(旧：JREトレーディング(株))</v>
      </c>
      <c r="I413" s="146" t="s">
        <v>1137</v>
      </c>
      <c r="J413" s="146" t="s">
        <v>1647</v>
      </c>
      <c r="K413" s="544" t="s">
        <v>787</v>
      </c>
      <c r="L413" s="544">
        <v>4.4499999999999997E-4</v>
      </c>
      <c r="M413" s="544">
        <v>4.4499999999999997E-4</v>
      </c>
      <c r="N413" s="544">
        <v>4.4499999999999997E-4</v>
      </c>
      <c r="O413" s="544">
        <v>4.4499999999999997E-4</v>
      </c>
      <c r="P413" s="544">
        <v>4.4499999999999997E-4</v>
      </c>
      <c r="R413" s="543" t="str">
        <f t="shared" si="19"/>
        <v>A0155:みやまスマートエネルギー(株)メニューB</v>
      </c>
      <c r="S413" s="544">
        <f t="shared" si="20"/>
        <v>4.4499999999999997E-4</v>
      </c>
    </row>
    <row r="414" spans="2:19">
      <c r="B414" s="146" t="s">
        <v>1442</v>
      </c>
      <c r="C414" s="543" t="s">
        <v>1952</v>
      </c>
      <c r="D414" s="543" t="str">
        <f t="shared" si="18"/>
        <v>A0704:Castleton Commodities Japan合同会社</v>
      </c>
      <c r="I414" s="146" t="s">
        <v>1137</v>
      </c>
      <c r="J414" s="146" t="s">
        <v>1647</v>
      </c>
      <c r="K414" s="544" t="s">
        <v>2058</v>
      </c>
      <c r="L414" s="544">
        <v>4.37E-4</v>
      </c>
      <c r="M414" s="544">
        <v>4.37E-4</v>
      </c>
      <c r="N414" s="544">
        <v>4.37E-4</v>
      </c>
      <c r="O414" s="544">
        <v>4.37E-4</v>
      </c>
      <c r="P414" s="544">
        <v>4.37E-4</v>
      </c>
      <c r="R414" s="543" t="str">
        <f t="shared" si="19"/>
        <v>A0155:みやまスマートエネルギー(株)(参考値)事業者全体</v>
      </c>
      <c r="S414" s="544">
        <f t="shared" si="20"/>
        <v>4.37E-4</v>
      </c>
    </row>
    <row r="415" spans="2:19">
      <c r="B415" s="146" t="s">
        <v>1443</v>
      </c>
      <c r="C415" s="543" t="s">
        <v>1953</v>
      </c>
      <c r="D415" s="543" t="str">
        <f t="shared" si="18"/>
        <v>A0705:神戸電力(株)</v>
      </c>
      <c r="I415" s="146" t="s">
        <v>1138</v>
      </c>
      <c r="J415" s="146" t="s">
        <v>1648</v>
      </c>
      <c r="K415" s="544"/>
      <c r="L415" s="544">
        <v>4.2200000000000001E-4</v>
      </c>
      <c r="M415" s="544">
        <v>4.2200000000000001E-4</v>
      </c>
      <c r="N415" s="544">
        <v>4.2200000000000001E-4</v>
      </c>
      <c r="O415" s="544">
        <v>4.2200000000000001E-4</v>
      </c>
      <c r="P415" s="544">
        <v>4.2200000000000001E-4</v>
      </c>
      <c r="R415" s="543" t="str">
        <f t="shared" si="19"/>
        <v>A0156:エフィシエント(株)</v>
      </c>
      <c r="S415" s="544">
        <f t="shared" si="20"/>
        <v>4.2200000000000001E-4</v>
      </c>
    </row>
    <row r="416" spans="2:19">
      <c r="B416" s="146" t="s">
        <v>1444</v>
      </c>
      <c r="C416" s="543" t="s">
        <v>1954</v>
      </c>
      <c r="D416" s="543" t="str">
        <f t="shared" si="18"/>
        <v>A0707:Valhall合同会社</v>
      </c>
      <c r="I416" s="146" t="s">
        <v>1139</v>
      </c>
      <c r="J416" s="146" t="s">
        <v>1649</v>
      </c>
      <c r="K416" s="544" t="s">
        <v>710</v>
      </c>
      <c r="L416" s="544">
        <v>2.8299999999999999E-4</v>
      </c>
      <c r="M416" s="544">
        <v>2.8299999999999999E-4</v>
      </c>
      <c r="N416" s="544">
        <v>2.8299999999999999E-4</v>
      </c>
      <c r="O416" s="544">
        <v>2.8299999999999999E-4</v>
      </c>
      <c r="P416" s="544">
        <v>2.8299999999999999E-4</v>
      </c>
      <c r="R416" s="543" t="str">
        <f t="shared" si="19"/>
        <v>A0157:(株)生活クラブエナジーメニューA</v>
      </c>
      <c r="S416" s="544">
        <f t="shared" si="20"/>
        <v>2.8299999999999999E-4</v>
      </c>
    </row>
    <row r="417" spans="2:19">
      <c r="B417" s="146" t="s">
        <v>1445</v>
      </c>
      <c r="C417" s="543" t="s">
        <v>1955</v>
      </c>
      <c r="D417" s="543" t="str">
        <f t="shared" si="18"/>
        <v>A0708:エア・ウォーター・ライフソリューション(株)</v>
      </c>
      <c r="I417" s="146" t="s">
        <v>1139</v>
      </c>
      <c r="J417" s="146" t="s">
        <v>1649</v>
      </c>
      <c r="K417" s="544" t="s">
        <v>787</v>
      </c>
      <c r="L417" s="544">
        <v>0</v>
      </c>
      <c r="M417" s="544">
        <v>0</v>
      </c>
      <c r="N417" s="544">
        <v>0</v>
      </c>
      <c r="O417" s="544">
        <v>0</v>
      </c>
      <c r="P417" s="544">
        <v>0</v>
      </c>
      <c r="R417" s="543" t="str">
        <f t="shared" si="19"/>
        <v>A0157:(株)生活クラブエナジーメニューB</v>
      </c>
      <c r="S417" s="544">
        <f t="shared" si="20"/>
        <v>0</v>
      </c>
    </row>
    <row r="418" spans="2:19">
      <c r="B418" s="146" t="s">
        <v>1446</v>
      </c>
      <c r="C418" s="543" t="s">
        <v>1956</v>
      </c>
      <c r="D418" s="543" t="str">
        <f t="shared" si="18"/>
        <v>A0709:生活協同組合ひろしま</v>
      </c>
      <c r="I418" s="146" t="s">
        <v>1139</v>
      </c>
      <c r="J418" s="146" t="s">
        <v>1649</v>
      </c>
      <c r="K418" s="544" t="s">
        <v>788</v>
      </c>
      <c r="L418" s="544">
        <v>5.5500000000000005E-4</v>
      </c>
      <c r="M418" s="544">
        <v>5.5500000000000005E-4</v>
      </c>
      <c r="N418" s="544">
        <v>5.5500000000000005E-4</v>
      </c>
      <c r="O418" s="544">
        <v>5.5500000000000005E-4</v>
      </c>
      <c r="P418" s="544">
        <v>5.5500000000000005E-4</v>
      </c>
      <c r="R418" s="543" t="str">
        <f t="shared" si="19"/>
        <v>A0157:(株)生活クラブエナジーメニューC</v>
      </c>
      <c r="S418" s="544">
        <f t="shared" si="20"/>
        <v>5.5500000000000005E-4</v>
      </c>
    </row>
    <row r="419" spans="2:19">
      <c r="B419" s="146" t="s">
        <v>1447</v>
      </c>
      <c r="C419" s="543" t="s">
        <v>1957</v>
      </c>
      <c r="D419" s="543" t="str">
        <f t="shared" si="18"/>
        <v>A0711:(株)RenoLabo</v>
      </c>
      <c r="I419" s="146" t="s">
        <v>1139</v>
      </c>
      <c r="J419" s="146" t="s">
        <v>1649</v>
      </c>
      <c r="K419" s="544" t="s">
        <v>2058</v>
      </c>
      <c r="L419" s="544">
        <v>5.2099999999999998E-4</v>
      </c>
      <c r="M419" s="544">
        <v>5.2099999999999998E-4</v>
      </c>
      <c r="N419" s="544">
        <v>5.2099999999999998E-4</v>
      </c>
      <c r="O419" s="544">
        <v>5.2099999999999998E-4</v>
      </c>
      <c r="P419" s="544">
        <v>5.2099999999999998E-4</v>
      </c>
      <c r="R419" s="543" t="str">
        <f t="shared" si="19"/>
        <v>A0157:(株)生活クラブエナジー(参考値)事業者全体</v>
      </c>
      <c r="S419" s="544">
        <f t="shared" si="20"/>
        <v>5.2099999999999998E-4</v>
      </c>
    </row>
    <row r="420" spans="2:19">
      <c r="B420" s="146" t="s">
        <v>1448</v>
      </c>
      <c r="C420" s="543" t="s">
        <v>1958</v>
      </c>
      <c r="D420" s="543" t="str">
        <f t="shared" si="18"/>
        <v>A0712:アークエルテクノロジーズ(株)</v>
      </c>
      <c r="I420" s="146" t="s">
        <v>1140</v>
      </c>
      <c r="J420" s="146" t="s">
        <v>1650</v>
      </c>
      <c r="K420" s="544" t="s">
        <v>710</v>
      </c>
      <c r="L420" s="544">
        <v>3.8699999999999997E-4</v>
      </c>
      <c r="M420" s="544">
        <v>3.8699999999999997E-4</v>
      </c>
      <c r="N420" s="544">
        <v>3.8699999999999997E-4</v>
      </c>
      <c r="O420" s="544">
        <v>3.8699999999999997E-4</v>
      </c>
      <c r="P420" s="544">
        <v>3.8699999999999997E-4</v>
      </c>
      <c r="R420" s="543" t="str">
        <f t="shared" si="19"/>
        <v>A0158:生活協同組合コープこうべメニューA</v>
      </c>
      <c r="S420" s="544">
        <f t="shared" si="20"/>
        <v>3.8699999999999997E-4</v>
      </c>
    </row>
    <row r="421" spans="2:19">
      <c r="B421" s="146" t="s">
        <v>1449</v>
      </c>
      <c r="C421" s="543" t="s">
        <v>1959</v>
      </c>
      <c r="D421" s="543" t="str">
        <f t="shared" si="18"/>
        <v>A0714:エルメック(株)</v>
      </c>
      <c r="I421" s="146" t="s">
        <v>1140</v>
      </c>
      <c r="J421" s="146" t="s">
        <v>1650</v>
      </c>
      <c r="K421" s="544" t="s">
        <v>787</v>
      </c>
      <c r="L421" s="544">
        <v>3.6299999999999999E-4</v>
      </c>
      <c r="M421" s="544">
        <v>3.6299999999999999E-4</v>
      </c>
      <c r="N421" s="544">
        <v>3.6299999999999999E-4</v>
      </c>
      <c r="O421" s="544">
        <v>3.6299999999999999E-4</v>
      </c>
      <c r="P421" s="544">
        <v>3.6299999999999999E-4</v>
      </c>
      <c r="R421" s="543" t="str">
        <f t="shared" si="19"/>
        <v>A0158:生活協同組合コープこうべメニューB</v>
      </c>
      <c r="S421" s="544">
        <f t="shared" si="20"/>
        <v>3.6299999999999999E-4</v>
      </c>
    </row>
    <row r="422" spans="2:19">
      <c r="B422" s="146" t="s">
        <v>1450</v>
      </c>
      <c r="C422" s="543" t="s">
        <v>1960</v>
      </c>
      <c r="D422" s="543" t="str">
        <f t="shared" si="18"/>
        <v>A0715:(株)オズエナジー</v>
      </c>
      <c r="I422" s="146" t="s">
        <v>1140</v>
      </c>
      <c r="J422" s="146" t="s">
        <v>1650</v>
      </c>
      <c r="K422" s="544" t="s">
        <v>788</v>
      </c>
      <c r="L422" s="544">
        <v>3.9500000000000001E-4</v>
      </c>
      <c r="M422" s="544">
        <v>3.9500000000000001E-4</v>
      </c>
      <c r="N422" s="544">
        <v>3.9500000000000001E-4</v>
      </c>
      <c r="O422" s="544">
        <v>3.9500000000000001E-4</v>
      </c>
      <c r="P422" s="544">
        <v>3.9500000000000001E-4</v>
      </c>
      <c r="R422" s="543" t="str">
        <f t="shared" si="19"/>
        <v>A0158:生活協同組合コープこうべメニューC</v>
      </c>
      <c r="S422" s="544">
        <f t="shared" si="20"/>
        <v>3.9500000000000001E-4</v>
      </c>
    </row>
    <row r="423" spans="2:19">
      <c r="B423" s="146" t="s">
        <v>1451</v>
      </c>
      <c r="C423" s="543" t="s">
        <v>1961</v>
      </c>
      <c r="D423" s="543" t="str">
        <f t="shared" si="18"/>
        <v>A0716:レモンガス(株)</v>
      </c>
      <c r="I423" s="146" t="s">
        <v>1140</v>
      </c>
      <c r="J423" s="146" t="s">
        <v>1650</v>
      </c>
      <c r="K423" s="544" t="s">
        <v>2058</v>
      </c>
      <c r="L423" s="544">
        <v>3.8699999999999997E-4</v>
      </c>
      <c r="M423" s="544">
        <v>3.8699999999999997E-4</v>
      </c>
      <c r="N423" s="544">
        <v>3.8699999999999997E-4</v>
      </c>
      <c r="O423" s="544">
        <v>3.8699999999999997E-4</v>
      </c>
      <c r="P423" s="544">
        <v>3.8699999999999997E-4</v>
      </c>
      <c r="R423" s="543" t="str">
        <f t="shared" si="19"/>
        <v>A0158:生活協同組合コープこうべ(参考値)事業者全体</v>
      </c>
      <c r="S423" s="544">
        <f t="shared" si="20"/>
        <v>3.8699999999999997E-4</v>
      </c>
    </row>
    <row r="424" spans="2:19">
      <c r="B424" s="146" t="s">
        <v>1452</v>
      </c>
      <c r="C424" s="543" t="s">
        <v>1962</v>
      </c>
      <c r="D424" s="543" t="str">
        <f t="shared" si="18"/>
        <v>A0718:(株)日本海水</v>
      </c>
      <c r="I424" s="146" t="s">
        <v>1141</v>
      </c>
      <c r="J424" s="146" t="s">
        <v>1651</v>
      </c>
      <c r="K424" s="544"/>
      <c r="L424" s="544">
        <v>4.1899999999999999E-4</v>
      </c>
      <c r="M424" s="544">
        <v>4.1899999999999999E-4</v>
      </c>
      <c r="N424" s="544">
        <v>4.1899999999999999E-4</v>
      </c>
      <c r="O424" s="544">
        <v>4.1899999999999999E-4</v>
      </c>
      <c r="P424" s="544">
        <v>4.1899999999999999E-4</v>
      </c>
      <c r="R424" s="543" t="str">
        <f t="shared" si="19"/>
        <v>A0159:(株)シーエナジー</v>
      </c>
      <c r="S424" s="544">
        <f t="shared" si="20"/>
        <v>4.1899999999999999E-4</v>
      </c>
    </row>
    <row r="425" spans="2:19">
      <c r="B425" s="146" t="s">
        <v>1453</v>
      </c>
      <c r="C425" s="543" t="s">
        <v>1963</v>
      </c>
      <c r="D425" s="543" t="str">
        <f t="shared" si="18"/>
        <v>A0720:しろくま電力(株)</v>
      </c>
      <c r="I425" s="146" t="s">
        <v>1142</v>
      </c>
      <c r="J425" s="146" t="s">
        <v>1652</v>
      </c>
      <c r="K425" s="544"/>
      <c r="L425" s="544">
        <v>4.1899999999999999E-4</v>
      </c>
      <c r="M425" s="544">
        <v>4.1899999999999999E-4</v>
      </c>
      <c r="N425" s="544">
        <v>4.1899999999999999E-4</v>
      </c>
      <c r="O425" s="544">
        <v>4.1899999999999999E-4</v>
      </c>
      <c r="P425" s="544">
        <v>4.1899999999999999E-4</v>
      </c>
      <c r="R425" s="543" t="str">
        <f t="shared" si="19"/>
        <v>A0160:角栄ガス(株)</v>
      </c>
      <c r="S425" s="544">
        <f t="shared" si="20"/>
        <v>4.1899999999999999E-4</v>
      </c>
    </row>
    <row r="426" spans="2:19">
      <c r="B426" s="146" t="s">
        <v>1454</v>
      </c>
      <c r="C426" s="543" t="s">
        <v>1964</v>
      </c>
      <c r="D426" s="543" t="str">
        <f t="shared" si="18"/>
        <v>A0721:中小企業支援(株)</v>
      </c>
      <c r="I426" s="146" t="s">
        <v>1143</v>
      </c>
      <c r="J426" s="146" t="s">
        <v>1653</v>
      </c>
      <c r="K426" s="544" t="s">
        <v>710</v>
      </c>
      <c r="L426" s="544">
        <v>0</v>
      </c>
      <c r="M426" s="544">
        <v>0</v>
      </c>
      <c r="N426" s="544">
        <v>0</v>
      </c>
      <c r="O426" s="544">
        <v>0</v>
      </c>
      <c r="P426" s="544">
        <v>0</v>
      </c>
      <c r="R426" s="543" t="str">
        <f t="shared" si="19"/>
        <v>A0161:京葉瓦斯(株)メニューA</v>
      </c>
      <c r="S426" s="544">
        <f t="shared" si="20"/>
        <v>0</v>
      </c>
    </row>
    <row r="427" spans="2:19">
      <c r="B427" s="146" t="s">
        <v>1455</v>
      </c>
      <c r="C427" s="543" t="s">
        <v>1965</v>
      </c>
      <c r="D427" s="543" t="str">
        <f t="shared" si="18"/>
        <v>A0722:サントラベラーズサービス有限会社</v>
      </c>
      <c r="I427" s="146" t="s">
        <v>1143</v>
      </c>
      <c r="J427" s="146" t="s">
        <v>1653</v>
      </c>
      <c r="K427" s="544" t="s">
        <v>787</v>
      </c>
      <c r="L427" s="544">
        <v>5.4600000000000004E-4</v>
      </c>
      <c r="M427" s="544">
        <v>5.4600000000000004E-4</v>
      </c>
      <c r="N427" s="544">
        <v>5.4600000000000004E-4</v>
      </c>
      <c r="O427" s="544">
        <v>5.4600000000000004E-4</v>
      </c>
      <c r="P427" s="544">
        <v>5.4600000000000004E-4</v>
      </c>
      <c r="R427" s="543" t="str">
        <f t="shared" si="19"/>
        <v>A0161:京葉瓦斯(株)メニューB</v>
      </c>
      <c r="S427" s="544">
        <f t="shared" si="20"/>
        <v>5.4600000000000004E-4</v>
      </c>
    </row>
    <row r="428" spans="2:19">
      <c r="B428" s="146" t="s">
        <v>1456</v>
      </c>
      <c r="C428" s="543" t="s">
        <v>1966</v>
      </c>
      <c r="D428" s="543" t="str">
        <f t="shared" si="18"/>
        <v>A0726:八千代エンジニヤリング(株)</v>
      </c>
      <c r="I428" s="146" t="s">
        <v>1143</v>
      </c>
      <c r="J428" s="146" t="s">
        <v>1653</v>
      </c>
      <c r="K428" s="544" t="s">
        <v>2058</v>
      </c>
      <c r="L428" s="544">
        <v>5.4100000000000003E-4</v>
      </c>
      <c r="M428" s="544">
        <v>5.4100000000000003E-4</v>
      </c>
      <c r="N428" s="544">
        <v>5.4100000000000003E-4</v>
      </c>
      <c r="O428" s="544">
        <v>5.4100000000000003E-4</v>
      </c>
      <c r="P428" s="544">
        <v>5.4100000000000003E-4</v>
      </c>
      <c r="R428" s="543" t="str">
        <f t="shared" si="19"/>
        <v>A0161:京葉瓦斯(株)(参考値)事業者全体</v>
      </c>
      <c r="S428" s="544">
        <f t="shared" si="20"/>
        <v>5.4100000000000003E-4</v>
      </c>
    </row>
    <row r="429" spans="2:19">
      <c r="B429" s="146" t="s">
        <v>1457</v>
      </c>
      <c r="C429" s="543" t="s">
        <v>1967</v>
      </c>
      <c r="D429" s="543" t="str">
        <f t="shared" si="18"/>
        <v>A0729:神楽電力(株)</v>
      </c>
      <c r="I429" s="146" t="s">
        <v>1144</v>
      </c>
      <c r="J429" s="146" t="s">
        <v>1654</v>
      </c>
      <c r="K429" s="544" t="s">
        <v>710</v>
      </c>
      <c r="L429" s="544">
        <v>8.3999999999999995E-5</v>
      </c>
      <c r="M429" s="544">
        <v>8.3999999999999995E-5</v>
      </c>
      <c r="N429" s="544">
        <v>8.3999999999999995E-5</v>
      </c>
      <c r="O429" s="544">
        <v>8.3999999999999995E-5</v>
      </c>
      <c r="P429" s="544">
        <v>8.3999999999999995E-5</v>
      </c>
      <c r="R429" s="543" t="str">
        <f t="shared" si="19"/>
        <v>A0162:TOPPANホールディングス(株)メニューA</v>
      </c>
      <c r="S429" s="544">
        <f t="shared" si="20"/>
        <v>8.3999999999999995E-5</v>
      </c>
    </row>
    <row r="430" spans="2:19">
      <c r="B430" s="146" t="s">
        <v>1458</v>
      </c>
      <c r="C430" s="543" t="s">
        <v>1968</v>
      </c>
      <c r="D430" s="543" t="str">
        <f t="shared" si="18"/>
        <v>A0730:ゆきぐに新電力(株)</v>
      </c>
      <c r="I430" s="146" t="s">
        <v>1144</v>
      </c>
      <c r="J430" s="146" t="s">
        <v>1654</v>
      </c>
      <c r="K430" s="544" t="s">
        <v>787</v>
      </c>
      <c r="L430" s="544">
        <v>1.7200000000000001E-4</v>
      </c>
      <c r="M430" s="544">
        <v>1.7200000000000001E-4</v>
      </c>
      <c r="N430" s="544">
        <v>1.7200000000000001E-4</v>
      </c>
      <c r="O430" s="544">
        <v>1.7200000000000001E-4</v>
      </c>
      <c r="P430" s="544">
        <v>1.7200000000000001E-4</v>
      </c>
      <c r="R430" s="543" t="str">
        <f t="shared" si="19"/>
        <v>A0162:TOPPANホールディングス(株)メニューB</v>
      </c>
      <c r="S430" s="544">
        <f t="shared" si="20"/>
        <v>1.7200000000000001E-4</v>
      </c>
    </row>
    <row r="431" spans="2:19">
      <c r="B431" s="146" t="s">
        <v>1459</v>
      </c>
      <c r="C431" s="543" t="s">
        <v>1969</v>
      </c>
      <c r="D431" s="543" t="str">
        <f t="shared" si="18"/>
        <v>A0732:(株)ながさきサステナエナジー</v>
      </c>
      <c r="I431" s="146" t="s">
        <v>1144</v>
      </c>
      <c r="J431" s="146" t="s">
        <v>1654</v>
      </c>
      <c r="K431" s="544" t="s">
        <v>788</v>
      </c>
      <c r="L431" s="544">
        <v>1.8000000000000001E-4</v>
      </c>
      <c r="M431" s="544">
        <v>1.8000000000000001E-4</v>
      </c>
      <c r="N431" s="544">
        <v>1.8000000000000001E-4</v>
      </c>
      <c r="O431" s="544">
        <v>1.8000000000000001E-4</v>
      </c>
      <c r="P431" s="544">
        <v>1.8000000000000001E-4</v>
      </c>
      <c r="R431" s="543" t="str">
        <f t="shared" si="19"/>
        <v>A0162:TOPPANホールディングス(株)メニューC</v>
      </c>
      <c r="S431" s="544">
        <f t="shared" si="20"/>
        <v>1.8000000000000001E-4</v>
      </c>
    </row>
    <row r="432" spans="2:19">
      <c r="B432" s="146" t="s">
        <v>1460</v>
      </c>
      <c r="C432" s="543" t="s">
        <v>1970</v>
      </c>
      <c r="D432" s="543" t="str">
        <f t="shared" si="18"/>
        <v>A0733:葛尾創生電力(株)</v>
      </c>
      <c r="I432" s="146" t="s">
        <v>1144</v>
      </c>
      <c r="J432" s="146" t="s">
        <v>1654</v>
      </c>
      <c r="K432" s="544" t="s">
        <v>974</v>
      </c>
      <c r="L432" s="544">
        <v>5.04E-4</v>
      </c>
      <c r="M432" s="544">
        <v>5.04E-4</v>
      </c>
      <c r="N432" s="544">
        <v>5.04E-4</v>
      </c>
      <c r="O432" s="544">
        <v>5.04E-4</v>
      </c>
      <c r="P432" s="544">
        <v>5.04E-4</v>
      </c>
      <c r="R432" s="543" t="str">
        <f t="shared" si="19"/>
        <v>A0162:TOPPANホールディングス(株)メニューD</v>
      </c>
      <c r="S432" s="544">
        <f t="shared" si="20"/>
        <v>5.04E-4</v>
      </c>
    </row>
    <row r="433" spans="2:19">
      <c r="B433" s="146" t="s">
        <v>1461</v>
      </c>
      <c r="C433" s="543" t="s">
        <v>1971</v>
      </c>
      <c r="D433" s="543" t="str">
        <f t="shared" si="18"/>
        <v>A0737:(株)EFでんき(旧：(株)ライフエナジー)</v>
      </c>
      <c r="I433" s="146" t="s">
        <v>1144</v>
      </c>
      <c r="J433" s="146" t="s">
        <v>1654</v>
      </c>
      <c r="K433" s="544" t="s">
        <v>2058</v>
      </c>
      <c r="L433" s="544">
        <v>4.5399999999999998E-4</v>
      </c>
      <c r="M433" s="544">
        <v>4.5399999999999998E-4</v>
      </c>
      <c r="N433" s="544">
        <v>4.5399999999999998E-4</v>
      </c>
      <c r="O433" s="544">
        <v>4.5399999999999998E-4</v>
      </c>
      <c r="P433" s="544">
        <v>4.5399999999999998E-4</v>
      </c>
      <c r="R433" s="543" t="str">
        <f t="shared" si="19"/>
        <v>A0162:TOPPANホールディングス(株)(参考値)事業者全体</v>
      </c>
      <c r="S433" s="544">
        <f t="shared" si="20"/>
        <v>4.5399999999999998E-4</v>
      </c>
    </row>
    <row r="434" spans="2:19">
      <c r="B434" s="146" t="s">
        <v>1462</v>
      </c>
      <c r="C434" s="543" t="s">
        <v>1972</v>
      </c>
      <c r="D434" s="543" t="str">
        <f t="shared" si="18"/>
        <v>A0738:(株)グルーヴエナジー</v>
      </c>
      <c r="I434" s="146" t="s">
        <v>1145</v>
      </c>
      <c r="J434" s="146" t="s">
        <v>1655</v>
      </c>
      <c r="K434" s="544" t="s">
        <v>710</v>
      </c>
      <c r="L434" s="544">
        <v>0</v>
      </c>
      <c r="M434" s="544">
        <v>0</v>
      </c>
      <c r="N434" s="544">
        <v>0</v>
      </c>
      <c r="O434" s="544">
        <v>0</v>
      </c>
      <c r="P434" s="544">
        <v>0</v>
      </c>
      <c r="R434" s="543" t="str">
        <f t="shared" si="19"/>
        <v>A0163:伊勢崎ガス(株)メニューA</v>
      </c>
      <c r="S434" s="544">
        <f t="shared" si="20"/>
        <v>0</v>
      </c>
    </row>
    <row r="435" spans="2:19">
      <c r="B435" s="146" t="s">
        <v>1463</v>
      </c>
      <c r="C435" s="543" t="s">
        <v>1973</v>
      </c>
      <c r="D435" s="543" t="str">
        <f t="shared" si="18"/>
        <v>A0739:高知ニューエナジー(株)</v>
      </c>
      <c r="I435" s="146" t="s">
        <v>1145</v>
      </c>
      <c r="J435" s="146" t="s">
        <v>1655</v>
      </c>
      <c r="K435" s="544" t="s">
        <v>787</v>
      </c>
      <c r="L435" s="544">
        <v>4.2000000000000002E-4</v>
      </c>
      <c r="M435" s="544">
        <v>4.2000000000000002E-4</v>
      </c>
      <c r="N435" s="544">
        <v>4.2000000000000002E-4</v>
      </c>
      <c r="O435" s="544">
        <v>4.2000000000000002E-4</v>
      </c>
      <c r="P435" s="544">
        <v>4.2000000000000002E-4</v>
      </c>
      <c r="R435" s="543" t="str">
        <f t="shared" si="19"/>
        <v>A0163:伊勢崎ガス(株)メニューB</v>
      </c>
      <c r="S435" s="544">
        <f t="shared" si="20"/>
        <v>4.2000000000000002E-4</v>
      </c>
    </row>
    <row r="436" spans="2:19">
      <c r="B436" s="146" t="s">
        <v>1464</v>
      </c>
      <c r="C436" s="543" t="s">
        <v>1974</v>
      </c>
      <c r="D436" s="543" t="str">
        <f t="shared" si="18"/>
        <v>A0740:もみじ電力(株)</v>
      </c>
      <c r="I436" s="146" t="s">
        <v>1145</v>
      </c>
      <c r="J436" s="146" t="s">
        <v>1655</v>
      </c>
      <c r="K436" s="544" t="s">
        <v>2058</v>
      </c>
      <c r="L436" s="544">
        <v>4.1300000000000001E-4</v>
      </c>
      <c r="M436" s="544">
        <v>4.1300000000000001E-4</v>
      </c>
      <c r="N436" s="544">
        <v>4.1300000000000001E-4</v>
      </c>
      <c r="O436" s="544">
        <v>4.1300000000000001E-4</v>
      </c>
      <c r="P436" s="544">
        <v>4.1300000000000001E-4</v>
      </c>
      <c r="R436" s="543" t="str">
        <f t="shared" si="19"/>
        <v>A0163:伊勢崎ガス(株)(参考値)事業者全体</v>
      </c>
      <c r="S436" s="544">
        <f t="shared" si="20"/>
        <v>4.1300000000000001E-4</v>
      </c>
    </row>
    <row r="437" spans="2:19">
      <c r="B437" s="146" t="s">
        <v>1465</v>
      </c>
      <c r="C437" s="543" t="s">
        <v>1975</v>
      </c>
      <c r="D437" s="543" t="str">
        <f t="shared" si="18"/>
        <v>A0742:(株)縁人</v>
      </c>
      <c r="I437" s="146" t="s">
        <v>1146</v>
      </c>
      <c r="J437" s="146" t="s">
        <v>1656</v>
      </c>
      <c r="K437" s="544"/>
      <c r="L437" s="544">
        <v>4.1899999999999999E-4</v>
      </c>
      <c r="M437" s="544">
        <v>4.1899999999999999E-4</v>
      </c>
      <c r="N437" s="544">
        <v>4.1899999999999999E-4</v>
      </c>
      <c r="O437" s="544">
        <v>4.1899999999999999E-4</v>
      </c>
      <c r="P437" s="544">
        <v>4.1899999999999999E-4</v>
      </c>
      <c r="R437" s="543" t="str">
        <f t="shared" si="19"/>
        <v>A0164:キヤノンマーケティングジャパン(株)</v>
      </c>
      <c r="S437" s="544">
        <f t="shared" si="20"/>
        <v>4.1899999999999999E-4</v>
      </c>
    </row>
    <row r="438" spans="2:19">
      <c r="B438" s="146" t="s">
        <v>1466</v>
      </c>
      <c r="C438" s="543" t="s">
        <v>1976</v>
      </c>
      <c r="D438" s="543" t="str">
        <f t="shared" si="18"/>
        <v>A0743:T＆Tエナジー(株)</v>
      </c>
      <c r="I438" s="146" t="s">
        <v>1147</v>
      </c>
      <c r="J438" s="146" t="s">
        <v>1657</v>
      </c>
      <c r="K438" s="544" t="s">
        <v>710</v>
      </c>
      <c r="L438" s="544">
        <v>0</v>
      </c>
      <c r="M438" s="544">
        <v>0</v>
      </c>
      <c r="N438" s="544">
        <v>0</v>
      </c>
      <c r="O438" s="544">
        <v>0</v>
      </c>
      <c r="P438" s="544">
        <v>0</v>
      </c>
      <c r="R438" s="543" t="str">
        <f t="shared" si="19"/>
        <v>A0165:(株)とっとり市民電力メニューA</v>
      </c>
      <c r="S438" s="544">
        <f t="shared" si="20"/>
        <v>0</v>
      </c>
    </row>
    <row r="439" spans="2:19">
      <c r="B439" s="146" t="s">
        <v>1467</v>
      </c>
      <c r="C439" s="543" t="s">
        <v>1977</v>
      </c>
      <c r="D439" s="543" t="str">
        <f t="shared" si="18"/>
        <v>A0744:(株)ルーク</v>
      </c>
      <c r="I439" s="146" t="s">
        <v>1147</v>
      </c>
      <c r="J439" s="146" t="s">
        <v>1657</v>
      </c>
      <c r="K439" s="544" t="s">
        <v>787</v>
      </c>
      <c r="L439" s="544">
        <v>2.9599999999999998E-4</v>
      </c>
      <c r="M439" s="544">
        <v>2.9599999999999998E-4</v>
      </c>
      <c r="N439" s="544">
        <v>2.9599999999999998E-4</v>
      </c>
      <c r="O439" s="544">
        <v>2.9599999999999998E-4</v>
      </c>
      <c r="P439" s="544">
        <v>2.9599999999999998E-4</v>
      </c>
      <c r="R439" s="543" t="str">
        <f t="shared" si="19"/>
        <v>A0165:(株)とっとり市民電力メニューB</v>
      </c>
      <c r="S439" s="544">
        <f t="shared" si="20"/>
        <v>2.9599999999999998E-4</v>
      </c>
    </row>
    <row r="440" spans="2:19">
      <c r="B440" s="146" t="s">
        <v>1468</v>
      </c>
      <c r="C440" s="543" t="s">
        <v>1978</v>
      </c>
      <c r="D440" s="543" t="str">
        <f t="shared" si="18"/>
        <v>A0746:かけがわ報徳パワー(株)</v>
      </c>
      <c r="I440" s="146" t="s">
        <v>1147</v>
      </c>
      <c r="J440" s="146" t="s">
        <v>1657</v>
      </c>
      <c r="K440" s="544" t="s">
        <v>2058</v>
      </c>
      <c r="L440" s="544">
        <v>2.9100000000000003E-4</v>
      </c>
      <c r="M440" s="544">
        <v>2.9100000000000003E-4</v>
      </c>
      <c r="N440" s="544">
        <v>2.9100000000000003E-4</v>
      </c>
      <c r="O440" s="544">
        <v>2.9100000000000003E-4</v>
      </c>
      <c r="P440" s="544">
        <v>2.9100000000000003E-4</v>
      </c>
      <c r="R440" s="543" t="str">
        <f t="shared" si="19"/>
        <v>A0165:(株)とっとり市民電力(参考値)事業者全体</v>
      </c>
      <c r="S440" s="544">
        <f t="shared" si="20"/>
        <v>2.9100000000000003E-4</v>
      </c>
    </row>
    <row r="441" spans="2:19">
      <c r="B441" s="146" t="s">
        <v>1469</v>
      </c>
      <c r="C441" s="543" t="s">
        <v>1979</v>
      </c>
      <c r="D441" s="543" t="str">
        <f t="shared" si="18"/>
        <v>A0747:SustainableEnergy(株)</v>
      </c>
      <c r="I441" s="146" t="s">
        <v>1148</v>
      </c>
      <c r="J441" s="146" t="s">
        <v>1658</v>
      </c>
      <c r="K441" s="544"/>
      <c r="L441" s="544">
        <v>7.1599999999999995E-4</v>
      </c>
      <c r="M441" s="544">
        <v>7.1599999999999995E-4</v>
      </c>
      <c r="N441" s="544">
        <v>7.1599999999999995E-4</v>
      </c>
      <c r="O441" s="544">
        <v>7.1599999999999995E-4</v>
      </c>
      <c r="P441" s="544">
        <v>7.1599999999999995E-4</v>
      </c>
      <c r="R441" s="543" t="str">
        <f t="shared" si="19"/>
        <v>A0166:(株)エクスゲート(旧：(株)イーエムアイ)</v>
      </c>
      <c r="S441" s="544">
        <f t="shared" si="20"/>
        <v>7.1599999999999995E-4</v>
      </c>
    </row>
    <row r="442" spans="2:19">
      <c r="B442" s="146" t="s">
        <v>1470</v>
      </c>
      <c r="C442" s="543" t="s">
        <v>1980</v>
      </c>
      <c r="D442" s="543" t="str">
        <f t="shared" si="18"/>
        <v>A0748:穂の国とよはし電力(株)</v>
      </c>
      <c r="I442" s="146" t="s">
        <v>1149</v>
      </c>
      <c r="J442" s="146" t="s">
        <v>1659</v>
      </c>
      <c r="K442" s="544" t="s">
        <v>710</v>
      </c>
      <c r="L442" s="544">
        <v>0</v>
      </c>
      <c r="M442" s="544">
        <v>0</v>
      </c>
      <c r="N442" s="544">
        <v>0</v>
      </c>
      <c r="O442" s="544">
        <v>0</v>
      </c>
      <c r="P442" s="544">
        <v>0</v>
      </c>
      <c r="R442" s="543" t="str">
        <f t="shared" si="19"/>
        <v>A0167:佐野瓦斯(株)メニューA</v>
      </c>
      <c r="S442" s="544">
        <f t="shared" si="20"/>
        <v>0</v>
      </c>
    </row>
    <row r="443" spans="2:19">
      <c r="B443" s="146" t="s">
        <v>1471</v>
      </c>
      <c r="C443" s="543" t="s">
        <v>1981</v>
      </c>
      <c r="D443" s="543" t="str">
        <f t="shared" si="18"/>
        <v>A0752:イワタニセントラル北海道(株)</v>
      </c>
      <c r="I443" s="146" t="s">
        <v>1149</v>
      </c>
      <c r="J443" s="146" t="s">
        <v>1659</v>
      </c>
      <c r="K443" s="544" t="s">
        <v>787</v>
      </c>
      <c r="L443" s="544">
        <v>4.0999999999999999E-4</v>
      </c>
      <c r="M443" s="544">
        <v>4.0999999999999999E-4</v>
      </c>
      <c r="N443" s="544">
        <v>4.0999999999999999E-4</v>
      </c>
      <c r="O443" s="544">
        <v>4.0999999999999999E-4</v>
      </c>
      <c r="P443" s="544">
        <v>4.0999999999999999E-4</v>
      </c>
      <c r="R443" s="543" t="str">
        <f t="shared" si="19"/>
        <v>A0167:佐野瓦斯(株)メニューB</v>
      </c>
      <c r="S443" s="544">
        <f t="shared" si="20"/>
        <v>4.0999999999999999E-4</v>
      </c>
    </row>
    <row r="444" spans="2:19">
      <c r="B444" s="146" t="s">
        <v>1472</v>
      </c>
      <c r="C444" s="543" t="s">
        <v>1982</v>
      </c>
      <c r="D444" s="543" t="str">
        <f t="shared" si="18"/>
        <v>A0753:ホームタウンエナジー(株)</v>
      </c>
      <c r="I444" s="146" t="s">
        <v>1149</v>
      </c>
      <c r="J444" s="146" t="s">
        <v>1659</v>
      </c>
      <c r="K444" s="544" t="s">
        <v>2058</v>
      </c>
      <c r="L444" s="544">
        <v>3.8299999999999999E-4</v>
      </c>
      <c r="M444" s="544">
        <v>3.8299999999999999E-4</v>
      </c>
      <c r="N444" s="544">
        <v>3.8299999999999999E-4</v>
      </c>
      <c r="O444" s="544">
        <v>3.8299999999999999E-4</v>
      </c>
      <c r="P444" s="544">
        <v>3.8299999999999999E-4</v>
      </c>
      <c r="R444" s="543" t="str">
        <f t="shared" si="19"/>
        <v>A0167:佐野瓦斯(株)(参考値)事業者全体</v>
      </c>
      <c r="S444" s="544">
        <f t="shared" si="20"/>
        <v>3.8299999999999999E-4</v>
      </c>
    </row>
    <row r="445" spans="2:19">
      <c r="B445" s="146" t="s">
        <v>1473</v>
      </c>
      <c r="C445" s="543" t="s">
        <v>1983</v>
      </c>
      <c r="D445" s="543" t="str">
        <f t="shared" si="18"/>
        <v>A0754:(株)彩の国でんき</v>
      </c>
      <c r="I445" s="146" t="s">
        <v>1150</v>
      </c>
      <c r="J445" s="146" t="s">
        <v>1660</v>
      </c>
      <c r="K445" s="544"/>
      <c r="L445" s="544">
        <v>4.1899999999999999E-4</v>
      </c>
      <c r="M445" s="544">
        <v>4.1899999999999999E-4</v>
      </c>
      <c r="N445" s="544">
        <v>4.1899999999999999E-4</v>
      </c>
      <c r="O445" s="544">
        <v>4.1899999999999999E-4</v>
      </c>
      <c r="P445" s="544">
        <v>4.1899999999999999E-4</v>
      </c>
      <c r="R445" s="543" t="str">
        <f t="shared" si="19"/>
        <v>A0168:桐生瓦斯(株)</v>
      </c>
      <c r="S445" s="544">
        <f t="shared" si="20"/>
        <v>4.1899999999999999E-4</v>
      </c>
    </row>
    <row r="446" spans="2:19">
      <c r="B446" s="146" t="s">
        <v>1474</v>
      </c>
      <c r="C446" s="543" t="s">
        <v>1984</v>
      </c>
      <c r="D446" s="543" t="str">
        <f t="shared" si="18"/>
        <v>A0758:(株)みやきエネルギー</v>
      </c>
      <c r="I446" s="146" t="s">
        <v>1151</v>
      </c>
      <c r="J446" s="146" t="s">
        <v>1661</v>
      </c>
      <c r="K446" s="544" t="s">
        <v>710</v>
      </c>
      <c r="L446" s="544">
        <v>0</v>
      </c>
      <c r="M446" s="544">
        <v>0</v>
      </c>
      <c r="N446" s="544">
        <v>0</v>
      </c>
      <c r="O446" s="544">
        <v>0</v>
      </c>
      <c r="P446" s="544">
        <v>0</v>
      </c>
      <c r="R446" s="543" t="str">
        <f t="shared" si="19"/>
        <v>A0169:森の電力(株)メニューA</v>
      </c>
      <c r="S446" s="544">
        <f t="shared" si="20"/>
        <v>0</v>
      </c>
    </row>
    <row r="447" spans="2:19">
      <c r="B447" s="146" t="s">
        <v>1475</v>
      </c>
      <c r="C447" s="543" t="s">
        <v>1985</v>
      </c>
      <c r="D447" s="543" t="str">
        <f t="shared" si="18"/>
        <v>A0759:(株)クリーンベンチャー21</v>
      </c>
      <c r="I447" s="146" t="s">
        <v>1151</v>
      </c>
      <c r="J447" s="146" t="s">
        <v>1661</v>
      </c>
      <c r="K447" s="544" t="s">
        <v>787</v>
      </c>
      <c r="L447" s="544">
        <v>5.8399999999999999E-4</v>
      </c>
      <c r="M447" s="544">
        <v>5.8399999999999999E-4</v>
      </c>
      <c r="N447" s="544">
        <v>5.8399999999999999E-4</v>
      </c>
      <c r="O447" s="544">
        <v>5.8399999999999999E-4</v>
      </c>
      <c r="P447" s="544">
        <v>5.8399999999999999E-4</v>
      </c>
      <c r="R447" s="543" t="str">
        <f t="shared" si="19"/>
        <v>A0169:森の電力(株)メニューB</v>
      </c>
      <c r="S447" s="544">
        <f t="shared" si="20"/>
        <v>5.8399999999999999E-4</v>
      </c>
    </row>
    <row r="448" spans="2:19">
      <c r="B448" s="146" t="s">
        <v>1476</v>
      </c>
      <c r="C448" s="543" t="s">
        <v>1986</v>
      </c>
      <c r="D448" s="543" t="str">
        <f t="shared" si="18"/>
        <v>A0760:三河商事(株)</v>
      </c>
      <c r="I448" s="146" t="s">
        <v>1151</v>
      </c>
      <c r="J448" s="146" t="s">
        <v>1661</v>
      </c>
      <c r="K448" s="544" t="s">
        <v>2058</v>
      </c>
      <c r="L448" s="544">
        <v>0</v>
      </c>
      <c r="M448" s="544">
        <v>0</v>
      </c>
      <c r="N448" s="544">
        <v>0</v>
      </c>
      <c r="O448" s="544">
        <v>0</v>
      </c>
      <c r="P448" s="544">
        <v>0</v>
      </c>
      <c r="R448" s="543" t="str">
        <f t="shared" si="19"/>
        <v>A0169:森の電力(株)(参考値)事業者全体</v>
      </c>
      <c r="S448" s="544">
        <f t="shared" si="20"/>
        <v>0</v>
      </c>
    </row>
    <row r="449" spans="2:19">
      <c r="B449" s="146" t="s">
        <v>1477</v>
      </c>
      <c r="C449" s="543" t="s">
        <v>1987</v>
      </c>
      <c r="D449" s="543" t="str">
        <f t="shared" si="18"/>
        <v>A0764:沖縄新エネ開発(株)</v>
      </c>
      <c r="I449" s="146" t="s">
        <v>1152</v>
      </c>
      <c r="J449" s="146" t="s">
        <v>1662</v>
      </c>
      <c r="K449" s="544" t="s">
        <v>710</v>
      </c>
      <c r="L449" s="544">
        <v>0</v>
      </c>
      <c r="M449" s="544">
        <v>0</v>
      </c>
      <c r="N449" s="544">
        <v>0</v>
      </c>
      <c r="O449" s="544">
        <v>0</v>
      </c>
      <c r="P449" s="544">
        <v>0</v>
      </c>
      <c r="R449" s="543" t="str">
        <f t="shared" si="19"/>
        <v>A0170:大和ハウス工業(株)メニューA</v>
      </c>
      <c r="S449" s="544">
        <f t="shared" si="20"/>
        <v>0</v>
      </c>
    </row>
    <row r="450" spans="2:19">
      <c r="B450" s="146" t="s">
        <v>1478</v>
      </c>
      <c r="C450" s="543" t="s">
        <v>1988</v>
      </c>
      <c r="D450" s="543" t="str">
        <f t="shared" si="18"/>
        <v>A0770:(株)ほくだん</v>
      </c>
      <c r="I450" s="146" t="s">
        <v>1152</v>
      </c>
      <c r="J450" s="146" t="s">
        <v>1662</v>
      </c>
      <c r="K450" s="544" t="s">
        <v>787</v>
      </c>
      <c r="L450" s="544">
        <v>0</v>
      </c>
      <c r="M450" s="544">
        <v>0</v>
      </c>
      <c r="N450" s="544">
        <v>0</v>
      </c>
      <c r="O450" s="544">
        <v>0</v>
      </c>
      <c r="P450" s="544">
        <v>0</v>
      </c>
      <c r="R450" s="543" t="str">
        <f t="shared" si="19"/>
        <v>A0170:大和ハウス工業(株)メニューB</v>
      </c>
      <c r="S450" s="544">
        <f t="shared" si="20"/>
        <v>0</v>
      </c>
    </row>
    <row r="451" spans="2:19">
      <c r="B451" s="146" t="s">
        <v>1479</v>
      </c>
      <c r="C451" s="543" t="s">
        <v>1989</v>
      </c>
      <c r="D451" s="543" t="str">
        <f t="shared" si="18"/>
        <v>A0772:(株)エスコ</v>
      </c>
      <c r="I451" s="146" t="s">
        <v>1152</v>
      </c>
      <c r="J451" s="146" t="s">
        <v>1662</v>
      </c>
      <c r="K451" s="544" t="s">
        <v>788</v>
      </c>
      <c r="L451" s="544">
        <v>7.8999999999999996E-5</v>
      </c>
      <c r="M451" s="544">
        <v>7.8999999999999996E-5</v>
      </c>
      <c r="N451" s="544">
        <v>7.8999999999999996E-5</v>
      </c>
      <c r="O451" s="544">
        <v>7.8999999999999996E-5</v>
      </c>
      <c r="P451" s="544">
        <v>7.8999999999999996E-5</v>
      </c>
      <c r="R451" s="543" t="str">
        <f t="shared" si="19"/>
        <v>A0170:大和ハウス工業(株)メニューC</v>
      </c>
      <c r="S451" s="544">
        <f t="shared" si="20"/>
        <v>7.8999999999999996E-5</v>
      </c>
    </row>
    <row r="452" spans="2:19">
      <c r="B452" s="146" t="s">
        <v>1480</v>
      </c>
      <c r="C452" s="543" t="s">
        <v>1990</v>
      </c>
      <c r="D452" s="543" t="str">
        <f t="shared" si="18"/>
        <v>A0773:(株)Qvou</v>
      </c>
      <c r="I452" s="146" t="s">
        <v>1152</v>
      </c>
      <c r="J452" s="146" t="s">
        <v>1662</v>
      </c>
      <c r="K452" s="544" t="s">
        <v>974</v>
      </c>
      <c r="L452" s="544">
        <v>2.5500000000000002E-4</v>
      </c>
      <c r="M452" s="544">
        <v>2.5500000000000002E-4</v>
      </c>
      <c r="N452" s="544">
        <v>2.5500000000000002E-4</v>
      </c>
      <c r="O452" s="544">
        <v>2.5500000000000002E-4</v>
      </c>
      <c r="P452" s="544">
        <v>2.5500000000000002E-4</v>
      </c>
      <c r="R452" s="543" t="str">
        <f t="shared" si="19"/>
        <v>A0170:大和ハウス工業(株)メニューD</v>
      </c>
      <c r="S452" s="544">
        <f t="shared" si="20"/>
        <v>2.5500000000000002E-4</v>
      </c>
    </row>
    <row r="453" spans="2:19">
      <c r="B453" s="146" t="s">
        <v>1481</v>
      </c>
      <c r="C453" s="543" t="s">
        <v>1991</v>
      </c>
      <c r="D453" s="543" t="str">
        <f t="shared" si="18"/>
        <v>A0777:住友商事(株)</v>
      </c>
      <c r="I453" s="146" t="s">
        <v>1152</v>
      </c>
      <c r="J453" s="146" t="s">
        <v>1662</v>
      </c>
      <c r="K453" s="544" t="s">
        <v>975</v>
      </c>
      <c r="L453" s="544">
        <v>2.7500000000000002E-4</v>
      </c>
      <c r="M453" s="544">
        <v>2.7500000000000002E-4</v>
      </c>
      <c r="N453" s="544">
        <v>2.7500000000000002E-4</v>
      </c>
      <c r="O453" s="544">
        <v>2.7500000000000002E-4</v>
      </c>
      <c r="P453" s="544">
        <v>2.7500000000000002E-4</v>
      </c>
      <c r="R453" s="543" t="str">
        <f t="shared" si="19"/>
        <v>A0170:大和ハウス工業(株)メニューE</v>
      </c>
      <c r="S453" s="544">
        <f t="shared" si="20"/>
        <v>2.7500000000000002E-4</v>
      </c>
    </row>
    <row r="454" spans="2:19">
      <c r="B454" s="146" t="s">
        <v>1482</v>
      </c>
      <c r="C454" s="543" t="s">
        <v>1992</v>
      </c>
      <c r="D454" s="543" t="str">
        <f t="shared" si="18"/>
        <v>A0781:(株)丸の内電力</v>
      </c>
      <c r="I454" s="146" t="s">
        <v>1152</v>
      </c>
      <c r="J454" s="146" t="s">
        <v>1662</v>
      </c>
      <c r="K454" s="544" t="s">
        <v>2059</v>
      </c>
      <c r="L454" s="544">
        <v>3.7800000000000003E-4</v>
      </c>
      <c r="M454" s="544">
        <v>3.7800000000000003E-4</v>
      </c>
      <c r="N454" s="544">
        <v>3.7800000000000003E-4</v>
      </c>
      <c r="O454" s="544">
        <v>3.7800000000000003E-4</v>
      </c>
      <c r="P454" s="544">
        <v>3.7800000000000003E-4</v>
      </c>
      <c r="R454" s="543" t="str">
        <f t="shared" si="19"/>
        <v>A0170:大和ハウス工業(株)メニューF</v>
      </c>
      <c r="S454" s="544">
        <f t="shared" si="20"/>
        <v>3.7800000000000003E-4</v>
      </c>
    </row>
    <row r="455" spans="2:19">
      <c r="B455" s="146" t="s">
        <v>1483</v>
      </c>
      <c r="C455" s="543" t="s">
        <v>1993</v>
      </c>
      <c r="D455" s="543" t="str">
        <f t="shared" si="18"/>
        <v>A0783:(株)中京電力</v>
      </c>
      <c r="I455" s="146" t="s">
        <v>1152</v>
      </c>
      <c r="J455" s="146" t="s">
        <v>1662</v>
      </c>
      <c r="K455" s="544" t="s">
        <v>2058</v>
      </c>
      <c r="L455" s="544">
        <v>3.2499999999999999E-4</v>
      </c>
      <c r="M455" s="544">
        <v>3.2499999999999999E-4</v>
      </c>
      <c r="N455" s="544">
        <v>3.2499999999999999E-4</v>
      </c>
      <c r="O455" s="544">
        <v>3.2499999999999999E-4</v>
      </c>
      <c r="P455" s="544">
        <v>3.2499999999999999E-4</v>
      </c>
      <c r="R455" s="543" t="str">
        <f t="shared" si="19"/>
        <v>A0170:大和ハウス工業(株)(参考値)事業者全体</v>
      </c>
      <c r="S455" s="544">
        <f t="shared" si="20"/>
        <v>3.2499999999999999E-4</v>
      </c>
    </row>
    <row r="456" spans="2:19">
      <c r="B456" s="146" t="s">
        <v>1484</v>
      </c>
      <c r="C456" s="543" t="s">
        <v>1994</v>
      </c>
      <c r="D456" s="543" t="str">
        <f t="shared" si="18"/>
        <v>A0785:(株)クオリティプラス</v>
      </c>
      <c r="I456" s="146" t="s">
        <v>1153</v>
      </c>
      <c r="J456" s="146" t="s">
        <v>1663</v>
      </c>
      <c r="K456" s="544" t="s">
        <v>710</v>
      </c>
      <c r="L456" s="544">
        <v>0</v>
      </c>
      <c r="M456" s="544">
        <v>0</v>
      </c>
      <c r="N456" s="544">
        <v>0</v>
      </c>
      <c r="O456" s="544">
        <v>0</v>
      </c>
      <c r="P456" s="544">
        <v>0</v>
      </c>
      <c r="R456" s="543" t="str">
        <f t="shared" si="19"/>
        <v>A0172:HTBエナジー(株)メニューA</v>
      </c>
      <c r="S456" s="544">
        <f t="shared" si="20"/>
        <v>0</v>
      </c>
    </row>
    <row r="457" spans="2:19">
      <c r="B457" s="146" t="s">
        <v>1485</v>
      </c>
      <c r="C457" s="543" t="s">
        <v>1995</v>
      </c>
      <c r="D457" s="543" t="str">
        <f t="shared" si="18"/>
        <v>A0786:Y.W.C.(株)</v>
      </c>
      <c r="I457" s="146" t="s">
        <v>1153</v>
      </c>
      <c r="J457" s="146" t="s">
        <v>1663</v>
      </c>
      <c r="K457" s="544" t="s">
        <v>787</v>
      </c>
      <c r="L457" s="544">
        <v>3.9599999999999998E-4</v>
      </c>
      <c r="M457" s="544">
        <v>3.9599999999999998E-4</v>
      </c>
      <c r="N457" s="544">
        <v>3.9599999999999998E-4</v>
      </c>
      <c r="O457" s="544">
        <v>3.9599999999999998E-4</v>
      </c>
      <c r="P457" s="544">
        <v>3.9599999999999998E-4</v>
      </c>
      <c r="R457" s="543" t="str">
        <f t="shared" si="19"/>
        <v>A0172:HTBエナジー(株)メニューB</v>
      </c>
      <c r="S457" s="544">
        <f t="shared" si="20"/>
        <v>3.9599999999999998E-4</v>
      </c>
    </row>
    <row r="458" spans="2:19">
      <c r="B458" s="146" t="s">
        <v>1486</v>
      </c>
      <c r="C458" s="543" t="s">
        <v>1996</v>
      </c>
      <c r="D458" s="543" t="str">
        <f t="shared" ref="D458:D521" si="21">IF(B458="","",B458&amp;":"&amp;C458)</f>
        <v>A0792:(株)MTエナジー</v>
      </c>
      <c r="I458" s="146" t="s">
        <v>1153</v>
      </c>
      <c r="J458" s="146" t="s">
        <v>1663</v>
      </c>
      <c r="K458" s="544" t="s">
        <v>2058</v>
      </c>
      <c r="L458" s="544">
        <v>3.6299999999999999E-4</v>
      </c>
      <c r="M458" s="544">
        <v>3.6299999999999999E-4</v>
      </c>
      <c r="N458" s="544">
        <v>3.6299999999999999E-4</v>
      </c>
      <c r="O458" s="544">
        <v>3.6299999999999999E-4</v>
      </c>
      <c r="P458" s="544">
        <v>3.6299999999999999E-4</v>
      </c>
      <c r="R458" s="543" t="str">
        <f t="shared" ref="R458:R521" si="22">I458&amp;":"&amp;J458&amp;K458</f>
        <v>A0172:HTBエナジー(株)(参考値)事業者全体</v>
      </c>
      <c r="S458" s="544">
        <f t="shared" ref="S458:S521" si="23">HLOOKUP($S$8,$L$8:$P$2000,ROW()-7,FALSE)</f>
        <v>3.6299999999999999E-4</v>
      </c>
    </row>
    <row r="459" spans="2:19">
      <c r="B459" s="146" t="s">
        <v>1487</v>
      </c>
      <c r="C459" s="543" t="s">
        <v>1997</v>
      </c>
      <c r="D459" s="543" t="str">
        <f t="shared" si="21"/>
        <v>A0793:TGオクトパスエナジー(株)</v>
      </c>
      <c r="I459" s="146" t="s">
        <v>1154</v>
      </c>
      <c r="J459" s="146" t="s">
        <v>1664</v>
      </c>
      <c r="K459" s="544"/>
      <c r="L459" s="544">
        <v>6.1600000000000001E-4</v>
      </c>
      <c r="M459" s="544">
        <v>6.1600000000000001E-4</v>
      </c>
      <c r="N459" s="544">
        <v>6.1600000000000001E-4</v>
      </c>
      <c r="O459" s="544">
        <v>6.1600000000000001E-4</v>
      </c>
      <c r="P459" s="544">
        <v>6.1600000000000001E-4</v>
      </c>
      <c r="R459" s="543" t="str">
        <f t="shared" si="22"/>
        <v>A0173:(株)アシストワンエナジー</v>
      </c>
      <c r="S459" s="544">
        <f t="shared" si="23"/>
        <v>6.1600000000000001E-4</v>
      </c>
    </row>
    <row r="460" spans="2:19">
      <c r="B460" s="146" t="s">
        <v>1488</v>
      </c>
      <c r="C460" s="543" t="s">
        <v>1998</v>
      </c>
      <c r="D460" s="543" t="str">
        <f t="shared" si="21"/>
        <v>A0796:東北電力フロンティア(株)</v>
      </c>
      <c r="I460" s="146" t="s">
        <v>1155</v>
      </c>
      <c r="J460" s="146" t="s">
        <v>1665</v>
      </c>
      <c r="K460" s="544"/>
      <c r="L460" s="544">
        <v>6.4800000000000003E-4</v>
      </c>
      <c r="M460" s="544">
        <v>6.4800000000000003E-4</v>
      </c>
      <c r="N460" s="544">
        <v>6.4800000000000003E-4</v>
      </c>
      <c r="O460" s="544">
        <v>6.4800000000000003E-4</v>
      </c>
      <c r="P460" s="544">
        <v>6.4800000000000003E-4</v>
      </c>
      <c r="R460" s="543" t="str">
        <f t="shared" si="22"/>
        <v>A0175:(株)フソウ・エナジー</v>
      </c>
      <c r="S460" s="544">
        <f t="shared" si="23"/>
        <v>6.4800000000000003E-4</v>
      </c>
    </row>
    <row r="461" spans="2:19">
      <c r="B461" s="146" t="s">
        <v>1489</v>
      </c>
      <c r="C461" s="543" t="s">
        <v>1999</v>
      </c>
      <c r="D461" s="543" t="str">
        <f t="shared" si="21"/>
        <v>A0798:(株)ファラデー</v>
      </c>
      <c r="I461" s="146" t="s">
        <v>1156</v>
      </c>
      <c r="J461" s="146" t="s">
        <v>1666</v>
      </c>
      <c r="K461" s="544" t="s">
        <v>710</v>
      </c>
      <c r="L461" s="544">
        <v>0</v>
      </c>
      <c r="M461" s="544">
        <v>0</v>
      </c>
      <c r="N461" s="544">
        <v>0</v>
      </c>
      <c r="O461" s="544">
        <v>0</v>
      </c>
      <c r="P461" s="544">
        <v>0</v>
      </c>
      <c r="R461" s="543" t="str">
        <f t="shared" si="22"/>
        <v>A0177:湘南電力(株)メニューA</v>
      </c>
      <c r="S461" s="544">
        <f t="shared" si="23"/>
        <v>0</v>
      </c>
    </row>
    <row r="462" spans="2:19">
      <c r="B462" s="146" t="s">
        <v>1490</v>
      </c>
      <c r="C462" s="543" t="s">
        <v>2000</v>
      </c>
      <c r="D462" s="543" t="str">
        <f t="shared" si="21"/>
        <v>A0799:三菱HCキャピタルエナジー(株)</v>
      </c>
      <c r="I462" s="146" t="s">
        <v>1156</v>
      </c>
      <c r="J462" s="146" t="s">
        <v>1666</v>
      </c>
      <c r="K462" s="544" t="s">
        <v>787</v>
      </c>
      <c r="L462" s="544">
        <v>5.4699999999999996E-4</v>
      </c>
      <c r="M462" s="544">
        <v>5.4699999999999996E-4</v>
      </c>
      <c r="N462" s="544">
        <v>5.4699999999999996E-4</v>
      </c>
      <c r="O462" s="544">
        <v>5.4699999999999996E-4</v>
      </c>
      <c r="P462" s="544">
        <v>5.4699999999999996E-4</v>
      </c>
      <c r="R462" s="543" t="str">
        <f t="shared" si="22"/>
        <v>A0177:湘南電力(株)メニューB</v>
      </c>
      <c r="S462" s="544">
        <f t="shared" si="23"/>
        <v>5.4699999999999996E-4</v>
      </c>
    </row>
    <row r="463" spans="2:19">
      <c r="B463" s="146" t="s">
        <v>1491</v>
      </c>
      <c r="C463" s="543" t="s">
        <v>2001</v>
      </c>
      <c r="D463" s="543" t="str">
        <f t="shared" si="21"/>
        <v>A0800:(株)Meisin</v>
      </c>
      <c r="I463" s="146" t="s">
        <v>1156</v>
      </c>
      <c r="J463" s="146" t="s">
        <v>1666</v>
      </c>
      <c r="K463" s="544" t="s">
        <v>2058</v>
      </c>
      <c r="L463" s="544">
        <v>5.0600000000000005E-4</v>
      </c>
      <c r="M463" s="544">
        <v>5.0600000000000005E-4</v>
      </c>
      <c r="N463" s="544">
        <v>5.0600000000000005E-4</v>
      </c>
      <c r="O463" s="544">
        <v>5.0600000000000005E-4</v>
      </c>
      <c r="P463" s="544">
        <v>5.0600000000000005E-4</v>
      </c>
      <c r="R463" s="543" t="str">
        <f t="shared" si="22"/>
        <v>A0177:湘南電力(株)(参考値)事業者全体</v>
      </c>
      <c r="S463" s="544">
        <f t="shared" si="23"/>
        <v>5.0600000000000005E-4</v>
      </c>
    </row>
    <row r="464" spans="2:19">
      <c r="B464" s="146" t="s">
        <v>1492</v>
      </c>
      <c r="C464" s="543" t="s">
        <v>2002</v>
      </c>
      <c r="D464" s="543" t="str">
        <f t="shared" si="21"/>
        <v>A0802:大塚ビジネスサポート(株)</v>
      </c>
      <c r="I464" s="146" t="s">
        <v>1157</v>
      </c>
      <c r="J464" s="146" t="s">
        <v>1667</v>
      </c>
      <c r="K464" s="544"/>
      <c r="L464" s="544">
        <v>5.7600000000000001E-4</v>
      </c>
      <c r="M464" s="544">
        <v>5.7600000000000001E-4</v>
      </c>
      <c r="N464" s="544">
        <v>5.7600000000000001E-4</v>
      </c>
      <c r="O464" s="544">
        <v>5.7600000000000001E-4</v>
      </c>
      <c r="P464" s="544">
        <v>5.7600000000000001E-4</v>
      </c>
      <c r="R464" s="543" t="str">
        <f t="shared" si="22"/>
        <v>A0178:大東建託パートナーズ(株)</v>
      </c>
      <c r="S464" s="544">
        <f t="shared" si="23"/>
        <v>5.7600000000000001E-4</v>
      </c>
    </row>
    <row r="465" spans="2:19">
      <c r="B465" s="146" t="s">
        <v>1493</v>
      </c>
      <c r="C465" s="543" t="s">
        <v>2003</v>
      </c>
      <c r="D465" s="543" t="str">
        <f t="shared" si="21"/>
        <v>A0803:出雲ケーブルビジョン(株)</v>
      </c>
      <c r="I465" s="146" t="s">
        <v>1158</v>
      </c>
      <c r="J465" s="146" t="s">
        <v>1668</v>
      </c>
      <c r="K465" s="544" t="s">
        <v>710</v>
      </c>
      <c r="L465" s="544">
        <v>0</v>
      </c>
      <c r="M465" s="544">
        <v>0</v>
      </c>
      <c r="N465" s="544">
        <v>0</v>
      </c>
      <c r="O465" s="544">
        <v>0</v>
      </c>
      <c r="P465" s="544">
        <v>0</v>
      </c>
      <c r="R465" s="543" t="str">
        <f t="shared" si="22"/>
        <v>A0179:Japan電力(株)メニューA</v>
      </c>
      <c r="S465" s="544">
        <f t="shared" si="23"/>
        <v>0</v>
      </c>
    </row>
    <row r="466" spans="2:19">
      <c r="B466" s="146" t="s">
        <v>1494</v>
      </c>
      <c r="C466" s="543" t="s">
        <v>2004</v>
      </c>
      <c r="D466" s="543" t="str">
        <f t="shared" si="21"/>
        <v>A0806:いずも縁結び電力(株)</v>
      </c>
      <c r="I466" s="146" t="s">
        <v>1158</v>
      </c>
      <c r="J466" s="146" t="s">
        <v>1668</v>
      </c>
      <c r="K466" s="544" t="s">
        <v>787</v>
      </c>
      <c r="L466" s="544">
        <v>4.2099999999999999E-4</v>
      </c>
      <c r="M466" s="544">
        <v>4.2099999999999999E-4</v>
      </c>
      <c r="N466" s="544">
        <v>4.2099999999999999E-4</v>
      </c>
      <c r="O466" s="544">
        <v>4.2099999999999999E-4</v>
      </c>
      <c r="P466" s="544">
        <v>4.2099999999999999E-4</v>
      </c>
      <c r="R466" s="543" t="str">
        <f t="shared" si="22"/>
        <v>A0179:Japan電力(株)メニューB</v>
      </c>
      <c r="S466" s="544">
        <f t="shared" si="23"/>
        <v>4.2099999999999999E-4</v>
      </c>
    </row>
    <row r="467" spans="2:19">
      <c r="B467" s="146" t="s">
        <v>1495</v>
      </c>
      <c r="C467" s="543" t="s">
        <v>2005</v>
      </c>
      <c r="D467" s="543" t="str">
        <f t="shared" si="21"/>
        <v>A0807:恵那電力(株)</v>
      </c>
      <c r="I467" s="146" t="s">
        <v>1158</v>
      </c>
      <c r="J467" s="146" t="s">
        <v>1668</v>
      </c>
      <c r="K467" s="544" t="s">
        <v>2058</v>
      </c>
      <c r="L467" s="544">
        <v>3.9199999999999999E-4</v>
      </c>
      <c r="M467" s="544">
        <v>3.9199999999999999E-4</v>
      </c>
      <c r="N467" s="544">
        <v>3.9199999999999999E-4</v>
      </c>
      <c r="O467" s="544">
        <v>3.9199999999999999E-4</v>
      </c>
      <c r="P467" s="544">
        <v>3.9199999999999999E-4</v>
      </c>
      <c r="R467" s="543" t="str">
        <f t="shared" si="22"/>
        <v>A0179:Japan電力(株)(参考値)事業者全体</v>
      </c>
      <c r="S467" s="544">
        <f t="shared" si="23"/>
        <v>3.9199999999999999E-4</v>
      </c>
    </row>
    <row r="468" spans="2:19">
      <c r="B468" s="146" t="s">
        <v>1496</v>
      </c>
      <c r="C468" s="543" t="s">
        <v>2006</v>
      </c>
      <c r="D468" s="543" t="str">
        <f t="shared" si="21"/>
        <v>A0808:宇都宮ライトパワー(株)</v>
      </c>
      <c r="I468" s="146" t="s">
        <v>1159</v>
      </c>
      <c r="J468" s="146" t="s">
        <v>1669</v>
      </c>
      <c r="K468" s="544" t="s">
        <v>710</v>
      </c>
      <c r="L468" s="544">
        <v>4.2499999999999998E-4</v>
      </c>
      <c r="M468" s="544">
        <v>4.2499999999999998E-4</v>
      </c>
      <c r="N468" s="544">
        <v>4.2499999999999998E-4</v>
      </c>
      <c r="O468" s="544">
        <v>4.2499999999999998E-4</v>
      </c>
      <c r="P468" s="544">
        <v>4.2499999999999998E-4</v>
      </c>
      <c r="R468" s="543" t="str">
        <f t="shared" si="22"/>
        <v>A0180:電源開発(株)メニューA</v>
      </c>
      <c r="S468" s="544">
        <f t="shared" si="23"/>
        <v>4.2499999999999998E-4</v>
      </c>
    </row>
    <row r="469" spans="2:19">
      <c r="B469" s="146" t="s">
        <v>1497</v>
      </c>
      <c r="C469" s="543" t="s">
        <v>2007</v>
      </c>
      <c r="D469" s="543" t="str">
        <f t="shared" si="21"/>
        <v>A0809:帯広電力(株)</v>
      </c>
      <c r="I469" s="146" t="s">
        <v>1159</v>
      </c>
      <c r="J469" s="146" t="s">
        <v>1669</v>
      </c>
      <c r="K469" s="544" t="s">
        <v>787</v>
      </c>
      <c r="L469" s="544">
        <v>4.2200000000000001E-4</v>
      </c>
      <c r="M469" s="544">
        <v>4.2200000000000001E-4</v>
      </c>
      <c r="N469" s="544">
        <v>4.2200000000000001E-4</v>
      </c>
      <c r="O469" s="544">
        <v>4.2200000000000001E-4</v>
      </c>
      <c r="P469" s="544">
        <v>4.2200000000000001E-4</v>
      </c>
      <c r="R469" s="543" t="str">
        <f t="shared" si="22"/>
        <v>A0180:電源開発(株)メニューB</v>
      </c>
      <c r="S469" s="544">
        <f t="shared" si="23"/>
        <v>4.2200000000000001E-4</v>
      </c>
    </row>
    <row r="470" spans="2:19">
      <c r="B470" s="146" t="s">
        <v>1498</v>
      </c>
      <c r="C470" s="543" t="s">
        <v>2008</v>
      </c>
      <c r="D470" s="543" t="str">
        <f t="shared" si="21"/>
        <v>A0810:フジ物産(株)</v>
      </c>
      <c r="I470" s="146" t="s">
        <v>1159</v>
      </c>
      <c r="J470" s="146" t="s">
        <v>1669</v>
      </c>
      <c r="K470" s="544" t="s">
        <v>2058</v>
      </c>
      <c r="L470" s="544">
        <v>4.2200000000000001E-4</v>
      </c>
      <c r="M470" s="544">
        <v>4.2200000000000001E-4</v>
      </c>
      <c r="N470" s="544">
        <v>4.2200000000000001E-4</v>
      </c>
      <c r="O470" s="544">
        <v>4.2200000000000001E-4</v>
      </c>
      <c r="P470" s="544">
        <v>4.2200000000000001E-4</v>
      </c>
      <c r="R470" s="543" t="str">
        <f t="shared" si="22"/>
        <v>A0180:電源開発(株)(参考値)事業者全体</v>
      </c>
      <c r="S470" s="544">
        <f t="shared" si="23"/>
        <v>4.2200000000000001E-4</v>
      </c>
    </row>
    <row r="471" spans="2:19">
      <c r="B471" s="146" t="s">
        <v>1499</v>
      </c>
      <c r="C471" s="543" t="s">
        <v>2009</v>
      </c>
      <c r="D471" s="543" t="str">
        <f t="shared" si="21"/>
        <v>A0812:金沢エナジー(株)</v>
      </c>
      <c r="I471" s="146" t="s">
        <v>1160</v>
      </c>
      <c r="J471" s="146" t="s">
        <v>1670</v>
      </c>
      <c r="K471" s="544" t="s">
        <v>710</v>
      </c>
      <c r="L471" s="544">
        <v>2.9599999999999998E-4</v>
      </c>
      <c r="M471" s="544">
        <v>2.9599999999999998E-4</v>
      </c>
      <c r="N471" s="544">
        <v>2.9599999999999998E-4</v>
      </c>
      <c r="O471" s="544">
        <v>2.9599999999999998E-4</v>
      </c>
      <c r="P471" s="544">
        <v>2.9599999999999998E-4</v>
      </c>
      <c r="R471" s="543" t="str">
        <f t="shared" si="22"/>
        <v>A0181:鈴与商事(株)メニューA</v>
      </c>
      <c r="S471" s="544">
        <f t="shared" si="23"/>
        <v>2.9599999999999998E-4</v>
      </c>
    </row>
    <row r="472" spans="2:19">
      <c r="B472" s="146" t="s">
        <v>1500</v>
      </c>
      <c r="C472" s="543" t="s">
        <v>2010</v>
      </c>
      <c r="D472" s="543" t="str">
        <f t="shared" si="21"/>
        <v>A0817:(株)なんとエナジー</v>
      </c>
      <c r="I472" s="146" t="s">
        <v>1160</v>
      </c>
      <c r="J472" s="146" t="s">
        <v>1670</v>
      </c>
      <c r="K472" s="544" t="s">
        <v>787</v>
      </c>
      <c r="L472" s="544">
        <v>0</v>
      </c>
      <c r="M472" s="544">
        <v>0</v>
      </c>
      <c r="N472" s="544">
        <v>0</v>
      </c>
      <c r="O472" s="544">
        <v>0</v>
      </c>
      <c r="P472" s="544">
        <v>0</v>
      </c>
      <c r="R472" s="543" t="str">
        <f t="shared" si="22"/>
        <v>A0181:鈴与商事(株)メニューB</v>
      </c>
      <c r="S472" s="544">
        <f t="shared" si="23"/>
        <v>0</v>
      </c>
    </row>
    <row r="473" spans="2:19">
      <c r="B473" s="146" t="s">
        <v>1501</v>
      </c>
      <c r="C473" s="543" t="s">
        <v>2011</v>
      </c>
      <c r="D473" s="543" t="str">
        <f t="shared" si="21"/>
        <v>A0819:(株)ボーダレス・ジャパン</v>
      </c>
      <c r="I473" s="146" t="s">
        <v>1160</v>
      </c>
      <c r="J473" s="146" t="s">
        <v>1670</v>
      </c>
      <c r="K473" s="544" t="s">
        <v>788</v>
      </c>
      <c r="L473" s="544">
        <v>0</v>
      </c>
      <c r="M473" s="544">
        <v>0</v>
      </c>
      <c r="N473" s="544">
        <v>0</v>
      </c>
      <c r="O473" s="544">
        <v>0</v>
      </c>
      <c r="P473" s="544">
        <v>0</v>
      </c>
      <c r="R473" s="543" t="str">
        <f t="shared" si="22"/>
        <v>A0181:鈴与商事(株)メニューC</v>
      </c>
      <c r="S473" s="544">
        <f t="shared" si="23"/>
        <v>0</v>
      </c>
    </row>
    <row r="474" spans="2:19">
      <c r="B474" s="146" t="s">
        <v>1502</v>
      </c>
      <c r="C474" s="543" t="s">
        <v>2012</v>
      </c>
      <c r="D474" s="543" t="str">
        <f t="shared" si="21"/>
        <v>A0820:(株)ワット</v>
      </c>
      <c r="I474" s="146" t="s">
        <v>1160</v>
      </c>
      <c r="J474" s="146" t="s">
        <v>1670</v>
      </c>
      <c r="K474" s="544" t="s">
        <v>974</v>
      </c>
      <c r="L474" s="544">
        <v>5.2999999999999998E-4</v>
      </c>
      <c r="M474" s="544">
        <v>5.2999999999999998E-4</v>
      </c>
      <c r="N474" s="544">
        <v>5.2999999999999998E-4</v>
      </c>
      <c r="O474" s="544">
        <v>5.2999999999999998E-4</v>
      </c>
      <c r="P474" s="544">
        <v>5.2999999999999998E-4</v>
      </c>
      <c r="R474" s="543" t="str">
        <f t="shared" si="22"/>
        <v>A0181:鈴与商事(株)メニューD</v>
      </c>
      <c r="S474" s="544">
        <f t="shared" si="23"/>
        <v>5.2999999999999998E-4</v>
      </c>
    </row>
    <row r="475" spans="2:19">
      <c r="B475" s="146" t="s">
        <v>1503</v>
      </c>
      <c r="C475" s="543" t="s">
        <v>2013</v>
      </c>
      <c r="D475" s="543" t="str">
        <f t="shared" si="21"/>
        <v>A0821:ジケイ・スペース(株)</v>
      </c>
      <c r="I475" s="146" t="s">
        <v>1160</v>
      </c>
      <c r="J475" s="146" t="s">
        <v>1670</v>
      </c>
      <c r="K475" s="544" t="s">
        <v>975</v>
      </c>
      <c r="L475" s="544">
        <v>5.1999999999999995E-4</v>
      </c>
      <c r="M475" s="544">
        <v>5.1999999999999995E-4</v>
      </c>
      <c r="N475" s="544">
        <v>5.1999999999999995E-4</v>
      </c>
      <c r="O475" s="544">
        <v>5.1999999999999995E-4</v>
      </c>
      <c r="P475" s="544">
        <v>5.1999999999999995E-4</v>
      </c>
      <c r="R475" s="543" t="str">
        <f t="shared" si="22"/>
        <v>A0181:鈴与商事(株)メニューE</v>
      </c>
      <c r="S475" s="544">
        <f t="shared" si="23"/>
        <v>5.1999999999999995E-4</v>
      </c>
    </row>
    <row r="476" spans="2:19">
      <c r="B476" s="146" t="s">
        <v>1504</v>
      </c>
      <c r="C476" s="543" t="s">
        <v>2014</v>
      </c>
      <c r="D476" s="543" t="str">
        <f t="shared" si="21"/>
        <v>A0822:広島ガス(株)</v>
      </c>
      <c r="I476" s="146" t="s">
        <v>1160</v>
      </c>
      <c r="J476" s="146" t="s">
        <v>1670</v>
      </c>
      <c r="K476" s="544" t="s">
        <v>2059</v>
      </c>
      <c r="L476" s="544">
        <v>4.6999999999999999E-4</v>
      </c>
      <c r="M476" s="544">
        <v>4.6999999999999999E-4</v>
      </c>
      <c r="N476" s="544">
        <v>4.6999999999999999E-4</v>
      </c>
      <c r="O476" s="544">
        <v>4.6999999999999999E-4</v>
      </c>
      <c r="P476" s="544">
        <v>4.6999999999999999E-4</v>
      </c>
      <c r="R476" s="543" t="str">
        <f t="shared" si="22"/>
        <v>A0181:鈴与商事(株)メニューF</v>
      </c>
      <c r="S476" s="544">
        <f t="shared" si="23"/>
        <v>4.6999999999999999E-4</v>
      </c>
    </row>
    <row r="477" spans="2:19">
      <c r="B477" s="146" t="s">
        <v>1505</v>
      </c>
      <c r="C477" s="543" t="s">
        <v>2015</v>
      </c>
      <c r="D477" s="543" t="str">
        <f t="shared" si="21"/>
        <v>A0824:(株)IQg</v>
      </c>
      <c r="I477" s="146" t="s">
        <v>1160</v>
      </c>
      <c r="J477" s="146" t="s">
        <v>1670</v>
      </c>
      <c r="K477" s="544" t="s">
        <v>2060</v>
      </c>
      <c r="L477" s="544">
        <v>0</v>
      </c>
      <c r="M477" s="544">
        <v>0</v>
      </c>
      <c r="N477" s="544">
        <v>0</v>
      </c>
      <c r="O477" s="544">
        <v>0</v>
      </c>
      <c r="P477" s="544">
        <v>0</v>
      </c>
      <c r="R477" s="543" t="str">
        <f t="shared" si="22"/>
        <v>A0181:鈴与商事(株)メニューG</v>
      </c>
      <c r="S477" s="544">
        <f t="shared" si="23"/>
        <v>0</v>
      </c>
    </row>
    <row r="478" spans="2:19">
      <c r="B478" s="146" t="s">
        <v>1506</v>
      </c>
      <c r="C478" s="543" t="s">
        <v>2016</v>
      </c>
      <c r="D478" s="543" t="str">
        <f t="shared" si="21"/>
        <v>A0825:最適でんき(株)（旧：エナジーサプライ(株)）</v>
      </c>
      <c r="I478" s="146" t="s">
        <v>1160</v>
      </c>
      <c r="J478" s="146" t="s">
        <v>1670</v>
      </c>
      <c r="K478" s="544" t="s">
        <v>2061</v>
      </c>
      <c r="L478" s="544">
        <v>6.3900000000000003E-4</v>
      </c>
      <c r="M478" s="544">
        <v>6.3900000000000003E-4</v>
      </c>
      <c r="N478" s="544">
        <v>6.3900000000000003E-4</v>
      </c>
      <c r="O478" s="544">
        <v>6.3900000000000003E-4</v>
      </c>
      <c r="P478" s="544">
        <v>6.3900000000000003E-4</v>
      </c>
      <c r="R478" s="543" t="str">
        <f t="shared" si="22"/>
        <v>A0181:鈴与商事(株)メニューH</v>
      </c>
      <c r="S478" s="544">
        <f t="shared" si="23"/>
        <v>6.3900000000000003E-4</v>
      </c>
    </row>
    <row r="479" spans="2:19">
      <c r="B479" s="146" t="s">
        <v>1507</v>
      </c>
      <c r="C479" s="543" t="s">
        <v>2017</v>
      </c>
      <c r="D479" s="543" t="str">
        <f t="shared" si="21"/>
        <v>A0826:(株)FPS</v>
      </c>
      <c r="I479" s="146" t="s">
        <v>1160</v>
      </c>
      <c r="J479" s="146" t="s">
        <v>1670</v>
      </c>
      <c r="K479" s="544" t="s">
        <v>2058</v>
      </c>
      <c r="L479" s="544">
        <v>4.73E-4</v>
      </c>
      <c r="M479" s="544">
        <v>4.73E-4</v>
      </c>
      <c r="N479" s="544">
        <v>4.73E-4</v>
      </c>
      <c r="O479" s="544">
        <v>4.73E-4</v>
      </c>
      <c r="P479" s="544">
        <v>4.73E-4</v>
      </c>
      <c r="R479" s="543" t="str">
        <f t="shared" si="22"/>
        <v>A0181:鈴与商事(株)(参考値)事業者全体</v>
      </c>
      <c r="S479" s="544">
        <f t="shared" si="23"/>
        <v>4.73E-4</v>
      </c>
    </row>
    <row r="480" spans="2:19">
      <c r="B480" s="146" t="s">
        <v>1508</v>
      </c>
      <c r="C480" s="543" t="s">
        <v>2018</v>
      </c>
      <c r="D480" s="543" t="str">
        <f t="shared" si="21"/>
        <v>A0827:大熊るるるん電力(株)</v>
      </c>
      <c r="I480" s="146" t="s">
        <v>1161</v>
      </c>
      <c r="J480" s="146" t="s">
        <v>1671</v>
      </c>
      <c r="K480" s="544" t="s">
        <v>710</v>
      </c>
      <c r="L480" s="544">
        <v>0</v>
      </c>
      <c r="M480" s="544">
        <v>0</v>
      </c>
      <c r="N480" s="544">
        <v>0</v>
      </c>
      <c r="O480" s="544">
        <v>0</v>
      </c>
      <c r="P480" s="544">
        <v>0</v>
      </c>
      <c r="R480" s="543" t="str">
        <f t="shared" si="22"/>
        <v>A0184:ワタミエナジー(株)メニューA</v>
      </c>
      <c r="S480" s="544">
        <f t="shared" si="23"/>
        <v>0</v>
      </c>
    </row>
    <row r="481" spans="2:19">
      <c r="B481" s="146" t="s">
        <v>1509</v>
      </c>
      <c r="C481" s="543" t="s">
        <v>2019</v>
      </c>
      <c r="D481" s="543" t="str">
        <f t="shared" si="21"/>
        <v>A0829:(株)レックス</v>
      </c>
      <c r="I481" s="146" t="s">
        <v>1161</v>
      </c>
      <c r="J481" s="146" t="s">
        <v>1671</v>
      </c>
      <c r="K481" s="544" t="s">
        <v>787</v>
      </c>
      <c r="L481" s="544">
        <v>6.2799999999999998E-4</v>
      </c>
      <c r="M481" s="544">
        <v>6.2799999999999998E-4</v>
      </c>
      <c r="N481" s="544">
        <v>6.2799999999999998E-4</v>
      </c>
      <c r="O481" s="544">
        <v>6.2799999999999998E-4</v>
      </c>
      <c r="P481" s="544">
        <v>6.2799999999999998E-4</v>
      </c>
      <c r="R481" s="543" t="str">
        <f t="shared" si="22"/>
        <v>A0184:ワタミエナジー(株)メニューB</v>
      </c>
      <c r="S481" s="544">
        <f t="shared" si="23"/>
        <v>6.2799999999999998E-4</v>
      </c>
    </row>
    <row r="482" spans="2:19">
      <c r="B482" s="146" t="s">
        <v>1510</v>
      </c>
      <c r="C482" s="543" t="s">
        <v>2020</v>
      </c>
      <c r="D482" s="543" t="str">
        <f t="shared" si="21"/>
        <v>A0831:おきたま新電力(株)</v>
      </c>
      <c r="I482" s="146" t="s">
        <v>1161</v>
      </c>
      <c r="J482" s="146" t="s">
        <v>1671</v>
      </c>
      <c r="K482" s="544" t="s">
        <v>2058</v>
      </c>
      <c r="L482" s="544">
        <v>4.95E-4</v>
      </c>
      <c r="M482" s="544">
        <v>4.95E-4</v>
      </c>
      <c r="N482" s="544">
        <v>4.95E-4</v>
      </c>
      <c r="O482" s="544">
        <v>4.95E-4</v>
      </c>
      <c r="P482" s="544">
        <v>4.95E-4</v>
      </c>
      <c r="R482" s="543" t="str">
        <f t="shared" si="22"/>
        <v>A0184:ワタミエナジー(株)(参考値)事業者全体</v>
      </c>
      <c r="S482" s="544">
        <f t="shared" si="23"/>
        <v>4.95E-4</v>
      </c>
    </row>
    <row r="483" spans="2:19">
      <c r="B483" s="146" t="s">
        <v>1511</v>
      </c>
      <c r="C483" s="543" t="s">
        <v>2021</v>
      </c>
      <c r="D483" s="543" t="str">
        <f t="shared" si="21"/>
        <v>A0835:河原実業(株)</v>
      </c>
      <c r="I483" s="146" t="s">
        <v>1162</v>
      </c>
      <c r="J483" s="146" t="s">
        <v>1672</v>
      </c>
      <c r="K483" s="544"/>
      <c r="L483" s="544">
        <v>3.7100000000000002E-4</v>
      </c>
      <c r="M483" s="544">
        <v>3.7100000000000002E-4</v>
      </c>
      <c r="N483" s="544">
        <v>3.7100000000000002E-4</v>
      </c>
      <c r="O483" s="544">
        <v>3.7100000000000002E-4</v>
      </c>
      <c r="P483" s="544">
        <v>3.7100000000000002E-4</v>
      </c>
      <c r="R483" s="543" t="str">
        <f t="shared" si="22"/>
        <v>A0185:(株)パルシステム電力</v>
      </c>
      <c r="S483" s="544">
        <f t="shared" si="23"/>
        <v>3.7100000000000002E-4</v>
      </c>
    </row>
    <row r="484" spans="2:19">
      <c r="B484" s="146" t="s">
        <v>1512</v>
      </c>
      <c r="C484" s="543" t="s">
        <v>2022</v>
      </c>
      <c r="D484" s="543" t="str">
        <f t="shared" si="21"/>
        <v>A0838:(株)stc</v>
      </c>
      <c r="I484" s="146" t="s">
        <v>1163</v>
      </c>
      <c r="J484" s="146" t="s">
        <v>1673</v>
      </c>
      <c r="K484" s="544" t="s">
        <v>710</v>
      </c>
      <c r="L484" s="544">
        <v>0</v>
      </c>
      <c r="M484" s="544">
        <v>0</v>
      </c>
      <c r="N484" s="544">
        <v>0</v>
      </c>
      <c r="O484" s="544">
        <v>0</v>
      </c>
      <c r="P484" s="544">
        <v>0</v>
      </c>
      <c r="R484" s="543" t="str">
        <f t="shared" si="22"/>
        <v>A0186:SBパワー(株)メニューA</v>
      </c>
      <c r="S484" s="544">
        <f t="shared" si="23"/>
        <v>0</v>
      </c>
    </row>
    <row r="485" spans="2:19">
      <c r="B485" s="146" t="s">
        <v>1513</v>
      </c>
      <c r="C485" s="543" t="s">
        <v>2023</v>
      </c>
      <c r="D485" s="543" t="str">
        <f t="shared" si="21"/>
        <v>A0839:(株)工営エナジー</v>
      </c>
      <c r="I485" s="146" t="s">
        <v>1163</v>
      </c>
      <c r="J485" s="146" t="s">
        <v>1673</v>
      </c>
      <c r="K485" s="544" t="s">
        <v>787</v>
      </c>
      <c r="L485" s="544">
        <v>0</v>
      </c>
      <c r="M485" s="544">
        <v>0</v>
      </c>
      <c r="N485" s="544">
        <v>0</v>
      </c>
      <c r="O485" s="544">
        <v>0</v>
      </c>
      <c r="P485" s="544">
        <v>0</v>
      </c>
      <c r="R485" s="543" t="str">
        <f t="shared" si="22"/>
        <v>A0186:SBパワー(株)メニューB</v>
      </c>
      <c r="S485" s="544">
        <f t="shared" si="23"/>
        <v>0</v>
      </c>
    </row>
    <row r="486" spans="2:19">
      <c r="B486" s="146" t="s">
        <v>1514</v>
      </c>
      <c r="C486" s="543" t="s">
        <v>2024</v>
      </c>
      <c r="D486" s="543" t="str">
        <f t="shared" si="21"/>
        <v>A0840:アースシグナルソリューションズ(株)</v>
      </c>
      <c r="I486" s="146" t="s">
        <v>1163</v>
      </c>
      <c r="J486" s="146" t="s">
        <v>1673</v>
      </c>
      <c r="K486" s="544" t="s">
        <v>788</v>
      </c>
      <c r="L486" s="544">
        <v>1.66E-4</v>
      </c>
      <c r="M486" s="544">
        <v>1.66E-4</v>
      </c>
      <c r="N486" s="544">
        <v>1.66E-4</v>
      </c>
      <c r="O486" s="544">
        <v>1.66E-4</v>
      </c>
      <c r="P486" s="544">
        <v>1.66E-4</v>
      </c>
      <c r="R486" s="543" t="str">
        <f t="shared" si="22"/>
        <v>A0186:SBパワー(株)メニューC</v>
      </c>
      <c r="S486" s="544">
        <f t="shared" si="23"/>
        <v>1.66E-4</v>
      </c>
    </row>
    <row r="487" spans="2:19">
      <c r="B487" s="146" t="s">
        <v>1515</v>
      </c>
      <c r="C487" s="543" t="s">
        <v>2025</v>
      </c>
      <c r="D487" s="543" t="str">
        <f t="shared" si="21"/>
        <v>A0843:シントウエナジー(株)</v>
      </c>
      <c r="I487" s="146" t="s">
        <v>1163</v>
      </c>
      <c r="J487" s="146" t="s">
        <v>1673</v>
      </c>
      <c r="K487" s="544" t="s">
        <v>974</v>
      </c>
      <c r="L487" s="544">
        <v>3.8999999999999999E-4</v>
      </c>
      <c r="M487" s="544">
        <v>3.8999999999999999E-4</v>
      </c>
      <c r="N487" s="544">
        <v>3.8999999999999999E-4</v>
      </c>
      <c r="O487" s="544">
        <v>3.8999999999999999E-4</v>
      </c>
      <c r="P487" s="544">
        <v>3.8999999999999999E-4</v>
      </c>
      <c r="R487" s="543" t="str">
        <f t="shared" si="22"/>
        <v>A0186:SBパワー(株)メニューD</v>
      </c>
      <c r="S487" s="544">
        <f t="shared" si="23"/>
        <v>3.8999999999999999E-4</v>
      </c>
    </row>
    <row r="488" spans="2:19">
      <c r="B488" s="146" t="s">
        <v>1516</v>
      </c>
      <c r="C488" s="543" t="s">
        <v>2026</v>
      </c>
      <c r="D488" s="543" t="str">
        <f t="shared" si="21"/>
        <v>A0844:那須野ヶ原みらい電力(株)</v>
      </c>
      <c r="I488" s="146" t="s">
        <v>1163</v>
      </c>
      <c r="J488" s="146" t="s">
        <v>1673</v>
      </c>
      <c r="K488" s="544" t="s">
        <v>975</v>
      </c>
      <c r="L488" s="544">
        <v>6.5899999999999997E-4</v>
      </c>
      <c r="M488" s="544">
        <v>6.5899999999999997E-4</v>
      </c>
      <c r="N488" s="544">
        <v>6.5899999999999997E-4</v>
      </c>
      <c r="O488" s="544">
        <v>6.5899999999999997E-4</v>
      </c>
      <c r="P488" s="544">
        <v>6.5899999999999997E-4</v>
      </c>
      <c r="R488" s="543" t="str">
        <f t="shared" si="22"/>
        <v>A0186:SBパワー(株)メニューE</v>
      </c>
      <c r="S488" s="544">
        <f t="shared" si="23"/>
        <v>6.5899999999999997E-4</v>
      </c>
    </row>
    <row r="489" spans="2:19">
      <c r="B489" s="146" t="s">
        <v>1517</v>
      </c>
      <c r="C489" s="543" t="s">
        <v>2027</v>
      </c>
      <c r="D489" s="543" t="str">
        <f t="shared" si="21"/>
        <v>A0847:柏崎あい・あーるエナジー(株)</v>
      </c>
      <c r="I489" s="146" t="s">
        <v>1163</v>
      </c>
      <c r="J489" s="146" t="s">
        <v>1673</v>
      </c>
      <c r="K489" s="544" t="s">
        <v>2058</v>
      </c>
      <c r="L489" s="544">
        <v>6.2E-4</v>
      </c>
      <c r="M489" s="544">
        <v>6.2E-4</v>
      </c>
      <c r="N489" s="544">
        <v>6.2E-4</v>
      </c>
      <c r="O489" s="544">
        <v>6.2E-4</v>
      </c>
      <c r="P489" s="544">
        <v>6.2E-4</v>
      </c>
      <c r="R489" s="543" t="str">
        <f t="shared" si="22"/>
        <v>A0186:SBパワー(株)(参考値)事業者全体</v>
      </c>
      <c r="S489" s="544">
        <f t="shared" si="23"/>
        <v>6.2E-4</v>
      </c>
    </row>
    <row r="490" spans="2:19">
      <c r="B490" s="146" t="s">
        <v>1518</v>
      </c>
      <c r="C490" s="543" t="s">
        <v>2028</v>
      </c>
      <c r="D490" s="543" t="str">
        <f t="shared" si="21"/>
        <v>A0849:京セラ(株)</v>
      </c>
      <c r="I490" s="146" t="s">
        <v>1164</v>
      </c>
      <c r="J490" s="146" t="s">
        <v>1674</v>
      </c>
      <c r="K490" s="544" t="s">
        <v>710</v>
      </c>
      <c r="L490" s="544">
        <v>0</v>
      </c>
      <c r="M490" s="544">
        <v>0</v>
      </c>
      <c r="N490" s="544">
        <v>0</v>
      </c>
      <c r="O490" s="544">
        <v>0</v>
      </c>
      <c r="P490" s="544">
        <v>0</v>
      </c>
      <c r="R490" s="543" t="str">
        <f t="shared" si="22"/>
        <v>A0187:NFパワーサービス(株)メニューA</v>
      </c>
      <c r="S490" s="544">
        <f t="shared" si="23"/>
        <v>0</v>
      </c>
    </row>
    <row r="491" spans="2:19">
      <c r="B491" s="146" t="s">
        <v>1519</v>
      </c>
      <c r="C491" s="543" t="s">
        <v>2029</v>
      </c>
      <c r="D491" s="543" t="str">
        <f t="shared" si="21"/>
        <v>A0851:(株)鳥取みらい電力</v>
      </c>
      <c r="I491" s="146" t="s">
        <v>1164</v>
      </c>
      <c r="J491" s="146" t="s">
        <v>1674</v>
      </c>
      <c r="K491" s="544" t="s">
        <v>787</v>
      </c>
      <c r="L491" s="544">
        <v>3.8699999999999997E-4</v>
      </c>
      <c r="M491" s="544">
        <v>3.8699999999999997E-4</v>
      </c>
      <c r="N491" s="544">
        <v>3.8699999999999997E-4</v>
      </c>
      <c r="O491" s="544">
        <v>3.8699999999999997E-4</v>
      </c>
      <c r="P491" s="544">
        <v>3.8699999999999997E-4</v>
      </c>
      <c r="R491" s="543" t="str">
        <f t="shared" si="22"/>
        <v>A0187:NFパワーサービス(株)メニューB</v>
      </c>
      <c r="S491" s="544">
        <f t="shared" si="23"/>
        <v>3.8699999999999997E-4</v>
      </c>
    </row>
    <row r="492" spans="2:19">
      <c r="B492" s="146" t="s">
        <v>1520</v>
      </c>
      <c r="C492" s="543" t="s">
        <v>2030</v>
      </c>
      <c r="D492" s="543" t="str">
        <f t="shared" si="21"/>
        <v>A0852:鈴鹿グリーンエナジー(株)</v>
      </c>
      <c r="I492" s="146" t="s">
        <v>1164</v>
      </c>
      <c r="J492" s="146" t="s">
        <v>1674</v>
      </c>
      <c r="K492" s="544" t="s">
        <v>2058</v>
      </c>
      <c r="L492" s="544">
        <v>2.9300000000000002E-4</v>
      </c>
      <c r="M492" s="544">
        <v>2.9300000000000002E-4</v>
      </c>
      <c r="N492" s="544">
        <v>2.9300000000000002E-4</v>
      </c>
      <c r="O492" s="544">
        <v>2.9300000000000002E-4</v>
      </c>
      <c r="P492" s="544">
        <v>2.9300000000000002E-4</v>
      </c>
      <c r="R492" s="543" t="str">
        <f t="shared" si="22"/>
        <v>A0187:NFパワーサービス(株)(参考値)事業者全体</v>
      </c>
      <c r="S492" s="544">
        <f t="shared" si="23"/>
        <v>2.9300000000000002E-4</v>
      </c>
    </row>
    <row r="493" spans="2:19">
      <c r="B493" s="146" t="s">
        <v>1521</v>
      </c>
      <c r="C493" s="543" t="s">
        <v>2031</v>
      </c>
      <c r="D493" s="543" t="str">
        <f t="shared" si="21"/>
        <v>A0853:一般社団法人東北自動車産業グリーンエネルギー普及協会</v>
      </c>
      <c r="I493" s="146" t="s">
        <v>1165</v>
      </c>
      <c r="J493" s="146" t="s">
        <v>1675</v>
      </c>
      <c r="K493" s="544" t="s">
        <v>710</v>
      </c>
      <c r="L493" s="544">
        <v>2.9300000000000002E-4</v>
      </c>
      <c r="M493" s="544">
        <v>2.9300000000000002E-4</v>
      </c>
      <c r="N493" s="544">
        <v>2.9300000000000002E-4</v>
      </c>
      <c r="O493" s="544">
        <v>2.9300000000000002E-4</v>
      </c>
      <c r="P493" s="544">
        <v>2.9300000000000002E-4</v>
      </c>
      <c r="R493" s="543" t="str">
        <f t="shared" si="22"/>
        <v>A0188:ひおき地域エネルギー(株)メニューA</v>
      </c>
      <c r="S493" s="544">
        <f t="shared" si="23"/>
        <v>2.9300000000000002E-4</v>
      </c>
    </row>
    <row r="494" spans="2:19">
      <c r="B494" s="146" t="s">
        <v>1522</v>
      </c>
      <c r="C494" s="543" t="s">
        <v>2032</v>
      </c>
      <c r="D494" s="543" t="str">
        <f t="shared" si="21"/>
        <v>A0854:刈谷知立みらい電力(株)</v>
      </c>
      <c r="I494" s="146" t="s">
        <v>1165</v>
      </c>
      <c r="J494" s="146" t="s">
        <v>1675</v>
      </c>
      <c r="K494" s="544" t="s">
        <v>787</v>
      </c>
      <c r="L494" s="544">
        <v>3.4000000000000002E-4</v>
      </c>
      <c r="M494" s="544">
        <v>3.4000000000000002E-4</v>
      </c>
      <c r="N494" s="544">
        <v>3.4000000000000002E-4</v>
      </c>
      <c r="O494" s="544">
        <v>3.4000000000000002E-4</v>
      </c>
      <c r="P494" s="544">
        <v>3.4000000000000002E-4</v>
      </c>
      <c r="R494" s="543" t="str">
        <f t="shared" si="22"/>
        <v>A0188:ひおき地域エネルギー(株)メニューB</v>
      </c>
      <c r="S494" s="544">
        <f t="shared" si="23"/>
        <v>3.4000000000000002E-4</v>
      </c>
    </row>
    <row r="495" spans="2:19">
      <c r="B495" s="146" t="s">
        <v>1523</v>
      </c>
      <c r="C495" s="543" t="s">
        <v>2033</v>
      </c>
      <c r="D495" s="543" t="str">
        <f t="shared" si="21"/>
        <v>A0857:(株)パワーエックス</v>
      </c>
      <c r="I495" s="146" t="s">
        <v>1165</v>
      </c>
      <c r="J495" s="146" t="s">
        <v>1675</v>
      </c>
      <c r="K495" s="544" t="s">
        <v>788</v>
      </c>
      <c r="L495" s="544">
        <v>2.0599999999999999E-4</v>
      </c>
      <c r="M495" s="544">
        <v>2.0599999999999999E-4</v>
      </c>
      <c r="N495" s="544">
        <v>2.0599999999999999E-4</v>
      </c>
      <c r="O495" s="544">
        <v>2.0599999999999999E-4</v>
      </c>
      <c r="P495" s="544">
        <v>2.0599999999999999E-4</v>
      </c>
      <c r="R495" s="543" t="str">
        <f t="shared" si="22"/>
        <v>A0188:ひおき地域エネルギー(株)メニューC</v>
      </c>
      <c r="S495" s="544">
        <f t="shared" si="23"/>
        <v>2.0599999999999999E-4</v>
      </c>
    </row>
    <row r="496" spans="2:19">
      <c r="B496" s="146" t="s">
        <v>1524</v>
      </c>
      <c r="C496" s="543" t="s">
        <v>2034</v>
      </c>
      <c r="D496" s="543" t="str">
        <f t="shared" si="21"/>
        <v>A0859:いちのみや未来エネルギー(株)</v>
      </c>
      <c r="I496" s="146" t="s">
        <v>1165</v>
      </c>
      <c r="J496" s="146" t="s">
        <v>1675</v>
      </c>
      <c r="K496" s="544" t="s">
        <v>974</v>
      </c>
      <c r="L496" s="544">
        <v>0</v>
      </c>
      <c r="M496" s="544">
        <v>0</v>
      </c>
      <c r="N496" s="544">
        <v>0</v>
      </c>
      <c r="O496" s="544">
        <v>0</v>
      </c>
      <c r="P496" s="544">
        <v>0</v>
      </c>
      <c r="R496" s="543" t="str">
        <f t="shared" si="22"/>
        <v>A0188:ひおき地域エネルギー(株)メニューD</v>
      </c>
      <c r="S496" s="544">
        <f t="shared" si="23"/>
        <v>0</v>
      </c>
    </row>
    <row r="497" spans="2:19">
      <c r="B497" s="146" t="s">
        <v>1525</v>
      </c>
      <c r="C497" s="543" t="s">
        <v>2035</v>
      </c>
      <c r="D497" s="543" t="str">
        <f t="shared" si="21"/>
        <v>A0860:岡谷酸素(株)</v>
      </c>
      <c r="I497" s="146" t="s">
        <v>1165</v>
      </c>
      <c r="J497" s="146" t="s">
        <v>1675</v>
      </c>
      <c r="K497" s="544" t="s">
        <v>975</v>
      </c>
      <c r="L497" s="544">
        <v>4.1399999999999998E-4</v>
      </c>
      <c r="M497" s="544">
        <v>4.1399999999999998E-4</v>
      </c>
      <c r="N497" s="544">
        <v>4.1399999999999998E-4</v>
      </c>
      <c r="O497" s="544">
        <v>4.1399999999999998E-4</v>
      </c>
      <c r="P497" s="544">
        <v>4.1399999999999998E-4</v>
      </c>
      <c r="R497" s="543" t="str">
        <f t="shared" si="22"/>
        <v>A0188:ひおき地域エネルギー(株)メニューE</v>
      </c>
      <c r="S497" s="544">
        <f t="shared" si="23"/>
        <v>4.1399999999999998E-4</v>
      </c>
    </row>
    <row r="498" spans="2:19">
      <c r="B498" s="146" t="s">
        <v>1526</v>
      </c>
      <c r="C498" s="543" t="s">
        <v>2036</v>
      </c>
      <c r="D498" s="543" t="str">
        <f t="shared" si="21"/>
        <v>A0863:(株)絆</v>
      </c>
      <c r="I498" s="146" t="s">
        <v>1165</v>
      </c>
      <c r="J498" s="146" t="s">
        <v>1675</v>
      </c>
      <c r="K498" s="544" t="s">
        <v>2058</v>
      </c>
      <c r="L498" s="544">
        <v>3.7300000000000001E-4</v>
      </c>
      <c r="M498" s="544">
        <v>3.7300000000000001E-4</v>
      </c>
      <c r="N498" s="544">
        <v>3.7300000000000001E-4</v>
      </c>
      <c r="O498" s="544">
        <v>3.7300000000000001E-4</v>
      </c>
      <c r="P498" s="544">
        <v>3.7300000000000001E-4</v>
      </c>
      <c r="R498" s="543" t="str">
        <f t="shared" si="22"/>
        <v>A0188:ひおき地域エネルギー(株)(参考値)事業者全体</v>
      </c>
      <c r="S498" s="544">
        <f t="shared" si="23"/>
        <v>3.7300000000000001E-4</v>
      </c>
    </row>
    <row r="499" spans="2:19">
      <c r="B499" s="146" t="s">
        <v>1527</v>
      </c>
      <c r="C499" s="543" t="s">
        <v>2037</v>
      </c>
      <c r="D499" s="543" t="str">
        <f t="shared" si="21"/>
        <v>A0865:東北エネルギーサービス(株)</v>
      </c>
      <c r="I499" s="146" t="s">
        <v>1166</v>
      </c>
      <c r="J499" s="146" t="s">
        <v>1676</v>
      </c>
      <c r="K499" s="544"/>
      <c r="L499" s="544">
        <v>6.2200000000000005E-4</v>
      </c>
      <c r="M499" s="544">
        <v>6.2200000000000005E-4</v>
      </c>
      <c r="N499" s="544">
        <v>6.2200000000000005E-4</v>
      </c>
      <c r="O499" s="544">
        <v>6.2200000000000005E-4</v>
      </c>
      <c r="P499" s="544">
        <v>6.2200000000000005E-4</v>
      </c>
      <c r="R499" s="543" t="str">
        <f t="shared" si="22"/>
        <v>A0189:和歌山電力(株)</v>
      </c>
      <c r="S499" s="544">
        <f t="shared" si="23"/>
        <v>6.2200000000000005E-4</v>
      </c>
    </row>
    <row r="500" spans="2:19">
      <c r="B500" s="146" t="s">
        <v>1528</v>
      </c>
      <c r="C500" s="543" t="s">
        <v>2038</v>
      </c>
      <c r="D500" s="543" t="str">
        <f t="shared" si="21"/>
        <v>A0866:(株)いなしきエナジー</v>
      </c>
      <c r="I500" s="146" t="s">
        <v>1167</v>
      </c>
      <c r="J500" s="146" t="s">
        <v>1677</v>
      </c>
      <c r="K500" s="544"/>
      <c r="L500" s="544">
        <v>3.7199999999999999E-4</v>
      </c>
      <c r="M500" s="544">
        <v>3.7199999999999999E-4</v>
      </c>
      <c r="N500" s="544">
        <v>3.7199999999999999E-4</v>
      </c>
      <c r="O500" s="544">
        <v>3.7199999999999999E-4</v>
      </c>
      <c r="P500" s="544">
        <v>3.7199999999999999E-4</v>
      </c>
      <c r="R500" s="543" t="str">
        <f t="shared" si="22"/>
        <v>A0190:日本瓦斯(株)(日本ガス(株))</v>
      </c>
      <c r="S500" s="544">
        <f t="shared" si="23"/>
        <v>3.7199999999999999E-4</v>
      </c>
    </row>
    <row r="501" spans="2:19">
      <c r="B501" s="146" t="s">
        <v>1529</v>
      </c>
      <c r="C501" s="543" t="s">
        <v>2039</v>
      </c>
      <c r="D501" s="543" t="str">
        <f t="shared" si="21"/>
        <v>A0867:ながのスマートパワー(株)</v>
      </c>
      <c r="I501" s="146" t="s">
        <v>1168</v>
      </c>
      <c r="J501" s="146" t="s">
        <v>1678</v>
      </c>
      <c r="K501" s="544" t="s">
        <v>710</v>
      </c>
      <c r="L501" s="544">
        <v>0</v>
      </c>
      <c r="M501" s="544">
        <v>0</v>
      </c>
      <c r="N501" s="544">
        <v>0</v>
      </c>
      <c r="O501" s="544">
        <v>0</v>
      </c>
      <c r="P501" s="544">
        <v>0</v>
      </c>
      <c r="R501" s="543" t="str">
        <f t="shared" si="22"/>
        <v>A0193:九電みらいエナジー(株)メニューA</v>
      </c>
      <c r="S501" s="544">
        <f t="shared" si="23"/>
        <v>0</v>
      </c>
    </row>
    <row r="502" spans="2:19">
      <c r="B502" s="146" t="s">
        <v>1530</v>
      </c>
      <c r="C502" s="543" t="s">
        <v>2040</v>
      </c>
      <c r="D502" s="543" t="str">
        <f t="shared" si="21"/>
        <v>A0868:(株)ホクレン油機サービス</v>
      </c>
      <c r="I502" s="146" t="s">
        <v>1168</v>
      </c>
      <c r="J502" s="146" t="s">
        <v>1678</v>
      </c>
      <c r="K502" s="544" t="s">
        <v>787</v>
      </c>
      <c r="L502" s="544">
        <v>4.5100000000000001E-4</v>
      </c>
      <c r="M502" s="544">
        <v>4.5100000000000001E-4</v>
      </c>
      <c r="N502" s="544">
        <v>4.5100000000000001E-4</v>
      </c>
      <c r="O502" s="544">
        <v>4.5100000000000001E-4</v>
      </c>
      <c r="P502" s="544">
        <v>4.5100000000000001E-4</v>
      </c>
      <c r="R502" s="543" t="str">
        <f t="shared" si="22"/>
        <v>A0193:九電みらいエナジー(株)メニューB</v>
      </c>
      <c r="S502" s="544">
        <f t="shared" si="23"/>
        <v>4.5100000000000001E-4</v>
      </c>
    </row>
    <row r="503" spans="2:19">
      <c r="B503" s="146" t="s">
        <v>1531</v>
      </c>
      <c r="C503" s="543" t="s">
        <v>2041</v>
      </c>
      <c r="D503" s="543" t="str">
        <f t="shared" si="21"/>
        <v>A0869:(株)JR東日本商事</v>
      </c>
      <c r="I503" s="146" t="s">
        <v>1168</v>
      </c>
      <c r="J503" s="146" t="s">
        <v>1678</v>
      </c>
      <c r="K503" s="544" t="s">
        <v>2058</v>
      </c>
      <c r="L503" s="544">
        <v>4.3600000000000003E-4</v>
      </c>
      <c r="M503" s="544">
        <v>4.3600000000000003E-4</v>
      </c>
      <c r="N503" s="544">
        <v>4.3600000000000003E-4</v>
      </c>
      <c r="O503" s="544">
        <v>4.3600000000000003E-4</v>
      </c>
      <c r="P503" s="544">
        <v>4.3600000000000003E-4</v>
      </c>
      <c r="R503" s="543" t="str">
        <f t="shared" si="22"/>
        <v>A0193:九電みらいエナジー(株)(参考値)事業者全体</v>
      </c>
      <c r="S503" s="544">
        <f t="shared" si="23"/>
        <v>4.3600000000000003E-4</v>
      </c>
    </row>
    <row r="504" spans="2:19">
      <c r="B504" s="146" t="s">
        <v>1532</v>
      </c>
      <c r="C504" s="543" t="s">
        <v>2042</v>
      </c>
      <c r="D504" s="543" t="str">
        <f t="shared" si="21"/>
        <v>A0870:岡山ガス(株)</v>
      </c>
      <c r="I504" s="146" t="s">
        <v>1169</v>
      </c>
      <c r="J504" s="146" t="s">
        <v>1679</v>
      </c>
      <c r="K504" s="544"/>
      <c r="L504" s="544">
        <v>4.46E-4</v>
      </c>
      <c r="M504" s="544">
        <v>4.46E-4</v>
      </c>
      <c r="N504" s="544">
        <v>4.46E-4</v>
      </c>
      <c r="O504" s="544">
        <v>4.46E-4</v>
      </c>
      <c r="P504" s="544">
        <v>4.46E-4</v>
      </c>
      <c r="R504" s="543" t="str">
        <f t="shared" si="22"/>
        <v>A0195:(株)フォレストパワー</v>
      </c>
      <c r="S504" s="544">
        <f t="shared" si="23"/>
        <v>4.46E-4</v>
      </c>
    </row>
    <row r="505" spans="2:19">
      <c r="B505" s="146" t="s">
        <v>1533</v>
      </c>
      <c r="C505" s="543" t="s">
        <v>2043</v>
      </c>
      <c r="D505" s="543" t="str">
        <f t="shared" si="21"/>
        <v>A0871:合同会社グリーンパワーリテイリング</v>
      </c>
      <c r="I505" s="146" t="s">
        <v>1170</v>
      </c>
      <c r="J505" s="146" t="s">
        <v>1680</v>
      </c>
      <c r="K505" s="544"/>
      <c r="L505" s="544">
        <v>4.1899999999999999E-4</v>
      </c>
      <c r="M505" s="544">
        <v>4.1899999999999999E-4</v>
      </c>
      <c r="N505" s="544">
        <v>4.1899999999999999E-4</v>
      </c>
      <c r="O505" s="544">
        <v>4.1899999999999999E-4</v>
      </c>
      <c r="P505" s="544">
        <v>4.1899999999999999E-4</v>
      </c>
      <c r="R505" s="543" t="str">
        <f t="shared" si="22"/>
        <v>A0196:日高都市ガス(株)</v>
      </c>
      <c r="S505" s="544">
        <f t="shared" si="23"/>
        <v>4.1899999999999999E-4</v>
      </c>
    </row>
    <row r="506" spans="2:19">
      <c r="B506" s="146" t="s">
        <v>1534</v>
      </c>
      <c r="C506" s="543" t="s">
        <v>2044</v>
      </c>
      <c r="D506" s="543" t="str">
        <f t="shared" si="21"/>
        <v>A0873:川崎未来エナジー(株)</v>
      </c>
      <c r="I506" s="146" t="s">
        <v>1171</v>
      </c>
      <c r="J506" s="146" t="s">
        <v>1681</v>
      </c>
      <c r="K506" s="544" t="s">
        <v>710</v>
      </c>
      <c r="L506" s="544">
        <v>0</v>
      </c>
      <c r="M506" s="544">
        <v>0</v>
      </c>
      <c r="N506" s="544">
        <v>0</v>
      </c>
      <c r="O506" s="544">
        <v>0</v>
      </c>
      <c r="P506" s="544">
        <v>0</v>
      </c>
      <c r="R506" s="543" t="str">
        <f t="shared" si="22"/>
        <v>A0197:(株)アドバンテックメニューA</v>
      </c>
      <c r="S506" s="544">
        <f t="shared" si="23"/>
        <v>0</v>
      </c>
    </row>
    <row r="507" spans="2:19">
      <c r="B507" s="146" t="s">
        <v>1535</v>
      </c>
      <c r="C507" s="543" t="s">
        <v>2045</v>
      </c>
      <c r="D507" s="543" t="str">
        <f t="shared" si="21"/>
        <v>A0874:(株)いずみみらい</v>
      </c>
      <c r="I507" s="146" t="s">
        <v>1171</v>
      </c>
      <c r="J507" s="146" t="s">
        <v>1681</v>
      </c>
      <c r="K507" s="544" t="s">
        <v>2058</v>
      </c>
      <c r="L507" s="544">
        <v>1.07E-4</v>
      </c>
      <c r="M507" s="544">
        <v>1.07E-4</v>
      </c>
      <c r="N507" s="544">
        <v>1.07E-4</v>
      </c>
      <c r="O507" s="544">
        <v>1.07E-4</v>
      </c>
      <c r="P507" s="544">
        <v>1.07E-4</v>
      </c>
      <c r="R507" s="543" t="str">
        <f t="shared" si="22"/>
        <v>A0197:(株)アドバンテック(参考値)事業者全体</v>
      </c>
      <c r="S507" s="544">
        <f t="shared" si="23"/>
        <v>1.07E-4</v>
      </c>
    </row>
    <row r="508" spans="2:19">
      <c r="B508" s="146" t="s">
        <v>1536</v>
      </c>
      <c r="C508" s="543" t="s">
        <v>2046</v>
      </c>
      <c r="D508" s="543" t="str">
        <f t="shared" si="21"/>
        <v>A0877:(株)アット東京</v>
      </c>
      <c r="I508" s="146" t="s">
        <v>1172</v>
      </c>
      <c r="J508" s="146" t="s">
        <v>1682</v>
      </c>
      <c r="K508" s="544" t="s">
        <v>710</v>
      </c>
      <c r="L508" s="544">
        <v>0</v>
      </c>
      <c r="M508" s="544">
        <v>0</v>
      </c>
      <c r="N508" s="544">
        <v>0</v>
      </c>
      <c r="O508" s="544">
        <v>0</v>
      </c>
      <c r="P508" s="544">
        <v>0</v>
      </c>
      <c r="R508" s="543" t="str">
        <f t="shared" si="22"/>
        <v>A0199:ローカルエナジー(株)メニューA</v>
      </c>
      <c r="S508" s="544">
        <f t="shared" si="23"/>
        <v>0</v>
      </c>
    </row>
    <row r="509" spans="2:19">
      <c r="B509" s="146" t="s">
        <v>1537</v>
      </c>
      <c r="C509" s="543" t="s">
        <v>2047</v>
      </c>
      <c r="D509" s="543" t="str">
        <f t="shared" si="21"/>
        <v>A0880:(株)つるエネルギー</v>
      </c>
      <c r="I509" s="146" t="s">
        <v>1172</v>
      </c>
      <c r="J509" s="146" t="s">
        <v>1682</v>
      </c>
      <c r="K509" s="544" t="s">
        <v>787</v>
      </c>
      <c r="L509" s="544">
        <v>3.9300000000000001E-4</v>
      </c>
      <c r="M509" s="544">
        <v>3.9300000000000001E-4</v>
      </c>
      <c r="N509" s="544">
        <v>3.9300000000000001E-4</v>
      </c>
      <c r="O509" s="544">
        <v>3.9300000000000001E-4</v>
      </c>
      <c r="P509" s="544">
        <v>3.9300000000000001E-4</v>
      </c>
      <c r="R509" s="543" t="str">
        <f t="shared" si="22"/>
        <v>A0199:ローカルエナジー(株)メニューB</v>
      </c>
      <c r="S509" s="544">
        <f t="shared" si="23"/>
        <v>3.9300000000000001E-4</v>
      </c>
    </row>
    <row r="510" spans="2:19">
      <c r="B510" s="146" t="s">
        <v>1538</v>
      </c>
      <c r="C510" s="543" t="s">
        <v>2048</v>
      </c>
      <c r="D510" s="543" t="str">
        <f t="shared" si="21"/>
        <v>A0881:川重商事(株)</v>
      </c>
      <c r="I510" s="146" t="s">
        <v>1172</v>
      </c>
      <c r="J510" s="146" t="s">
        <v>1682</v>
      </c>
      <c r="K510" s="544" t="s">
        <v>2058</v>
      </c>
      <c r="L510" s="544">
        <v>3.88E-4</v>
      </c>
      <c r="M510" s="544">
        <v>3.88E-4</v>
      </c>
      <c r="N510" s="544">
        <v>3.88E-4</v>
      </c>
      <c r="O510" s="544">
        <v>3.88E-4</v>
      </c>
      <c r="P510" s="544">
        <v>3.88E-4</v>
      </c>
      <c r="R510" s="543" t="str">
        <f t="shared" si="22"/>
        <v>A0199:ローカルエナジー(株)(参考値)事業者全体</v>
      </c>
      <c r="S510" s="544">
        <f t="shared" si="23"/>
        <v>3.88E-4</v>
      </c>
    </row>
    <row r="511" spans="2:19">
      <c r="B511" s="146" t="s">
        <v>1539</v>
      </c>
      <c r="C511" s="543" t="s">
        <v>2049</v>
      </c>
      <c r="D511" s="543" t="str">
        <f t="shared" si="21"/>
        <v>A0882:(株)JERA Cross</v>
      </c>
      <c r="I511" s="146" t="s">
        <v>1173</v>
      </c>
      <c r="J511" s="146" t="s">
        <v>1683</v>
      </c>
      <c r="K511" s="544" t="s">
        <v>710</v>
      </c>
      <c r="L511" s="544">
        <v>0</v>
      </c>
      <c r="M511" s="544">
        <v>0</v>
      </c>
      <c r="N511" s="544">
        <v>0</v>
      </c>
      <c r="O511" s="544">
        <v>0</v>
      </c>
      <c r="P511" s="544">
        <v>0</v>
      </c>
      <c r="R511" s="543" t="str">
        <f t="shared" si="22"/>
        <v>A0200:エネックス(株)メニューA</v>
      </c>
      <c r="S511" s="544">
        <f t="shared" si="23"/>
        <v>0</v>
      </c>
    </row>
    <row r="512" spans="2:19">
      <c r="B512" s="146" t="s">
        <v>1540</v>
      </c>
      <c r="C512" s="543" t="s">
        <v>2050</v>
      </c>
      <c r="D512" s="543" t="str">
        <f t="shared" si="21"/>
        <v>A0883:飛騨高山電力(株)</v>
      </c>
      <c r="I512" s="146" t="s">
        <v>1173</v>
      </c>
      <c r="J512" s="146" t="s">
        <v>1683</v>
      </c>
      <c r="K512" s="544" t="s">
        <v>787</v>
      </c>
      <c r="L512" s="544">
        <v>4.3800000000000002E-4</v>
      </c>
      <c r="M512" s="544">
        <v>4.3800000000000002E-4</v>
      </c>
      <c r="N512" s="544">
        <v>4.3800000000000002E-4</v>
      </c>
      <c r="O512" s="544">
        <v>4.3800000000000002E-4</v>
      </c>
      <c r="P512" s="544">
        <v>4.3800000000000002E-4</v>
      </c>
      <c r="R512" s="543" t="str">
        <f t="shared" si="22"/>
        <v>A0200:エネックス(株)メニューB</v>
      </c>
      <c r="S512" s="544">
        <f t="shared" si="23"/>
        <v>4.3800000000000002E-4</v>
      </c>
    </row>
    <row r="513" spans="2:19">
      <c r="B513" s="146" t="s">
        <v>1541</v>
      </c>
      <c r="C513" s="543" t="s">
        <v>2051</v>
      </c>
      <c r="D513" s="543" t="str">
        <f t="shared" si="21"/>
        <v>A0886:(株)リボンエナジー</v>
      </c>
      <c r="I513" s="146" t="s">
        <v>1173</v>
      </c>
      <c r="J513" s="146" t="s">
        <v>1683</v>
      </c>
      <c r="K513" s="544" t="s">
        <v>2058</v>
      </c>
      <c r="L513" s="544">
        <v>3.97E-4</v>
      </c>
      <c r="M513" s="544">
        <v>3.97E-4</v>
      </c>
      <c r="N513" s="544">
        <v>3.97E-4</v>
      </c>
      <c r="O513" s="544">
        <v>3.97E-4</v>
      </c>
      <c r="P513" s="544">
        <v>3.97E-4</v>
      </c>
      <c r="R513" s="543" t="str">
        <f t="shared" si="22"/>
        <v>A0200:エネックス(株)(参考値)事業者全体</v>
      </c>
      <c r="S513" s="544">
        <f t="shared" si="23"/>
        <v>3.97E-4</v>
      </c>
    </row>
    <row r="514" spans="2:19">
      <c r="B514" s="146" t="s">
        <v>1542</v>
      </c>
      <c r="C514" s="543" t="s">
        <v>2052</v>
      </c>
      <c r="D514" s="543" t="str">
        <f t="shared" si="21"/>
        <v>A0888:(株)大崎クリエーション</v>
      </c>
      <c r="I514" s="146" t="s">
        <v>1174</v>
      </c>
      <c r="J514" s="146" t="s">
        <v>1684</v>
      </c>
      <c r="K514" s="544"/>
      <c r="L514" s="544">
        <v>4.4900000000000002E-4</v>
      </c>
      <c r="M514" s="544">
        <v>4.4900000000000002E-4</v>
      </c>
      <c r="N514" s="544">
        <v>4.4900000000000002E-4</v>
      </c>
      <c r="O514" s="544">
        <v>4.4900000000000002E-4</v>
      </c>
      <c r="P514" s="544">
        <v>4.4900000000000002E-4</v>
      </c>
      <c r="R514" s="543" t="str">
        <f t="shared" si="22"/>
        <v>A0203:(株)レクスポート</v>
      </c>
      <c r="S514" s="544">
        <f t="shared" si="23"/>
        <v>4.4900000000000002E-4</v>
      </c>
    </row>
    <row r="515" spans="2:19">
      <c r="B515" s="146" t="s">
        <v>1543</v>
      </c>
      <c r="C515" s="543" t="s">
        <v>2053</v>
      </c>
      <c r="D515" s="543" t="str">
        <f t="shared" si="21"/>
        <v>A0890:(株)UPX</v>
      </c>
      <c r="I515" s="146" t="s">
        <v>1175</v>
      </c>
      <c r="J515" s="146" t="s">
        <v>1685</v>
      </c>
      <c r="K515" s="544" t="s">
        <v>710</v>
      </c>
      <c r="L515" s="544">
        <v>0</v>
      </c>
      <c r="M515" s="544">
        <v>0</v>
      </c>
      <c r="N515" s="544">
        <v>0</v>
      </c>
      <c r="O515" s="544">
        <v>0</v>
      </c>
      <c r="P515" s="544">
        <v>0</v>
      </c>
      <c r="R515" s="543" t="str">
        <f t="shared" si="22"/>
        <v>A0204:なでしこ電力(株)メニューA</v>
      </c>
      <c r="S515" s="544">
        <f t="shared" si="23"/>
        <v>0</v>
      </c>
    </row>
    <row r="516" spans="2:19">
      <c r="B516" s="146" t="s">
        <v>1544</v>
      </c>
      <c r="C516" s="543" t="s">
        <v>2054</v>
      </c>
      <c r="D516" s="543" t="str">
        <f t="shared" si="21"/>
        <v>A0893:Miraiつのエナジー(株)</v>
      </c>
      <c r="I516" s="146" t="s">
        <v>1175</v>
      </c>
      <c r="J516" s="146" t="s">
        <v>1685</v>
      </c>
      <c r="K516" s="544" t="s">
        <v>787</v>
      </c>
      <c r="L516" s="544">
        <v>5.0199999999999995E-4</v>
      </c>
      <c r="M516" s="544">
        <v>5.0199999999999995E-4</v>
      </c>
      <c r="N516" s="544">
        <v>5.0199999999999995E-4</v>
      </c>
      <c r="O516" s="544">
        <v>5.0199999999999995E-4</v>
      </c>
      <c r="P516" s="544">
        <v>5.0199999999999995E-4</v>
      </c>
      <c r="R516" s="543" t="str">
        <f t="shared" si="22"/>
        <v>A0204:なでしこ電力(株)メニューB</v>
      </c>
      <c r="S516" s="544">
        <f t="shared" si="23"/>
        <v>5.0199999999999995E-4</v>
      </c>
    </row>
    <row r="517" spans="2:19">
      <c r="B517" s="146" t="s">
        <v>1545</v>
      </c>
      <c r="C517" s="543" t="s">
        <v>2055</v>
      </c>
      <c r="D517" s="543" t="str">
        <f t="shared" si="21"/>
        <v>A0903:山口グリーンエネルギー(株)</v>
      </c>
      <c r="I517" s="146" t="s">
        <v>1175</v>
      </c>
      <c r="J517" s="146" t="s">
        <v>1685</v>
      </c>
      <c r="K517" s="544" t="s">
        <v>2058</v>
      </c>
      <c r="L517" s="544">
        <v>1.1E-4</v>
      </c>
      <c r="M517" s="544">
        <v>1.1E-4</v>
      </c>
      <c r="N517" s="544">
        <v>1.1E-4</v>
      </c>
      <c r="O517" s="544">
        <v>1.1E-4</v>
      </c>
      <c r="P517" s="544">
        <v>1.1E-4</v>
      </c>
      <c r="R517" s="543" t="str">
        <f t="shared" si="22"/>
        <v>A0204:なでしこ電力(株)(参考値)事業者全体</v>
      </c>
      <c r="S517" s="544">
        <f t="shared" si="23"/>
        <v>1.1E-4</v>
      </c>
    </row>
    <row r="518" spans="2:19">
      <c r="B518" s="146" t="s">
        <v>1546</v>
      </c>
      <c r="C518" s="543" t="s">
        <v>2056</v>
      </c>
      <c r="D518" s="543" t="str">
        <f t="shared" si="21"/>
        <v>A0905:(株)はちまんたいジオパワー</v>
      </c>
      <c r="I518" s="146" t="s">
        <v>1176</v>
      </c>
      <c r="J518" s="146" t="s">
        <v>1686</v>
      </c>
      <c r="K518" s="544" t="s">
        <v>710</v>
      </c>
      <c r="L518" s="544">
        <v>0</v>
      </c>
      <c r="M518" s="544">
        <v>0</v>
      </c>
      <c r="N518" s="544">
        <v>0</v>
      </c>
      <c r="O518" s="544">
        <v>0</v>
      </c>
      <c r="P518" s="544">
        <v>0</v>
      </c>
      <c r="R518" s="543" t="str">
        <f t="shared" si="22"/>
        <v>A0206:日田グリーン電力(株)メニューA</v>
      </c>
      <c r="S518" s="544">
        <f t="shared" si="23"/>
        <v>0</v>
      </c>
    </row>
    <row r="519" spans="2:19">
      <c r="B519" s="146" t="s">
        <v>1547</v>
      </c>
      <c r="C519" s="543" t="s">
        <v>2057</v>
      </c>
      <c r="D519" s="543" t="str">
        <f t="shared" si="21"/>
        <v>A0906:(株)アイモバイル</v>
      </c>
      <c r="I519" s="146" t="s">
        <v>1176</v>
      </c>
      <c r="J519" s="146" t="s">
        <v>1686</v>
      </c>
      <c r="K519" s="544" t="s">
        <v>787</v>
      </c>
      <c r="L519" s="544">
        <v>4.2900000000000002E-4</v>
      </c>
      <c r="M519" s="544">
        <v>4.2900000000000002E-4</v>
      </c>
      <c r="N519" s="544">
        <v>4.2900000000000002E-4</v>
      </c>
      <c r="O519" s="544">
        <v>4.2900000000000002E-4</v>
      </c>
      <c r="P519" s="544">
        <v>4.2900000000000002E-4</v>
      </c>
      <c r="R519" s="543" t="str">
        <f t="shared" si="22"/>
        <v>A0206:日田グリーン電力(株)メニューB</v>
      </c>
      <c r="S519" s="544">
        <f t="shared" si="23"/>
        <v>4.2900000000000002E-4</v>
      </c>
    </row>
    <row r="520" spans="2:19">
      <c r="B520" s="146"/>
      <c r="C520" s="543"/>
      <c r="D520" s="543" t="str">
        <f t="shared" si="21"/>
        <v/>
      </c>
      <c r="I520" s="146" t="s">
        <v>1176</v>
      </c>
      <c r="J520" s="146" t="s">
        <v>1686</v>
      </c>
      <c r="K520" s="544" t="s">
        <v>2058</v>
      </c>
      <c r="L520" s="544">
        <v>4.2700000000000002E-4</v>
      </c>
      <c r="M520" s="544">
        <v>4.2700000000000002E-4</v>
      </c>
      <c r="N520" s="544">
        <v>4.2700000000000002E-4</v>
      </c>
      <c r="O520" s="544">
        <v>4.2700000000000002E-4</v>
      </c>
      <c r="P520" s="544">
        <v>4.2700000000000002E-4</v>
      </c>
      <c r="R520" s="543" t="str">
        <f t="shared" si="22"/>
        <v>A0206:日田グリーン電力(株)(参考値)事業者全体</v>
      </c>
      <c r="S520" s="544">
        <f t="shared" si="23"/>
        <v>4.2700000000000002E-4</v>
      </c>
    </row>
    <row r="521" spans="2:19">
      <c r="B521" s="146"/>
      <c r="C521" s="543"/>
      <c r="D521" s="543" t="str">
        <f t="shared" si="21"/>
        <v/>
      </c>
      <c r="I521" s="146" t="s">
        <v>1177</v>
      </c>
      <c r="J521" s="146" t="s">
        <v>1687</v>
      </c>
      <c r="K521" s="544"/>
      <c r="L521" s="544">
        <v>4.1899999999999999E-4</v>
      </c>
      <c r="M521" s="544">
        <v>4.1899999999999999E-4</v>
      </c>
      <c r="N521" s="544">
        <v>4.1899999999999999E-4</v>
      </c>
      <c r="O521" s="544">
        <v>4.1899999999999999E-4</v>
      </c>
      <c r="P521" s="544">
        <v>4.1899999999999999E-4</v>
      </c>
      <c r="R521" s="543" t="str">
        <f t="shared" si="22"/>
        <v>A0209:埼玉ガス(株)</v>
      </c>
      <c r="S521" s="544">
        <f t="shared" si="23"/>
        <v>4.1899999999999999E-4</v>
      </c>
    </row>
    <row r="522" spans="2:19">
      <c r="B522" s="146"/>
      <c r="C522" s="543"/>
      <c r="D522" s="543" t="str">
        <f t="shared" ref="D522:D585" si="24">IF(B522="","",B522&amp;":"&amp;C522)</f>
        <v/>
      </c>
      <c r="I522" s="146" t="s">
        <v>1178</v>
      </c>
      <c r="J522" s="146" t="s">
        <v>1688</v>
      </c>
      <c r="K522" s="544"/>
      <c r="L522" s="544">
        <v>4.08E-4</v>
      </c>
      <c r="M522" s="544">
        <v>4.08E-4</v>
      </c>
      <c r="N522" s="544">
        <v>4.08E-4</v>
      </c>
      <c r="O522" s="544">
        <v>4.08E-4</v>
      </c>
      <c r="P522" s="544">
        <v>4.08E-4</v>
      </c>
      <c r="R522" s="543" t="str">
        <f t="shared" ref="R522:R585" si="25">I522&amp;":"&amp;J522&amp;K522</f>
        <v>A0210:宮崎パワーライン(株)</v>
      </c>
      <c r="S522" s="544">
        <f t="shared" ref="S522:S585" si="26">HLOOKUP($S$8,$L$8:$P$2000,ROW()-7,FALSE)</f>
        <v>4.08E-4</v>
      </c>
    </row>
    <row r="523" spans="2:19">
      <c r="B523" s="146"/>
      <c r="C523" s="543"/>
      <c r="D523" s="543" t="str">
        <f t="shared" si="24"/>
        <v/>
      </c>
      <c r="I523" s="146" t="s">
        <v>1179</v>
      </c>
      <c r="J523" s="146" t="s">
        <v>1689</v>
      </c>
      <c r="K523" s="544"/>
      <c r="L523" s="544">
        <v>4.7199999999999998E-4</v>
      </c>
      <c r="M523" s="544">
        <v>4.7199999999999998E-4</v>
      </c>
      <c r="N523" s="544">
        <v>4.7199999999999998E-4</v>
      </c>
      <c r="O523" s="544">
        <v>4.7199999999999998E-4</v>
      </c>
      <c r="P523" s="544">
        <v>4.7199999999999998E-4</v>
      </c>
      <c r="R523" s="543" t="str">
        <f t="shared" si="25"/>
        <v>A0211:(株)パワー・オプティマイザー</v>
      </c>
      <c r="S523" s="544">
        <f t="shared" si="26"/>
        <v>4.7199999999999998E-4</v>
      </c>
    </row>
    <row r="524" spans="2:19">
      <c r="B524" s="146"/>
      <c r="C524" s="543"/>
      <c r="D524" s="543" t="str">
        <f t="shared" si="24"/>
        <v/>
      </c>
      <c r="I524" s="146" t="s">
        <v>1180</v>
      </c>
      <c r="J524" s="146" t="s">
        <v>1690</v>
      </c>
      <c r="K524" s="544" t="s">
        <v>710</v>
      </c>
      <c r="L524" s="544">
        <v>0</v>
      </c>
      <c r="M524" s="544">
        <v>0</v>
      </c>
      <c r="N524" s="544">
        <v>0</v>
      </c>
      <c r="O524" s="544">
        <v>0</v>
      </c>
      <c r="P524" s="544">
        <v>0</v>
      </c>
      <c r="R524" s="543" t="str">
        <f t="shared" si="25"/>
        <v>A0213:(株)UーPOWERメニューA</v>
      </c>
      <c r="S524" s="544">
        <f t="shared" si="26"/>
        <v>0</v>
      </c>
    </row>
    <row r="525" spans="2:19">
      <c r="B525" s="146"/>
      <c r="C525" s="543"/>
      <c r="D525" s="543" t="str">
        <f t="shared" si="24"/>
        <v/>
      </c>
      <c r="I525" s="146" t="s">
        <v>1180</v>
      </c>
      <c r="J525" s="146" t="s">
        <v>1690</v>
      </c>
      <c r="K525" s="544" t="s">
        <v>787</v>
      </c>
      <c r="L525" s="544">
        <v>4.9600000000000002E-4</v>
      </c>
      <c r="M525" s="544">
        <v>4.9600000000000002E-4</v>
      </c>
      <c r="N525" s="544">
        <v>4.9600000000000002E-4</v>
      </c>
      <c r="O525" s="544">
        <v>4.9600000000000002E-4</v>
      </c>
      <c r="P525" s="544">
        <v>4.9600000000000002E-4</v>
      </c>
      <c r="R525" s="543" t="str">
        <f t="shared" si="25"/>
        <v>A0213:(株)UーPOWERメニューB</v>
      </c>
      <c r="S525" s="544">
        <f t="shared" si="26"/>
        <v>4.9600000000000002E-4</v>
      </c>
    </row>
    <row r="526" spans="2:19">
      <c r="B526" s="146"/>
      <c r="C526" s="543"/>
      <c r="D526" s="543" t="str">
        <f t="shared" si="24"/>
        <v/>
      </c>
      <c r="I526" s="146" t="s">
        <v>1180</v>
      </c>
      <c r="J526" s="146" t="s">
        <v>1690</v>
      </c>
      <c r="K526" s="544" t="s">
        <v>788</v>
      </c>
      <c r="L526" s="544">
        <v>5.4100000000000003E-4</v>
      </c>
      <c r="M526" s="544">
        <v>5.4100000000000003E-4</v>
      </c>
      <c r="N526" s="544">
        <v>5.4100000000000003E-4</v>
      </c>
      <c r="O526" s="544">
        <v>5.4100000000000003E-4</v>
      </c>
      <c r="P526" s="544">
        <v>5.4100000000000003E-4</v>
      </c>
      <c r="R526" s="543" t="str">
        <f t="shared" si="25"/>
        <v>A0213:(株)UーPOWERメニューC</v>
      </c>
      <c r="S526" s="544">
        <f t="shared" si="26"/>
        <v>5.4100000000000003E-4</v>
      </c>
    </row>
    <row r="527" spans="2:19">
      <c r="B527" s="146"/>
      <c r="C527" s="543"/>
      <c r="D527" s="543" t="str">
        <f t="shared" si="24"/>
        <v/>
      </c>
      <c r="I527" s="146" t="s">
        <v>1180</v>
      </c>
      <c r="J527" s="146" t="s">
        <v>1690</v>
      </c>
      <c r="K527" s="544" t="s">
        <v>974</v>
      </c>
      <c r="L527" s="544">
        <v>0</v>
      </c>
      <c r="M527" s="544">
        <v>0</v>
      </c>
      <c r="N527" s="544">
        <v>0</v>
      </c>
      <c r="O527" s="544">
        <v>0</v>
      </c>
      <c r="P527" s="544">
        <v>0</v>
      </c>
      <c r="R527" s="543" t="str">
        <f t="shared" si="25"/>
        <v>A0213:(株)UーPOWERメニューD</v>
      </c>
      <c r="S527" s="544">
        <f t="shared" si="26"/>
        <v>0</v>
      </c>
    </row>
    <row r="528" spans="2:19">
      <c r="B528" s="146"/>
      <c r="C528" s="543"/>
      <c r="D528" s="543" t="str">
        <f t="shared" si="24"/>
        <v/>
      </c>
      <c r="I528" s="146" t="s">
        <v>1180</v>
      </c>
      <c r="J528" s="146" t="s">
        <v>1690</v>
      </c>
      <c r="K528" s="544" t="s">
        <v>975</v>
      </c>
      <c r="L528" s="544">
        <v>4.8299999999999998E-4</v>
      </c>
      <c r="M528" s="544">
        <v>4.8299999999999998E-4</v>
      </c>
      <c r="N528" s="544">
        <v>4.8299999999999998E-4</v>
      </c>
      <c r="O528" s="544">
        <v>4.8299999999999998E-4</v>
      </c>
      <c r="P528" s="544">
        <v>4.8299999999999998E-4</v>
      </c>
      <c r="R528" s="543" t="str">
        <f t="shared" si="25"/>
        <v>A0213:(株)UーPOWERメニューE</v>
      </c>
      <c r="S528" s="544">
        <f t="shared" si="26"/>
        <v>4.8299999999999998E-4</v>
      </c>
    </row>
    <row r="529" spans="2:19">
      <c r="B529" s="146"/>
      <c r="C529" s="543"/>
      <c r="D529" s="543" t="str">
        <f t="shared" si="24"/>
        <v/>
      </c>
      <c r="I529" s="146" t="s">
        <v>1180</v>
      </c>
      <c r="J529" s="146" t="s">
        <v>1690</v>
      </c>
      <c r="K529" s="544" t="s">
        <v>2058</v>
      </c>
      <c r="L529" s="544">
        <v>4.6799999999999999E-4</v>
      </c>
      <c r="M529" s="544">
        <v>4.6799999999999999E-4</v>
      </c>
      <c r="N529" s="544">
        <v>4.6799999999999999E-4</v>
      </c>
      <c r="O529" s="544">
        <v>4.6799999999999999E-4</v>
      </c>
      <c r="P529" s="544">
        <v>4.6799999999999999E-4</v>
      </c>
      <c r="R529" s="543" t="str">
        <f t="shared" si="25"/>
        <v>A0213:(株)UーPOWER(参考値)事業者全体</v>
      </c>
      <c r="S529" s="544">
        <f t="shared" si="26"/>
        <v>4.6799999999999999E-4</v>
      </c>
    </row>
    <row r="530" spans="2:19">
      <c r="B530" s="146"/>
      <c r="C530" s="543"/>
      <c r="D530" s="543" t="str">
        <f t="shared" si="24"/>
        <v/>
      </c>
      <c r="I530" s="146" t="s">
        <v>1181</v>
      </c>
      <c r="J530" s="146" t="s">
        <v>1691</v>
      </c>
      <c r="K530" s="544"/>
      <c r="L530" s="544">
        <v>4.5100000000000001E-4</v>
      </c>
      <c r="M530" s="544">
        <v>4.5100000000000001E-4</v>
      </c>
      <c r="N530" s="544">
        <v>4.5100000000000001E-4</v>
      </c>
      <c r="O530" s="544">
        <v>4.5100000000000001E-4</v>
      </c>
      <c r="P530" s="544">
        <v>4.5100000000000001E-4</v>
      </c>
      <c r="R530" s="543" t="str">
        <f t="shared" si="25"/>
        <v>A0214:(株)TTSパワー</v>
      </c>
      <c r="S530" s="544">
        <f t="shared" si="26"/>
        <v>4.5100000000000001E-4</v>
      </c>
    </row>
    <row r="531" spans="2:19">
      <c r="B531" s="146"/>
      <c r="C531" s="543"/>
      <c r="D531" s="543" t="str">
        <f t="shared" si="24"/>
        <v/>
      </c>
      <c r="I531" s="146" t="s">
        <v>1182</v>
      </c>
      <c r="J531" s="146" t="s">
        <v>1692</v>
      </c>
      <c r="K531" s="544" t="s">
        <v>710</v>
      </c>
      <c r="L531" s="544">
        <v>0</v>
      </c>
      <c r="M531" s="544">
        <v>0</v>
      </c>
      <c r="N531" s="544">
        <v>0</v>
      </c>
      <c r="O531" s="544">
        <v>0</v>
      </c>
      <c r="P531" s="544">
        <v>0</v>
      </c>
      <c r="R531" s="543" t="str">
        <f t="shared" si="25"/>
        <v>A0216:(株)岩手ウッドパワーメニューA</v>
      </c>
      <c r="S531" s="544">
        <f t="shared" si="26"/>
        <v>0</v>
      </c>
    </row>
    <row r="532" spans="2:19">
      <c r="B532" s="146"/>
      <c r="C532" s="543"/>
      <c r="D532" s="543" t="str">
        <f t="shared" si="24"/>
        <v/>
      </c>
      <c r="I532" s="146" t="s">
        <v>1182</v>
      </c>
      <c r="J532" s="146" t="s">
        <v>1692</v>
      </c>
      <c r="K532" s="544" t="s">
        <v>787</v>
      </c>
      <c r="L532" s="544">
        <v>5.6999999999999998E-4</v>
      </c>
      <c r="M532" s="544">
        <v>5.6999999999999998E-4</v>
      </c>
      <c r="N532" s="544">
        <v>5.6999999999999998E-4</v>
      </c>
      <c r="O532" s="544">
        <v>5.6999999999999998E-4</v>
      </c>
      <c r="P532" s="544">
        <v>5.6999999999999998E-4</v>
      </c>
      <c r="R532" s="543" t="str">
        <f t="shared" si="25"/>
        <v>A0216:(株)岩手ウッドパワーメニューB</v>
      </c>
      <c r="S532" s="544">
        <f t="shared" si="26"/>
        <v>5.6999999999999998E-4</v>
      </c>
    </row>
    <row r="533" spans="2:19">
      <c r="B533" s="146"/>
      <c r="C533" s="543"/>
      <c r="D533" s="543" t="str">
        <f t="shared" si="24"/>
        <v/>
      </c>
      <c r="I533" s="146" t="s">
        <v>1182</v>
      </c>
      <c r="J533" s="146" t="s">
        <v>1692</v>
      </c>
      <c r="K533" s="544" t="s">
        <v>2058</v>
      </c>
      <c r="L533" s="544">
        <v>2.43E-4</v>
      </c>
      <c r="M533" s="544">
        <v>2.43E-4</v>
      </c>
      <c r="N533" s="544">
        <v>2.43E-4</v>
      </c>
      <c r="O533" s="544">
        <v>2.43E-4</v>
      </c>
      <c r="P533" s="544">
        <v>2.43E-4</v>
      </c>
      <c r="R533" s="543" t="str">
        <f t="shared" si="25"/>
        <v>A0216:(株)岩手ウッドパワー(参考値)事業者全体</v>
      </c>
      <c r="S533" s="544">
        <f t="shared" si="26"/>
        <v>2.43E-4</v>
      </c>
    </row>
    <row r="534" spans="2:19">
      <c r="B534" s="146"/>
      <c r="C534" s="543"/>
      <c r="D534" s="543" t="str">
        <f t="shared" si="24"/>
        <v/>
      </c>
      <c r="I534" s="146" t="s">
        <v>1183</v>
      </c>
      <c r="J534" s="146" t="s">
        <v>1693</v>
      </c>
      <c r="K534" s="544" t="s">
        <v>710</v>
      </c>
      <c r="L534" s="544">
        <v>0</v>
      </c>
      <c r="M534" s="544">
        <v>0</v>
      </c>
      <c r="N534" s="544">
        <v>0</v>
      </c>
      <c r="O534" s="544">
        <v>0</v>
      </c>
      <c r="P534" s="544">
        <v>0</v>
      </c>
      <c r="R534" s="543" t="str">
        <f t="shared" si="25"/>
        <v>A0217:里山パワーワークス(株)メニューA</v>
      </c>
      <c r="S534" s="544">
        <f t="shared" si="26"/>
        <v>0</v>
      </c>
    </row>
    <row r="535" spans="2:19">
      <c r="B535" s="146"/>
      <c r="C535" s="543"/>
      <c r="D535" s="543" t="str">
        <f t="shared" si="24"/>
        <v/>
      </c>
      <c r="I535" s="146" t="s">
        <v>1183</v>
      </c>
      <c r="J535" s="146" t="s">
        <v>1693</v>
      </c>
      <c r="K535" s="544" t="s">
        <v>787</v>
      </c>
      <c r="L535" s="544">
        <v>5.3700000000000004E-4</v>
      </c>
      <c r="M535" s="544">
        <v>5.3700000000000004E-4</v>
      </c>
      <c r="N535" s="544">
        <v>5.3700000000000004E-4</v>
      </c>
      <c r="O535" s="544">
        <v>5.3700000000000004E-4</v>
      </c>
      <c r="P535" s="544">
        <v>5.3700000000000004E-4</v>
      </c>
      <c r="R535" s="543" t="str">
        <f t="shared" si="25"/>
        <v>A0217:里山パワーワークス(株)メニューB</v>
      </c>
      <c r="S535" s="544">
        <f t="shared" si="26"/>
        <v>5.3700000000000004E-4</v>
      </c>
    </row>
    <row r="536" spans="2:19">
      <c r="B536" s="146"/>
      <c r="C536" s="543"/>
      <c r="D536" s="543" t="str">
        <f t="shared" si="24"/>
        <v/>
      </c>
      <c r="I536" s="146" t="s">
        <v>1183</v>
      </c>
      <c r="J536" s="146" t="s">
        <v>1693</v>
      </c>
      <c r="K536" s="544" t="s">
        <v>2058</v>
      </c>
      <c r="L536" s="544">
        <v>4.0400000000000001E-4</v>
      </c>
      <c r="M536" s="544">
        <v>4.0400000000000001E-4</v>
      </c>
      <c r="N536" s="544">
        <v>4.0400000000000001E-4</v>
      </c>
      <c r="O536" s="544">
        <v>4.0400000000000001E-4</v>
      </c>
      <c r="P536" s="544">
        <v>4.0400000000000001E-4</v>
      </c>
      <c r="R536" s="543" t="str">
        <f t="shared" si="25"/>
        <v>A0217:里山パワーワークス(株)(参考値)事業者全体</v>
      </c>
      <c r="S536" s="544">
        <f t="shared" si="26"/>
        <v>4.0400000000000001E-4</v>
      </c>
    </row>
    <row r="537" spans="2:19">
      <c r="B537" s="146"/>
      <c r="C537" s="543"/>
      <c r="D537" s="543" t="str">
        <f t="shared" si="24"/>
        <v/>
      </c>
      <c r="I537" s="146" t="s">
        <v>1184</v>
      </c>
      <c r="J537" s="146" t="s">
        <v>1694</v>
      </c>
      <c r="K537" s="544" t="s">
        <v>710</v>
      </c>
      <c r="L537" s="544">
        <v>0</v>
      </c>
      <c r="M537" s="544">
        <v>0</v>
      </c>
      <c r="N537" s="544">
        <v>0</v>
      </c>
      <c r="O537" s="544">
        <v>0</v>
      </c>
      <c r="P537" s="544">
        <v>0</v>
      </c>
      <c r="R537" s="543" t="str">
        <f t="shared" si="25"/>
        <v>A0218:(株)中之条パワーメニューA</v>
      </c>
      <c r="S537" s="544">
        <f t="shared" si="26"/>
        <v>0</v>
      </c>
    </row>
    <row r="538" spans="2:19">
      <c r="B538" s="146"/>
      <c r="C538" s="543"/>
      <c r="D538" s="543" t="str">
        <f t="shared" si="24"/>
        <v/>
      </c>
      <c r="I538" s="146" t="s">
        <v>1184</v>
      </c>
      <c r="J538" s="146" t="s">
        <v>1694</v>
      </c>
      <c r="K538" s="544" t="s">
        <v>787</v>
      </c>
      <c r="L538" s="544">
        <v>1.6200000000000001E-4</v>
      </c>
      <c r="M538" s="544">
        <v>1.6200000000000001E-4</v>
      </c>
      <c r="N538" s="544">
        <v>1.6200000000000001E-4</v>
      </c>
      <c r="O538" s="544">
        <v>1.6200000000000001E-4</v>
      </c>
      <c r="P538" s="544">
        <v>1.6200000000000001E-4</v>
      </c>
      <c r="R538" s="543" t="str">
        <f t="shared" si="25"/>
        <v>A0218:(株)中之条パワーメニューB</v>
      </c>
      <c r="S538" s="544">
        <f t="shared" si="26"/>
        <v>1.6200000000000001E-4</v>
      </c>
    </row>
    <row r="539" spans="2:19">
      <c r="B539" s="146"/>
      <c r="C539" s="543"/>
      <c r="D539" s="543" t="str">
        <f t="shared" si="24"/>
        <v/>
      </c>
      <c r="I539" s="146" t="s">
        <v>1184</v>
      </c>
      <c r="J539" s="146" t="s">
        <v>1694</v>
      </c>
      <c r="K539" s="544" t="s">
        <v>2058</v>
      </c>
      <c r="L539" s="544">
        <v>1.4899999999999999E-4</v>
      </c>
      <c r="M539" s="544">
        <v>1.4899999999999999E-4</v>
      </c>
      <c r="N539" s="544">
        <v>1.4899999999999999E-4</v>
      </c>
      <c r="O539" s="544">
        <v>1.4899999999999999E-4</v>
      </c>
      <c r="P539" s="544">
        <v>1.4899999999999999E-4</v>
      </c>
      <c r="R539" s="543" t="str">
        <f t="shared" si="25"/>
        <v>A0218:(株)中之条パワー(参考値)事業者全体</v>
      </c>
      <c r="S539" s="544">
        <f t="shared" si="26"/>
        <v>1.4899999999999999E-4</v>
      </c>
    </row>
    <row r="540" spans="2:19">
      <c r="B540" s="146"/>
      <c r="C540" s="543"/>
      <c r="D540" s="543" t="str">
        <f t="shared" si="24"/>
        <v/>
      </c>
      <c r="I540" s="146" t="s">
        <v>1185</v>
      </c>
      <c r="J540" s="146" t="s">
        <v>1695</v>
      </c>
      <c r="K540" s="544" t="s">
        <v>710</v>
      </c>
      <c r="L540" s="544">
        <v>0</v>
      </c>
      <c r="M540" s="544">
        <v>0</v>
      </c>
      <c r="N540" s="544">
        <v>0</v>
      </c>
      <c r="O540" s="544">
        <v>0</v>
      </c>
      <c r="P540" s="544">
        <v>0</v>
      </c>
      <c r="R540" s="543" t="str">
        <f t="shared" si="25"/>
        <v>A0220:日産トレーデイング(株)メニューA</v>
      </c>
      <c r="S540" s="544">
        <f t="shared" si="26"/>
        <v>0</v>
      </c>
    </row>
    <row r="541" spans="2:19">
      <c r="B541" s="146"/>
      <c r="C541" s="543"/>
      <c r="D541" s="543" t="str">
        <f t="shared" si="24"/>
        <v/>
      </c>
      <c r="I541" s="146" t="s">
        <v>1185</v>
      </c>
      <c r="J541" s="146" t="s">
        <v>1695</v>
      </c>
      <c r="K541" s="544" t="s">
        <v>787</v>
      </c>
      <c r="L541" s="544">
        <v>0</v>
      </c>
      <c r="M541" s="544">
        <v>0</v>
      </c>
      <c r="N541" s="544">
        <v>0</v>
      </c>
      <c r="O541" s="544">
        <v>0</v>
      </c>
      <c r="P541" s="544">
        <v>0</v>
      </c>
      <c r="R541" s="543" t="str">
        <f t="shared" si="25"/>
        <v>A0220:日産トレーデイング(株)メニューB</v>
      </c>
      <c r="S541" s="544">
        <f t="shared" si="26"/>
        <v>0</v>
      </c>
    </row>
    <row r="542" spans="2:19">
      <c r="B542" s="146"/>
      <c r="C542" s="543"/>
      <c r="D542" s="543" t="str">
        <f t="shared" si="24"/>
        <v/>
      </c>
      <c r="I542" s="146" t="s">
        <v>1185</v>
      </c>
      <c r="J542" s="146" t="s">
        <v>1695</v>
      </c>
      <c r="K542" s="544" t="s">
        <v>2058</v>
      </c>
      <c r="L542" s="544">
        <v>0</v>
      </c>
      <c r="M542" s="544">
        <v>0</v>
      </c>
      <c r="N542" s="544">
        <v>0</v>
      </c>
      <c r="O542" s="544">
        <v>0</v>
      </c>
      <c r="P542" s="544">
        <v>0</v>
      </c>
      <c r="R542" s="543" t="str">
        <f t="shared" si="25"/>
        <v>A0220:日産トレーデイング(株)(参考値)事業者全体</v>
      </c>
      <c r="S542" s="544">
        <f t="shared" si="26"/>
        <v>0</v>
      </c>
    </row>
    <row r="543" spans="2:19">
      <c r="B543" s="146"/>
      <c r="C543" s="543"/>
      <c r="D543" s="543" t="str">
        <f t="shared" si="24"/>
        <v/>
      </c>
      <c r="I543" s="146" t="s">
        <v>1186</v>
      </c>
      <c r="J543" s="146" t="s">
        <v>1696</v>
      </c>
      <c r="K543" s="544" t="s">
        <v>710</v>
      </c>
      <c r="L543" s="544">
        <v>0</v>
      </c>
      <c r="M543" s="544">
        <v>0</v>
      </c>
      <c r="N543" s="544">
        <v>0</v>
      </c>
      <c r="O543" s="544">
        <v>0</v>
      </c>
      <c r="P543" s="544">
        <v>0</v>
      </c>
      <c r="R543" s="543" t="str">
        <f t="shared" si="25"/>
        <v>A0221:(株)エネウィルメニューA</v>
      </c>
      <c r="S543" s="544">
        <f t="shared" si="26"/>
        <v>0</v>
      </c>
    </row>
    <row r="544" spans="2:19">
      <c r="B544" s="146"/>
      <c r="C544" s="543"/>
      <c r="D544" s="543" t="str">
        <f t="shared" si="24"/>
        <v/>
      </c>
      <c r="I544" s="146" t="s">
        <v>1186</v>
      </c>
      <c r="J544" s="146" t="s">
        <v>1696</v>
      </c>
      <c r="K544" s="544" t="s">
        <v>787</v>
      </c>
      <c r="L544" s="544">
        <v>4.2200000000000001E-4</v>
      </c>
      <c r="M544" s="544">
        <v>4.2200000000000001E-4</v>
      </c>
      <c r="N544" s="544">
        <v>4.2200000000000001E-4</v>
      </c>
      <c r="O544" s="544">
        <v>4.2200000000000001E-4</v>
      </c>
      <c r="P544" s="544">
        <v>4.2200000000000001E-4</v>
      </c>
      <c r="R544" s="543" t="str">
        <f t="shared" si="25"/>
        <v>A0221:(株)エネウィルメニューB</v>
      </c>
      <c r="S544" s="544">
        <f t="shared" si="26"/>
        <v>4.2200000000000001E-4</v>
      </c>
    </row>
    <row r="545" spans="2:19">
      <c r="B545" s="146"/>
      <c r="C545" s="543"/>
      <c r="D545" s="543" t="str">
        <f t="shared" si="24"/>
        <v/>
      </c>
      <c r="I545" s="146" t="s">
        <v>1186</v>
      </c>
      <c r="J545" s="146" t="s">
        <v>1696</v>
      </c>
      <c r="K545" s="544" t="s">
        <v>2058</v>
      </c>
      <c r="L545" s="544">
        <v>1.3749999999999999E-3</v>
      </c>
      <c r="M545" s="544">
        <v>1.3749999999999999E-3</v>
      </c>
      <c r="N545" s="544">
        <v>1.3749999999999999E-3</v>
      </c>
      <c r="O545" s="544">
        <v>1.3749999999999999E-3</v>
      </c>
      <c r="P545" s="544">
        <v>1.3749999999999999E-3</v>
      </c>
      <c r="R545" s="543" t="str">
        <f t="shared" si="25"/>
        <v>A0221:(株)エネウィル(参考値)事業者全体</v>
      </c>
      <c r="S545" s="544">
        <f t="shared" si="26"/>
        <v>1.3749999999999999E-3</v>
      </c>
    </row>
    <row r="546" spans="2:19">
      <c r="B546" s="146"/>
      <c r="C546" s="543"/>
      <c r="D546" s="543" t="str">
        <f t="shared" si="24"/>
        <v/>
      </c>
      <c r="I546" s="146" t="s">
        <v>1187</v>
      </c>
      <c r="J546" s="146" t="s">
        <v>1697</v>
      </c>
      <c r="K546" s="544"/>
      <c r="L546" s="544">
        <v>6.0499999999999996E-4</v>
      </c>
      <c r="M546" s="544">
        <v>6.0499999999999996E-4</v>
      </c>
      <c r="N546" s="544">
        <v>6.0499999999999996E-4</v>
      </c>
      <c r="O546" s="544">
        <v>6.0499999999999996E-4</v>
      </c>
      <c r="P546" s="544">
        <v>6.0499999999999996E-4</v>
      </c>
      <c r="R546" s="543" t="str">
        <f t="shared" si="25"/>
        <v>A0222:Next Power(株)</v>
      </c>
      <c r="S546" s="544">
        <f t="shared" si="26"/>
        <v>6.0499999999999996E-4</v>
      </c>
    </row>
    <row r="547" spans="2:19">
      <c r="B547" s="146"/>
      <c r="C547" s="543"/>
      <c r="D547" s="543" t="str">
        <f t="shared" si="24"/>
        <v/>
      </c>
      <c r="I547" s="146" t="s">
        <v>1188</v>
      </c>
      <c r="J547" s="146" t="s">
        <v>1698</v>
      </c>
      <c r="K547" s="544" t="s">
        <v>710</v>
      </c>
      <c r="L547" s="544">
        <v>0</v>
      </c>
      <c r="M547" s="544">
        <v>0</v>
      </c>
      <c r="N547" s="544">
        <v>0</v>
      </c>
      <c r="O547" s="544">
        <v>0</v>
      </c>
      <c r="P547" s="544">
        <v>0</v>
      </c>
      <c r="R547" s="543" t="str">
        <f t="shared" si="25"/>
        <v>A0227:はりま電力(株)メニューA</v>
      </c>
      <c r="S547" s="544">
        <f t="shared" si="26"/>
        <v>0</v>
      </c>
    </row>
    <row r="548" spans="2:19">
      <c r="B548" s="146"/>
      <c r="C548" s="543"/>
      <c r="D548" s="543" t="str">
        <f t="shared" si="24"/>
        <v/>
      </c>
      <c r="I548" s="146" t="s">
        <v>1188</v>
      </c>
      <c r="J548" s="146" t="s">
        <v>1698</v>
      </c>
      <c r="K548" s="544" t="s">
        <v>787</v>
      </c>
      <c r="L548" s="544">
        <v>5.9400000000000002E-4</v>
      </c>
      <c r="M548" s="544">
        <v>5.9400000000000002E-4</v>
      </c>
      <c r="N548" s="544">
        <v>5.9400000000000002E-4</v>
      </c>
      <c r="O548" s="544">
        <v>5.9400000000000002E-4</v>
      </c>
      <c r="P548" s="544">
        <v>5.9400000000000002E-4</v>
      </c>
      <c r="R548" s="543" t="str">
        <f t="shared" si="25"/>
        <v>A0227:はりま電力(株)メニューB</v>
      </c>
      <c r="S548" s="544">
        <f t="shared" si="26"/>
        <v>5.9400000000000002E-4</v>
      </c>
    </row>
    <row r="549" spans="2:19">
      <c r="B549" s="146"/>
      <c r="C549" s="543"/>
      <c r="D549" s="543" t="str">
        <f t="shared" si="24"/>
        <v/>
      </c>
      <c r="I549" s="146" t="s">
        <v>1188</v>
      </c>
      <c r="J549" s="146" t="s">
        <v>1698</v>
      </c>
      <c r="K549" s="544" t="s">
        <v>2058</v>
      </c>
      <c r="L549" s="544">
        <v>5.7899999999999998E-4</v>
      </c>
      <c r="M549" s="544">
        <v>5.7899999999999998E-4</v>
      </c>
      <c r="N549" s="544">
        <v>5.7899999999999998E-4</v>
      </c>
      <c r="O549" s="544">
        <v>5.7899999999999998E-4</v>
      </c>
      <c r="P549" s="544">
        <v>5.7899999999999998E-4</v>
      </c>
      <c r="R549" s="543" t="str">
        <f t="shared" si="25"/>
        <v>A0227:はりま電力(株)(参考値)事業者全体</v>
      </c>
      <c r="S549" s="544">
        <f t="shared" si="26"/>
        <v>5.7899999999999998E-4</v>
      </c>
    </row>
    <row r="550" spans="2:19">
      <c r="B550" s="146"/>
      <c r="C550" s="543"/>
      <c r="D550" s="543" t="str">
        <f t="shared" si="24"/>
        <v/>
      </c>
      <c r="I550" s="146" t="s">
        <v>1189</v>
      </c>
      <c r="J550" s="146" t="s">
        <v>1699</v>
      </c>
      <c r="K550" s="544" t="s">
        <v>710</v>
      </c>
      <c r="L550" s="544">
        <v>0</v>
      </c>
      <c r="M550" s="544">
        <v>0</v>
      </c>
      <c r="N550" s="544">
        <v>0</v>
      </c>
      <c r="O550" s="544">
        <v>0</v>
      </c>
      <c r="P550" s="544">
        <v>0</v>
      </c>
      <c r="R550" s="543" t="str">
        <f t="shared" si="25"/>
        <v>A0228:(株)浜松新電力メニューA</v>
      </c>
      <c r="S550" s="544">
        <f t="shared" si="26"/>
        <v>0</v>
      </c>
    </row>
    <row r="551" spans="2:19">
      <c r="B551" s="146"/>
      <c r="C551" s="543"/>
      <c r="D551" s="543" t="str">
        <f t="shared" si="24"/>
        <v/>
      </c>
      <c r="I551" s="146" t="s">
        <v>1189</v>
      </c>
      <c r="J551" s="146" t="s">
        <v>1699</v>
      </c>
      <c r="K551" s="544" t="s">
        <v>2058</v>
      </c>
      <c r="L551" s="544">
        <v>1.2400000000000001E-4</v>
      </c>
      <c r="M551" s="544">
        <v>1.2400000000000001E-4</v>
      </c>
      <c r="N551" s="544">
        <v>1.2400000000000001E-4</v>
      </c>
      <c r="O551" s="544">
        <v>1.2400000000000001E-4</v>
      </c>
      <c r="P551" s="544">
        <v>1.2400000000000001E-4</v>
      </c>
      <c r="R551" s="543" t="str">
        <f t="shared" si="25"/>
        <v>A0228:(株)浜松新電力(参考値)事業者全体</v>
      </c>
      <c r="S551" s="544">
        <f t="shared" si="26"/>
        <v>1.2400000000000001E-4</v>
      </c>
    </row>
    <row r="552" spans="2:19">
      <c r="B552" s="146"/>
      <c r="C552" s="543"/>
      <c r="D552" s="543" t="str">
        <f t="shared" si="24"/>
        <v/>
      </c>
      <c r="I552" s="146" t="s">
        <v>1190</v>
      </c>
      <c r="J552" s="146" t="s">
        <v>1700</v>
      </c>
      <c r="K552" s="544" t="s">
        <v>710</v>
      </c>
      <c r="L552" s="544">
        <v>0</v>
      </c>
      <c r="M552" s="544">
        <v>0</v>
      </c>
      <c r="N552" s="544">
        <v>0</v>
      </c>
      <c r="O552" s="544">
        <v>0</v>
      </c>
      <c r="P552" s="544">
        <v>0</v>
      </c>
      <c r="R552" s="543" t="str">
        <f t="shared" si="25"/>
        <v>A0229:ゼロワットパワー(株)メニューA</v>
      </c>
      <c r="S552" s="544">
        <f t="shared" si="26"/>
        <v>0</v>
      </c>
    </row>
    <row r="553" spans="2:19">
      <c r="B553" s="146"/>
      <c r="C553" s="543"/>
      <c r="D553" s="543" t="str">
        <f t="shared" si="24"/>
        <v/>
      </c>
      <c r="I553" s="146" t="s">
        <v>1190</v>
      </c>
      <c r="J553" s="146" t="s">
        <v>1700</v>
      </c>
      <c r="K553" s="544" t="s">
        <v>787</v>
      </c>
      <c r="L553" s="544">
        <v>0</v>
      </c>
      <c r="M553" s="544">
        <v>0</v>
      </c>
      <c r="N553" s="544">
        <v>0</v>
      </c>
      <c r="O553" s="544">
        <v>0</v>
      </c>
      <c r="P553" s="544">
        <v>0</v>
      </c>
      <c r="R553" s="543" t="str">
        <f t="shared" si="25"/>
        <v>A0229:ゼロワットパワー(株)メニューB</v>
      </c>
      <c r="S553" s="544">
        <f t="shared" si="26"/>
        <v>0</v>
      </c>
    </row>
    <row r="554" spans="2:19">
      <c r="B554" s="146"/>
      <c r="C554" s="543"/>
      <c r="D554" s="543" t="str">
        <f t="shared" si="24"/>
        <v/>
      </c>
      <c r="I554" s="146" t="s">
        <v>1190</v>
      </c>
      <c r="J554" s="146" t="s">
        <v>1700</v>
      </c>
      <c r="K554" s="544" t="s">
        <v>788</v>
      </c>
      <c r="L554" s="544">
        <v>0</v>
      </c>
      <c r="M554" s="544">
        <v>0</v>
      </c>
      <c r="N554" s="544">
        <v>0</v>
      </c>
      <c r="O554" s="544">
        <v>0</v>
      </c>
      <c r="P554" s="544">
        <v>0</v>
      </c>
      <c r="R554" s="543" t="str">
        <f t="shared" si="25"/>
        <v>A0229:ゼロワットパワー(株)メニューC</v>
      </c>
      <c r="S554" s="544">
        <f t="shared" si="26"/>
        <v>0</v>
      </c>
    </row>
    <row r="555" spans="2:19">
      <c r="B555" s="146"/>
      <c r="C555" s="543"/>
      <c r="D555" s="543" t="str">
        <f t="shared" si="24"/>
        <v/>
      </c>
      <c r="I555" s="146" t="s">
        <v>1190</v>
      </c>
      <c r="J555" s="146" t="s">
        <v>1700</v>
      </c>
      <c r="K555" s="544" t="s">
        <v>974</v>
      </c>
      <c r="L555" s="544">
        <v>0</v>
      </c>
      <c r="M555" s="544">
        <v>0</v>
      </c>
      <c r="N555" s="544">
        <v>0</v>
      </c>
      <c r="O555" s="544">
        <v>0</v>
      </c>
      <c r="P555" s="544">
        <v>0</v>
      </c>
      <c r="R555" s="543" t="str">
        <f t="shared" si="25"/>
        <v>A0229:ゼロワットパワー(株)メニューD</v>
      </c>
      <c r="S555" s="544">
        <f t="shared" si="26"/>
        <v>0</v>
      </c>
    </row>
    <row r="556" spans="2:19">
      <c r="B556" s="146"/>
      <c r="C556" s="543"/>
      <c r="D556" s="543" t="str">
        <f t="shared" si="24"/>
        <v/>
      </c>
      <c r="I556" s="146" t="s">
        <v>1190</v>
      </c>
      <c r="J556" s="146" t="s">
        <v>1700</v>
      </c>
      <c r="K556" s="544" t="s">
        <v>975</v>
      </c>
      <c r="L556" s="544">
        <v>0</v>
      </c>
      <c r="M556" s="544">
        <v>0</v>
      </c>
      <c r="N556" s="544">
        <v>0</v>
      </c>
      <c r="O556" s="544">
        <v>0</v>
      </c>
      <c r="P556" s="544">
        <v>0</v>
      </c>
      <c r="R556" s="543" t="str">
        <f t="shared" si="25"/>
        <v>A0229:ゼロワットパワー(株)メニューE</v>
      </c>
      <c r="S556" s="544">
        <f t="shared" si="26"/>
        <v>0</v>
      </c>
    </row>
    <row r="557" spans="2:19">
      <c r="B557" s="146"/>
      <c r="C557" s="146"/>
      <c r="D557" s="543" t="str">
        <f t="shared" si="24"/>
        <v/>
      </c>
      <c r="I557" s="146" t="s">
        <v>1190</v>
      </c>
      <c r="J557" s="146" t="s">
        <v>1700</v>
      </c>
      <c r="K557" s="544" t="s">
        <v>2059</v>
      </c>
      <c r="L557" s="544">
        <v>0</v>
      </c>
      <c r="M557" s="544">
        <v>0</v>
      </c>
      <c r="N557" s="544">
        <v>0</v>
      </c>
      <c r="O557" s="544">
        <v>0</v>
      </c>
      <c r="P557" s="544">
        <v>0</v>
      </c>
      <c r="R557" s="543" t="str">
        <f t="shared" si="25"/>
        <v>A0229:ゼロワットパワー(株)メニューF</v>
      </c>
      <c r="S557" s="544">
        <f t="shared" si="26"/>
        <v>0</v>
      </c>
    </row>
    <row r="558" spans="2:19">
      <c r="B558" s="146"/>
      <c r="C558" s="146"/>
      <c r="D558" s="543" t="str">
        <f t="shared" si="24"/>
        <v/>
      </c>
      <c r="I558" s="146" t="s">
        <v>1190</v>
      </c>
      <c r="J558" s="146" t="s">
        <v>1700</v>
      </c>
      <c r="K558" s="544" t="s">
        <v>2060</v>
      </c>
      <c r="L558" s="544">
        <v>0</v>
      </c>
      <c r="M558" s="544">
        <v>0</v>
      </c>
      <c r="N558" s="544">
        <v>0</v>
      </c>
      <c r="O558" s="544">
        <v>0</v>
      </c>
      <c r="P558" s="544">
        <v>0</v>
      </c>
      <c r="R558" s="543" t="str">
        <f t="shared" si="25"/>
        <v>A0229:ゼロワットパワー(株)メニューG</v>
      </c>
      <c r="S558" s="544">
        <f t="shared" si="26"/>
        <v>0</v>
      </c>
    </row>
    <row r="559" spans="2:19">
      <c r="B559" s="146"/>
      <c r="C559" s="146"/>
      <c r="D559" s="543" t="str">
        <f t="shared" si="24"/>
        <v/>
      </c>
      <c r="I559" s="146" t="s">
        <v>1190</v>
      </c>
      <c r="J559" s="146" t="s">
        <v>1700</v>
      </c>
      <c r="K559" s="544" t="s">
        <v>2061</v>
      </c>
      <c r="L559" s="544">
        <v>0</v>
      </c>
      <c r="M559" s="544">
        <v>0</v>
      </c>
      <c r="N559" s="544">
        <v>0</v>
      </c>
      <c r="O559" s="544">
        <v>0</v>
      </c>
      <c r="P559" s="544">
        <v>0</v>
      </c>
      <c r="R559" s="543" t="str">
        <f t="shared" si="25"/>
        <v>A0229:ゼロワットパワー(株)メニューH</v>
      </c>
      <c r="S559" s="544">
        <f t="shared" si="26"/>
        <v>0</v>
      </c>
    </row>
    <row r="560" spans="2:19">
      <c r="B560" s="146"/>
      <c r="C560" s="146"/>
      <c r="D560" s="543" t="str">
        <f t="shared" si="24"/>
        <v/>
      </c>
      <c r="I560" s="146" t="s">
        <v>1190</v>
      </c>
      <c r="J560" s="146" t="s">
        <v>1700</v>
      </c>
      <c r="K560" s="544" t="s">
        <v>2062</v>
      </c>
      <c r="L560" s="544">
        <v>6.3E-5</v>
      </c>
      <c r="M560" s="544">
        <v>6.3E-5</v>
      </c>
      <c r="N560" s="544">
        <v>6.3E-5</v>
      </c>
      <c r="O560" s="544">
        <v>6.3E-5</v>
      </c>
      <c r="P560" s="544">
        <v>6.3E-5</v>
      </c>
      <c r="R560" s="543" t="str">
        <f t="shared" si="25"/>
        <v>A0229:ゼロワットパワー(株)メニューI</v>
      </c>
      <c r="S560" s="544">
        <f t="shared" si="26"/>
        <v>6.3E-5</v>
      </c>
    </row>
    <row r="561" spans="2:19">
      <c r="B561" s="146"/>
      <c r="C561" s="146"/>
      <c r="D561" s="543" t="str">
        <f t="shared" si="24"/>
        <v/>
      </c>
      <c r="I561" s="146" t="s">
        <v>1190</v>
      </c>
      <c r="J561" s="146" t="s">
        <v>1700</v>
      </c>
      <c r="K561" s="544" t="s">
        <v>2058</v>
      </c>
      <c r="L561" s="544">
        <v>7.9999999999999996E-6</v>
      </c>
      <c r="M561" s="544">
        <v>7.9999999999999996E-6</v>
      </c>
      <c r="N561" s="544">
        <v>7.9999999999999996E-6</v>
      </c>
      <c r="O561" s="544">
        <v>7.9999999999999996E-6</v>
      </c>
      <c r="P561" s="544">
        <v>7.9999999999999996E-6</v>
      </c>
      <c r="R561" s="543" t="str">
        <f t="shared" si="25"/>
        <v>A0229:ゼロワットパワー(株)(参考値)事業者全体</v>
      </c>
      <c r="S561" s="544">
        <f t="shared" si="26"/>
        <v>7.9999999999999996E-6</v>
      </c>
    </row>
    <row r="562" spans="2:19">
      <c r="B562" s="146"/>
      <c r="C562" s="146"/>
      <c r="D562" s="543" t="str">
        <f t="shared" si="24"/>
        <v/>
      </c>
      <c r="I562" s="146" t="s">
        <v>1191</v>
      </c>
      <c r="J562" s="146" t="s">
        <v>1701</v>
      </c>
      <c r="K562" s="544" t="s">
        <v>710</v>
      </c>
      <c r="L562" s="544">
        <v>0</v>
      </c>
      <c r="M562" s="544">
        <v>0</v>
      </c>
      <c r="N562" s="544">
        <v>0</v>
      </c>
      <c r="O562" s="544">
        <v>0</v>
      </c>
      <c r="P562" s="544">
        <v>0</v>
      </c>
      <c r="R562" s="543" t="str">
        <f t="shared" si="25"/>
        <v>A0230:アストマックス(株)メニューA</v>
      </c>
      <c r="S562" s="544">
        <f t="shared" si="26"/>
        <v>0</v>
      </c>
    </row>
    <row r="563" spans="2:19">
      <c r="B563" s="146"/>
      <c r="C563" s="146"/>
      <c r="D563" s="543" t="str">
        <f t="shared" si="24"/>
        <v/>
      </c>
      <c r="I563" s="146" t="s">
        <v>1191</v>
      </c>
      <c r="J563" s="146" t="s">
        <v>1701</v>
      </c>
      <c r="K563" s="544" t="s">
        <v>787</v>
      </c>
      <c r="L563" s="544">
        <v>0</v>
      </c>
      <c r="M563" s="544">
        <v>0</v>
      </c>
      <c r="N563" s="544">
        <v>0</v>
      </c>
      <c r="O563" s="544">
        <v>0</v>
      </c>
      <c r="P563" s="544">
        <v>0</v>
      </c>
      <c r="R563" s="543" t="str">
        <f t="shared" si="25"/>
        <v>A0230:アストマックス(株)メニューB</v>
      </c>
      <c r="S563" s="544">
        <f t="shared" si="26"/>
        <v>0</v>
      </c>
    </row>
    <row r="564" spans="2:19">
      <c r="B564" s="146"/>
      <c r="C564" s="146"/>
      <c r="D564" s="543" t="str">
        <f t="shared" si="24"/>
        <v/>
      </c>
      <c r="I564" s="146" t="s">
        <v>1191</v>
      </c>
      <c r="J564" s="146" t="s">
        <v>1701</v>
      </c>
      <c r="K564" s="544" t="s">
        <v>788</v>
      </c>
      <c r="L564" s="544">
        <v>4.1399999999999998E-4</v>
      </c>
      <c r="M564" s="544">
        <v>4.1399999999999998E-4</v>
      </c>
      <c r="N564" s="544">
        <v>4.1399999999999998E-4</v>
      </c>
      <c r="O564" s="544">
        <v>4.1399999999999998E-4</v>
      </c>
      <c r="P564" s="544">
        <v>4.1399999999999998E-4</v>
      </c>
      <c r="R564" s="543" t="str">
        <f t="shared" si="25"/>
        <v>A0230:アストマックス(株)メニューC</v>
      </c>
      <c r="S564" s="544">
        <f t="shared" si="26"/>
        <v>4.1399999999999998E-4</v>
      </c>
    </row>
    <row r="565" spans="2:19">
      <c r="B565" s="146"/>
      <c r="C565" s="146"/>
      <c r="D565" s="543" t="str">
        <f t="shared" si="24"/>
        <v/>
      </c>
      <c r="I565" s="146" t="s">
        <v>1191</v>
      </c>
      <c r="J565" s="146" t="s">
        <v>1701</v>
      </c>
      <c r="K565" s="544" t="s">
        <v>974</v>
      </c>
      <c r="L565" s="544">
        <v>7.7700000000000002E-4</v>
      </c>
      <c r="M565" s="544">
        <v>7.7700000000000002E-4</v>
      </c>
      <c r="N565" s="544">
        <v>7.7700000000000002E-4</v>
      </c>
      <c r="O565" s="544">
        <v>7.7700000000000002E-4</v>
      </c>
      <c r="P565" s="544">
        <v>7.7700000000000002E-4</v>
      </c>
      <c r="R565" s="543" t="str">
        <f t="shared" si="25"/>
        <v>A0230:アストマックス(株)メニューD</v>
      </c>
      <c r="S565" s="544">
        <f t="shared" si="26"/>
        <v>7.7700000000000002E-4</v>
      </c>
    </row>
    <row r="566" spans="2:19">
      <c r="B566" s="146"/>
      <c r="C566" s="146"/>
      <c r="D566" s="543" t="str">
        <f t="shared" si="24"/>
        <v/>
      </c>
      <c r="I566" s="146" t="s">
        <v>1191</v>
      </c>
      <c r="J566" s="146" t="s">
        <v>1701</v>
      </c>
      <c r="K566" s="544" t="s">
        <v>2058</v>
      </c>
      <c r="L566" s="544">
        <v>7.5299999999999998E-4</v>
      </c>
      <c r="M566" s="544">
        <v>7.5299999999999998E-4</v>
      </c>
      <c r="N566" s="544">
        <v>7.5299999999999998E-4</v>
      </c>
      <c r="O566" s="544">
        <v>7.5299999999999998E-4</v>
      </c>
      <c r="P566" s="544">
        <v>7.5299999999999998E-4</v>
      </c>
      <c r="R566" s="543" t="str">
        <f t="shared" si="25"/>
        <v>A0230:アストマックス(株)(参考値)事業者全体</v>
      </c>
      <c r="S566" s="544">
        <f t="shared" si="26"/>
        <v>7.5299999999999998E-4</v>
      </c>
    </row>
    <row r="567" spans="2:19">
      <c r="B567" s="146"/>
      <c r="C567" s="146"/>
      <c r="D567" s="543" t="str">
        <f t="shared" si="24"/>
        <v/>
      </c>
      <c r="I567" s="146" t="s">
        <v>1192</v>
      </c>
      <c r="J567" s="146" t="s">
        <v>1702</v>
      </c>
      <c r="K567" s="544" t="s">
        <v>710</v>
      </c>
      <c r="L567" s="544">
        <v>0</v>
      </c>
      <c r="M567" s="544">
        <v>0</v>
      </c>
      <c r="N567" s="544">
        <v>0</v>
      </c>
      <c r="O567" s="544">
        <v>0</v>
      </c>
      <c r="P567" s="544">
        <v>0</v>
      </c>
      <c r="R567" s="543" t="str">
        <f t="shared" si="25"/>
        <v>A0231:(株)やまがた新電力メニューA</v>
      </c>
      <c r="S567" s="544">
        <f t="shared" si="26"/>
        <v>0</v>
      </c>
    </row>
    <row r="568" spans="2:19">
      <c r="B568" s="146"/>
      <c r="C568" s="146"/>
      <c r="D568" s="543" t="str">
        <f t="shared" si="24"/>
        <v/>
      </c>
      <c r="I568" s="146" t="s">
        <v>1192</v>
      </c>
      <c r="J568" s="146" t="s">
        <v>1702</v>
      </c>
      <c r="K568" s="544" t="s">
        <v>787</v>
      </c>
      <c r="L568" s="544">
        <v>5.0000000000000004E-6</v>
      </c>
      <c r="M568" s="544">
        <v>5.0000000000000004E-6</v>
      </c>
      <c r="N568" s="544">
        <v>5.0000000000000004E-6</v>
      </c>
      <c r="O568" s="544">
        <v>5.0000000000000004E-6</v>
      </c>
      <c r="P568" s="544">
        <v>5.0000000000000004E-6</v>
      </c>
      <c r="R568" s="543" t="str">
        <f t="shared" si="25"/>
        <v>A0231:(株)やまがた新電力メニューB</v>
      </c>
      <c r="S568" s="544">
        <f t="shared" si="26"/>
        <v>5.0000000000000004E-6</v>
      </c>
    </row>
    <row r="569" spans="2:19">
      <c r="B569" s="146"/>
      <c r="C569" s="146"/>
      <c r="D569" s="543" t="str">
        <f t="shared" si="24"/>
        <v/>
      </c>
      <c r="I569" s="146" t="s">
        <v>1192</v>
      </c>
      <c r="J569" s="146" t="s">
        <v>1702</v>
      </c>
      <c r="K569" s="544" t="s">
        <v>788</v>
      </c>
      <c r="L569" s="544">
        <v>1.17E-4</v>
      </c>
      <c r="M569" s="544">
        <v>1.17E-4</v>
      </c>
      <c r="N569" s="544">
        <v>1.17E-4</v>
      </c>
      <c r="O569" s="544">
        <v>1.17E-4</v>
      </c>
      <c r="P569" s="544">
        <v>1.17E-4</v>
      </c>
      <c r="R569" s="543" t="str">
        <f t="shared" si="25"/>
        <v>A0231:(株)やまがた新電力メニューC</v>
      </c>
      <c r="S569" s="544">
        <f t="shared" si="26"/>
        <v>1.17E-4</v>
      </c>
    </row>
    <row r="570" spans="2:19">
      <c r="B570" s="146"/>
      <c r="C570" s="146"/>
      <c r="D570" s="543" t="str">
        <f t="shared" si="24"/>
        <v/>
      </c>
      <c r="I570" s="146" t="s">
        <v>1192</v>
      </c>
      <c r="J570" s="146" t="s">
        <v>1702</v>
      </c>
      <c r="K570" s="544" t="s">
        <v>974</v>
      </c>
      <c r="L570" s="544">
        <v>4.2200000000000001E-4</v>
      </c>
      <c r="M570" s="544">
        <v>4.2200000000000001E-4</v>
      </c>
      <c r="N570" s="544">
        <v>4.2200000000000001E-4</v>
      </c>
      <c r="O570" s="544">
        <v>4.2200000000000001E-4</v>
      </c>
      <c r="P570" s="544">
        <v>4.2200000000000001E-4</v>
      </c>
      <c r="R570" s="543" t="str">
        <f t="shared" si="25"/>
        <v>A0231:(株)やまがた新電力メニューD</v>
      </c>
      <c r="S570" s="544">
        <f t="shared" si="26"/>
        <v>4.2200000000000001E-4</v>
      </c>
    </row>
    <row r="571" spans="2:19">
      <c r="B571" s="146"/>
      <c r="C571" s="146"/>
      <c r="D571" s="543" t="str">
        <f t="shared" si="24"/>
        <v/>
      </c>
      <c r="I571" s="146" t="s">
        <v>1192</v>
      </c>
      <c r="J571" s="146" t="s">
        <v>1702</v>
      </c>
      <c r="K571" s="544" t="s">
        <v>2058</v>
      </c>
      <c r="L571" s="544">
        <v>1.2999999999999999E-4</v>
      </c>
      <c r="M571" s="544">
        <v>1.2999999999999999E-4</v>
      </c>
      <c r="N571" s="544">
        <v>1.2999999999999999E-4</v>
      </c>
      <c r="O571" s="544">
        <v>1.2999999999999999E-4</v>
      </c>
      <c r="P571" s="544">
        <v>1.2999999999999999E-4</v>
      </c>
      <c r="R571" s="543" t="str">
        <f t="shared" si="25"/>
        <v>A0231:(株)やまがた新電力(参考値)事業者全体</v>
      </c>
      <c r="S571" s="544">
        <f t="shared" si="26"/>
        <v>1.2999999999999999E-4</v>
      </c>
    </row>
    <row r="572" spans="2:19">
      <c r="B572" s="146"/>
      <c r="C572" s="146"/>
      <c r="D572" s="543" t="str">
        <f t="shared" si="24"/>
        <v/>
      </c>
      <c r="I572" s="146" t="s">
        <v>1193</v>
      </c>
      <c r="J572" s="146" t="s">
        <v>1703</v>
      </c>
      <c r="K572" s="544" t="s">
        <v>710</v>
      </c>
      <c r="L572" s="544">
        <v>9.0000000000000002E-6</v>
      </c>
      <c r="M572" s="544">
        <v>9.0000000000000002E-6</v>
      </c>
      <c r="N572" s="544">
        <v>9.0000000000000002E-6</v>
      </c>
      <c r="O572" s="544">
        <v>9.0000000000000002E-6</v>
      </c>
      <c r="P572" s="544">
        <v>9.0000000000000002E-6</v>
      </c>
      <c r="R572" s="543" t="str">
        <f t="shared" si="25"/>
        <v>A0232:一般社団法人東松島みらいとし機構メニューA</v>
      </c>
      <c r="S572" s="544">
        <f t="shared" si="26"/>
        <v>9.0000000000000002E-6</v>
      </c>
    </row>
    <row r="573" spans="2:19">
      <c r="B573" s="146"/>
      <c r="C573" s="146"/>
      <c r="D573" s="543" t="str">
        <f t="shared" si="24"/>
        <v/>
      </c>
      <c r="I573" s="146" t="s">
        <v>1193</v>
      </c>
      <c r="J573" s="146" t="s">
        <v>1703</v>
      </c>
      <c r="K573" s="544" t="s">
        <v>787</v>
      </c>
      <c r="L573" s="544">
        <v>4.75E-4</v>
      </c>
      <c r="M573" s="544">
        <v>4.75E-4</v>
      </c>
      <c r="N573" s="544">
        <v>4.75E-4</v>
      </c>
      <c r="O573" s="544">
        <v>4.75E-4</v>
      </c>
      <c r="P573" s="544">
        <v>4.75E-4</v>
      </c>
      <c r="R573" s="543" t="str">
        <f t="shared" si="25"/>
        <v>A0232:一般社団法人東松島みらいとし機構メニューB</v>
      </c>
      <c r="S573" s="544">
        <f t="shared" si="26"/>
        <v>4.75E-4</v>
      </c>
    </row>
    <row r="574" spans="2:19">
      <c r="B574" s="146"/>
      <c r="C574" s="146"/>
      <c r="D574" s="543" t="str">
        <f t="shared" si="24"/>
        <v/>
      </c>
      <c r="I574" s="146" t="s">
        <v>1193</v>
      </c>
      <c r="J574" s="146" t="s">
        <v>1703</v>
      </c>
      <c r="K574" s="544" t="s">
        <v>2058</v>
      </c>
      <c r="L574" s="544">
        <v>4.6500000000000003E-4</v>
      </c>
      <c r="M574" s="544">
        <v>4.6500000000000003E-4</v>
      </c>
      <c r="N574" s="544">
        <v>4.6500000000000003E-4</v>
      </c>
      <c r="O574" s="544">
        <v>4.6500000000000003E-4</v>
      </c>
      <c r="P574" s="544">
        <v>4.6500000000000003E-4</v>
      </c>
      <c r="R574" s="543" t="str">
        <f t="shared" si="25"/>
        <v>A0232:一般社団法人東松島みらいとし機構(参考値)事業者全体</v>
      </c>
      <c r="S574" s="544">
        <f t="shared" si="26"/>
        <v>4.6500000000000003E-4</v>
      </c>
    </row>
    <row r="575" spans="2:19">
      <c r="B575" s="146"/>
      <c r="C575" s="146"/>
      <c r="D575" s="543" t="str">
        <f t="shared" si="24"/>
        <v/>
      </c>
      <c r="I575" s="146" t="s">
        <v>1194</v>
      </c>
      <c r="J575" s="146" t="s">
        <v>1704</v>
      </c>
      <c r="K575" s="544" t="s">
        <v>710</v>
      </c>
      <c r="L575" s="544">
        <v>0</v>
      </c>
      <c r="M575" s="544">
        <v>0</v>
      </c>
      <c r="N575" s="544">
        <v>0</v>
      </c>
      <c r="O575" s="544">
        <v>0</v>
      </c>
      <c r="P575" s="544">
        <v>0</v>
      </c>
      <c r="R575" s="543" t="str">
        <f t="shared" si="25"/>
        <v>A0234:(株)グリーンパワー大東メニューA</v>
      </c>
      <c r="S575" s="544">
        <f t="shared" si="26"/>
        <v>0</v>
      </c>
    </row>
    <row r="576" spans="2:19">
      <c r="B576" s="146"/>
      <c r="C576" s="146"/>
      <c r="D576" s="543" t="str">
        <f t="shared" si="24"/>
        <v/>
      </c>
      <c r="I576" s="146" t="s">
        <v>1194</v>
      </c>
      <c r="J576" s="146" t="s">
        <v>1704</v>
      </c>
      <c r="K576" s="544" t="s">
        <v>787</v>
      </c>
      <c r="L576" s="544">
        <v>1.2E-4</v>
      </c>
      <c r="M576" s="544">
        <v>1.2E-4</v>
      </c>
      <c r="N576" s="544">
        <v>1.2E-4</v>
      </c>
      <c r="O576" s="544">
        <v>1.2E-4</v>
      </c>
      <c r="P576" s="544">
        <v>1.2E-4</v>
      </c>
      <c r="R576" s="543" t="str">
        <f t="shared" si="25"/>
        <v>A0234:(株)グリーンパワー大東メニューB</v>
      </c>
      <c r="S576" s="544">
        <f t="shared" si="26"/>
        <v>1.2E-4</v>
      </c>
    </row>
    <row r="577" spans="2:19">
      <c r="B577" s="146"/>
      <c r="C577" s="146"/>
      <c r="D577" s="543" t="str">
        <f t="shared" si="24"/>
        <v/>
      </c>
      <c r="I577" s="146" t="s">
        <v>1194</v>
      </c>
      <c r="J577" s="146" t="s">
        <v>1704</v>
      </c>
      <c r="K577" s="544" t="s">
        <v>788</v>
      </c>
      <c r="L577" s="544">
        <v>2.1800000000000001E-4</v>
      </c>
      <c r="M577" s="544">
        <v>2.1800000000000001E-4</v>
      </c>
      <c r="N577" s="544">
        <v>2.1800000000000001E-4</v>
      </c>
      <c r="O577" s="544">
        <v>2.1800000000000001E-4</v>
      </c>
      <c r="P577" s="544">
        <v>2.1800000000000001E-4</v>
      </c>
      <c r="R577" s="543" t="str">
        <f t="shared" si="25"/>
        <v>A0234:(株)グリーンパワー大東メニューC</v>
      </c>
      <c r="S577" s="544">
        <f t="shared" si="26"/>
        <v>2.1800000000000001E-4</v>
      </c>
    </row>
    <row r="578" spans="2:19">
      <c r="B578" s="146"/>
      <c r="C578" s="146"/>
      <c r="D578" s="543" t="str">
        <f t="shared" si="24"/>
        <v/>
      </c>
      <c r="I578" s="146" t="s">
        <v>1194</v>
      </c>
      <c r="J578" s="146" t="s">
        <v>1704</v>
      </c>
      <c r="K578" s="544" t="s">
        <v>2058</v>
      </c>
      <c r="L578" s="544">
        <v>1.17E-4</v>
      </c>
      <c r="M578" s="544">
        <v>1.17E-4</v>
      </c>
      <c r="N578" s="544">
        <v>1.17E-4</v>
      </c>
      <c r="O578" s="544">
        <v>1.17E-4</v>
      </c>
      <c r="P578" s="544">
        <v>1.17E-4</v>
      </c>
      <c r="R578" s="543" t="str">
        <f t="shared" si="25"/>
        <v>A0234:(株)グリーンパワー大東(参考値)事業者全体</v>
      </c>
      <c r="S578" s="544">
        <f t="shared" si="26"/>
        <v>1.17E-4</v>
      </c>
    </row>
    <row r="579" spans="2:19">
      <c r="B579" s="146"/>
      <c r="C579" s="146"/>
      <c r="D579" s="543" t="str">
        <f t="shared" si="24"/>
        <v/>
      </c>
      <c r="I579" s="146" t="s">
        <v>1195</v>
      </c>
      <c r="J579" s="146" t="s">
        <v>1705</v>
      </c>
      <c r="K579" s="544"/>
      <c r="L579" s="544">
        <v>5.6800000000000004E-4</v>
      </c>
      <c r="M579" s="544">
        <v>5.6800000000000004E-4</v>
      </c>
      <c r="N579" s="544">
        <v>5.6800000000000004E-4</v>
      </c>
      <c r="O579" s="544">
        <v>5.6800000000000004E-4</v>
      </c>
      <c r="P579" s="544">
        <v>5.6800000000000004E-4</v>
      </c>
      <c r="R579" s="543" t="str">
        <f t="shared" si="25"/>
        <v>A0236:(株)シーラソーラー</v>
      </c>
      <c r="S579" s="544">
        <f t="shared" si="26"/>
        <v>5.6800000000000004E-4</v>
      </c>
    </row>
    <row r="580" spans="2:19">
      <c r="B580" s="146"/>
      <c r="C580" s="146"/>
      <c r="D580" s="543" t="str">
        <f t="shared" si="24"/>
        <v/>
      </c>
      <c r="I580" s="146" t="s">
        <v>1196</v>
      </c>
      <c r="J580" s="146" t="s">
        <v>1706</v>
      </c>
      <c r="K580" s="544"/>
      <c r="L580" s="544">
        <v>4.8000000000000001E-4</v>
      </c>
      <c r="M580" s="544">
        <v>4.8000000000000001E-4</v>
      </c>
      <c r="N580" s="544">
        <v>4.8000000000000001E-4</v>
      </c>
      <c r="O580" s="544">
        <v>4.8000000000000001E-4</v>
      </c>
      <c r="P580" s="544">
        <v>4.8000000000000001E-4</v>
      </c>
      <c r="R580" s="543" t="str">
        <f t="shared" si="25"/>
        <v>A0237:御所野縄文電力(株)</v>
      </c>
      <c r="S580" s="544">
        <f t="shared" si="26"/>
        <v>4.8000000000000001E-4</v>
      </c>
    </row>
    <row r="581" spans="2:19">
      <c r="B581" s="146"/>
      <c r="C581" s="146"/>
      <c r="D581" s="543" t="str">
        <f t="shared" si="24"/>
        <v/>
      </c>
      <c r="I581" s="146" t="s">
        <v>1197</v>
      </c>
      <c r="J581" s="146" t="s">
        <v>1707</v>
      </c>
      <c r="K581" s="544" t="s">
        <v>710</v>
      </c>
      <c r="L581" s="544">
        <v>0</v>
      </c>
      <c r="M581" s="544">
        <v>0</v>
      </c>
      <c r="N581" s="544">
        <v>0</v>
      </c>
      <c r="O581" s="544">
        <v>0</v>
      </c>
      <c r="P581" s="544">
        <v>0</v>
      </c>
      <c r="R581" s="543" t="str">
        <f t="shared" si="25"/>
        <v>A0238:(株)カーボンニュートラルメニューA</v>
      </c>
      <c r="S581" s="544">
        <f t="shared" si="26"/>
        <v>0</v>
      </c>
    </row>
    <row r="582" spans="2:19">
      <c r="B582" s="146"/>
      <c r="C582" s="146"/>
      <c r="D582" s="543" t="str">
        <f t="shared" si="24"/>
        <v/>
      </c>
      <c r="I582" s="146" t="s">
        <v>1197</v>
      </c>
      <c r="J582" s="146" t="s">
        <v>1707</v>
      </c>
      <c r="K582" s="544" t="s">
        <v>787</v>
      </c>
      <c r="L582" s="544">
        <v>3.8299999999999999E-4</v>
      </c>
      <c r="M582" s="544">
        <v>3.8299999999999999E-4</v>
      </c>
      <c r="N582" s="544">
        <v>3.8299999999999999E-4</v>
      </c>
      <c r="O582" s="544">
        <v>3.8299999999999999E-4</v>
      </c>
      <c r="P582" s="544">
        <v>3.8299999999999999E-4</v>
      </c>
      <c r="R582" s="543" t="str">
        <f t="shared" si="25"/>
        <v>A0238:(株)カーボンニュートラルメニューB</v>
      </c>
      <c r="S582" s="544">
        <f t="shared" si="26"/>
        <v>3.8299999999999999E-4</v>
      </c>
    </row>
    <row r="583" spans="2:19">
      <c r="B583" s="146"/>
      <c r="C583" s="146"/>
      <c r="D583" s="543" t="str">
        <f t="shared" si="24"/>
        <v/>
      </c>
      <c r="I583" s="146" t="s">
        <v>1197</v>
      </c>
      <c r="J583" s="146" t="s">
        <v>1707</v>
      </c>
      <c r="K583" s="544" t="s">
        <v>2058</v>
      </c>
      <c r="L583" s="544">
        <v>2.5799999999999998E-4</v>
      </c>
      <c r="M583" s="544">
        <v>2.5799999999999998E-4</v>
      </c>
      <c r="N583" s="544">
        <v>2.5799999999999998E-4</v>
      </c>
      <c r="O583" s="544">
        <v>2.5799999999999998E-4</v>
      </c>
      <c r="P583" s="544">
        <v>2.5799999999999998E-4</v>
      </c>
      <c r="R583" s="543" t="str">
        <f t="shared" si="25"/>
        <v>A0238:(株)カーボンニュートラル(参考値)事業者全体</v>
      </c>
      <c r="S583" s="544">
        <f t="shared" si="26"/>
        <v>2.5799999999999998E-4</v>
      </c>
    </row>
    <row r="584" spans="2:19">
      <c r="B584" s="146"/>
      <c r="C584" s="146"/>
      <c r="D584" s="543" t="str">
        <f t="shared" si="24"/>
        <v/>
      </c>
      <c r="I584" s="146" t="s">
        <v>1198</v>
      </c>
      <c r="J584" s="146" t="s">
        <v>1708</v>
      </c>
      <c r="K584" s="544" t="s">
        <v>710</v>
      </c>
      <c r="L584" s="544">
        <v>0</v>
      </c>
      <c r="M584" s="544">
        <v>0</v>
      </c>
      <c r="N584" s="544">
        <v>0</v>
      </c>
      <c r="O584" s="544">
        <v>0</v>
      </c>
      <c r="P584" s="544">
        <v>0</v>
      </c>
      <c r="R584" s="543" t="str">
        <f t="shared" si="25"/>
        <v>A0239:宮古新電力(株)メニューA</v>
      </c>
      <c r="S584" s="544">
        <f t="shared" si="26"/>
        <v>0</v>
      </c>
    </row>
    <row r="585" spans="2:19">
      <c r="B585" s="146"/>
      <c r="C585" s="146"/>
      <c r="D585" s="543" t="str">
        <f t="shared" si="24"/>
        <v/>
      </c>
      <c r="I585" s="146" t="s">
        <v>1198</v>
      </c>
      <c r="J585" s="146" t="s">
        <v>1708</v>
      </c>
      <c r="K585" s="544" t="s">
        <v>787</v>
      </c>
      <c r="L585" s="544">
        <v>4.5899999999999999E-4</v>
      </c>
      <c r="M585" s="544">
        <v>4.5899999999999999E-4</v>
      </c>
      <c r="N585" s="544">
        <v>4.5899999999999999E-4</v>
      </c>
      <c r="O585" s="544">
        <v>4.5899999999999999E-4</v>
      </c>
      <c r="P585" s="544">
        <v>4.5899999999999999E-4</v>
      </c>
      <c r="R585" s="543" t="str">
        <f t="shared" si="25"/>
        <v>A0239:宮古新電力(株)メニューB</v>
      </c>
      <c r="S585" s="544">
        <f t="shared" si="26"/>
        <v>4.5899999999999999E-4</v>
      </c>
    </row>
    <row r="586" spans="2:19">
      <c r="B586" s="146"/>
      <c r="C586" s="146"/>
      <c r="D586" s="543" t="str">
        <f t="shared" ref="D586:D649" si="27">IF(B586="","",B586&amp;":"&amp;C586)</f>
        <v/>
      </c>
      <c r="I586" s="146" t="s">
        <v>1198</v>
      </c>
      <c r="J586" s="146" t="s">
        <v>1708</v>
      </c>
      <c r="K586" s="544" t="s">
        <v>2058</v>
      </c>
      <c r="L586" s="544">
        <v>4.5899999999999999E-4</v>
      </c>
      <c r="M586" s="544">
        <v>4.5899999999999999E-4</v>
      </c>
      <c r="N586" s="544">
        <v>4.5899999999999999E-4</v>
      </c>
      <c r="O586" s="544">
        <v>4.5899999999999999E-4</v>
      </c>
      <c r="P586" s="544">
        <v>4.5899999999999999E-4</v>
      </c>
      <c r="R586" s="543" t="str">
        <f t="shared" ref="R586:R649" si="28">I586&amp;":"&amp;J586&amp;K586</f>
        <v>A0239:宮古新電力(株)(参考値)事業者全体</v>
      </c>
      <c r="S586" s="544">
        <f t="shared" ref="S586:S649" si="29">HLOOKUP($S$8,$L$8:$P$2000,ROW()-7,FALSE)</f>
        <v>4.5899999999999999E-4</v>
      </c>
    </row>
    <row r="587" spans="2:19">
      <c r="B587" s="146"/>
      <c r="C587" s="146"/>
      <c r="D587" s="543" t="str">
        <f t="shared" si="27"/>
        <v/>
      </c>
      <c r="I587" s="146" t="s">
        <v>1199</v>
      </c>
      <c r="J587" s="146" t="s">
        <v>1709</v>
      </c>
      <c r="K587" s="544"/>
      <c r="L587" s="544">
        <v>5.8699999999999996E-4</v>
      </c>
      <c r="M587" s="544">
        <v>5.8699999999999996E-4</v>
      </c>
      <c r="N587" s="544">
        <v>5.8699999999999996E-4</v>
      </c>
      <c r="O587" s="544">
        <v>5.8699999999999996E-4</v>
      </c>
      <c r="P587" s="544">
        <v>5.8699999999999996E-4</v>
      </c>
      <c r="R587" s="543" t="str">
        <f t="shared" si="28"/>
        <v>A0240:長崎地域電力(株)</v>
      </c>
      <c r="S587" s="544">
        <f t="shared" si="29"/>
        <v>5.8699999999999996E-4</v>
      </c>
    </row>
    <row r="588" spans="2:19">
      <c r="B588" s="146"/>
      <c r="C588" s="146"/>
      <c r="D588" s="543" t="str">
        <f t="shared" si="27"/>
        <v/>
      </c>
      <c r="I588" s="146" t="s">
        <v>1200</v>
      </c>
      <c r="J588" s="146" t="s">
        <v>1710</v>
      </c>
      <c r="K588" s="544"/>
      <c r="L588" s="544">
        <v>3.7800000000000003E-4</v>
      </c>
      <c r="M588" s="544">
        <v>3.7800000000000003E-4</v>
      </c>
      <c r="N588" s="544">
        <v>3.7800000000000003E-4</v>
      </c>
      <c r="O588" s="544">
        <v>3.7800000000000003E-4</v>
      </c>
      <c r="P588" s="544">
        <v>3.7800000000000003E-4</v>
      </c>
      <c r="R588" s="543" t="str">
        <f t="shared" si="28"/>
        <v>A0241:(株)エネアーク関西</v>
      </c>
      <c r="S588" s="544">
        <f t="shared" si="29"/>
        <v>3.7800000000000003E-4</v>
      </c>
    </row>
    <row r="589" spans="2:19">
      <c r="B589" s="146"/>
      <c r="C589" s="146"/>
      <c r="D589" s="543" t="str">
        <f t="shared" si="27"/>
        <v/>
      </c>
      <c r="I589" s="146" t="s">
        <v>1201</v>
      </c>
      <c r="J589" s="146" t="s">
        <v>1711</v>
      </c>
      <c r="K589" s="544"/>
      <c r="L589" s="544">
        <v>3.8299999999999999E-4</v>
      </c>
      <c r="M589" s="544">
        <v>3.8299999999999999E-4</v>
      </c>
      <c r="N589" s="544">
        <v>3.8299999999999999E-4</v>
      </c>
      <c r="O589" s="544">
        <v>3.8299999999999999E-4</v>
      </c>
      <c r="P589" s="544">
        <v>3.8299999999999999E-4</v>
      </c>
      <c r="R589" s="543" t="str">
        <f t="shared" si="28"/>
        <v>A0243:近畿電力(株)</v>
      </c>
      <c r="S589" s="544">
        <f t="shared" si="29"/>
        <v>3.8299999999999999E-4</v>
      </c>
    </row>
    <row r="590" spans="2:19">
      <c r="B590" s="146"/>
      <c r="C590" s="146"/>
      <c r="D590" s="543" t="str">
        <f t="shared" si="27"/>
        <v/>
      </c>
      <c r="I590" s="146" t="s">
        <v>1202</v>
      </c>
      <c r="J590" s="146" t="s">
        <v>1712</v>
      </c>
      <c r="K590" s="544" t="s">
        <v>710</v>
      </c>
      <c r="L590" s="544">
        <v>0</v>
      </c>
      <c r="M590" s="544">
        <v>0</v>
      </c>
      <c r="N590" s="544">
        <v>0</v>
      </c>
      <c r="O590" s="544">
        <v>0</v>
      </c>
      <c r="P590" s="544">
        <v>0</v>
      </c>
      <c r="R590" s="543" t="str">
        <f t="shared" si="28"/>
        <v>A0245:新電力おおいた(株)メニューA</v>
      </c>
      <c r="S590" s="544">
        <f t="shared" si="29"/>
        <v>0</v>
      </c>
    </row>
    <row r="591" spans="2:19">
      <c r="B591" s="146"/>
      <c r="C591" s="146"/>
      <c r="D591" s="543" t="str">
        <f t="shared" si="27"/>
        <v/>
      </c>
      <c r="I591" s="146" t="s">
        <v>1202</v>
      </c>
      <c r="J591" s="146" t="s">
        <v>1712</v>
      </c>
      <c r="K591" s="544" t="s">
        <v>787</v>
      </c>
      <c r="L591" s="544">
        <v>3.7500000000000001E-4</v>
      </c>
      <c r="M591" s="544">
        <v>3.7500000000000001E-4</v>
      </c>
      <c r="N591" s="544">
        <v>3.7500000000000001E-4</v>
      </c>
      <c r="O591" s="544">
        <v>3.7500000000000001E-4</v>
      </c>
      <c r="P591" s="544">
        <v>3.7500000000000001E-4</v>
      </c>
      <c r="R591" s="543" t="str">
        <f t="shared" si="28"/>
        <v>A0245:新電力おおいた(株)メニューB</v>
      </c>
      <c r="S591" s="544">
        <f t="shared" si="29"/>
        <v>3.7500000000000001E-4</v>
      </c>
    </row>
    <row r="592" spans="2:19">
      <c r="B592" s="146"/>
      <c r="C592" s="146"/>
      <c r="D592" s="543" t="str">
        <f t="shared" si="27"/>
        <v/>
      </c>
      <c r="I592" s="146" t="s">
        <v>1202</v>
      </c>
      <c r="J592" s="146" t="s">
        <v>1712</v>
      </c>
      <c r="K592" s="544" t="s">
        <v>2058</v>
      </c>
      <c r="L592" s="544">
        <v>3.5100000000000002E-4</v>
      </c>
      <c r="M592" s="544">
        <v>3.5100000000000002E-4</v>
      </c>
      <c r="N592" s="544">
        <v>3.5100000000000002E-4</v>
      </c>
      <c r="O592" s="544">
        <v>3.5100000000000002E-4</v>
      </c>
      <c r="P592" s="544">
        <v>3.5100000000000002E-4</v>
      </c>
      <c r="R592" s="543" t="str">
        <f t="shared" si="28"/>
        <v>A0245:新電力おおいた(株)(参考値)事業者全体</v>
      </c>
      <c r="S592" s="544">
        <f t="shared" si="29"/>
        <v>3.5100000000000002E-4</v>
      </c>
    </row>
    <row r="593" spans="2:19">
      <c r="B593" s="146"/>
      <c r="C593" s="146"/>
      <c r="D593" s="543" t="str">
        <f t="shared" si="27"/>
        <v/>
      </c>
      <c r="I593" s="146" t="s">
        <v>1203</v>
      </c>
      <c r="J593" s="146" t="s">
        <v>1713</v>
      </c>
      <c r="K593" s="544"/>
      <c r="L593" s="544">
        <v>5.6700000000000001E-4</v>
      </c>
      <c r="M593" s="544">
        <v>5.6700000000000001E-4</v>
      </c>
      <c r="N593" s="544">
        <v>5.6700000000000001E-4</v>
      </c>
      <c r="O593" s="544">
        <v>5.6700000000000001E-4</v>
      </c>
      <c r="P593" s="544">
        <v>5.6700000000000001E-4</v>
      </c>
      <c r="R593" s="543" t="str">
        <f t="shared" si="28"/>
        <v>A0246:(株)日本セレモニー</v>
      </c>
      <c r="S593" s="544">
        <f t="shared" si="29"/>
        <v>5.6700000000000001E-4</v>
      </c>
    </row>
    <row r="594" spans="2:19">
      <c r="B594" s="146"/>
      <c r="C594" s="146"/>
      <c r="D594" s="543" t="str">
        <f t="shared" si="27"/>
        <v/>
      </c>
      <c r="I594" s="146" t="s">
        <v>1204</v>
      </c>
      <c r="J594" s="146" t="s">
        <v>1714</v>
      </c>
      <c r="K594" s="544"/>
      <c r="L594" s="544">
        <v>6.4700000000000001E-4</v>
      </c>
      <c r="M594" s="544">
        <v>6.4700000000000001E-4</v>
      </c>
      <c r="N594" s="544">
        <v>6.4700000000000001E-4</v>
      </c>
      <c r="O594" s="544">
        <v>6.4700000000000001E-4</v>
      </c>
      <c r="P594" s="544">
        <v>6.4700000000000001E-4</v>
      </c>
      <c r="R594" s="543" t="str">
        <f t="shared" si="28"/>
        <v>A0248:(株)池見石油店</v>
      </c>
      <c r="S594" s="544">
        <f t="shared" si="29"/>
        <v>6.4700000000000001E-4</v>
      </c>
    </row>
    <row r="595" spans="2:19">
      <c r="B595" s="146"/>
      <c r="C595" s="146"/>
      <c r="D595" s="543" t="str">
        <f t="shared" si="27"/>
        <v/>
      </c>
      <c r="I595" s="146" t="s">
        <v>1205</v>
      </c>
      <c r="J595" s="146" t="s">
        <v>1715</v>
      </c>
      <c r="K595" s="544" t="s">
        <v>710</v>
      </c>
      <c r="L595" s="544">
        <v>0</v>
      </c>
      <c r="M595" s="544">
        <v>0</v>
      </c>
      <c r="N595" s="544">
        <v>0</v>
      </c>
      <c r="O595" s="544">
        <v>0</v>
      </c>
      <c r="P595" s="544">
        <v>0</v>
      </c>
      <c r="R595" s="543" t="str">
        <f t="shared" si="28"/>
        <v>A0250:芝浦電力(株)メニューA</v>
      </c>
      <c r="S595" s="544">
        <f t="shared" si="29"/>
        <v>0</v>
      </c>
    </row>
    <row r="596" spans="2:19">
      <c r="B596" s="146"/>
      <c r="C596" s="146"/>
      <c r="D596" s="543" t="str">
        <f t="shared" si="27"/>
        <v/>
      </c>
      <c r="I596" s="146" t="s">
        <v>1205</v>
      </c>
      <c r="J596" s="146" t="s">
        <v>1715</v>
      </c>
      <c r="K596" s="544" t="s">
        <v>787</v>
      </c>
      <c r="L596" s="544">
        <v>5.4299999999999997E-4</v>
      </c>
      <c r="M596" s="544">
        <v>5.4299999999999997E-4</v>
      </c>
      <c r="N596" s="544">
        <v>5.4299999999999997E-4</v>
      </c>
      <c r="O596" s="544">
        <v>5.4299999999999997E-4</v>
      </c>
      <c r="P596" s="544">
        <v>5.4299999999999997E-4</v>
      </c>
      <c r="R596" s="543" t="str">
        <f t="shared" si="28"/>
        <v>A0250:芝浦電力(株)メニューB</v>
      </c>
      <c r="S596" s="544">
        <f t="shared" si="29"/>
        <v>5.4299999999999997E-4</v>
      </c>
    </row>
    <row r="597" spans="2:19">
      <c r="B597" s="146"/>
      <c r="C597" s="146"/>
      <c r="D597" s="543" t="str">
        <f t="shared" si="27"/>
        <v/>
      </c>
      <c r="I597" s="146" t="s">
        <v>1205</v>
      </c>
      <c r="J597" s="146" t="s">
        <v>1715</v>
      </c>
      <c r="K597" s="544" t="s">
        <v>2058</v>
      </c>
      <c r="L597" s="544">
        <v>4.9399999999999997E-4</v>
      </c>
      <c r="M597" s="544">
        <v>4.9399999999999997E-4</v>
      </c>
      <c r="N597" s="544">
        <v>4.9399999999999997E-4</v>
      </c>
      <c r="O597" s="544">
        <v>4.9399999999999997E-4</v>
      </c>
      <c r="P597" s="544">
        <v>4.9399999999999997E-4</v>
      </c>
      <c r="R597" s="543" t="str">
        <f t="shared" si="28"/>
        <v>A0250:芝浦電力(株)(参考値)事業者全体</v>
      </c>
      <c r="S597" s="544">
        <f t="shared" si="29"/>
        <v>4.9399999999999997E-4</v>
      </c>
    </row>
    <row r="598" spans="2:19">
      <c r="B598" s="146"/>
      <c r="C598" s="146"/>
      <c r="D598" s="543" t="str">
        <f t="shared" si="27"/>
        <v/>
      </c>
      <c r="I598" s="146" t="s">
        <v>1206</v>
      </c>
      <c r="J598" s="146" t="s">
        <v>1716</v>
      </c>
      <c r="K598" s="544"/>
      <c r="L598" s="544">
        <v>4.2299999999999998E-4</v>
      </c>
      <c r="M598" s="544">
        <v>4.2299999999999998E-4</v>
      </c>
      <c r="N598" s="544">
        <v>4.2299999999999998E-4</v>
      </c>
      <c r="O598" s="544">
        <v>4.2299999999999998E-4</v>
      </c>
      <c r="P598" s="544">
        <v>4.2299999999999998E-4</v>
      </c>
      <c r="R598" s="543" t="str">
        <f t="shared" si="28"/>
        <v>A0253:(株)地域創生ホールディングス</v>
      </c>
      <c r="S598" s="544">
        <f t="shared" si="29"/>
        <v>4.2299999999999998E-4</v>
      </c>
    </row>
    <row r="599" spans="2:19">
      <c r="B599" s="146"/>
      <c r="C599" s="146"/>
      <c r="D599" s="543" t="str">
        <f t="shared" si="27"/>
        <v/>
      </c>
      <c r="I599" s="146" t="s">
        <v>1207</v>
      </c>
      <c r="J599" s="146" t="s">
        <v>1717</v>
      </c>
      <c r="K599" s="544"/>
      <c r="L599" s="544">
        <v>4.06E-4</v>
      </c>
      <c r="M599" s="544">
        <v>4.06E-4</v>
      </c>
      <c r="N599" s="544">
        <v>4.06E-4</v>
      </c>
      <c r="O599" s="544">
        <v>4.06E-4</v>
      </c>
      <c r="P599" s="544">
        <v>4.06E-4</v>
      </c>
      <c r="R599" s="543" t="str">
        <f t="shared" si="28"/>
        <v>A0256:(株)エーコープサービス</v>
      </c>
      <c r="S599" s="544">
        <f t="shared" si="29"/>
        <v>4.06E-4</v>
      </c>
    </row>
    <row r="600" spans="2:19">
      <c r="B600" s="146"/>
      <c r="C600" s="146"/>
      <c r="D600" s="543" t="str">
        <f t="shared" si="27"/>
        <v/>
      </c>
      <c r="I600" s="146" t="s">
        <v>1208</v>
      </c>
      <c r="J600" s="146" t="s">
        <v>1718</v>
      </c>
      <c r="K600" s="544"/>
      <c r="L600" s="544">
        <v>4.5600000000000003E-4</v>
      </c>
      <c r="M600" s="544">
        <v>4.5600000000000003E-4</v>
      </c>
      <c r="N600" s="544">
        <v>4.5600000000000003E-4</v>
      </c>
      <c r="O600" s="544">
        <v>4.5600000000000003E-4</v>
      </c>
      <c r="P600" s="544">
        <v>4.5600000000000003E-4</v>
      </c>
      <c r="R600" s="543" t="str">
        <f t="shared" si="28"/>
        <v>A0258:宮崎瓦斯(株)(旧：(株)宮崎ガスリビング)</v>
      </c>
      <c r="S600" s="544">
        <f t="shared" si="29"/>
        <v>4.5600000000000003E-4</v>
      </c>
    </row>
    <row r="601" spans="2:19">
      <c r="B601" s="146"/>
      <c r="C601" s="146"/>
      <c r="D601" s="543" t="str">
        <f t="shared" si="27"/>
        <v/>
      </c>
      <c r="I601" s="146" t="s">
        <v>1209</v>
      </c>
      <c r="J601" s="146" t="s">
        <v>1719</v>
      </c>
      <c r="K601" s="544"/>
      <c r="L601" s="544">
        <v>4.3800000000000002E-4</v>
      </c>
      <c r="M601" s="544">
        <v>4.3800000000000002E-4</v>
      </c>
      <c r="N601" s="544">
        <v>4.3800000000000002E-4</v>
      </c>
      <c r="O601" s="544">
        <v>4.3800000000000002E-4</v>
      </c>
      <c r="P601" s="544">
        <v>4.3800000000000002E-4</v>
      </c>
      <c r="R601" s="543" t="str">
        <f t="shared" si="28"/>
        <v>A0259:山陰エレキ・アライアンス(株)</v>
      </c>
      <c r="S601" s="544">
        <f t="shared" si="29"/>
        <v>4.3800000000000002E-4</v>
      </c>
    </row>
    <row r="602" spans="2:19">
      <c r="B602" s="146"/>
      <c r="C602" s="146"/>
      <c r="D602" s="543" t="str">
        <f t="shared" si="27"/>
        <v/>
      </c>
      <c r="I602" s="146" t="s">
        <v>1210</v>
      </c>
      <c r="J602" s="146" t="s">
        <v>1720</v>
      </c>
      <c r="K602" s="544"/>
      <c r="L602" s="544">
        <v>4.5399999999999998E-4</v>
      </c>
      <c r="M602" s="544">
        <v>4.5399999999999998E-4</v>
      </c>
      <c r="N602" s="544">
        <v>4.5399999999999998E-4</v>
      </c>
      <c r="O602" s="544">
        <v>4.5399999999999998E-4</v>
      </c>
      <c r="P602" s="544">
        <v>4.5399999999999998E-4</v>
      </c>
      <c r="R602" s="543" t="str">
        <f t="shared" si="28"/>
        <v>A0260:(株)ジョヴィ</v>
      </c>
      <c r="S602" s="544">
        <f t="shared" si="29"/>
        <v>4.5399999999999998E-4</v>
      </c>
    </row>
    <row r="603" spans="2:19">
      <c r="B603" s="146"/>
      <c r="C603" s="146"/>
      <c r="D603" s="543" t="str">
        <f t="shared" si="27"/>
        <v/>
      </c>
      <c r="I603" s="146" t="s">
        <v>1211</v>
      </c>
      <c r="J603" s="146" t="s">
        <v>1721</v>
      </c>
      <c r="K603" s="544" t="s">
        <v>710</v>
      </c>
      <c r="L603" s="544">
        <v>0</v>
      </c>
      <c r="M603" s="544">
        <v>0</v>
      </c>
      <c r="N603" s="544">
        <v>0</v>
      </c>
      <c r="O603" s="544">
        <v>0</v>
      </c>
      <c r="P603" s="544">
        <v>0</v>
      </c>
      <c r="R603" s="543" t="str">
        <f t="shared" si="28"/>
        <v>A0261:ミライフ東日本(株) メニューA</v>
      </c>
      <c r="S603" s="544">
        <f t="shared" si="29"/>
        <v>0</v>
      </c>
    </row>
    <row r="604" spans="2:19">
      <c r="B604" s="146"/>
      <c r="C604" s="146"/>
      <c r="D604" s="543" t="str">
        <f t="shared" si="27"/>
        <v/>
      </c>
      <c r="I604" s="146" t="s">
        <v>1211</v>
      </c>
      <c r="J604" s="146" t="s">
        <v>1721</v>
      </c>
      <c r="K604" s="544" t="s">
        <v>787</v>
      </c>
      <c r="L604" s="544">
        <v>4.1899999999999999E-4</v>
      </c>
      <c r="M604" s="544">
        <v>4.1899999999999999E-4</v>
      </c>
      <c r="N604" s="544">
        <v>4.1899999999999999E-4</v>
      </c>
      <c r="O604" s="544">
        <v>4.1899999999999999E-4</v>
      </c>
      <c r="P604" s="544">
        <v>4.1899999999999999E-4</v>
      </c>
      <c r="R604" s="543" t="str">
        <f t="shared" si="28"/>
        <v>A0261:ミライフ東日本(株) メニューB</v>
      </c>
      <c r="S604" s="544">
        <f t="shared" si="29"/>
        <v>4.1899999999999999E-4</v>
      </c>
    </row>
    <row r="605" spans="2:19">
      <c r="B605" s="146"/>
      <c r="C605" s="146"/>
      <c r="D605" s="543" t="str">
        <f t="shared" si="27"/>
        <v/>
      </c>
      <c r="I605" s="146" t="s">
        <v>1211</v>
      </c>
      <c r="J605" s="146" t="s">
        <v>1721</v>
      </c>
      <c r="K605" s="544" t="s">
        <v>2058</v>
      </c>
      <c r="L605" s="544">
        <v>4.1899999999999999E-4</v>
      </c>
      <c r="M605" s="544">
        <v>4.1899999999999999E-4</v>
      </c>
      <c r="N605" s="544">
        <v>4.1899999999999999E-4</v>
      </c>
      <c r="O605" s="544">
        <v>4.1899999999999999E-4</v>
      </c>
      <c r="P605" s="544">
        <v>4.1899999999999999E-4</v>
      </c>
      <c r="R605" s="543" t="str">
        <f t="shared" si="28"/>
        <v>A0261:ミライフ東日本(株) (参考値)事業者全体</v>
      </c>
      <c r="S605" s="544">
        <f t="shared" si="29"/>
        <v>4.1899999999999999E-4</v>
      </c>
    </row>
    <row r="606" spans="2:19">
      <c r="B606" s="146"/>
      <c r="C606" s="146"/>
      <c r="D606" s="543" t="str">
        <f t="shared" si="27"/>
        <v/>
      </c>
      <c r="I606" s="146" t="s">
        <v>1212</v>
      </c>
      <c r="J606" s="146" t="s">
        <v>1722</v>
      </c>
      <c r="K606" s="544"/>
      <c r="L606" s="544">
        <v>4.3800000000000002E-4</v>
      </c>
      <c r="M606" s="544">
        <v>4.3800000000000002E-4</v>
      </c>
      <c r="N606" s="544">
        <v>4.3800000000000002E-4</v>
      </c>
      <c r="O606" s="544">
        <v>4.3800000000000002E-4</v>
      </c>
      <c r="P606" s="544">
        <v>4.3800000000000002E-4</v>
      </c>
      <c r="R606" s="543" t="str">
        <f t="shared" si="28"/>
        <v>A0264:山陰酸素工業(株)</v>
      </c>
      <c r="S606" s="544">
        <f t="shared" si="29"/>
        <v>4.3800000000000002E-4</v>
      </c>
    </row>
    <row r="607" spans="2:19">
      <c r="B607" s="146"/>
      <c r="C607" s="146"/>
      <c r="D607" s="543" t="str">
        <f t="shared" si="27"/>
        <v/>
      </c>
      <c r="I607" s="146" t="s">
        <v>1213</v>
      </c>
      <c r="J607" s="146" t="s">
        <v>1723</v>
      </c>
      <c r="K607" s="544" t="s">
        <v>710</v>
      </c>
      <c r="L607" s="544">
        <v>0</v>
      </c>
      <c r="M607" s="544">
        <v>0</v>
      </c>
      <c r="N607" s="544">
        <v>0</v>
      </c>
      <c r="O607" s="544">
        <v>0</v>
      </c>
      <c r="P607" s="544">
        <v>0</v>
      </c>
      <c r="R607" s="543" t="str">
        <f t="shared" si="28"/>
        <v>A0265:武陽ガス(株)メニューA</v>
      </c>
      <c r="S607" s="544">
        <f t="shared" si="29"/>
        <v>0</v>
      </c>
    </row>
    <row r="608" spans="2:19">
      <c r="B608" s="146"/>
      <c r="C608" s="146"/>
      <c r="D608" s="543" t="str">
        <f t="shared" si="27"/>
        <v/>
      </c>
      <c r="I608" s="146" t="s">
        <v>1213</v>
      </c>
      <c r="J608" s="146" t="s">
        <v>1723</v>
      </c>
      <c r="K608" s="544" t="s">
        <v>787</v>
      </c>
      <c r="L608" s="544">
        <v>2.05E-4</v>
      </c>
      <c r="M608" s="544">
        <v>2.05E-4</v>
      </c>
      <c r="N608" s="544">
        <v>2.05E-4</v>
      </c>
      <c r="O608" s="544">
        <v>2.05E-4</v>
      </c>
      <c r="P608" s="544">
        <v>2.05E-4</v>
      </c>
      <c r="R608" s="543" t="str">
        <f t="shared" si="28"/>
        <v>A0265:武陽ガス(株)メニューB</v>
      </c>
      <c r="S608" s="544">
        <f t="shared" si="29"/>
        <v>2.05E-4</v>
      </c>
    </row>
    <row r="609" spans="2:19">
      <c r="B609" s="146"/>
      <c r="C609" s="146"/>
      <c r="D609" s="543" t="str">
        <f t="shared" si="27"/>
        <v/>
      </c>
      <c r="I609" s="146" t="s">
        <v>1213</v>
      </c>
      <c r="J609" s="146" t="s">
        <v>1723</v>
      </c>
      <c r="K609" s="544" t="s">
        <v>788</v>
      </c>
      <c r="L609" s="544">
        <v>4.2099999999999999E-4</v>
      </c>
      <c r="M609" s="544">
        <v>4.2099999999999999E-4</v>
      </c>
      <c r="N609" s="544">
        <v>4.2099999999999999E-4</v>
      </c>
      <c r="O609" s="544">
        <v>4.2099999999999999E-4</v>
      </c>
      <c r="P609" s="544">
        <v>4.2099999999999999E-4</v>
      </c>
      <c r="R609" s="543" t="str">
        <f t="shared" si="28"/>
        <v>A0265:武陽ガス(株)メニューC</v>
      </c>
      <c r="S609" s="544">
        <f t="shared" si="29"/>
        <v>4.2099999999999999E-4</v>
      </c>
    </row>
    <row r="610" spans="2:19">
      <c r="B610" s="146"/>
      <c r="C610" s="146"/>
      <c r="D610" s="543" t="str">
        <f t="shared" si="27"/>
        <v/>
      </c>
      <c r="I610" s="146" t="s">
        <v>1213</v>
      </c>
      <c r="J610" s="146" t="s">
        <v>1723</v>
      </c>
      <c r="K610" s="544" t="s">
        <v>2058</v>
      </c>
      <c r="L610" s="544">
        <v>4.1199999999999999E-4</v>
      </c>
      <c r="M610" s="544">
        <v>4.1199999999999999E-4</v>
      </c>
      <c r="N610" s="544">
        <v>4.1199999999999999E-4</v>
      </c>
      <c r="O610" s="544">
        <v>4.1199999999999999E-4</v>
      </c>
      <c r="P610" s="544">
        <v>4.1199999999999999E-4</v>
      </c>
      <c r="R610" s="543" t="str">
        <f t="shared" si="28"/>
        <v>A0265:武陽ガス(株)(参考値)事業者全体</v>
      </c>
      <c r="S610" s="544">
        <f t="shared" si="29"/>
        <v>4.1199999999999999E-4</v>
      </c>
    </row>
    <row r="611" spans="2:19">
      <c r="B611" s="146"/>
      <c r="C611" s="146"/>
      <c r="D611" s="543" t="str">
        <f t="shared" si="27"/>
        <v/>
      </c>
      <c r="I611" s="146" t="s">
        <v>1214</v>
      </c>
      <c r="J611" s="146" t="s">
        <v>1724</v>
      </c>
      <c r="K611" s="544"/>
      <c r="L611" s="544">
        <v>5.5800000000000001E-4</v>
      </c>
      <c r="M611" s="544">
        <v>5.5800000000000001E-4</v>
      </c>
      <c r="N611" s="544">
        <v>5.5800000000000001E-4</v>
      </c>
      <c r="O611" s="544">
        <v>5.5800000000000001E-4</v>
      </c>
      <c r="P611" s="544">
        <v>5.5800000000000001E-4</v>
      </c>
      <c r="R611" s="543" t="str">
        <f t="shared" si="28"/>
        <v>A0266:常石商事(株)</v>
      </c>
      <c r="S611" s="544">
        <f t="shared" si="29"/>
        <v>5.5800000000000001E-4</v>
      </c>
    </row>
    <row r="612" spans="2:19">
      <c r="B612" s="146"/>
      <c r="C612" s="146"/>
      <c r="D612" s="543" t="str">
        <f t="shared" si="27"/>
        <v/>
      </c>
      <c r="I612" s="146" t="s">
        <v>1215</v>
      </c>
      <c r="J612" s="146" t="s">
        <v>1725</v>
      </c>
      <c r="K612" s="544" t="s">
        <v>710</v>
      </c>
      <c r="L612" s="544">
        <v>0</v>
      </c>
      <c r="M612" s="544">
        <v>0</v>
      </c>
      <c r="N612" s="544">
        <v>0</v>
      </c>
      <c r="O612" s="544">
        <v>0</v>
      </c>
      <c r="P612" s="544">
        <v>0</v>
      </c>
      <c r="R612" s="543" t="str">
        <f t="shared" si="28"/>
        <v>A0267:北海道電力(株)メニューA</v>
      </c>
      <c r="S612" s="544">
        <f t="shared" si="29"/>
        <v>0</v>
      </c>
    </row>
    <row r="613" spans="2:19">
      <c r="B613" s="146"/>
      <c r="C613" s="146"/>
      <c r="D613" s="543" t="str">
        <f t="shared" si="27"/>
        <v/>
      </c>
      <c r="I613" s="146" t="s">
        <v>1215</v>
      </c>
      <c r="J613" s="146" t="s">
        <v>1725</v>
      </c>
      <c r="K613" s="544" t="s">
        <v>787</v>
      </c>
      <c r="L613" s="544">
        <v>0</v>
      </c>
      <c r="M613" s="544">
        <v>0</v>
      </c>
      <c r="N613" s="544">
        <v>0</v>
      </c>
      <c r="O613" s="544">
        <v>0</v>
      </c>
      <c r="P613" s="544">
        <v>0</v>
      </c>
      <c r="R613" s="543" t="str">
        <f t="shared" si="28"/>
        <v>A0267:北海道電力(株)メニューB</v>
      </c>
      <c r="S613" s="544">
        <f t="shared" si="29"/>
        <v>0</v>
      </c>
    </row>
    <row r="614" spans="2:19">
      <c r="B614" s="146"/>
      <c r="C614" s="146"/>
      <c r="D614" s="543" t="str">
        <f t="shared" si="27"/>
        <v/>
      </c>
      <c r="I614" s="146" t="s">
        <v>1215</v>
      </c>
      <c r="J614" s="146" t="s">
        <v>1725</v>
      </c>
      <c r="K614" s="544" t="s">
        <v>788</v>
      </c>
      <c r="L614" s="544">
        <v>0</v>
      </c>
      <c r="M614" s="544">
        <v>0</v>
      </c>
      <c r="N614" s="544">
        <v>0</v>
      </c>
      <c r="O614" s="544">
        <v>0</v>
      </c>
      <c r="P614" s="544">
        <v>0</v>
      </c>
      <c r="R614" s="543" t="str">
        <f t="shared" si="28"/>
        <v>A0267:北海道電力(株)メニューC</v>
      </c>
      <c r="S614" s="544">
        <f t="shared" si="29"/>
        <v>0</v>
      </c>
    </row>
    <row r="615" spans="2:19">
      <c r="B615" s="146"/>
      <c r="C615" s="146"/>
      <c r="D615" s="543" t="str">
        <f t="shared" si="27"/>
        <v/>
      </c>
      <c r="I615" s="146" t="s">
        <v>1215</v>
      </c>
      <c r="J615" s="146" t="s">
        <v>1725</v>
      </c>
      <c r="K615" s="544" t="s">
        <v>974</v>
      </c>
      <c r="L615" s="544">
        <v>0</v>
      </c>
      <c r="M615" s="544">
        <v>0</v>
      </c>
      <c r="N615" s="544">
        <v>0</v>
      </c>
      <c r="O615" s="544">
        <v>0</v>
      </c>
      <c r="P615" s="544">
        <v>0</v>
      </c>
      <c r="R615" s="543" t="str">
        <f t="shared" si="28"/>
        <v>A0267:北海道電力(株)メニューD</v>
      </c>
      <c r="S615" s="544">
        <f t="shared" si="29"/>
        <v>0</v>
      </c>
    </row>
    <row r="616" spans="2:19">
      <c r="B616" s="146"/>
      <c r="C616" s="146"/>
      <c r="D616" s="543" t="str">
        <f t="shared" si="27"/>
        <v/>
      </c>
      <c r="I616" s="146" t="s">
        <v>1215</v>
      </c>
      <c r="J616" s="146" t="s">
        <v>1725</v>
      </c>
      <c r="K616" s="544" t="s">
        <v>975</v>
      </c>
      <c r="L616" s="544">
        <v>0</v>
      </c>
      <c r="M616" s="544">
        <v>0</v>
      </c>
      <c r="N616" s="544">
        <v>0</v>
      </c>
      <c r="O616" s="544">
        <v>0</v>
      </c>
      <c r="P616" s="544">
        <v>0</v>
      </c>
      <c r="R616" s="543" t="str">
        <f t="shared" si="28"/>
        <v>A0267:北海道電力(株)メニューE</v>
      </c>
      <c r="S616" s="544">
        <f t="shared" si="29"/>
        <v>0</v>
      </c>
    </row>
    <row r="617" spans="2:19">
      <c r="B617" s="146"/>
      <c r="C617" s="146"/>
      <c r="D617" s="543" t="str">
        <f t="shared" si="27"/>
        <v/>
      </c>
      <c r="I617" s="146" t="s">
        <v>1215</v>
      </c>
      <c r="J617" s="146" t="s">
        <v>1725</v>
      </c>
      <c r="K617" s="544" t="s">
        <v>2059</v>
      </c>
      <c r="L617" s="544">
        <v>5.2599999999999999E-4</v>
      </c>
      <c r="M617" s="544">
        <v>5.2599999999999999E-4</v>
      </c>
      <c r="N617" s="544">
        <v>5.2599999999999999E-4</v>
      </c>
      <c r="O617" s="544">
        <v>5.2599999999999999E-4</v>
      </c>
      <c r="P617" s="544">
        <v>5.2599999999999999E-4</v>
      </c>
      <c r="R617" s="543" t="str">
        <f t="shared" si="28"/>
        <v>A0267:北海道電力(株)メニューF</v>
      </c>
      <c r="S617" s="544">
        <f t="shared" si="29"/>
        <v>5.2599999999999999E-4</v>
      </c>
    </row>
    <row r="618" spans="2:19">
      <c r="B618" s="146"/>
      <c r="C618" s="146"/>
      <c r="D618" s="543" t="str">
        <f t="shared" si="27"/>
        <v/>
      </c>
      <c r="I618" s="146" t="s">
        <v>1215</v>
      </c>
      <c r="J618" s="146" t="s">
        <v>1725</v>
      </c>
      <c r="K618" s="544" t="s">
        <v>2058</v>
      </c>
      <c r="L618" s="544">
        <v>5.1800000000000001E-4</v>
      </c>
      <c r="M618" s="544">
        <v>5.1800000000000001E-4</v>
      </c>
      <c r="N618" s="544">
        <v>5.1800000000000001E-4</v>
      </c>
      <c r="O618" s="544">
        <v>5.1800000000000001E-4</v>
      </c>
      <c r="P618" s="544">
        <v>5.1800000000000001E-4</v>
      </c>
      <c r="R618" s="543" t="str">
        <f t="shared" si="28"/>
        <v>A0267:北海道電力(株)(参考値)事業者全体</v>
      </c>
      <c r="S618" s="544">
        <f t="shared" si="29"/>
        <v>5.1800000000000001E-4</v>
      </c>
    </row>
    <row r="619" spans="2:19">
      <c r="B619" s="146"/>
      <c r="C619" s="146"/>
      <c r="D619" s="543" t="str">
        <f t="shared" si="27"/>
        <v/>
      </c>
      <c r="I619" s="146" t="s">
        <v>1216</v>
      </c>
      <c r="J619" s="146" t="s">
        <v>1726</v>
      </c>
      <c r="K619" s="544" t="s">
        <v>710</v>
      </c>
      <c r="L619" s="544">
        <v>0</v>
      </c>
      <c r="M619" s="544">
        <v>0</v>
      </c>
      <c r="N619" s="544">
        <v>0</v>
      </c>
      <c r="O619" s="544">
        <v>0</v>
      </c>
      <c r="P619" s="544">
        <v>0</v>
      </c>
      <c r="R619" s="543" t="str">
        <f t="shared" si="28"/>
        <v>A0268:東北電力(株)メニューA</v>
      </c>
      <c r="S619" s="544">
        <f t="shared" si="29"/>
        <v>0</v>
      </c>
    </row>
    <row r="620" spans="2:19">
      <c r="B620" s="146"/>
      <c r="C620" s="146"/>
      <c r="D620" s="543" t="str">
        <f t="shared" si="27"/>
        <v/>
      </c>
      <c r="I620" s="146" t="s">
        <v>1216</v>
      </c>
      <c r="J620" s="146" t="s">
        <v>1726</v>
      </c>
      <c r="K620" s="544" t="s">
        <v>787</v>
      </c>
      <c r="L620" s="544">
        <v>0</v>
      </c>
      <c r="M620" s="544">
        <v>0</v>
      </c>
      <c r="N620" s="544">
        <v>0</v>
      </c>
      <c r="O620" s="544">
        <v>0</v>
      </c>
      <c r="P620" s="544">
        <v>0</v>
      </c>
      <c r="R620" s="543" t="str">
        <f t="shared" si="28"/>
        <v>A0268:東北電力(株)メニューB</v>
      </c>
      <c r="S620" s="544">
        <f t="shared" si="29"/>
        <v>0</v>
      </c>
    </row>
    <row r="621" spans="2:19">
      <c r="B621" s="146"/>
      <c r="C621" s="146"/>
      <c r="D621" s="543" t="str">
        <f t="shared" si="27"/>
        <v/>
      </c>
      <c r="I621" s="146" t="s">
        <v>1216</v>
      </c>
      <c r="J621" s="146" t="s">
        <v>1726</v>
      </c>
      <c r="K621" s="544" t="s">
        <v>788</v>
      </c>
      <c r="L621" s="544">
        <v>0</v>
      </c>
      <c r="M621" s="544">
        <v>0</v>
      </c>
      <c r="N621" s="544">
        <v>0</v>
      </c>
      <c r="O621" s="544">
        <v>0</v>
      </c>
      <c r="P621" s="544">
        <v>0</v>
      </c>
      <c r="R621" s="543" t="str">
        <f t="shared" si="28"/>
        <v>A0268:東北電力(株)メニューC</v>
      </c>
      <c r="S621" s="544">
        <f t="shared" si="29"/>
        <v>0</v>
      </c>
    </row>
    <row r="622" spans="2:19">
      <c r="B622" s="146"/>
      <c r="C622" s="146"/>
      <c r="D622" s="543" t="str">
        <f t="shared" si="27"/>
        <v/>
      </c>
      <c r="I622" s="146" t="s">
        <v>1216</v>
      </c>
      <c r="J622" s="146" t="s">
        <v>1726</v>
      </c>
      <c r="K622" s="544" t="s">
        <v>974</v>
      </c>
      <c r="L622" s="544">
        <v>4.2099999999999999E-4</v>
      </c>
      <c r="M622" s="544">
        <v>4.2099999999999999E-4</v>
      </c>
      <c r="N622" s="544">
        <v>4.2099999999999999E-4</v>
      </c>
      <c r="O622" s="544">
        <v>4.2099999999999999E-4</v>
      </c>
      <c r="P622" s="544">
        <v>4.2099999999999999E-4</v>
      </c>
      <c r="R622" s="543" t="str">
        <f t="shared" si="28"/>
        <v>A0268:東北電力(株)メニューD</v>
      </c>
      <c r="S622" s="544">
        <f t="shared" si="29"/>
        <v>4.2099999999999999E-4</v>
      </c>
    </row>
    <row r="623" spans="2:19">
      <c r="B623" s="146"/>
      <c r="C623" s="146"/>
      <c r="D623" s="543" t="str">
        <f t="shared" si="27"/>
        <v/>
      </c>
      <c r="I623" s="146" t="s">
        <v>1216</v>
      </c>
      <c r="J623" s="146" t="s">
        <v>1726</v>
      </c>
      <c r="K623" s="544" t="s">
        <v>2058</v>
      </c>
      <c r="L623" s="544">
        <v>4.0000000000000002E-4</v>
      </c>
      <c r="M623" s="544">
        <v>4.0000000000000002E-4</v>
      </c>
      <c r="N623" s="544">
        <v>4.0000000000000002E-4</v>
      </c>
      <c r="O623" s="544">
        <v>4.0000000000000002E-4</v>
      </c>
      <c r="P623" s="544">
        <v>4.0000000000000002E-4</v>
      </c>
      <c r="R623" s="543" t="str">
        <f t="shared" si="28"/>
        <v>A0268:東北電力(株)(参考値)事業者全体</v>
      </c>
      <c r="S623" s="544">
        <f t="shared" si="29"/>
        <v>4.0000000000000002E-4</v>
      </c>
    </row>
    <row r="624" spans="2:19">
      <c r="B624" s="146"/>
      <c r="C624" s="146"/>
      <c r="D624" s="543" t="str">
        <f t="shared" si="27"/>
        <v/>
      </c>
      <c r="I624" s="146" t="s">
        <v>1039</v>
      </c>
      <c r="J624" s="146" t="s">
        <v>967</v>
      </c>
      <c r="K624" s="544" t="s">
        <v>710</v>
      </c>
      <c r="L624" s="544">
        <v>0</v>
      </c>
      <c r="M624" s="544">
        <v>0</v>
      </c>
      <c r="N624" s="544">
        <v>0</v>
      </c>
      <c r="O624" s="544">
        <v>0</v>
      </c>
      <c r="P624" s="544">
        <v>0</v>
      </c>
      <c r="R624" s="543" t="str">
        <f t="shared" si="28"/>
        <v>A0269:東京電力エナジーパートナー(株)メニューA</v>
      </c>
      <c r="S624" s="544">
        <f t="shared" si="29"/>
        <v>0</v>
      </c>
    </row>
    <row r="625" spans="2:19">
      <c r="B625" s="146"/>
      <c r="C625" s="146"/>
      <c r="D625" s="543" t="str">
        <f t="shared" si="27"/>
        <v/>
      </c>
      <c r="I625" s="146" t="s">
        <v>1039</v>
      </c>
      <c r="J625" s="146" t="s">
        <v>967</v>
      </c>
      <c r="K625" s="544" t="s">
        <v>787</v>
      </c>
      <c r="L625" s="544">
        <v>0</v>
      </c>
      <c r="M625" s="544">
        <v>0</v>
      </c>
      <c r="N625" s="544">
        <v>0</v>
      </c>
      <c r="O625" s="544">
        <v>0</v>
      </c>
      <c r="P625" s="544">
        <v>0</v>
      </c>
      <c r="R625" s="543" t="str">
        <f t="shared" si="28"/>
        <v>A0269:東京電力エナジーパートナー(株)メニューB</v>
      </c>
      <c r="S625" s="544">
        <f t="shared" si="29"/>
        <v>0</v>
      </c>
    </row>
    <row r="626" spans="2:19">
      <c r="B626" s="146"/>
      <c r="C626" s="146"/>
      <c r="D626" s="543" t="str">
        <f t="shared" si="27"/>
        <v/>
      </c>
      <c r="I626" s="146" t="s">
        <v>1039</v>
      </c>
      <c r="J626" s="146" t="s">
        <v>967</v>
      </c>
      <c r="K626" s="544" t="s">
        <v>788</v>
      </c>
      <c r="L626" s="544">
        <v>0</v>
      </c>
      <c r="M626" s="544">
        <v>0</v>
      </c>
      <c r="N626" s="544">
        <v>0</v>
      </c>
      <c r="O626" s="544">
        <v>0</v>
      </c>
      <c r="P626" s="544">
        <v>0</v>
      </c>
      <c r="R626" s="543" t="str">
        <f t="shared" si="28"/>
        <v>A0269:東京電力エナジーパートナー(株)メニューC</v>
      </c>
      <c r="S626" s="544">
        <f t="shared" si="29"/>
        <v>0</v>
      </c>
    </row>
    <row r="627" spans="2:19">
      <c r="B627" s="146"/>
      <c r="C627" s="146"/>
      <c r="D627" s="543" t="str">
        <f t="shared" si="27"/>
        <v/>
      </c>
      <c r="I627" s="146" t="s">
        <v>1039</v>
      </c>
      <c r="J627" s="146" t="s">
        <v>967</v>
      </c>
      <c r="K627" s="544" t="s">
        <v>974</v>
      </c>
      <c r="L627" s="544">
        <v>0</v>
      </c>
      <c r="M627" s="544">
        <v>0</v>
      </c>
      <c r="N627" s="544">
        <v>0</v>
      </c>
      <c r="O627" s="544">
        <v>0</v>
      </c>
      <c r="P627" s="544">
        <v>0</v>
      </c>
      <c r="R627" s="543" t="str">
        <f t="shared" si="28"/>
        <v>A0269:東京電力エナジーパートナー(株)メニューD</v>
      </c>
      <c r="S627" s="544">
        <f t="shared" si="29"/>
        <v>0</v>
      </c>
    </row>
    <row r="628" spans="2:19">
      <c r="B628" s="146"/>
      <c r="C628" s="146"/>
      <c r="D628" s="543" t="str">
        <f t="shared" si="27"/>
        <v/>
      </c>
      <c r="I628" s="146" t="s">
        <v>1039</v>
      </c>
      <c r="J628" s="146" t="s">
        <v>967</v>
      </c>
      <c r="K628" s="544" t="s">
        <v>975</v>
      </c>
      <c r="L628" s="544">
        <v>0</v>
      </c>
      <c r="M628" s="544">
        <v>0</v>
      </c>
      <c r="N628" s="544">
        <v>0</v>
      </c>
      <c r="O628" s="544">
        <v>0</v>
      </c>
      <c r="P628" s="544">
        <v>0</v>
      </c>
      <c r="R628" s="543" t="str">
        <f t="shared" si="28"/>
        <v>A0269:東京電力エナジーパートナー(株)メニューE</v>
      </c>
      <c r="S628" s="544">
        <f t="shared" si="29"/>
        <v>0</v>
      </c>
    </row>
    <row r="629" spans="2:19">
      <c r="B629" s="146"/>
      <c r="C629" s="146"/>
      <c r="D629" s="543" t="str">
        <f t="shared" si="27"/>
        <v/>
      </c>
      <c r="I629" s="146" t="s">
        <v>1039</v>
      </c>
      <c r="J629" s="146" t="s">
        <v>967</v>
      </c>
      <c r="K629" s="544" t="s">
        <v>2059</v>
      </c>
      <c r="L629" s="544">
        <v>0</v>
      </c>
      <c r="M629" s="544">
        <v>0</v>
      </c>
      <c r="N629" s="544">
        <v>0</v>
      </c>
      <c r="O629" s="544">
        <v>0</v>
      </c>
      <c r="P629" s="544">
        <v>0</v>
      </c>
      <c r="R629" s="543" t="str">
        <f t="shared" si="28"/>
        <v>A0269:東京電力エナジーパートナー(株)メニューF</v>
      </c>
      <c r="S629" s="544">
        <f t="shared" si="29"/>
        <v>0</v>
      </c>
    </row>
    <row r="630" spans="2:19">
      <c r="B630" s="146"/>
      <c r="C630" s="146"/>
      <c r="D630" s="543" t="str">
        <f t="shared" si="27"/>
        <v/>
      </c>
      <c r="I630" s="146" t="s">
        <v>1039</v>
      </c>
      <c r="J630" s="146" t="s">
        <v>967</v>
      </c>
      <c r="K630" s="544" t="s">
        <v>2060</v>
      </c>
      <c r="L630" s="544">
        <v>0</v>
      </c>
      <c r="M630" s="544">
        <v>0</v>
      </c>
      <c r="N630" s="544">
        <v>0</v>
      </c>
      <c r="O630" s="544">
        <v>0</v>
      </c>
      <c r="P630" s="544">
        <v>0</v>
      </c>
      <c r="R630" s="543" t="str">
        <f t="shared" si="28"/>
        <v>A0269:東京電力エナジーパートナー(株)メニューG</v>
      </c>
      <c r="S630" s="544">
        <f t="shared" si="29"/>
        <v>0</v>
      </c>
    </row>
    <row r="631" spans="2:19">
      <c r="B631" s="146"/>
      <c r="C631" s="146"/>
      <c r="D631" s="543" t="str">
        <f t="shared" si="27"/>
        <v/>
      </c>
      <c r="I631" s="146" t="s">
        <v>1039</v>
      </c>
      <c r="J631" s="146" t="s">
        <v>967</v>
      </c>
      <c r="K631" s="544" t="s">
        <v>2061</v>
      </c>
      <c r="L631" s="544">
        <v>0</v>
      </c>
      <c r="M631" s="544">
        <v>0</v>
      </c>
      <c r="N631" s="544">
        <v>0</v>
      </c>
      <c r="O631" s="544">
        <v>0</v>
      </c>
      <c r="P631" s="544">
        <v>0</v>
      </c>
      <c r="R631" s="543" t="str">
        <f t="shared" si="28"/>
        <v>A0269:東京電力エナジーパートナー(株)メニューH</v>
      </c>
      <c r="S631" s="544">
        <f t="shared" si="29"/>
        <v>0</v>
      </c>
    </row>
    <row r="632" spans="2:19">
      <c r="B632" s="146"/>
      <c r="C632" s="146"/>
      <c r="D632" s="543" t="str">
        <f t="shared" si="27"/>
        <v/>
      </c>
      <c r="I632" s="146" t="s">
        <v>1039</v>
      </c>
      <c r="J632" s="146" t="s">
        <v>967</v>
      </c>
      <c r="K632" s="544" t="s">
        <v>2062</v>
      </c>
      <c r="L632" s="544">
        <v>0</v>
      </c>
      <c r="M632" s="544">
        <v>0</v>
      </c>
      <c r="N632" s="544">
        <v>0</v>
      </c>
      <c r="O632" s="544">
        <v>0</v>
      </c>
      <c r="P632" s="544">
        <v>0</v>
      </c>
      <c r="R632" s="543" t="str">
        <f t="shared" si="28"/>
        <v>A0269:東京電力エナジーパートナー(株)メニューI</v>
      </c>
      <c r="S632" s="544">
        <f t="shared" si="29"/>
        <v>0</v>
      </c>
    </row>
    <row r="633" spans="2:19">
      <c r="B633" s="146"/>
      <c r="C633" s="146"/>
      <c r="D633" s="543" t="str">
        <f t="shared" si="27"/>
        <v/>
      </c>
      <c r="I633" s="146" t="s">
        <v>1039</v>
      </c>
      <c r="J633" s="146" t="s">
        <v>967</v>
      </c>
      <c r="K633" s="544" t="s">
        <v>2063</v>
      </c>
      <c r="L633" s="544">
        <v>0</v>
      </c>
      <c r="M633" s="544">
        <v>0</v>
      </c>
      <c r="N633" s="544">
        <v>0</v>
      </c>
      <c r="O633" s="544">
        <v>0</v>
      </c>
      <c r="P633" s="544">
        <v>0</v>
      </c>
      <c r="R633" s="543" t="str">
        <f t="shared" si="28"/>
        <v>A0269:東京電力エナジーパートナー(株)メニューJ</v>
      </c>
      <c r="S633" s="544">
        <f t="shared" si="29"/>
        <v>0</v>
      </c>
    </row>
    <row r="634" spans="2:19">
      <c r="B634" s="146"/>
      <c r="C634" s="146"/>
      <c r="D634" s="543" t="str">
        <f t="shared" si="27"/>
        <v/>
      </c>
      <c r="I634" s="146" t="s">
        <v>1039</v>
      </c>
      <c r="J634" s="146" t="s">
        <v>967</v>
      </c>
      <c r="K634" s="544" t="s">
        <v>2064</v>
      </c>
      <c r="L634" s="544">
        <v>0</v>
      </c>
      <c r="M634" s="544">
        <v>0</v>
      </c>
      <c r="N634" s="544">
        <v>0</v>
      </c>
      <c r="O634" s="544">
        <v>0</v>
      </c>
      <c r="P634" s="544">
        <v>0</v>
      </c>
      <c r="R634" s="543" t="str">
        <f t="shared" si="28"/>
        <v>A0269:東京電力エナジーパートナー(株)メニューK</v>
      </c>
      <c r="S634" s="544">
        <f t="shared" si="29"/>
        <v>0</v>
      </c>
    </row>
    <row r="635" spans="2:19">
      <c r="B635" s="146"/>
      <c r="C635" s="146"/>
      <c r="D635" s="543" t="str">
        <f t="shared" si="27"/>
        <v/>
      </c>
      <c r="I635" s="146" t="s">
        <v>1039</v>
      </c>
      <c r="J635" s="146" t="s">
        <v>967</v>
      </c>
      <c r="K635" s="544" t="s">
        <v>2065</v>
      </c>
      <c r="L635" s="544">
        <v>0</v>
      </c>
      <c r="M635" s="544">
        <v>0</v>
      </c>
      <c r="N635" s="544">
        <v>0</v>
      </c>
      <c r="O635" s="544">
        <v>0</v>
      </c>
      <c r="P635" s="544">
        <v>0</v>
      </c>
      <c r="R635" s="543" t="str">
        <f t="shared" si="28"/>
        <v>A0269:東京電力エナジーパートナー(株)メニューL</v>
      </c>
      <c r="S635" s="544">
        <f t="shared" si="29"/>
        <v>0</v>
      </c>
    </row>
    <row r="636" spans="2:19">
      <c r="B636" s="146"/>
      <c r="C636" s="146"/>
      <c r="D636" s="543" t="str">
        <f t="shared" si="27"/>
        <v/>
      </c>
      <c r="I636" s="146" t="s">
        <v>1039</v>
      </c>
      <c r="J636" s="146" t="s">
        <v>967</v>
      </c>
      <c r="K636" s="544" t="s">
        <v>2066</v>
      </c>
      <c r="L636" s="544">
        <v>4.5199999999999998E-4</v>
      </c>
      <c r="M636" s="544">
        <v>4.5199999999999998E-4</v>
      </c>
      <c r="N636" s="544">
        <v>4.5199999999999998E-4</v>
      </c>
      <c r="O636" s="544">
        <v>4.5199999999999998E-4</v>
      </c>
      <c r="P636" s="544">
        <v>4.5199999999999998E-4</v>
      </c>
      <c r="R636" s="543" t="str">
        <f t="shared" si="28"/>
        <v>A0269:東京電力エナジーパートナー(株)メニューM</v>
      </c>
      <c r="S636" s="544">
        <f t="shared" si="29"/>
        <v>4.5199999999999998E-4</v>
      </c>
    </row>
    <row r="637" spans="2:19">
      <c r="B637" s="146"/>
      <c r="C637" s="146"/>
      <c r="D637" s="543" t="str">
        <f t="shared" si="27"/>
        <v/>
      </c>
      <c r="I637" s="146" t="s">
        <v>1039</v>
      </c>
      <c r="J637" s="146" t="s">
        <v>967</v>
      </c>
      <c r="K637" s="544" t="s">
        <v>2058</v>
      </c>
      <c r="L637" s="544">
        <v>4.2099999999999999E-4</v>
      </c>
      <c r="M637" s="544">
        <v>4.2099999999999999E-4</v>
      </c>
      <c r="N637" s="544">
        <v>4.2099999999999999E-4</v>
      </c>
      <c r="O637" s="544">
        <v>4.2099999999999999E-4</v>
      </c>
      <c r="P637" s="544">
        <v>4.2099999999999999E-4</v>
      </c>
      <c r="R637" s="543" t="str">
        <f t="shared" si="28"/>
        <v>A0269:東京電力エナジーパートナー(株)(参考値)事業者全体</v>
      </c>
      <c r="S637" s="544">
        <f t="shared" si="29"/>
        <v>4.2099999999999999E-4</v>
      </c>
    </row>
    <row r="638" spans="2:19">
      <c r="B638" s="146"/>
      <c r="C638" s="146"/>
      <c r="D638" s="543" t="str">
        <f t="shared" si="27"/>
        <v/>
      </c>
      <c r="I638" s="146" t="s">
        <v>1217</v>
      </c>
      <c r="J638" s="146" t="s">
        <v>1727</v>
      </c>
      <c r="K638" s="544" t="s">
        <v>710</v>
      </c>
      <c r="L638" s="544">
        <v>0</v>
      </c>
      <c r="M638" s="544">
        <v>0</v>
      </c>
      <c r="N638" s="544">
        <v>0</v>
      </c>
      <c r="O638" s="544">
        <v>0</v>
      </c>
      <c r="P638" s="544">
        <v>0</v>
      </c>
      <c r="R638" s="543" t="str">
        <f t="shared" si="28"/>
        <v>A0270:中部電力ミライズ(株)メニューA</v>
      </c>
      <c r="S638" s="544">
        <f t="shared" si="29"/>
        <v>0</v>
      </c>
    </row>
    <row r="639" spans="2:19">
      <c r="B639" s="146"/>
      <c r="C639" s="146"/>
      <c r="D639" s="543" t="str">
        <f t="shared" si="27"/>
        <v/>
      </c>
      <c r="I639" s="146" t="s">
        <v>1217</v>
      </c>
      <c r="J639" s="146" t="s">
        <v>1727</v>
      </c>
      <c r="K639" s="544" t="s">
        <v>787</v>
      </c>
      <c r="L639" s="544">
        <v>4.1100000000000002E-4</v>
      </c>
      <c r="M639" s="544">
        <v>4.1100000000000002E-4</v>
      </c>
      <c r="N639" s="544">
        <v>4.1100000000000002E-4</v>
      </c>
      <c r="O639" s="544">
        <v>4.1100000000000002E-4</v>
      </c>
      <c r="P639" s="544">
        <v>4.1100000000000002E-4</v>
      </c>
      <c r="R639" s="543" t="str">
        <f t="shared" si="28"/>
        <v>A0270:中部電力ミライズ(株)メニューB</v>
      </c>
      <c r="S639" s="544">
        <f t="shared" si="29"/>
        <v>4.1100000000000002E-4</v>
      </c>
    </row>
    <row r="640" spans="2:19">
      <c r="B640" s="146"/>
      <c r="C640" s="146"/>
      <c r="D640" s="543" t="str">
        <f t="shared" si="27"/>
        <v/>
      </c>
      <c r="I640" s="146" t="s">
        <v>1217</v>
      </c>
      <c r="J640" s="146" t="s">
        <v>1727</v>
      </c>
      <c r="K640" s="544" t="s">
        <v>2058</v>
      </c>
      <c r="L640" s="544">
        <v>3.7599999999999998E-4</v>
      </c>
      <c r="M640" s="544">
        <v>3.7599999999999998E-4</v>
      </c>
      <c r="N640" s="544">
        <v>3.7599999999999998E-4</v>
      </c>
      <c r="O640" s="544">
        <v>3.7599999999999998E-4</v>
      </c>
      <c r="P640" s="544">
        <v>3.7599999999999998E-4</v>
      </c>
      <c r="R640" s="543" t="str">
        <f t="shared" si="28"/>
        <v>A0270:中部電力ミライズ(株)(参考値)事業者全体</v>
      </c>
      <c r="S640" s="544">
        <f t="shared" si="29"/>
        <v>3.7599999999999998E-4</v>
      </c>
    </row>
    <row r="641" spans="2:19">
      <c r="B641" s="146"/>
      <c r="C641" s="146"/>
      <c r="D641" s="543" t="str">
        <f t="shared" si="27"/>
        <v/>
      </c>
      <c r="I641" s="146" t="s">
        <v>1218</v>
      </c>
      <c r="J641" s="146" t="s">
        <v>1728</v>
      </c>
      <c r="K641" s="544" t="s">
        <v>710</v>
      </c>
      <c r="L641" s="544">
        <v>0</v>
      </c>
      <c r="M641" s="544">
        <v>0</v>
      </c>
      <c r="N641" s="544">
        <v>0</v>
      </c>
      <c r="O641" s="544">
        <v>0</v>
      </c>
      <c r="P641" s="544">
        <v>0</v>
      </c>
      <c r="R641" s="543" t="str">
        <f t="shared" si="28"/>
        <v>A0271:北陸電力(株)メニューA</v>
      </c>
      <c r="S641" s="544">
        <f t="shared" si="29"/>
        <v>0</v>
      </c>
    </row>
    <row r="642" spans="2:19">
      <c r="B642" s="146"/>
      <c r="C642" s="146"/>
      <c r="D642" s="543" t="str">
        <f t="shared" si="27"/>
        <v/>
      </c>
      <c r="I642" s="146" t="s">
        <v>1218</v>
      </c>
      <c r="J642" s="146" t="s">
        <v>1728</v>
      </c>
      <c r="K642" s="544" t="s">
        <v>787</v>
      </c>
      <c r="L642" s="544">
        <v>4.55E-4</v>
      </c>
      <c r="M642" s="544">
        <v>4.55E-4</v>
      </c>
      <c r="N642" s="544">
        <v>4.55E-4</v>
      </c>
      <c r="O642" s="544">
        <v>4.55E-4</v>
      </c>
      <c r="P642" s="544">
        <v>4.55E-4</v>
      </c>
      <c r="R642" s="543" t="str">
        <f t="shared" si="28"/>
        <v>A0271:北陸電力(株)メニューB</v>
      </c>
      <c r="S642" s="544">
        <f t="shared" si="29"/>
        <v>4.55E-4</v>
      </c>
    </row>
    <row r="643" spans="2:19">
      <c r="B643" s="146"/>
      <c r="C643" s="146"/>
      <c r="D643" s="543" t="str">
        <f t="shared" si="27"/>
        <v/>
      </c>
      <c r="I643" s="146" t="s">
        <v>1218</v>
      </c>
      <c r="J643" s="146" t="s">
        <v>1728</v>
      </c>
      <c r="K643" s="544" t="s">
        <v>2058</v>
      </c>
      <c r="L643" s="544">
        <v>4.3100000000000001E-4</v>
      </c>
      <c r="M643" s="544">
        <v>4.3100000000000001E-4</v>
      </c>
      <c r="N643" s="544">
        <v>4.3100000000000001E-4</v>
      </c>
      <c r="O643" s="544">
        <v>4.3100000000000001E-4</v>
      </c>
      <c r="P643" s="544">
        <v>4.3100000000000001E-4</v>
      </c>
      <c r="R643" s="543" t="str">
        <f t="shared" si="28"/>
        <v>A0271:北陸電力(株)(参考値)事業者全体</v>
      </c>
      <c r="S643" s="544">
        <f t="shared" si="29"/>
        <v>4.3100000000000001E-4</v>
      </c>
    </row>
    <row r="644" spans="2:19">
      <c r="B644" s="146"/>
      <c r="C644" s="146"/>
      <c r="D644" s="543" t="str">
        <f t="shared" si="27"/>
        <v/>
      </c>
      <c r="I644" s="146" t="s">
        <v>1219</v>
      </c>
      <c r="J644" s="146" t="s">
        <v>1729</v>
      </c>
      <c r="K644" s="544" t="s">
        <v>710</v>
      </c>
      <c r="L644" s="544">
        <v>0</v>
      </c>
      <c r="M644" s="544">
        <v>0</v>
      </c>
      <c r="N644" s="544">
        <v>0</v>
      </c>
      <c r="O644" s="544">
        <v>0</v>
      </c>
      <c r="P644" s="544">
        <v>0</v>
      </c>
      <c r="R644" s="543" t="str">
        <f t="shared" si="28"/>
        <v>A0272:関西電力(株)メニューA</v>
      </c>
      <c r="S644" s="544">
        <f t="shared" si="29"/>
        <v>0</v>
      </c>
    </row>
    <row r="645" spans="2:19">
      <c r="B645" s="146"/>
      <c r="C645" s="146"/>
      <c r="D645" s="543" t="str">
        <f t="shared" si="27"/>
        <v/>
      </c>
      <c r="I645" s="146" t="s">
        <v>1219</v>
      </c>
      <c r="J645" s="146" t="s">
        <v>1729</v>
      </c>
      <c r="K645" s="544" t="s">
        <v>787</v>
      </c>
      <c r="L645" s="544">
        <v>0</v>
      </c>
      <c r="M645" s="544">
        <v>0</v>
      </c>
      <c r="N645" s="544">
        <v>0</v>
      </c>
      <c r="O645" s="544">
        <v>0</v>
      </c>
      <c r="P645" s="544">
        <v>0</v>
      </c>
      <c r="R645" s="543" t="str">
        <f t="shared" si="28"/>
        <v>A0272:関西電力(株)メニューB</v>
      </c>
      <c r="S645" s="544">
        <f t="shared" si="29"/>
        <v>0</v>
      </c>
    </row>
    <row r="646" spans="2:19">
      <c r="B646" s="146"/>
      <c r="C646" s="146"/>
      <c r="D646" s="543" t="str">
        <f t="shared" si="27"/>
        <v/>
      </c>
      <c r="I646" s="146" t="s">
        <v>1219</v>
      </c>
      <c r="J646" s="146" t="s">
        <v>1729</v>
      </c>
      <c r="K646" s="544" t="s">
        <v>788</v>
      </c>
      <c r="L646" s="544">
        <v>0</v>
      </c>
      <c r="M646" s="544">
        <v>0</v>
      </c>
      <c r="N646" s="544">
        <v>0</v>
      </c>
      <c r="O646" s="544">
        <v>0</v>
      </c>
      <c r="P646" s="544">
        <v>0</v>
      </c>
      <c r="R646" s="543" t="str">
        <f t="shared" si="28"/>
        <v>A0272:関西電力(株)メニューC</v>
      </c>
      <c r="S646" s="544">
        <f t="shared" si="29"/>
        <v>0</v>
      </c>
    </row>
    <row r="647" spans="2:19">
      <c r="B647" s="146"/>
      <c r="C647" s="146"/>
      <c r="D647" s="543" t="str">
        <f t="shared" si="27"/>
        <v/>
      </c>
      <c r="I647" s="146" t="s">
        <v>1219</v>
      </c>
      <c r="J647" s="146" t="s">
        <v>1729</v>
      </c>
      <c r="K647" s="544" t="s">
        <v>974</v>
      </c>
      <c r="L647" s="544">
        <v>0</v>
      </c>
      <c r="M647" s="544">
        <v>0</v>
      </c>
      <c r="N647" s="544">
        <v>0</v>
      </c>
      <c r="O647" s="544">
        <v>0</v>
      </c>
      <c r="P647" s="544">
        <v>0</v>
      </c>
      <c r="R647" s="543" t="str">
        <f t="shared" si="28"/>
        <v>A0272:関西電力(株)メニューD</v>
      </c>
      <c r="S647" s="544">
        <f t="shared" si="29"/>
        <v>0</v>
      </c>
    </row>
    <row r="648" spans="2:19">
      <c r="B648" s="146"/>
      <c r="C648" s="146"/>
      <c r="D648" s="543" t="str">
        <f t="shared" si="27"/>
        <v/>
      </c>
      <c r="I648" s="146" t="s">
        <v>1219</v>
      </c>
      <c r="J648" s="146" t="s">
        <v>1729</v>
      </c>
      <c r="K648" s="544" t="s">
        <v>975</v>
      </c>
      <c r="L648" s="544">
        <v>0</v>
      </c>
      <c r="M648" s="544">
        <v>0</v>
      </c>
      <c r="N648" s="544">
        <v>0</v>
      </c>
      <c r="O648" s="544">
        <v>0</v>
      </c>
      <c r="P648" s="544">
        <v>0</v>
      </c>
      <c r="R648" s="543" t="str">
        <f t="shared" si="28"/>
        <v>A0272:関西電力(株)メニューE</v>
      </c>
      <c r="S648" s="544">
        <f t="shared" si="29"/>
        <v>0</v>
      </c>
    </row>
    <row r="649" spans="2:19">
      <c r="B649" s="146"/>
      <c r="C649" s="146"/>
      <c r="D649" s="543" t="str">
        <f t="shared" si="27"/>
        <v/>
      </c>
      <c r="I649" s="146" t="s">
        <v>1219</v>
      </c>
      <c r="J649" s="146" t="s">
        <v>1729</v>
      </c>
      <c r="K649" s="544" t="s">
        <v>2059</v>
      </c>
      <c r="L649" s="544">
        <v>0</v>
      </c>
      <c r="M649" s="544">
        <v>0</v>
      </c>
      <c r="N649" s="544">
        <v>0</v>
      </c>
      <c r="O649" s="544">
        <v>0</v>
      </c>
      <c r="P649" s="544">
        <v>0</v>
      </c>
      <c r="R649" s="543" t="str">
        <f t="shared" si="28"/>
        <v>A0272:関西電力(株)メニューF</v>
      </c>
      <c r="S649" s="544">
        <f t="shared" si="29"/>
        <v>0</v>
      </c>
    </row>
    <row r="650" spans="2:19">
      <c r="B650" s="146"/>
      <c r="C650" s="146"/>
      <c r="D650" s="543" t="str">
        <f t="shared" ref="D650:D713" si="30">IF(B650="","",B650&amp;":"&amp;C650)</f>
        <v/>
      </c>
      <c r="I650" s="146" t="s">
        <v>1219</v>
      </c>
      <c r="J650" s="146" t="s">
        <v>1729</v>
      </c>
      <c r="K650" s="544" t="s">
        <v>2060</v>
      </c>
      <c r="L650" s="544">
        <v>0</v>
      </c>
      <c r="M650" s="544">
        <v>0</v>
      </c>
      <c r="N650" s="544">
        <v>0</v>
      </c>
      <c r="O650" s="544">
        <v>0</v>
      </c>
      <c r="P650" s="544">
        <v>0</v>
      </c>
      <c r="R650" s="543" t="str">
        <f t="shared" ref="R650:R713" si="31">I650&amp;":"&amp;J650&amp;K650</f>
        <v>A0272:関西電力(株)メニューG</v>
      </c>
      <c r="S650" s="544">
        <f t="shared" ref="S650:S713" si="32">HLOOKUP($S$8,$L$8:$P$2000,ROW()-7,FALSE)</f>
        <v>0</v>
      </c>
    </row>
    <row r="651" spans="2:19">
      <c r="B651" s="146"/>
      <c r="C651" s="146"/>
      <c r="D651" s="543" t="str">
        <f t="shared" si="30"/>
        <v/>
      </c>
      <c r="I651" s="146" t="s">
        <v>1219</v>
      </c>
      <c r="J651" s="146" t="s">
        <v>1729</v>
      </c>
      <c r="K651" s="544" t="s">
        <v>2061</v>
      </c>
      <c r="L651" s="544">
        <v>0</v>
      </c>
      <c r="M651" s="544">
        <v>0</v>
      </c>
      <c r="N651" s="544">
        <v>0</v>
      </c>
      <c r="O651" s="544">
        <v>0</v>
      </c>
      <c r="P651" s="544">
        <v>0</v>
      </c>
      <c r="R651" s="543" t="str">
        <f t="shared" si="31"/>
        <v>A0272:関西電力(株)メニューH</v>
      </c>
      <c r="S651" s="544">
        <f t="shared" si="32"/>
        <v>0</v>
      </c>
    </row>
    <row r="652" spans="2:19">
      <c r="B652" s="146"/>
      <c r="C652" s="146"/>
      <c r="D652" s="543" t="str">
        <f t="shared" si="30"/>
        <v/>
      </c>
      <c r="I652" s="146" t="s">
        <v>1219</v>
      </c>
      <c r="J652" s="146" t="s">
        <v>1729</v>
      </c>
      <c r="K652" s="544" t="s">
        <v>2062</v>
      </c>
      <c r="L652" s="544">
        <v>0</v>
      </c>
      <c r="M652" s="544">
        <v>0</v>
      </c>
      <c r="N652" s="544">
        <v>0</v>
      </c>
      <c r="O652" s="544">
        <v>0</v>
      </c>
      <c r="P652" s="544">
        <v>0</v>
      </c>
      <c r="R652" s="543" t="str">
        <f t="shared" si="31"/>
        <v>A0272:関西電力(株)メニューI</v>
      </c>
      <c r="S652" s="544">
        <f t="shared" si="32"/>
        <v>0</v>
      </c>
    </row>
    <row r="653" spans="2:19">
      <c r="B653" s="146"/>
      <c r="C653" s="146"/>
      <c r="D653" s="543" t="str">
        <f t="shared" si="30"/>
        <v/>
      </c>
      <c r="I653" s="146" t="s">
        <v>1219</v>
      </c>
      <c r="J653" s="146" t="s">
        <v>1729</v>
      </c>
      <c r="K653" s="544" t="s">
        <v>2063</v>
      </c>
      <c r="L653" s="544">
        <v>4.15E-4</v>
      </c>
      <c r="M653" s="544">
        <v>4.15E-4</v>
      </c>
      <c r="N653" s="544">
        <v>4.15E-4</v>
      </c>
      <c r="O653" s="544">
        <v>4.15E-4</v>
      </c>
      <c r="P653" s="544">
        <v>4.15E-4</v>
      </c>
      <c r="R653" s="543" t="str">
        <f t="shared" si="31"/>
        <v>A0272:関西電力(株)メニューJ</v>
      </c>
      <c r="S653" s="544">
        <f t="shared" si="32"/>
        <v>4.15E-4</v>
      </c>
    </row>
    <row r="654" spans="2:19">
      <c r="B654" s="146"/>
      <c r="C654" s="146"/>
      <c r="D654" s="543" t="str">
        <f t="shared" si="30"/>
        <v/>
      </c>
      <c r="I654" s="146" t="s">
        <v>1219</v>
      </c>
      <c r="J654" s="146" t="s">
        <v>1729</v>
      </c>
      <c r="K654" s="544" t="s">
        <v>2058</v>
      </c>
      <c r="L654" s="544">
        <v>3.9599999999999998E-4</v>
      </c>
      <c r="M654" s="544">
        <v>3.9599999999999998E-4</v>
      </c>
      <c r="N654" s="544">
        <v>3.9599999999999998E-4</v>
      </c>
      <c r="O654" s="544">
        <v>3.9599999999999998E-4</v>
      </c>
      <c r="P654" s="544">
        <v>3.9599999999999998E-4</v>
      </c>
      <c r="R654" s="543" t="str">
        <f t="shared" si="31"/>
        <v>A0272:関西電力(株)(参考値)事業者全体</v>
      </c>
      <c r="S654" s="544">
        <f t="shared" si="32"/>
        <v>3.9599999999999998E-4</v>
      </c>
    </row>
    <row r="655" spans="2:19">
      <c r="B655" s="146"/>
      <c r="C655" s="146"/>
      <c r="D655" s="543" t="str">
        <f t="shared" si="30"/>
        <v/>
      </c>
      <c r="I655" s="146" t="s">
        <v>1220</v>
      </c>
      <c r="J655" s="146" t="s">
        <v>1730</v>
      </c>
      <c r="K655" s="544" t="s">
        <v>710</v>
      </c>
      <c r="L655" s="544">
        <v>0</v>
      </c>
      <c r="M655" s="544">
        <v>0</v>
      </c>
      <c r="N655" s="544">
        <v>0</v>
      </c>
      <c r="O655" s="544">
        <v>0</v>
      </c>
      <c r="P655" s="544">
        <v>0</v>
      </c>
      <c r="R655" s="543" t="str">
        <f t="shared" si="31"/>
        <v>A0273:中国電力(株)メニューA</v>
      </c>
      <c r="S655" s="544">
        <f t="shared" si="32"/>
        <v>0</v>
      </c>
    </row>
    <row r="656" spans="2:19">
      <c r="B656" s="146"/>
      <c r="C656" s="146"/>
      <c r="D656" s="543" t="str">
        <f t="shared" si="30"/>
        <v/>
      </c>
      <c r="I656" s="146" t="s">
        <v>1220</v>
      </c>
      <c r="J656" s="146" t="s">
        <v>1730</v>
      </c>
      <c r="K656" s="544" t="s">
        <v>787</v>
      </c>
      <c r="L656" s="544">
        <v>0</v>
      </c>
      <c r="M656" s="544">
        <v>0</v>
      </c>
      <c r="N656" s="544">
        <v>0</v>
      </c>
      <c r="O656" s="544">
        <v>0</v>
      </c>
      <c r="P656" s="544">
        <v>0</v>
      </c>
      <c r="R656" s="543" t="str">
        <f t="shared" si="31"/>
        <v>A0273:中国電力(株)メニューB</v>
      </c>
      <c r="S656" s="544">
        <f t="shared" si="32"/>
        <v>0</v>
      </c>
    </row>
    <row r="657" spans="2:19">
      <c r="B657" s="146"/>
      <c r="C657" s="146"/>
      <c r="D657" s="543" t="str">
        <f t="shared" si="30"/>
        <v/>
      </c>
      <c r="I657" s="146" t="s">
        <v>1220</v>
      </c>
      <c r="J657" s="146" t="s">
        <v>1730</v>
      </c>
      <c r="K657" s="544" t="s">
        <v>788</v>
      </c>
      <c r="L657" s="544">
        <v>0</v>
      </c>
      <c r="M657" s="544">
        <v>0</v>
      </c>
      <c r="N657" s="544">
        <v>0</v>
      </c>
      <c r="O657" s="544">
        <v>0</v>
      </c>
      <c r="P657" s="544">
        <v>0</v>
      </c>
      <c r="R657" s="543" t="str">
        <f t="shared" si="31"/>
        <v>A0273:中国電力(株)メニューC</v>
      </c>
      <c r="S657" s="544">
        <f t="shared" si="32"/>
        <v>0</v>
      </c>
    </row>
    <row r="658" spans="2:19">
      <c r="B658" s="146"/>
      <c r="C658" s="146"/>
      <c r="D658" s="543" t="str">
        <f t="shared" si="30"/>
        <v/>
      </c>
      <c r="I658" s="146" t="s">
        <v>1220</v>
      </c>
      <c r="J658" s="146" t="s">
        <v>1730</v>
      </c>
      <c r="K658" s="544" t="s">
        <v>974</v>
      </c>
      <c r="L658" s="544">
        <v>0</v>
      </c>
      <c r="M658" s="544">
        <v>0</v>
      </c>
      <c r="N658" s="544">
        <v>0</v>
      </c>
      <c r="O658" s="544">
        <v>0</v>
      </c>
      <c r="P658" s="544">
        <v>0</v>
      </c>
      <c r="R658" s="543" t="str">
        <f t="shared" si="31"/>
        <v>A0273:中国電力(株)メニューD</v>
      </c>
      <c r="S658" s="544">
        <f t="shared" si="32"/>
        <v>0</v>
      </c>
    </row>
    <row r="659" spans="2:19">
      <c r="B659" s="146"/>
      <c r="C659" s="146"/>
      <c r="D659" s="543" t="str">
        <f t="shared" si="30"/>
        <v/>
      </c>
      <c r="I659" s="146" t="s">
        <v>1220</v>
      </c>
      <c r="J659" s="146" t="s">
        <v>1730</v>
      </c>
      <c r="K659" s="544" t="s">
        <v>975</v>
      </c>
      <c r="L659" s="544">
        <v>0</v>
      </c>
      <c r="M659" s="544">
        <v>0</v>
      </c>
      <c r="N659" s="544">
        <v>0</v>
      </c>
      <c r="O659" s="544">
        <v>0</v>
      </c>
      <c r="P659" s="544">
        <v>0</v>
      </c>
      <c r="R659" s="543" t="str">
        <f t="shared" si="31"/>
        <v>A0273:中国電力(株)メニューE</v>
      </c>
      <c r="S659" s="544">
        <f t="shared" si="32"/>
        <v>0</v>
      </c>
    </row>
    <row r="660" spans="2:19">
      <c r="B660" s="146"/>
      <c r="C660" s="146"/>
      <c r="D660" s="543" t="str">
        <f t="shared" si="30"/>
        <v/>
      </c>
      <c r="I660" s="146" t="s">
        <v>1220</v>
      </c>
      <c r="J660" s="146" t="s">
        <v>1730</v>
      </c>
      <c r="K660" s="544" t="s">
        <v>2059</v>
      </c>
      <c r="L660" s="544">
        <v>0</v>
      </c>
      <c r="M660" s="544">
        <v>0</v>
      </c>
      <c r="N660" s="544">
        <v>0</v>
      </c>
      <c r="O660" s="544">
        <v>0</v>
      </c>
      <c r="P660" s="544">
        <v>0</v>
      </c>
      <c r="R660" s="543" t="str">
        <f t="shared" si="31"/>
        <v>A0273:中国電力(株)メニューF</v>
      </c>
      <c r="S660" s="544">
        <f t="shared" si="32"/>
        <v>0</v>
      </c>
    </row>
    <row r="661" spans="2:19">
      <c r="B661" s="146"/>
      <c r="C661" s="146"/>
      <c r="D661" s="543" t="str">
        <f t="shared" si="30"/>
        <v/>
      </c>
      <c r="I661" s="146" t="s">
        <v>1220</v>
      </c>
      <c r="J661" s="146" t="s">
        <v>1730</v>
      </c>
      <c r="K661" s="544" t="s">
        <v>2060</v>
      </c>
      <c r="L661" s="544">
        <v>3.8699999999999997E-4</v>
      </c>
      <c r="M661" s="544">
        <v>3.8699999999999997E-4</v>
      </c>
      <c r="N661" s="544">
        <v>3.8699999999999997E-4</v>
      </c>
      <c r="O661" s="544">
        <v>3.8699999999999997E-4</v>
      </c>
      <c r="P661" s="544">
        <v>3.8699999999999997E-4</v>
      </c>
      <c r="R661" s="543" t="str">
        <f t="shared" si="31"/>
        <v>A0273:中国電力(株)メニューG</v>
      </c>
      <c r="S661" s="544">
        <f t="shared" si="32"/>
        <v>3.8699999999999997E-4</v>
      </c>
    </row>
    <row r="662" spans="2:19">
      <c r="B662" s="146"/>
      <c r="C662" s="146"/>
      <c r="D662" s="543" t="str">
        <f t="shared" si="30"/>
        <v/>
      </c>
      <c r="I662" s="146" t="s">
        <v>1220</v>
      </c>
      <c r="J662" s="146" t="s">
        <v>1730</v>
      </c>
      <c r="K662" s="544" t="s">
        <v>2061</v>
      </c>
      <c r="L662" s="544">
        <v>4.84E-4</v>
      </c>
      <c r="M662" s="544">
        <v>4.84E-4</v>
      </c>
      <c r="N662" s="544">
        <v>4.84E-4</v>
      </c>
      <c r="O662" s="544">
        <v>4.84E-4</v>
      </c>
      <c r="P662" s="544">
        <v>4.84E-4</v>
      </c>
      <c r="R662" s="543" t="str">
        <f t="shared" si="31"/>
        <v>A0273:中国電力(株)メニューH</v>
      </c>
      <c r="S662" s="544">
        <f t="shared" si="32"/>
        <v>4.84E-4</v>
      </c>
    </row>
    <row r="663" spans="2:19">
      <c r="B663" s="146"/>
      <c r="C663" s="146"/>
      <c r="D663" s="543" t="str">
        <f t="shared" si="30"/>
        <v/>
      </c>
      <c r="I663" s="146" t="s">
        <v>1220</v>
      </c>
      <c r="J663" s="146" t="s">
        <v>1730</v>
      </c>
      <c r="K663" s="544" t="s">
        <v>2058</v>
      </c>
      <c r="L663" s="544">
        <v>4.7199999999999998E-4</v>
      </c>
      <c r="M663" s="544">
        <v>4.7199999999999998E-4</v>
      </c>
      <c r="N663" s="544">
        <v>4.7199999999999998E-4</v>
      </c>
      <c r="O663" s="544">
        <v>4.7199999999999998E-4</v>
      </c>
      <c r="P663" s="544">
        <v>4.7199999999999998E-4</v>
      </c>
      <c r="R663" s="543" t="str">
        <f t="shared" si="31"/>
        <v>A0273:中国電力(株)(参考値)事業者全体</v>
      </c>
      <c r="S663" s="544">
        <f t="shared" si="32"/>
        <v>4.7199999999999998E-4</v>
      </c>
    </row>
    <row r="664" spans="2:19">
      <c r="B664" s="146"/>
      <c r="C664" s="146"/>
      <c r="D664" s="543" t="str">
        <f t="shared" si="30"/>
        <v/>
      </c>
      <c r="I664" s="146" t="s">
        <v>1221</v>
      </c>
      <c r="J664" s="146" t="s">
        <v>1731</v>
      </c>
      <c r="K664" s="544" t="s">
        <v>710</v>
      </c>
      <c r="L664" s="544">
        <v>0</v>
      </c>
      <c r="M664" s="544">
        <v>0</v>
      </c>
      <c r="N664" s="544">
        <v>0</v>
      </c>
      <c r="O664" s="544">
        <v>0</v>
      </c>
      <c r="P664" s="544">
        <v>0</v>
      </c>
      <c r="R664" s="543" t="str">
        <f t="shared" si="31"/>
        <v>A0274:四国電力(株)メニューA</v>
      </c>
      <c r="S664" s="544">
        <f t="shared" si="32"/>
        <v>0</v>
      </c>
    </row>
    <row r="665" spans="2:19">
      <c r="B665" s="146"/>
      <c r="C665" s="146"/>
      <c r="D665" s="543" t="str">
        <f t="shared" si="30"/>
        <v/>
      </c>
      <c r="I665" s="146" t="s">
        <v>1221</v>
      </c>
      <c r="J665" s="146" t="s">
        <v>1731</v>
      </c>
      <c r="K665" s="544" t="s">
        <v>787</v>
      </c>
      <c r="L665" s="544">
        <v>0</v>
      </c>
      <c r="M665" s="544">
        <v>0</v>
      </c>
      <c r="N665" s="544">
        <v>0</v>
      </c>
      <c r="O665" s="544">
        <v>0</v>
      </c>
      <c r="P665" s="544">
        <v>0</v>
      </c>
      <c r="R665" s="543" t="str">
        <f t="shared" si="31"/>
        <v>A0274:四国電力(株)メニューB</v>
      </c>
      <c r="S665" s="544">
        <f t="shared" si="32"/>
        <v>0</v>
      </c>
    </row>
    <row r="666" spans="2:19">
      <c r="B666" s="146"/>
      <c r="C666" s="146"/>
      <c r="D666" s="543" t="str">
        <f t="shared" si="30"/>
        <v/>
      </c>
      <c r="I666" s="146" t="s">
        <v>1221</v>
      </c>
      <c r="J666" s="146" t="s">
        <v>1731</v>
      </c>
      <c r="K666" s="544" t="s">
        <v>788</v>
      </c>
      <c r="L666" s="544">
        <v>4.57E-4</v>
      </c>
      <c r="M666" s="544">
        <v>4.57E-4</v>
      </c>
      <c r="N666" s="544">
        <v>4.57E-4</v>
      </c>
      <c r="O666" s="544">
        <v>4.57E-4</v>
      </c>
      <c r="P666" s="544">
        <v>4.57E-4</v>
      </c>
      <c r="R666" s="543" t="str">
        <f t="shared" si="31"/>
        <v>A0274:四国電力(株)メニューC</v>
      </c>
      <c r="S666" s="544">
        <f t="shared" si="32"/>
        <v>4.57E-4</v>
      </c>
    </row>
    <row r="667" spans="2:19">
      <c r="B667" s="146"/>
      <c r="C667" s="146"/>
      <c r="D667" s="543" t="str">
        <f t="shared" si="30"/>
        <v/>
      </c>
      <c r="I667" s="146" t="s">
        <v>1221</v>
      </c>
      <c r="J667" s="146" t="s">
        <v>1731</v>
      </c>
      <c r="K667" s="544" t="s">
        <v>2058</v>
      </c>
      <c r="L667" s="544">
        <v>4.4799999999999999E-4</v>
      </c>
      <c r="M667" s="544">
        <v>4.4799999999999999E-4</v>
      </c>
      <c r="N667" s="544">
        <v>4.4799999999999999E-4</v>
      </c>
      <c r="O667" s="544">
        <v>4.4799999999999999E-4</v>
      </c>
      <c r="P667" s="544">
        <v>4.4799999999999999E-4</v>
      </c>
      <c r="R667" s="543" t="str">
        <f t="shared" si="31"/>
        <v>A0274:四国電力(株)(参考値)事業者全体</v>
      </c>
      <c r="S667" s="544">
        <f t="shared" si="32"/>
        <v>4.4799999999999999E-4</v>
      </c>
    </row>
    <row r="668" spans="2:19">
      <c r="B668" s="146"/>
      <c r="C668" s="146"/>
      <c r="D668" s="543" t="str">
        <f t="shared" si="30"/>
        <v/>
      </c>
      <c r="I668" s="146" t="s">
        <v>1222</v>
      </c>
      <c r="J668" s="146" t="s">
        <v>1732</v>
      </c>
      <c r="K668" s="544" t="s">
        <v>710</v>
      </c>
      <c r="L668" s="544">
        <v>0</v>
      </c>
      <c r="M668" s="544">
        <v>0</v>
      </c>
      <c r="N668" s="544">
        <v>0</v>
      </c>
      <c r="O668" s="544">
        <v>0</v>
      </c>
      <c r="P668" s="544">
        <v>0</v>
      </c>
      <c r="R668" s="543" t="str">
        <f t="shared" si="31"/>
        <v>A0275:九州電力(株)メニューA</v>
      </c>
      <c r="S668" s="544">
        <f t="shared" si="32"/>
        <v>0</v>
      </c>
    </row>
    <row r="669" spans="2:19">
      <c r="B669" s="146"/>
      <c r="C669" s="146"/>
      <c r="D669" s="543" t="str">
        <f t="shared" si="30"/>
        <v/>
      </c>
      <c r="I669" s="146" t="s">
        <v>1222</v>
      </c>
      <c r="J669" s="146" t="s">
        <v>1732</v>
      </c>
      <c r="K669" s="544" t="s">
        <v>787</v>
      </c>
      <c r="L669" s="544">
        <v>4.7199999999999998E-4</v>
      </c>
      <c r="M669" s="544">
        <v>4.7199999999999998E-4</v>
      </c>
      <c r="N669" s="544">
        <v>4.7199999999999998E-4</v>
      </c>
      <c r="O669" s="544">
        <v>4.7199999999999998E-4</v>
      </c>
      <c r="P669" s="544">
        <v>4.7199999999999998E-4</v>
      </c>
      <c r="R669" s="543" t="str">
        <f t="shared" si="31"/>
        <v>A0275:九州電力(株)メニューB</v>
      </c>
      <c r="S669" s="544">
        <f t="shared" si="32"/>
        <v>4.7199999999999998E-4</v>
      </c>
    </row>
    <row r="670" spans="2:19">
      <c r="B670" s="146"/>
      <c r="C670" s="146"/>
      <c r="D670" s="543" t="str">
        <f t="shared" si="30"/>
        <v/>
      </c>
      <c r="I670" s="146" t="s">
        <v>1222</v>
      </c>
      <c r="J670" s="146" t="s">
        <v>1732</v>
      </c>
      <c r="K670" s="544" t="s">
        <v>2058</v>
      </c>
      <c r="L670" s="544">
        <v>4.4900000000000002E-4</v>
      </c>
      <c r="M670" s="544">
        <v>4.4900000000000002E-4</v>
      </c>
      <c r="N670" s="544">
        <v>4.4900000000000002E-4</v>
      </c>
      <c r="O670" s="544">
        <v>4.4900000000000002E-4</v>
      </c>
      <c r="P670" s="544">
        <v>4.4900000000000002E-4</v>
      </c>
      <c r="R670" s="543" t="str">
        <f t="shared" si="31"/>
        <v>A0275:九州電力(株)(参考値)事業者全体</v>
      </c>
      <c r="S670" s="544">
        <f t="shared" si="32"/>
        <v>4.4900000000000002E-4</v>
      </c>
    </row>
    <row r="671" spans="2:19">
      <c r="B671" s="146"/>
      <c r="C671" s="146"/>
      <c r="D671" s="543" t="str">
        <f t="shared" si="30"/>
        <v/>
      </c>
      <c r="I671" s="146" t="s">
        <v>1223</v>
      </c>
      <c r="J671" s="146" t="s">
        <v>1733</v>
      </c>
      <c r="K671" s="544" t="s">
        <v>710</v>
      </c>
      <c r="L671" s="544">
        <v>0</v>
      </c>
      <c r="M671" s="544">
        <v>0</v>
      </c>
      <c r="N671" s="544">
        <v>0</v>
      </c>
      <c r="O671" s="544">
        <v>0</v>
      </c>
      <c r="P671" s="544">
        <v>0</v>
      </c>
      <c r="R671" s="543" t="str">
        <f t="shared" si="31"/>
        <v>A0276:沖縄電力(株)メニューA</v>
      </c>
      <c r="S671" s="544">
        <f t="shared" si="32"/>
        <v>0</v>
      </c>
    </row>
    <row r="672" spans="2:19">
      <c r="B672" s="146"/>
      <c r="C672" s="146"/>
      <c r="D672" s="543" t="str">
        <f t="shared" si="30"/>
        <v/>
      </c>
      <c r="I672" s="146" t="s">
        <v>1223</v>
      </c>
      <c r="J672" s="146" t="s">
        <v>1733</v>
      </c>
      <c r="K672" s="544" t="s">
        <v>787</v>
      </c>
      <c r="L672" s="544">
        <v>6.8499999999999995E-4</v>
      </c>
      <c r="M672" s="544">
        <v>6.8499999999999995E-4</v>
      </c>
      <c r="N672" s="544">
        <v>6.8499999999999995E-4</v>
      </c>
      <c r="O672" s="544">
        <v>6.8499999999999995E-4</v>
      </c>
      <c r="P672" s="544">
        <v>6.8499999999999995E-4</v>
      </c>
      <c r="R672" s="543" t="str">
        <f t="shared" si="31"/>
        <v>A0276:沖縄電力(株)メニューB</v>
      </c>
      <c r="S672" s="544">
        <f t="shared" si="32"/>
        <v>6.8499999999999995E-4</v>
      </c>
    </row>
    <row r="673" spans="2:19">
      <c r="B673" s="146"/>
      <c r="C673" s="146"/>
      <c r="D673" s="543" t="str">
        <f t="shared" si="30"/>
        <v/>
      </c>
      <c r="I673" s="146" t="s">
        <v>1223</v>
      </c>
      <c r="J673" s="146" t="s">
        <v>1733</v>
      </c>
      <c r="K673" s="544" t="s">
        <v>2058</v>
      </c>
      <c r="L673" s="544">
        <v>6.7699999999999998E-4</v>
      </c>
      <c r="M673" s="544">
        <v>6.7699999999999998E-4</v>
      </c>
      <c r="N673" s="544">
        <v>6.7699999999999998E-4</v>
      </c>
      <c r="O673" s="544">
        <v>6.7699999999999998E-4</v>
      </c>
      <c r="P673" s="544">
        <v>6.7699999999999998E-4</v>
      </c>
      <c r="R673" s="543" t="str">
        <f t="shared" si="31"/>
        <v>A0276:沖縄電力(株)(参考値)事業者全体</v>
      </c>
      <c r="S673" s="544">
        <f t="shared" si="32"/>
        <v>6.7699999999999998E-4</v>
      </c>
    </row>
    <row r="674" spans="2:19">
      <c r="B674" s="146"/>
      <c r="C674" s="146"/>
      <c r="D674" s="543" t="str">
        <f t="shared" si="30"/>
        <v/>
      </c>
      <c r="I674" s="146" t="s">
        <v>1224</v>
      </c>
      <c r="J674" s="146" t="s">
        <v>1734</v>
      </c>
      <c r="K674" s="544"/>
      <c r="L674" s="544">
        <v>4.8999999999999998E-4</v>
      </c>
      <c r="M674" s="544">
        <v>4.8999999999999998E-4</v>
      </c>
      <c r="N674" s="544">
        <v>4.8999999999999998E-4</v>
      </c>
      <c r="O674" s="544">
        <v>4.8999999999999998E-4</v>
      </c>
      <c r="P674" s="544">
        <v>4.8999999999999998E-4</v>
      </c>
      <c r="R674" s="543" t="str">
        <f t="shared" si="31"/>
        <v>A0277:北日本石油(株)</v>
      </c>
      <c r="S674" s="544">
        <f t="shared" si="32"/>
        <v>4.8999999999999998E-4</v>
      </c>
    </row>
    <row r="675" spans="2:19">
      <c r="B675" s="146"/>
      <c r="C675" s="146"/>
      <c r="D675" s="543" t="str">
        <f t="shared" si="30"/>
        <v/>
      </c>
      <c r="I675" s="146" t="s">
        <v>1225</v>
      </c>
      <c r="J675" s="146" t="s">
        <v>1735</v>
      </c>
      <c r="K675" s="544"/>
      <c r="L675" s="544">
        <v>4.64E-4</v>
      </c>
      <c r="M675" s="544">
        <v>4.64E-4</v>
      </c>
      <c r="N675" s="544">
        <v>4.64E-4</v>
      </c>
      <c r="O675" s="544">
        <v>4.64E-4</v>
      </c>
      <c r="P675" s="544">
        <v>4.64E-4</v>
      </c>
      <c r="R675" s="543" t="str">
        <f t="shared" si="31"/>
        <v>A0278:千葉電力(株)</v>
      </c>
      <c r="S675" s="544">
        <f t="shared" si="32"/>
        <v>4.64E-4</v>
      </c>
    </row>
    <row r="676" spans="2:19">
      <c r="B676" s="146"/>
      <c r="C676" s="146"/>
      <c r="D676" s="543" t="str">
        <f t="shared" si="30"/>
        <v/>
      </c>
      <c r="I676" s="146" t="s">
        <v>1226</v>
      </c>
      <c r="J676" s="146" t="s">
        <v>1736</v>
      </c>
      <c r="K676" s="544"/>
      <c r="L676" s="544">
        <v>4.26E-4</v>
      </c>
      <c r="M676" s="544">
        <v>4.26E-4</v>
      </c>
      <c r="N676" s="544">
        <v>4.26E-4</v>
      </c>
      <c r="O676" s="544">
        <v>4.26E-4</v>
      </c>
      <c r="P676" s="544">
        <v>4.26E-4</v>
      </c>
      <c r="R676" s="543" t="str">
        <f t="shared" si="31"/>
        <v>A0280:やめエネルギー(株)</v>
      </c>
      <c r="S676" s="544">
        <f t="shared" si="32"/>
        <v>4.26E-4</v>
      </c>
    </row>
    <row r="677" spans="2:19">
      <c r="B677" s="146"/>
      <c r="C677" s="146"/>
      <c r="D677" s="543" t="str">
        <f t="shared" si="30"/>
        <v/>
      </c>
      <c r="I677" s="146" t="s">
        <v>1227</v>
      </c>
      <c r="J677" s="146" t="s">
        <v>1737</v>
      </c>
      <c r="K677" s="544"/>
      <c r="L677" s="544">
        <v>6.78E-4</v>
      </c>
      <c r="M677" s="544">
        <v>6.78E-4</v>
      </c>
      <c r="N677" s="544">
        <v>6.78E-4</v>
      </c>
      <c r="O677" s="544">
        <v>6.78E-4</v>
      </c>
      <c r="P677" s="544">
        <v>6.78E-4</v>
      </c>
      <c r="R677" s="543" t="str">
        <f t="shared" si="31"/>
        <v>A0281:(株)アースインフィニティ</v>
      </c>
      <c r="S677" s="544">
        <f t="shared" si="32"/>
        <v>6.78E-4</v>
      </c>
    </row>
    <row r="678" spans="2:19">
      <c r="B678" s="146"/>
      <c r="C678" s="146"/>
      <c r="D678" s="543" t="str">
        <f t="shared" si="30"/>
        <v/>
      </c>
      <c r="I678" s="146" t="s">
        <v>1228</v>
      </c>
      <c r="J678" s="146" t="s">
        <v>1738</v>
      </c>
      <c r="K678" s="544"/>
      <c r="L678" s="544">
        <v>4.1899999999999999E-4</v>
      </c>
      <c r="M678" s="544">
        <v>4.1899999999999999E-4</v>
      </c>
      <c r="N678" s="544">
        <v>4.1899999999999999E-4</v>
      </c>
      <c r="O678" s="544">
        <v>4.1899999999999999E-4</v>
      </c>
      <c r="P678" s="544">
        <v>4.1899999999999999E-4</v>
      </c>
      <c r="R678" s="543" t="str">
        <f t="shared" si="31"/>
        <v>A0283:足利ガス(株)</v>
      </c>
      <c r="S678" s="544">
        <f t="shared" si="32"/>
        <v>4.1899999999999999E-4</v>
      </c>
    </row>
    <row r="679" spans="2:19">
      <c r="B679" s="146"/>
      <c r="C679" s="146"/>
      <c r="D679" s="543" t="str">
        <f t="shared" si="30"/>
        <v/>
      </c>
      <c r="I679" s="146" t="s">
        <v>1229</v>
      </c>
      <c r="J679" s="146" t="s">
        <v>1739</v>
      </c>
      <c r="K679" s="544"/>
      <c r="L679" s="544">
        <v>3.2400000000000001E-4</v>
      </c>
      <c r="M679" s="544">
        <v>3.2400000000000001E-4</v>
      </c>
      <c r="N679" s="544">
        <v>3.2400000000000001E-4</v>
      </c>
      <c r="O679" s="544">
        <v>3.2400000000000001E-4</v>
      </c>
      <c r="P679" s="544">
        <v>3.2400000000000001E-4</v>
      </c>
      <c r="R679" s="543" t="str">
        <f t="shared" si="31"/>
        <v>A0284:(株)Misumi</v>
      </c>
      <c r="S679" s="544">
        <f t="shared" si="32"/>
        <v>3.2400000000000001E-4</v>
      </c>
    </row>
    <row r="680" spans="2:19">
      <c r="B680" s="146"/>
      <c r="C680" s="146"/>
      <c r="D680" s="543" t="str">
        <f t="shared" si="30"/>
        <v/>
      </c>
      <c r="I680" s="146" t="s">
        <v>1230</v>
      </c>
      <c r="J680" s="146" t="s">
        <v>1740</v>
      </c>
      <c r="K680" s="544"/>
      <c r="L680" s="544">
        <v>4.3899999999999999E-4</v>
      </c>
      <c r="M680" s="544">
        <v>4.3899999999999999E-4</v>
      </c>
      <c r="N680" s="544">
        <v>4.3899999999999999E-4</v>
      </c>
      <c r="O680" s="544">
        <v>4.3899999999999999E-4</v>
      </c>
      <c r="P680" s="544">
        <v>4.3899999999999999E-4</v>
      </c>
      <c r="R680" s="543" t="str">
        <f t="shared" si="31"/>
        <v>A0285:米子瓦斯(株)</v>
      </c>
      <c r="S680" s="544">
        <f t="shared" si="32"/>
        <v>4.3899999999999999E-4</v>
      </c>
    </row>
    <row r="681" spans="2:19">
      <c r="B681" s="146"/>
      <c r="C681" s="146"/>
      <c r="D681" s="543" t="str">
        <f t="shared" si="30"/>
        <v/>
      </c>
      <c r="I681" s="146" t="s">
        <v>1231</v>
      </c>
      <c r="J681" s="146" t="s">
        <v>1741</v>
      </c>
      <c r="K681" s="544" t="s">
        <v>710</v>
      </c>
      <c r="L681" s="544">
        <v>0</v>
      </c>
      <c r="M681" s="544">
        <v>0</v>
      </c>
      <c r="N681" s="544">
        <v>0</v>
      </c>
      <c r="O681" s="544">
        <v>0</v>
      </c>
      <c r="P681" s="544">
        <v>0</v>
      </c>
      <c r="R681" s="543" t="str">
        <f t="shared" si="31"/>
        <v>A0286:(株)エルピオメニューA</v>
      </c>
      <c r="S681" s="544">
        <f t="shared" si="32"/>
        <v>0</v>
      </c>
    </row>
    <row r="682" spans="2:19">
      <c r="B682" s="146"/>
      <c r="C682" s="146"/>
      <c r="D682" s="543" t="str">
        <f t="shared" si="30"/>
        <v/>
      </c>
      <c r="I682" s="146" t="s">
        <v>1231</v>
      </c>
      <c r="J682" s="146" t="s">
        <v>1741</v>
      </c>
      <c r="K682" s="544" t="s">
        <v>787</v>
      </c>
      <c r="L682" s="544">
        <v>0</v>
      </c>
      <c r="M682" s="544">
        <v>0</v>
      </c>
      <c r="N682" s="544">
        <v>0</v>
      </c>
      <c r="O682" s="544">
        <v>0</v>
      </c>
      <c r="P682" s="544">
        <v>0</v>
      </c>
      <c r="R682" s="543" t="str">
        <f t="shared" si="31"/>
        <v>A0286:(株)エルピオメニューB</v>
      </c>
      <c r="S682" s="544">
        <f t="shared" si="32"/>
        <v>0</v>
      </c>
    </row>
    <row r="683" spans="2:19">
      <c r="B683" s="146"/>
      <c r="C683" s="146"/>
      <c r="D683" s="543" t="str">
        <f t="shared" si="30"/>
        <v/>
      </c>
      <c r="I683" s="146" t="s">
        <v>1231</v>
      </c>
      <c r="J683" s="146" t="s">
        <v>1741</v>
      </c>
      <c r="K683" s="544" t="s">
        <v>2058</v>
      </c>
      <c r="L683" s="544">
        <v>0</v>
      </c>
      <c r="M683" s="544">
        <v>0</v>
      </c>
      <c r="N683" s="544">
        <v>0</v>
      </c>
      <c r="O683" s="544">
        <v>0</v>
      </c>
      <c r="P683" s="544">
        <v>0</v>
      </c>
      <c r="R683" s="543" t="str">
        <f t="shared" si="31"/>
        <v>A0286:(株)エルピオ(参考値)事業者全体</v>
      </c>
      <c r="S683" s="544">
        <f t="shared" si="32"/>
        <v>0</v>
      </c>
    </row>
    <row r="684" spans="2:19">
      <c r="B684" s="146"/>
      <c r="C684" s="146"/>
      <c r="D684" s="543" t="str">
        <f t="shared" si="30"/>
        <v/>
      </c>
      <c r="I684" s="146" t="s">
        <v>1232</v>
      </c>
      <c r="J684" s="146" t="s">
        <v>1742</v>
      </c>
      <c r="K684" s="544"/>
      <c r="L684" s="544">
        <v>4.3800000000000002E-4</v>
      </c>
      <c r="M684" s="544">
        <v>4.3800000000000002E-4</v>
      </c>
      <c r="N684" s="544">
        <v>4.3800000000000002E-4</v>
      </c>
      <c r="O684" s="544">
        <v>4.3800000000000002E-4</v>
      </c>
      <c r="P684" s="544">
        <v>4.3800000000000002E-4</v>
      </c>
      <c r="R684" s="543" t="str">
        <f t="shared" si="31"/>
        <v>A0287:浜田ガス(株)</v>
      </c>
      <c r="S684" s="544">
        <f t="shared" si="32"/>
        <v>4.3800000000000002E-4</v>
      </c>
    </row>
    <row r="685" spans="2:19">
      <c r="B685" s="146"/>
      <c r="C685" s="146"/>
      <c r="D685" s="543" t="str">
        <f t="shared" si="30"/>
        <v/>
      </c>
      <c r="I685" s="146" t="s">
        <v>1233</v>
      </c>
      <c r="J685" s="146" t="s">
        <v>1743</v>
      </c>
      <c r="K685" s="544"/>
      <c r="L685" s="544">
        <v>6.1300000000000005E-4</v>
      </c>
      <c r="M685" s="544">
        <v>6.1300000000000005E-4</v>
      </c>
      <c r="N685" s="544">
        <v>6.1300000000000005E-4</v>
      </c>
      <c r="O685" s="544">
        <v>6.1300000000000005E-4</v>
      </c>
      <c r="P685" s="544">
        <v>6.1300000000000005E-4</v>
      </c>
      <c r="R685" s="543" t="str">
        <f t="shared" si="31"/>
        <v>A0288:(株)アメニティ電力</v>
      </c>
      <c r="S685" s="544">
        <f t="shared" si="32"/>
        <v>6.1300000000000005E-4</v>
      </c>
    </row>
    <row r="686" spans="2:19">
      <c r="B686" s="146"/>
      <c r="C686" s="146"/>
      <c r="D686" s="543" t="str">
        <f t="shared" si="30"/>
        <v/>
      </c>
      <c r="I686" s="146" t="s">
        <v>1234</v>
      </c>
      <c r="J686" s="146" t="s">
        <v>1744</v>
      </c>
      <c r="K686" s="544"/>
      <c r="L686" s="544">
        <v>6.1200000000000002E-4</v>
      </c>
      <c r="M686" s="544">
        <v>6.1200000000000002E-4</v>
      </c>
      <c r="N686" s="544">
        <v>6.1200000000000002E-4</v>
      </c>
      <c r="O686" s="544">
        <v>6.1200000000000002E-4</v>
      </c>
      <c r="P686" s="544">
        <v>6.1200000000000002E-4</v>
      </c>
      <c r="R686" s="543" t="str">
        <f t="shared" si="31"/>
        <v>A0292:岡田建設(株)</v>
      </c>
      <c r="S686" s="544">
        <f t="shared" si="32"/>
        <v>6.1200000000000002E-4</v>
      </c>
    </row>
    <row r="687" spans="2:19">
      <c r="B687" s="146"/>
      <c r="C687" s="146"/>
      <c r="D687" s="543" t="str">
        <f t="shared" si="30"/>
        <v/>
      </c>
      <c r="I687" s="146" t="s">
        <v>1235</v>
      </c>
      <c r="J687" s="146" t="s">
        <v>1745</v>
      </c>
      <c r="K687" s="544"/>
      <c r="L687" s="544">
        <v>4.08E-4</v>
      </c>
      <c r="M687" s="544">
        <v>4.08E-4</v>
      </c>
      <c r="N687" s="544">
        <v>4.08E-4</v>
      </c>
      <c r="O687" s="544">
        <v>4.08E-4</v>
      </c>
      <c r="P687" s="544">
        <v>4.08E-4</v>
      </c>
      <c r="R687" s="543" t="str">
        <f t="shared" si="31"/>
        <v>A0293:出雲ガス(株)</v>
      </c>
      <c r="S687" s="544">
        <f t="shared" si="32"/>
        <v>4.08E-4</v>
      </c>
    </row>
    <row r="688" spans="2:19">
      <c r="B688" s="146"/>
      <c r="C688" s="146"/>
      <c r="D688" s="543" t="str">
        <f t="shared" si="30"/>
        <v/>
      </c>
      <c r="I688" s="146" t="s">
        <v>1236</v>
      </c>
      <c r="J688" s="146" t="s">
        <v>1746</v>
      </c>
      <c r="K688" s="544" t="s">
        <v>710</v>
      </c>
      <c r="L688" s="544">
        <v>0</v>
      </c>
      <c r="M688" s="544">
        <v>0</v>
      </c>
      <c r="N688" s="544">
        <v>0</v>
      </c>
      <c r="O688" s="544">
        <v>0</v>
      </c>
      <c r="P688" s="544">
        <v>0</v>
      </c>
      <c r="R688" s="543" t="str">
        <f t="shared" si="31"/>
        <v>A0295:一般社団法人グリーンコープでんきメニューA</v>
      </c>
      <c r="S688" s="544">
        <f t="shared" si="32"/>
        <v>0</v>
      </c>
    </row>
    <row r="689" spans="2:19">
      <c r="B689" s="146"/>
      <c r="C689" s="146"/>
      <c r="D689" s="543" t="str">
        <f t="shared" si="30"/>
        <v/>
      </c>
      <c r="I689" s="146" t="s">
        <v>1236</v>
      </c>
      <c r="J689" s="146" t="s">
        <v>1746</v>
      </c>
      <c r="K689" s="544" t="s">
        <v>787</v>
      </c>
      <c r="L689" s="544">
        <v>0</v>
      </c>
      <c r="M689" s="544">
        <v>0</v>
      </c>
      <c r="N689" s="544">
        <v>0</v>
      </c>
      <c r="O689" s="544">
        <v>0</v>
      </c>
      <c r="P689" s="544">
        <v>0</v>
      </c>
      <c r="R689" s="543" t="str">
        <f t="shared" si="31"/>
        <v>A0295:一般社団法人グリーンコープでんきメニューB</v>
      </c>
      <c r="S689" s="544">
        <f t="shared" si="32"/>
        <v>0</v>
      </c>
    </row>
    <row r="690" spans="2:19">
      <c r="B690" s="146"/>
      <c r="C690" s="146"/>
      <c r="D690" s="543" t="str">
        <f t="shared" si="30"/>
        <v/>
      </c>
      <c r="I690" s="146" t="s">
        <v>1236</v>
      </c>
      <c r="J690" s="146" t="s">
        <v>1746</v>
      </c>
      <c r="K690" s="544" t="s">
        <v>788</v>
      </c>
      <c r="L690" s="544">
        <v>5.9400000000000002E-4</v>
      </c>
      <c r="M690" s="544">
        <v>5.9400000000000002E-4</v>
      </c>
      <c r="N690" s="544">
        <v>5.9400000000000002E-4</v>
      </c>
      <c r="O690" s="544">
        <v>5.9400000000000002E-4</v>
      </c>
      <c r="P690" s="544">
        <v>5.9400000000000002E-4</v>
      </c>
      <c r="R690" s="543" t="str">
        <f t="shared" si="31"/>
        <v>A0295:一般社団法人グリーンコープでんきメニューC</v>
      </c>
      <c r="S690" s="544">
        <f t="shared" si="32"/>
        <v>5.9400000000000002E-4</v>
      </c>
    </row>
    <row r="691" spans="2:19">
      <c r="B691" s="146"/>
      <c r="C691" s="146"/>
      <c r="D691" s="543" t="str">
        <f t="shared" si="30"/>
        <v/>
      </c>
      <c r="I691" s="146" t="s">
        <v>1236</v>
      </c>
      <c r="J691" s="146" t="s">
        <v>1746</v>
      </c>
      <c r="K691" s="544" t="s">
        <v>2058</v>
      </c>
      <c r="L691" s="544">
        <v>2.02E-4</v>
      </c>
      <c r="M691" s="544">
        <v>2.02E-4</v>
      </c>
      <c r="N691" s="544">
        <v>2.02E-4</v>
      </c>
      <c r="O691" s="544">
        <v>2.02E-4</v>
      </c>
      <c r="P691" s="544">
        <v>2.02E-4</v>
      </c>
      <c r="R691" s="543" t="str">
        <f t="shared" si="31"/>
        <v>A0295:一般社団法人グリーンコープでんき(参考値)事業者全体</v>
      </c>
      <c r="S691" s="544">
        <f t="shared" si="32"/>
        <v>2.02E-4</v>
      </c>
    </row>
    <row r="692" spans="2:19">
      <c r="B692" s="146"/>
      <c r="C692" s="146"/>
      <c r="D692" s="543" t="str">
        <f t="shared" si="30"/>
        <v/>
      </c>
      <c r="I692" s="146" t="s">
        <v>1237</v>
      </c>
      <c r="J692" s="146" t="s">
        <v>1747</v>
      </c>
      <c r="K692" s="544" t="s">
        <v>710</v>
      </c>
      <c r="L692" s="544">
        <v>4.4799999999999999E-4</v>
      </c>
      <c r="M692" s="544">
        <v>4.4799999999999999E-4</v>
      </c>
      <c r="N692" s="544">
        <v>4.4799999999999999E-4</v>
      </c>
      <c r="O692" s="544">
        <v>4.4799999999999999E-4</v>
      </c>
      <c r="P692" s="544">
        <v>4.4799999999999999E-4</v>
      </c>
      <c r="R692" s="543" t="str">
        <f t="shared" si="31"/>
        <v>A0296:公益財団法人東京都環境公社メニューA</v>
      </c>
      <c r="S692" s="544">
        <f t="shared" si="32"/>
        <v>4.4799999999999999E-4</v>
      </c>
    </row>
    <row r="693" spans="2:19">
      <c r="B693" s="146"/>
      <c r="C693" s="146"/>
      <c r="D693" s="543" t="str">
        <f t="shared" si="30"/>
        <v/>
      </c>
      <c r="I693" s="146" t="s">
        <v>1237</v>
      </c>
      <c r="J693" s="146" t="s">
        <v>1747</v>
      </c>
      <c r="K693" s="544" t="s">
        <v>787</v>
      </c>
      <c r="L693" s="544">
        <v>4.4799999999999999E-4</v>
      </c>
      <c r="M693" s="544">
        <v>4.4799999999999999E-4</v>
      </c>
      <c r="N693" s="544">
        <v>4.4799999999999999E-4</v>
      </c>
      <c r="O693" s="544">
        <v>4.4799999999999999E-4</v>
      </c>
      <c r="P693" s="544">
        <v>4.4799999999999999E-4</v>
      </c>
      <c r="R693" s="543" t="str">
        <f t="shared" si="31"/>
        <v>A0296:公益財団法人東京都環境公社メニューB</v>
      </c>
      <c r="S693" s="544">
        <f t="shared" si="32"/>
        <v>4.4799999999999999E-4</v>
      </c>
    </row>
    <row r="694" spans="2:19">
      <c r="B694" s="146"/>
      <c r="C694" s="146"/>
      <c r="D694" s="543" t="str">
        <f t="shared" si="30"/>
        <v/>
      </c>
      <c r="I694" s="146" t="s">
        <v>1237</v>
      </c>
      <c r="J694" s="146" t="s">
        <v>1747</v>
      </c>
      <c r="K694" s="544" t="s">
        <v>788</v>
      </c>
      <c r="L694" s="544">
        <v>4.0700000000000003E-4</v>
      </c>
      <c r="M694" s="544">
        <v>4.0700000000000003E-4</v>
      </c>
      <c r="N694" s="544">
        <v>4.0700000000000003E-4</v>
      </c>
      <c r="O694" s="544">
        <v>4.0700000000000003E-4</v>
      </c>
      <c r="P694" s="544">
        <v>4.0700000000000003E-4</v>
      </c>
      <c r="R694" s="543" t="str">
        <f t="shared" si="31"/>
        <v>A0296:公益財団法人東京都環境公社メニューC</v>
      </c>
      <c r="S694" s="544">
        <f t="shared" si="32"/>
        <v>4.0700000000000003E-4</v>
      </c>
    </row>
    <row r="695" spans="2:19">
      <c r="B695" s="146"/>
      <c r="C695" s="146"/>
      <c r="D695" s="543" t="str">
        <f t="shared" si="30"/>
        <v/>
      </c>
      <c r="I695" s="146" t="s">
        <v>1237</v>
      </c>
      <c r="J695" s="146" t="s">
        <v>1747</v>
      </c>
      <c r="K695" s="544" t="s">
        <v>2058</v>
      </c>
      <c r="L695" s="544">
        <v>4.2400000000000001E-4</v>
      </c>
      <c r="M695" s="544">
        <v>4.2400000000000001E-4</v>
      </c>
      <c r="N695" s="544">
        <v>4.2400000000000001E-4</v>
      </c>
      <c r="O695" s="544">
        <v>4.2400000000000001E-4</v>
      </c>
      <c r="P695" s="544">
        <v>4.2400000000000001E-4</v>
      </c>
      <c r="R695" s="543" t="str">
        <f t="shared" si="31"/>
        <v>A0296:公益財団法人東京都環境公社(参考値)事業者全体</v>
      </c>
      <c r="S695" s="544">
        <f t="shared" si="32"/>
        <v>4.2400000000000001E-4</v>
      </c>
    </row>
    <row r="696" spans="2:19">
      <c r="B696" s="146"/>
      <c r="C696" s="146"/>
      <c r="D696" s="543" t="str">
        <f t="shared" si="30"/>
        <v/>
      </c>
      <c r="I696" s="146" t="s">
        <v>1238</v>
      </c>
      <c r="J696" s="146" t="s">
        <v>1748</v>
      </c>
      <c r="K696" s="544" t="s">
        <v>710</v>
      </c>
      <c r="L696" s="544">
        <v>0</v>
      </c>
      <c r="M696" s="544">
        <v>0</v>
      </c>
      <c r="N696" s="544">
        <v>0</v>
      </c>
      <c r="O696" s="544">
        <v>0</v>
      </c>
      <c r="P696" s="544">
        <v>0</v>
      </c>
      <c r="R696" s="543" t="str">
        <f t="shared" si="31"/>
        <v>A0300:(株)ファミリーネット・ジャパンメニューA</v>
      </c>
      <c r="S696" s="544">
        <f t="shared" si="32"/>
        <v>0</v>
      </c>
    </row>
    <row r="697" spans="2:19">
      <c r="B697" s="146"/>
      <c r="C697" s="146"/>
      <c r="D697" s="543" t="str">
        <f t="shared" si="30"/>
        <v/>
      </c>
      <c r="I697" s="146" t="s">
        <v>1238</v>
      </c>
      <c r="J697" s="146" t="s">
        <v>1748</v>
      </c>
      <c r="K697" s="544" t="s">
        <v>787</v>
      </c>
      <c r="L697" s="544">
        <v>0</v>
      </c>
      <c r="M697" s="544">
        <v>0</v>
      </c>
      <c r="N697" s="544">
        <v>0</v>
      </c>
      <c r="O697" s="544">
        <v>0</v>
      </c>
      <c r="P697" s="544">
        <v>0</v>
      </c>
      <c r="R697" s="543" t="str">
        <f t="shared" si="31"/>
        <v>A0300:(株)ファミリーネット・ジャパンメニューB</v>
      </c>
      <c r="S697" s="544">
        <f t="shared" si="32"/>
        <v>0</v>
      </c>
    </row>
    <row r="698" spans="2:19">
      <c r="B698" s="146"/>
      <c r="C698" s="146"/>
      <c r="D698" s="543" t="str">
        <f t="shared" si="30"/>
        <v/>
      </c>
      <c r="I698" s="146" t="s">
        <v>1238</v>
      </c>
      <c r="J698" s="146" t="s">
        <v>1748</v>
      </c>
      <c r="K698" s="544" t="s">
        <v>788</v>
      </c>
      <c r="L698" s="544">
        <v>0</v>
      </c>
      <c r="M698" s="544">
        <v>0</v>
      </c>
      <c r="N698" s="544">
        <v>0</v>
      </c>
      <c r="O698" s="544">
        <v>0</v>
      </c>
      <c r="P698" s="544">
        <v>0</v>
      </c>
      <c r="R698" s="543" t="str">
        <f t="shared" si="31"/>
        <v>A0300:(株)ファミリーネット・ジャパンメニューC</v>
      </c>
      <c r="S698" s="544">
        <f t="shared" si="32"/>
        <v>0</v>
      </c>
    </row>
    <row r="699" spans="2:19">
      <c r="B699" s="146"/>
      <c r="C699" s="146"/>
      <c r="D699" s="543" t="str">
        <f t="shared" si="30"/>
        <v/>
      </c>
      <c r="I699" s="146" t="s">
        <v>1238</v>
      </c>
      <c r="J699" s="146" t="s">
        <v>1748</v>
      </c>
      <c r="K699" s="544" t="s">
        <v>974</v>
      </c>
      <c r="L699" s="544">
        <v>0</v>
      </c>
      <c r="M699" s="544">
        <v>0</v>
      </c>
      <c r="N699" s="544">
        <v>0</v>
      </c>
      <c r="O699" s="544">
        <v>0</v>
      </c>
      <c r="P699" s="544">
        <v>0</v>
      </c>
      <c r="R699" s="543" t="str">
        <f t="shared" si="31"/>
        <v>A0300:(株)ファミリーネット・ジャパンメニューD</v>
      </c>
      <c r="S699" s="544">
        <f t="shared" si="32"/>
        <v>0</v>
      </c>
    </row>
    <row r="700" spans="2:19">
      <c r="B700" s="146"/>
      <c r="C700" s="146"/>
      <c r="D700" s="543" t="str">
        <f t="shared" si="30"/>
        <v/>
      </c>
      <c r="I700" s="146" t="s">
        <v>1238</v>
      </c>
      <c r="J700" s="146" t="s">
        <v>1748</v>
      </c>
      <c r="K700" s="544" t="s">
        <v>975</v>
      </c>
      <c r="L700" s="544">
        <v>3.3799999999999998E-4</v>
      </c>
      <c r="M700" s="544">
        <v>3.3799999999999998E-4</v>
      </c>
      <c r="N700" s="544">
        <v>3.3799999999999998E-4</v>
      </c>
      <c r="O700" s="544">
        <v>3.3799999999999998E-4</v>
      </c>
      <c r="P700" s="544">
        <v>3.3799999999999998E-4</v>
      </c>
      <c r="R700" s="543" t="str">
        <f t="shared" si="31"/>
        <v>A0300:(株)ファミリーネット・ジャパンメニューE</v>
      </c>
      <c r="S700" s="544">
        <f t="shared" si="32"/>
        <v>3.3799999999999998E-4</v>
      </c>
    </row>
    <row r="701" spans="2:19">
      <c r="B701" s="146"/>
      <c r="C701" s="146"/>
      <c r="D701" s="543" t="str">
        <f t="shared" si="30"/>
        <v/>
      </c>
      <c r="I701" s="146" t="s">
        <v>1238</v>
      </c>
      <c r="J701" s="146" t="s">
        <v>1748</v>
      </c>
      <c r="K701" s="544" t="s">
        <v>2058</v>
      </c>
      <c r="L701" s="544">
        <v>2.9999999999999997E-4</v>
      </c>
      <c r="M701" s="544">
        <v>2.9999999999999997E-4</v>
      </c>
      <c r="N701" s="544">
        <v>2.9999999999999997E-4</v>
      </c>
      <c r="O701" s="544">
        <v>2.9999999999999997E-4</v>
      </c>
      <c r="P701" s="544">
        <v>2.9999999999999997E-4</v>
      </c>
      <c r="R701" s="543" t="str">
        <f t="shared" si="31"/>
        <v>A0300:(株)ファミリーネット・ジャパン(参考値)事業者全体</v>
      </c>
      <c r="S701" s="544">
        <f t="shared" si="32"/>
        <v>2.9999999999999997E-4</v>
      </c>
    </row>
    <row r="702" spans="2:19">
      <c r="B702" s="146"/>
      <c r="C702" s="146"/>
      <c r="D702" s="543" t="str">
        <f t="shared" si="30"/>
        <v/>
      </c>
      <c r="I702" s="146" t="s">
        <v>1239</v>
      </c>
      <c r="J702" s="146" t="s">
        <v>1749</v>
      </c>
      <c r="K702" s="544"/>
      <c r="L702" s="544">
        <v>6.1799999999999995E-4</v>
      </c>
      <c r="M702" s="544">
        <v>6.1799999999999995E-4</v>
      </c>
      <c r="N702" s="544">
        <v>6.1799999999999995E-4</v>
      </c>
      <c r="O702" s="544">
        <v>6.1799999999999995E-4</v>
      </c>
      <c r="P702" s="544">
        <v>6.1799999999999995E-4</v>
      </c>
      <c r="R702" s="543" t="str">
        <f t="shared" si="31"/>
        <v>A0303:MKステーションズ(株)</v>
      </c>
      <c r="S702" s="544">
        <f t="shared" si="32"/>
        <v>6.1799999999999995E-4</v>
      </c>
    </row>
    <row r="703" spans="2:19">
      <c r="B703" s="146"/>
      <c r="C703" s="146"/>
      <c r="D703" s="543" t="str">
        <f t="shared" si="30"/>
        <v/>
      </c>
      <c r="I703" s="146" t="s">
        <v>1240</v>
      </c>
      <c r="J703" s="146" t="s">
        <v>1750</v>
      </c>
      <c r="K703" s="544"/>
      <c r="L703" s="544">
        <v>6.5099999999999999E-4</v>
      </c>
      <c r="M703" s="544">
        <v>6.5099999999999999E-4</v>
      </c>
      <c r="N703" s="544">
        <v>6.5099999999999999E-4</v>
      </c>
      <c r="O703" s="544">
        <v>6.5099999999999999E-4</v>
      </c>
      <c r="P703" s="544">
        <v>6.5099999999999999E-4</v>
      </c>
      <c r="R703" s="543" t="str">
        <f t="shared" si="31"/>
        <v>A0305:フラワーペイメント(株)</v>
      </c>
      <c r="S703" s="544">
        <f t="shared" si="32"/>
        <v>6.5099999999999999E-4</v>
      </c>
    </row>
    <row r="704" spans="2:19">
      <c r="B704" s="146"/>
      <c r="C704" s="146"/>
      <c r="D704" s="543" t="str">
        <f t="shared" si="30"/>
        <v/>
      </c>
      <c r="I704" s="146" t="s">
        <v>1241</v>
      </c>
      <c r="J704" s="146" t="s">
        <v>1751</v>
      </c>
      <c r="K704" s="544"/>
      <c r="L704" s="544">
        <v>4.9799999999999996E-4</v>
      </c>
      <c r="M704" s="544">
        <v>4.9799999999999996E-4</v>
      </c>
      <c r="N704" s="544">
        <v>4.9799999999999996E-4</v>
      </c>
      <c r="O704" s="544">
        <v>4.9799999999999996E-4</v>
      </c>
      <c r="P704" s="544">
        <v>4.9799999999999996E-4</v>
      </c>
      <c r="R704" s="543" t="str">
        <f t="shared" si="31"/>
        <v>A0306:(株)JTBコミュニケーションデザイン</v>
      </c>
      <c r="S704" s="544">
        <f t="shared" si="32"/>
        <v>4.9799999999999996E-4</v>
      </c>
    </row>
    <row r="705" spans="2:19">
      <c r="B705" s="146"/>
      <c r="C705" s="146"/>
      <c r="D705" s="543" t="str">
        <f t="shared" si="30"/>
        <v/>
      </c>
      <c r="I705" s="146" t="s">
        <v>1242</v>
      </c>
      <c r="J705" s="146" t="s">
        <v>1752</v>
      </c>
      <c r="K705" s="544" t="s">
        <v>710</v>
      </c>
      <c r="L705" s="544">
        <v>0</v>
      </c>
      <c r="M705" s="544">
        <v>0</v>
      </c>
      <c r="N705" s="544">
        <v>0</v>
      </c>
      <c r="O705" s="544">
        <v>0</v>
      </c>
      <c r="P705" s="544">
        <v>0</v>
      </c>
      <c r="R705" s="543" t="str">
        <f t="shared" si="31"/>
        <v>A0310:全農エネルギー(株)メニューA</v>
      </c>
      <c r="S705" s="544">
        <f t="shared" si="32"/>
        <v>0</v>
      </c>
    </row>
    <row r="706" spans="2:19">
      <c r="B706" s="146"/>
      <c r="C706" s="146"/>
      <c r="D706" s="543" t="str">
        <f t="shared" si="30"/>
        <v/>
      </c>
      <c r="I706" s="146" t="s">
        <v>1242</v>
      </c>
      <c r="J706" s="146" t="s">
        <v>1752</v>
      </c>
      <c r="K706" s="544" t="s">
        <v>787</v>
      </c>
      <c r="L706" s="544">
        <v>6.0300000000000002E-4</v>
      </c>
      <c r="M706" s="544">
        <v>6.0300000000000002E-4</v>
      </c>
      <c r="N706" s="544">
        <v>6.0300000000000002E-4</v>
      </c>
      <c r="O706" s="544">
        <v>6.0300000000000002E-4</v>
      </c>
      <c r="P706" s="544">
        <v>6.0300000000000002E-4</v>
      </c>
      <c r="R706" s="543" t="str">
        <f t="shared" si="31"/>
        <v>A0310:全農エネルギー(株)メニューB</v>
      </c>
      <c r="S706" s="544">
        <f t="shared" si="32"/>
        <v>6.0300000000000002E-4</v>
      </c>
    </row>
    <row r="707" spans="2:19">
      <c r="B707" s="146"/>
      <c r="C707" s="146"/>
      <c r="D707" s="543" t="str">
        <f t="shared" si="30"/>
        <v/>
      </c>
      <c r="I707" s="146" t="s">
        <v>1242</v>
      </c>
      <c r="J707" s="146" t="s">
        <v>1752</v>
      </c>
      <c r="K707" s="544" t="s">
        <v>2058</v>
      </c>
      <c r="L707" s="544">
        <v>5.9999999999999995E-4</v>
      </c>
      <c r="M707" s="544">
        <v>5.9999999999999995E-4</v>
      </c>
      <c r="N707" s="544">
        <v>5.9999999999999995E-4</v>
      </c>
      <c r="O707" s="544">
        <v>5.9999999999999995E-4</v>
      </c>
      <c r="P707" s="544">
        <v>5.9999999999999995E-4</v>
      </c>
      <c r="R707" s="543" t="str">
        <f t="shared" si="31"/>
        <v>A0310:全農エネルギー(株)(参考値)事業者全体</v>
      </c>
      <c r="S707" s="544">
        <f t="shared" si="32"/>
        <v>5.9999999999999995E-4</v>
      </c>
    </row>
    <row r="708" spans="2:19">
      <c r="B708" s="146"/>
      <c r="C708" s="146"/>
      <c r="D708" s="543" t="str">
        <f t="shared" si="30"/>
        <v/>
      </c>
      <c r="I708" s="146" t="s">
        <v>1243</v>
      </c>
      <c r="J708" s="146" t="s">
        <v>1753</v>
      </c>
      <c r="K708" s="544" t="s">
        <v>710</v>
      </c>
      <c r="L708" s="544">
        <v>0</v>
      </c>
      <c r="M708" s="544">
        <v>0</v>
      </c>
      <c r="N708" s="544">
        <v>0</v>
      </c>
      <c r="O708" s="544">
        <v>0</v>
      </c>
      <c r="P708" s="544">
        <v>0</v>
      </c>
      <c r="R708" s="543" t="str">
        <f t="shared" si="31"/>
        <v>A0311:(株)ハルエネメニューA</v>
      </c>
      <c r="S708" s="544">
        <f t="shared" si="32"/>
        <v>0</v>
      </c>
    </row>
    <row r="709" spans="2:19">
      <c r="B709" s="146"/>
      <c r="C709" s="146"/>
      <c r="D709" s="543" t="str">
        <f t="shared" si="30"/>
        <v/>
      </c>
      <c r="I709" s="146" t="s">
        <v>1243</v>
      </c>
      <c r="J709" s="146" t="s">
        <v>1753</v>
      </c>
      <c r="K709" s="544" t="s">
        <v>787</v>
      </c>
      <c r="L709" s="544">
        <v>0</v>
      </c>
      <c r="M709" s="544">
        <v>0</v>
      </c>
      <c r="N709" s="544">
        <v>0</v>
      </c>
      <c r="O709" s="544">
        <v>0</v>
      </c>
      <c r="P709" s="544">
        <v>0</v>
      </c>
      <c r="R709" s="543" t="str">
        <f t="shared" si="31"/>
        <v>A0311:(株)ハルエネメニューB</v>
      </c>
      <c r="S709" s="544">
        <f t="shared" si="32"/>
        <v>0</v>
      </c>
    </row>
    <row r="710" spans="2:19">
      <c r="B710" s="146"/>
      <c r="C710" s="146"/>
      <c r="D710" s="543" t="str">
        <f t="shared" si="30"/>
        <v/>
      </c>
      <c r="I710" s="146" t="s">
        <v>1243</v>
      </c>
      <c r="J710" s="146" t="s">
        <v>1753</v>
      </c>
      <c r="K710" s="544" t="s">
        <v>788</v>
      </c>
      <c r="L710" s="544">
        <v>3.5300000000000002E-4</v>
      </c>
      <c r="M710" s="544">
        <v>3.5300000000000002E-4</v>
      </c>
      <c r="N710" s="544">
        <v>3.5300000000000002E-4</v>
      </c>
      <c r="O710" s="544">
        <v>3.5300000000000002E-4</v>
      </c>
      <c r="P710" s="544">
        <v>3.5300000000000002E-4</v>
      </c>
      <c r="R710" s="543" t="str">
        <f t="shared" si="31"/>
        <v>A0311:(株)ハルエネメニューC</v>
      </c>
      <c r="S710" s="544">
        <f t="shared" si="32"/>
        <v>3.5300000000000002E-4</v>
      </c>
    </row>
    <row r="711" spans="2:19">
      <c r="B711" s="146"/>
      <c r="C711" s="146"/>
      <c r="D711" s="543" t="str">
        <f t="shared" si="30"/>
        <v/>
      </c>
      <c r="I711" s="146" t="s">
        <v>1243</v>
      </c>
      <c r="J711" s="146" t="s">
        <v>1753</v>
      </c>
      <c r="K711" s="544" t="s">
        <v>2058</v>
      </c>
      <c r="L711" s="544">
        <v>3.5300000000000002E-4</v>
      </c>
      <c r="M711" s="544">
        <v>3.5300000000000002E-4</v>
      </c>
      <c r="N711" s="544">
        <v>3.5300000000000002E-4</v>
      </c>
      <c r="O711" s="544">
        <v>3.5300000000000002E-4</v>
      </c>
      <c r="P711" s="544">
        <v>3.5300000000000002E-4</v>
      </c>
      <c r="R711" s="543" t="str">
        <f t="shared" si="31"/>
        <v>A0311:(株)ハルエネ(参考値)事業者全体</v>
      </c>
      <c r="S711" s="544">
        <f t="shared" si="32"/>
        <v>3.5300000000000002E-4</v>
      </c>
    </row>
    <row r="712" spans="2:19">
      <c r="B712" s="146"/>
      <c r="C712" s="146"/>
      <c r="D712" s="543" t="str">
        <f t="shared" si="30"/>
        <v/>
      </c>
      <c r="I712" s="146" t="s">
        <v>1244</v>
      </c>
      <c r="J712" s="146" t="s">
        <v>1754</v>
      </c>
      <c r="K712" s="544"/>
      <c r="L712" s="544">
        <v>4.3300000000000001E-4</v>
      </c>
      <c r="M712" s="544">
        <v>4.3300000000000001E-4</v>
      </c>
      <c r="N712" s="544">
        <v>4.3300000000000001E-4</v>
      </c>
      <c r="O712" s="544">
        <v>4.3300000000000001E-4</v>
      </c>
      <c r="P712" s="544">
        <v>4.3300000000000001E-4</v>
      </c>
      <c r="R712" s="543" t="str">
        <f t="shared" si="31"/>
        <v>A0314:(株)ビビット</v>
      </c>
      <c r="S712" s="544">
        <f t="shared" si="32"/>
        <v>4.3300000000000001E-4</v>
      </c>
    </row>
    <row r="713" spans="2:19">
      <c r="B713" s="146"/>
      <c r="C713" s="146"/>
      <c r="D713" s="543" t="str">
        <f t="shared" si="30"/>
        <v/>
      </c>
      <c r="I713" s="146" t="s">
        <v>1245</v>
      </c>
      <c r="J713" s="146" t="s">
        <v>1755</v>
      </c>
      <c r="K713" s="544"/>
      <c r="L713" s="544">
        <v>4.1899999999999999E-4</v>
      </c>
      <c r="M713" s="544">
        <v>4.1899999999999999E-4</v>
      </c>
      <c r="N713" s="544">
        <v>4.1899999999999999E-4</v>
      </c>
      <c r="O713" s="544">
        <v>4.1899999999999999E-4</v>
      </c>
      <c r="P713" s="544">
        <v>4.1899999999999999E-4</v>
      </c>
      <c r="R713" s="543" t="str">
        <f t="shared" si="31"/>
        <v>A0315:(株)おおた電力</v>
      </c>
      <c r="S713" s="544">
        <f t="shared" si="32"/>
        <v>4.1899999999999999E-4</v>
      </c>
    </row>
    <row r="714" spans="2:19">
      <c r="B714" s="146"/>
      <c r="C714" s="146"/>
      <c r="D714" s="543" t="str">
        <f t="shared" ref="D714:D777" si="33">IF(B714="","",B714&amp;":"&amp;C714)</f>
        <v/>
      </c>
      <c r="I714" s="146" t="s">
        <v>1246</v>
      </c>
      <c r="J714" s="146" t="s">
        <v>1756</v>
      </c>
      <c r="K714" s="544"/>
      <c r="L714" s="544">
        <v>6.2299999999999996E-4</v>
      </c>
      <c r="M714" s="544">
        <v>6.2299999999999996E-4</v>
      </c>
      <c r="N714" s="544">
        <v>6.2299999999999996E-4</v>
      </c>
      <c r="O714" s="544">
        <v>6.2299999999999996E-4</v>
      </c>
      <c r="P714" s="544">
        <v>6.2299999999999996E-4</v>
      </c>
      <c r="R714" s="543" t="str">
        <f t="shared" ref="R714:R777" si="34">I714&amp;":"&amp;J714&amp;K714</f>
        <v>A0317:伊藤忠プランテック(株)</v>
      </c>
      <c r="S714" s="544">
        <f t="shared" ref="S714:S777" si="35">HLOOKUP($S$8,$L$8:$P$2000,ROW()-7,FALSE)</f>
        <v>6.2299999999999996E-4</v>
      </c>
    </row>
    <row r="715" spans="2:19">
      <c r="B715" s="146"/>
      <c r="C715" s="146"/>
      <c r="D715" s="543" t="str">
        <f t="shared" si="33"/>
        <v/>
      </c>
      <c r="I715" s="146" t="s">
        <v>1247</v>
      </c>
      <c r="J715" s="146" t="s">
        <v>1757</v>
      </c>
      <c r="K715" s="544"/>
      <c r="L715" s="544">
        <v>6.4599999999999998E-4</v>
      </c>
      <c r="M715" s="544">
        <v>6.4599999999999998E-4</v>
      </c>
      <c r="N715" s="544">
        <v>6.4599999999999998E-4</v>
      </c>
      <c r="O715" s="544">
        <v>6.4599999999999998E-4</v>
      </c>
      <c r="P715" s="544">
        <v>6.4599999999999998E-4</v>
      </c>
      <c r="R715" s="543" t="str">
        <f t="shared" si="34"/>
        <v>A0318:(株)オカモト</v>
      </c>
      <c r="S715" s="544">
        <f t="shared" si="35"/>
        <v>6.4599999999999998E-4</v>
      </c>
    </row>
    <row r="716" spans="2:19">
      <c r="B716" s="146"/>
      <c r="C716" s="146"/>
      <c r="D716" s="543" t="str">
        <f t="shared" si="33"/>
        <v/>
      </c>
      <c r="I716" s="146" t="s">
        <v>1248</v>
      </c>
      <c r="J716" s="146" t="s">
        <v>1758</v>
      </c>
      <c r="K716" s="544"/>
      <c r="L716" s="544">
        <v>4.0200000000000001E-4</v>
      </c>
      <c r="M716" s="544">
        <v>4.0200000000000001E-4</v>
      </c>
      <c r="N716" s="544">
        <v>4.0200000000000001E-4</v>
      </c>
      <c r="O716" s="544">
        <v>4.0200000000000001E-4</v>
      </c>
      <c r="P716" s="544">
        <v>4.0200000000000001E-4</v>
      </c>
      <c r="R716" s="543" t="str">
        <f t="shared" si="34"/>
        <v>A0323:キタコー(株)</v>
      </c>
      <c r="S716" s="544">
        <f t="shared" si="35"/>
        <v>4.0200000000000001E-4</v>
      </c>
    </row>
    <row r="717" spans="2:19">
      <c r="B717" s="146"/>
      <c r="C717" s="146"/>
      <c r="D717" s="543" t="str">
        <f t="shared" si="33"/>
        <v/>
      </c>
      <c r="I717" s="146" t="s">
        <v>1249</v>
      </c>
      <c r="J717" s="146" t="s">
        <v>1759</v>
      </c>
      <c r="K717" s="544" t="s">
        <v>710</v>
      </c>
      <c r="L717" s="544">
        <v>0</v>
      </c>
      <c r="M717" s="544">
        <v>0</v>
      </c>
      <c r="N717" s="544">
        <v>0</v>
      </c>
      <c r="O717" s="544">
        <v>0</v>
      </c>
      <c r="P717" s="544">
        <v>0</v>
      </c>
      <c r="R717" s="543" t="str">
        <f t="shared" si="34"/>
        <v>A0330:香川電力(株)　メニューA</v>
      </c>
      <c r="S717" s="544">
        <f t="shared" si="35"/>
        <v>0</v>
      </c>
    </row>
    <row r="718" spans="2:19">
      <c r="B718" s="146"/>
      <c r="C718" s="146"/>
      <c r="D718" s="543" t="str">
        <f t="shared" si="33"/>
        <v/>
      </c>
      <c r="I718" s="146" t="s">
        <v>1249</v>
      </c>
      <c r="J718" s="146" t="s">
        <v>1759</v>
      </c>
      <c r="K718" s="544" t="s">
        <v>787</v>
      </c>
      <c r="L718" s="544">
        <v>1.84E-4</v>
      </c>
      <c r="M718" s="544">
        <v>1.84E-4</v>
      </c>
      <c r="N718" s="544">
        <v>1.84E-4</v>
      </c>
      <c r="O718" s="544">
        <v>1.84E-4</v>
      </c>
      <c r="P718" s="544">
        <v>1.84E-4</v>
      </c>
      <c r="R718" s="543" t="str">
        <f t="shared" si="34"/>
        <v>A0330:香川電力(株)　メニューB</v>
      </c>
      <c r="S718" s="544">
        <f t="shared" si="35"/>
        <v>1.84E-4</v>
      </c>
    </row>
    <row r="719" spans="2:19">
      <c r="B719" s="146"/>
      <c r="C719" s="146"/>
      <c r="D719" s="543" t="str">
        <f t="shared" si="33"/>
        <v/>
      </c>
      <c r="I719" s="146" t="s">
        <v>1249</v>
      </c>
      <c r="J719" s="146" t="s">
        <v>1759</v>
      </c>
      <c r="K719" s="544" t="s">
        <v>788</v>
      </c>
      <c r="L719" s="544">
        <v>3.1199999999999999E-4</v>
      </c>
      <c r="M719" s="544">
        <v>3.1199999999999999E-4</v>
      </c>
      <c r="N719" s="544">
        <v>3.1199999999999999E-4</v>
      </c>
      <c r="O719" s="544">
        <v>3.1199999999999999E-4</v>
      </c>
      <c r="P719" s="544">
        <v>3.1199999999999999E-4</v>
      </c>
      <c r="R719" s="543" t="str">
        <f t="shared" si="34"/>
        <v>A0330:香川電力(株)　メニューC</v>
      </c>
      <c r="S719" s="544">
        <f t="shared" si="35"/>
        <v>3.1199999999999999E-4</v>
      </c>
    </row>
    <row r="720" spans="2:19">
      <c r="B720" s="146"/>
      <c r="C720" s="146"/>
      <c r="D720" s="543" t="str">
        <f t="shared" si="33"/>
        <v/>
      </c>
      <c r="I720" s="146" t="s">
        <v>1249</v>
      </c>
      <c r="J720" s="146" t="s">
        <v>1759</v>
      </c>
      <c r="K720" s="544" t="s">
        <v>974</v>
      </c>
      <c r="L720" s="544">
        <v>6.0599999999999998E-4</v>
      </c>
      <c r="M720" s="544">
        <v>6.0599999999999998E-4</v>
      </c>
      <c r="N720" s="544">
        <v>6.0599999999999998E-4</v>
      </c>
      <c r="O720" s="544">
        <v>6.0599999999999998E-4</v>
      </c>
      <c r="P720" s="544">
        <v>6.0599999999999998E-4</v>
      </c>
      <c r="R720" s="543" t="str">
        <f t="shared" si="34"/>
        <v>A0330:香川電力(株)　メニューD</v>
      </c>
      <c r="S720" s="544">
        <f t="shared" si="35"/>
        <v>6.0599999999999998E-4</v>
      </c>
    </row>
    <row r="721" spans="2:19">
      <c r="B721" s="146"/>
      <c r="C721" s="146"/>
      <c r="D721" s="543" t="str">
        <f t="shared" si="33"/>
        <v/>
      </c>
      <c r="I721" s="146" t="s">
        <v>1249</v>
      </c>
      <c r="J721" s="146" t="s">
        <v>1759</v>
      </c>
      <c r="K721" s="544" t="s">
        <v>2058</v>
      </c>
      <c r="L721" s="544">
        <v>5.9400000000000002E-4</v>
      </c>
      <c r="M721" s="544">
        <v>5.9400000000000002E-4</v>
      </c>
      <c r="N721" s="544">
        <v>5.9400000000000002E-4</v>
      </c>
      <c r="O721" s="544">
        <v>5.9400000000000002E-4</v>
      </c>
      <c r="P721" s="544">
        <v>5.9400000000000002E-4</v>
      </c>
      <c r="R721" s="543" t="str">
        <f t="shared" si="34"/>
        <v>A0330:香川電力(株)　(参考値)事業者全体</v>
      </c>
      <c r="S721" s="544">
        <f t="shared" si="35"/>
        <v>5.9400000000000002E-4</v>
      </c>
    </row>
    <row r="722" spans="2:19">
      <c r="B722" s="146"/>
      <c r="C722" s="146"/>
      <c r="D722" s="543" t="str">
        <f t="shared" si="33"/>
        <v/>
      </c>
      <c r="I722" s="146" t="s">
        <v>1250</v>
      </c>
      <c r="J722" s="146" t="s">
        <v>1760</v>
      </c>
      <c r="K722" s="544" t="s">
        <v>710</v>
      </c>
      <c r="L722" s="544">
        <v>0</v>
      </c>
      <c r="M722" s="544">
        <v>0</v>
      </c>
      <c r="N722" s="544">
        <v>0</v>
      </c>
      <c r="O722" s="544">
        <v>0</v>
      </c>
      <c r="P722" s="544">
        <v>0</v>
      </c>
      <c r="R722" s="543" t="str">
        <f t="shared" si="34"/>
        <v>A0332:(株)PinTメニューA</v>
      </c>
      <c r="S722" s="544">
        <f t="shared" si="35"/>
        <v>0</v>
      </c>
    </row>
    <row r="723" spans="2:19">
      <c r="B723" s="146"/>
      <c r="C723" s="146"/>
      <c r="D723" s="543" t="str">
        <f t="shared" si="33"/>
        <v/>
      </c>
      <c r="I723" s="146" t="s">
        <v>1250</v>
      </c>
      <c r="J723" s="146" t="s">
        <v>1760</v>
      </c>
      <c r="K723" s="544" t="s">
        <v>787</v>
      </c>
      <c r="L723" s="544">
        <v>0</v>
      </c>
      <c r="M723" s="544">
        <v>0</v>
      </c>
      <c r="N723" s="544">
        <v>0</v>
      </c>
      <c r="O723" s="544">
        <v>0</v>
      </c>
      <c r="P723" s="544">
        <v>0</v>
      </c>
      <c r="R723" s="543" t="str">
        <f t="shared" si="34"/>
        <v>A0332:(株)PinTメニューB</v>
      </c>
      <c r="S723" s="544">
        <f t="shared" si="35"/>
        <v>0</v>
      </c>
    </row>
    <row r="724" spans="2:19">
      <c r="B724" s="146"/>
      <c r="C724" s="146"/>
      <c r="D724" s="543" t="str">
        <f t="shared" si="33"/>
        <v/>
      </c>
      <c r="I724" s="146" t="s">
        <v>1250</v>
      </c>
      <c r="J724" s="146" t="s">
        <v>1760</v>
      </c>
      <c r="K724" s="544" t="s">
        <v>788</v>
      </c>
      <c r="L724" s="544">
        <v>4.0499999999999998E-4</v>
      </c>
      <c r="M724" s="544">
        <v>4.0499999999999998E-4</v>
      </c>
      <c r="N724" s="544">
        <v>4.0499999999999998E-4</v>
      </c>
      <c r="O724" s="544">
        <v>4.0499999999999998E-4</v>
      </c>
      <c r="P724" s="544">
        <v>4.0499999999999998E-4</v>
      </c>
      <c r="R724" s="543" t="str">
        <f t="shared" si="34"/>
        <v>A0332:(株)PinTメニューC</v>
      </c>
      <c r="S724" s="544">
        <f t="shared" si="35"/>
        <v>4.0499999999999998E-4</v>
      </c>
    </row>
    <row r="725" spans="2:19">
      <c r="B725" s="146"/>
      <c r="C725" s="146"/>
      <c r="D725" s="543" t="str">
        <f t="shared" si="33"/>
        <v/>
      </c>
      <c r="I725" s="146" t="s">
        <v>1250</v>
      </c>
      <c r="J725" s="146" t="s">
        <v>1760</v>
      </c>
      <c r="K725" s="544" t="s">
        <v>2058</v>
      </c>
      <c r="L725" s="544">
        <v>4.0000000000000002E-4</v>
      </c>
      <c r="M725" s="544">
        <v>4.0000000000000002E-4</v>
      </c>
      <c r="N725" s="544">
        <v>4.0000000000000002E-4</v>
      </c>
      <c r="O725" s="544">
        <v>4.0000000000000002E-4</v>
      </c>
      <c r="P725" s="544">
        <v>4.0000000000000002E-4</v>
      </c>
      <c r="R725" s="543" t="str">
        <f t="shared" si="34"/>
        <v>A0332:(株)PinT(参考値)事業者全体</v>
      </c>
      <c r="S725" s="544">
        <f t="shared" si="35"/>
        <v>4.0000000000000002E-4</v>
      </c>
    </row>
    <row r="726" spans="2:19">
      <c r="B726" s="146"/>
      <c r="C726" s="146"/>
      <c r="D726" s="543" t="str">
        <f t="shared" si="33"/>
        <v/>
      </c>
      <c r="I726" s="146" t="s">
        <v>1251</v>
      </c>
      <c r="J726" s="146" t="s">
        <v>1761</v>
      </c>
      <c r="K726" s="544" t="s">
        <v>710</v>
      </c>
      <c r="L726" s="544">
        <v>0</v>
      </c>
      <c r="M726" s="544">
        <v>0</v>
      </c>
      <c r="N726" s="544">
        <v>0</v>
      </c>
      <c r="O726" s="544">
        <v>0</v>
      </c>
      <c r="P726" s="544">
        <v>0</v>
      </c>
      <c r="R726" s="543" t="str">
        <f t="shared" si="34"/>
        <v>A0336:(株)沖縄ガスニューパワーメニューA</v>
      </c>
      <c r="S726" s="544">
        <f t="shared" si="35"/>
        <v>0</v>
      </c>
    </row>
    <row r="727" spans="2:19">
      <c r="B727" s="146"/>
      <c r="C727" s="146"/>
      <c r="D727" s="543" t="str">
        <f t="shared" si="33"/>
        <v/>
      </c>
      <c r="I727" s="146" t="s">
        <v>1251</v>
      </c>
      <c r="J727" s="146" t="s">
        <v>1761</v>
      </c>
      <c r="K727" s="544" t="s">
        <v>787</v>
      </c>
      <c r="L727" s="544">
        <v>5.4799999999999998E-4</v>
      </c>
      <c r="M727" s="544">
        <v>5.4799999999999998E-4</v>
      </c>
      <c r="N727" s="544">
        <v>5.4799999999999998E-4</v>
      </c>
      <c r="O727" s="544">
        <v>5.4799999999999998E-4</v>
      </c>
      <c r="P727" s="544">
        <v>5.4799999999999998E-4</v>
      </c>
      <c r="R727" s="543" t="str">
        <f t="shared" si="34"/>
        <v>A0336:(株)沖縄ガスニューパワーメニューB</v>
      </c>
      <c r="S727" s="544">
        <f t="shared" si="35"/>
        <v>5.4799999999999998E-4</v>
      </c>
    </row>
    <row r="728" spans="2:19">
      <c r="B728" s="146"/>
      <c r="C728" s="146"/>
      <c r="D728" s="543" t="str">
        <f t="shared" si="33"/>
        <v/>
      </c>
      <c r="I728" s="146" t="s">
        <v>1251</v>
      </c>
      <c r="J728" s="146" t="s">
        <v>1761</v>
      </c>
      <c r="K728" s="544" t="s">
        <v>2058</v>
      </c>
      <c r="L728" s="544">
        <v>4.7800000000000002E-4</v>
      </c>
      <c r="M728" s="544">
        <v>4.7800000000000002E-4</v>
      </c>
      <c r="N728" s="544">
        <v>4.7800000000000002E-4</v>
      </c>
      <c r="O728" s="544">
        <v>4.7800000000000002E-4</v>
      </c>
      <c r="P728" s="544">
        <v>4.7800000000000002E-4</v>
      </c>
      <c r="R728" s="543" t="str">
        <f t="shared" si="34"/>
        <v>A0336:(株)沖縄ガスニューパワー(参考値)事業者全体</v>
      </c>
      <c r="S728" s="544">
        <f t="shared" si="35"/>
        <v>4.7800000000000002E-4</v>
      </c>
    </row>
    <row r="729" spans="2:19">
      <c r="B729" s="146"/>
      <c r="C729" s="146"/>
      <c r="D729" s="543" t="str">
        <f t="shared" si="33"/>
        <v/>
      </c>
      <c r="I729" s="146" t="s">
        <v>1252</v>
      </c>
      <c r="J729" s="146" t="s">
        <v>1762</v>
      </c>
      <c r="K729" s="544"/>
      <c r="L729" s="544">
        <v>4.1899999999999999E-4</v>
      </c>
      <c r="M729" s="544">
        <v>4.1899999999999999E-4</v>
      </c>
      <c r="N729" s="544">
        <v>4.1899999999999999E-4</v>
      </c>
      <c r="O729" s="544">
        <v>4.1899999999999999E-4</v>
      </c>
      <c r="P729" s="544">
        <v>4.1899999999999999E-4</v>
      </c>
      <c r="R729" s="543" t="str">
        <f t="shared" si="34"/>
        <v>A0337:諏訪瓦斯(株)</v>
      </c>
      <c r="S729" s="544">
        <f t="shared" si="35"/>
        <v>4.1899999999999999E-4</v>
      </c>
    </row>
    <row r="730" spans="2:19">
      <c r="B730" s="146"/>
      <c r="C730" s="146"/>
      <c r="D730" s="543" t="str">
        <f t="shared" si="33"/>
        <v/>
      </c>
      <c r="I730" s="146" t="s">
        <v>1253</v>
      </c>
      <c r="J730" s="146" t="s">
        <v>1763</v>
      </c>
      <c r="K730" s="544"/>
      <c r="L730" s="544">
        <v>5.9400000000000002E-4</v>
      </c>
      <c r="M730" s="544">
        <v>5.9400000000000002E-4</v>
      </c>
      <c r="N730" s="544">
        <v>5.9400000000000002E-4</v>
      </c>
      <c r="O730" s="544">
        <v>5.9400000000000002E-4</v>
      </c>
      <c r="P730" s="544">
        <v>5.9400000000000002E-4</v>
      </c>
      <c r="R730" s="543" t="str">
        <f t="shared" si="34"/>
        <v>A0338:エッセンシャルエナジー(株)</v>
      </c>
      <c r="S730" s="544">
        <f t="shared" si="35"/>
        <v>5.9400000000000002E-4</v>
      </c>
    </row>
    <row r="731" spans="2:19">
      <c r="B731" s="146"/>
      <c r="C731" s="146"/>
      <c r="D731" s="543" t="str">
        <f t="shared" si="33"/>
        <v/>
      </c>
      <c r="I731" s="146" t="s">
        <v>1254</v>
      </c>
      <c r="J731" s="146" t="s">
        <v>1764</v>
      </c>
      <c r="K731" s="544"/>
      <c r="L731" s="544">
        <v>2.99E-4</v>
      </c>
      <c r="M731" s="544">
        <v>2.99E-4</v>
      </c>
      <c r="N731" s="544">
        <v>2.99E-4</v>
      </c>
      <c r="O731" s="544">
        <v>2.99E-4</v>
      </c>
      <c r="P731" s="544">
        <v>2.99E-4</v>
      </c>
      <c r="R731" s="543" t="str">
        <f t="shared" si="34"/>
        <v>A0342:(株)いちき串木野電力</v>
      </c>
      <c r="S731" s="544">
        <f t="shared" si="35"/>
        <v>2.99E-4</v>
      </c>
    </row>
    <row r="732" spans="2:19">
      <c r="B732" s="146"/>
      <c r="C732" s="146"/>
      <c r="D732" s="543" t="str">
        <f t="shared" si="33"/>
        <v/>
      </c>
      <c r="I732" s="146" t="s">
        <v>1255</v>
      </c>
      <c r="J732" s="146" t="s">
        <v>1765</v>
      </c>
      <c r="K732" s="544"/>
      <c r="L732" s="544">
        <v>5.7399999999999997E-4</v>
      </c>
      <c r="M732" s="544">
        <v>5.7399999999999997E-4</v>
      </c>
      <c r="N732" s="544">
        <v>5.7399999999999997E-4</v>
      </c>
      <c r="O732" s="544">
        <v>5.7399999999999997E-4</v>
      </c>
      <c r="P732" s="544">
        <v>5.7399999999999997E-4</v>
      </c>
      <c r="R732" s="543" t="str">
        <f t="shared" si="34"/>
        <v>A0343:(株)クローバー・テクノロジーズ</v>
      </c>
      <c r="S732" s="544">
        <f t="shared" si="35"/>
        <v>5.7399999999999997E-4</v>
      </c>
    </row>
    <row r="733" spans="2:19">
      <c r="B733" s="146"/>
      <c r="C733" s="146"/>
      <c r="D733" s="543" t="str">
        <f t="shared" si="33"/>
        <v/>
      </c>
      <c r="I733" s="146" t="s">
        <v>1256</v>
      </c>
      <c r="J733" s="146" t="s">
        <v>1766</v>
      </c>
      <c r="K733" s="544"/>
      <c r="L733" s="544">
        <v>4.1899999999999999E-4</v>
      </c>
      <c r="M733" s="544">
        <v>4.1899999999999999E-4</v>
      </c>
      <c r="N733" s="544">
        <v>4.1899999999999999E-4</v>
      </c>
      <c r="O733" s="544">
        <v>4.1899999999999999E-4</v>
      </c>
      <c r="P733" s="544">
        <v>4.1899999999999999E-4</v>
      </c>
      <c r="R733" s="543" t="str">
        <f t="shared" si="34"/>
        <v>A0344:西武ガス(株)</v>
      </c>
      <c r="S733" s="544">
        <f t="shared" si="35"/>
        <v>4.1899999999999999E-4</v>
      </c>
    </row>
    <row r="734" spans="2:19">
      <c r="B734" s="146"/>
      <c r="C734" s="146"/>
      <c r="D734" s="543" t="str">
        <f t="shared" si="33"/>
        <v/>
      </c>
      <c r="I734" s="146" t="s">
        <v>1257</v>
      </c>
      <c r="J734" s="146" t="s">
        <v>1767</v>
      </c>
      <c r="K734" s="544" t="s">
        <v>710</v>
      </c>
      <c r="L734" s="544">
        <v>0</v>
      </c>
      <c r="M734" s="544">
        <v>0</v>
      </c>
      <c r="N734" s="544">
        <v>0</v>
      </c>
      <c r="O734" s="544">
        <v>0</v>
      </c>
      <c r="P734" s="544">
        <v>0</v>
      </c>
      <c r="R734" s="543" t="str">
        <f t="shared" si="34"/>
        <v>A0345:松本ガス(株)メニューA</v>
      </c>
      <c r="S734" s="544">
        <f t="shared" si="35"/>
        <v>0</v>
      </c>
    </row>
    <row r="735" spans="2:19">
      <c r="B735" s="146"/>
      <c r="C735" s="146"/>
      <c r="D735" s="543" t="str">
        <f t="shared" si="33"/>
        <v/>
      </c>
      <c r="I735" s="146" t="s">
        <v>1257</v>
      </c>
      <c r="J735" s="146" t="s">
        <v>1767</v>
      </c>
      <c r="K735" s="544" t="s">
        <v>787</v>
      </c>
      <c r="L735" s="544">
        <v>4.3399999999999998E-4</v>
      </c>
      <c r="M735" s="544">
        <v>4.3399999999999998E-4</v>
      </c>
      <c r="N735" s="544">
        <v>4.3399999999999998E-4</v>
      </c>
      <c r="O735" s="544">
        <v>4.3399999999999998E-4</v>
      </c>
      <c r="P735" s="544">
        <v>4.3399999999999998E-4</v>
      </c>
      <c r="R735" s="543" t="str">
        <f t="shared" si="34"/>
        <v>A0345:松本ガス(株)メニューB</v>
      </c>
      <c r="S735" s="544">
        <f t="shared" si="35"/>
        <v>4.3399999999999998E-4</v>
      </c>
    </row>
    <row r="736" spans="2:19">
      <c r="B736" s="146"/>
      <c r="C736" s="146"/>
      <c r="D736" s="543" t="str">
        <f t="shared" si="33"/>
        <v/>
      </c>
      <c r="I736" s="146" t="s">
        <v>1257</v>
      </c>
      <c r="J736" s="146" t="s">
        <v>1767</v>
      </c>
      <c r="K736" s="544" t="s">
        <v>2058</v>
      </c>
      <c r="L736" s="544">
        <v>3.4000000000000002E-4</v>
      </c>
      <c r="M736" s="544">
        <v>3.4000000000000002E-4</v>
      </c>
      <c r="N736" s="544">
        <v>3.4000000000000002E-4</v>
      </c>
      <c r="O736" s="544">
        <v>3.4000000000000002E-4</v>
      </c>
      <c r="P736" s="544">
        <v>3.4000000000000002E-4</v>
      </c>
      <c r="R736" s="543" t="str">
        <f t="shared" si="34"/>
        <v>A0345:松本ガス(株)(参考値)事業者全体</v>
      </c>
      <c r="S736" s="544">
        <f t="shared" si="35"/>
        <v>3.4000000000000002E-4</v>
      </c>
    </row>
    <row r="737" spans="2:19">
      <c r="B737" s="146"/>
      <c r="C737" s="146"/>
      <c r="D737" s="543" t="str">
        <f t="shared" si="33"/>
        <v/>
      </c>
      <c r="I737" s="146" t="s">
        <v>1258</v>
      </c>
      <c r="J737" s="146" t="s">
        <v>1768</v>
      </c>
      <c r="K737" s="544"/>
      <c r="L737" s="544">
        <v>4.7800000000000002E-4</v>
      </c>
      <c r="M737" s="544">
        <v>4.7800000000000002E-4</v>
      </c>
      <c r="N737" s="544">
        <v>4.7800000000000002E-4</v>
      </c>
      <c r="O737" s="544">
        <v>4.7800000000000002E-4</v>
      </c>
      <c r="P737" s="544">
        <v>4.7800000000000002E-4</v>
      </c>
      <c r="R737" s="543" t="str">
        <f t="shared" si="34"/>
        <v>A0348:南部だんだんエナジー(株)</v>
      </c>
      <c r="S737" s="544">
        <f t="shared" si="35"/>
        <v>4.7800000000000002E-4</v>
      </c>
    </row>
    <row r="738" spans="2:19">
      <c r="B738" s="146"/>
      <c r="C738" s="146"/>
      <c r="D738" s="543" t="str">
        <f t="shared" si="33"/>
        <v/>
      </c>
      <c r="I738" s="146" t="s">
        <v>1259</v>
      </c>
      <c r="J738" s="146" t="s">
        <v>1769</v>
      </c>
      <c r="K738" s="544"/>
      <c r="L738" s="544">
        <v>5.6499999999999996E-4</v>
      </c>
      <c r="M738" s="544">
        <v>5.6499999999999996E-4</v>
      </c>
      <c r="N738" s="544">
        <v>5.6499999999999996E-4</v>
      </c>
      <c r="O738" s="544">
        <v>5.6499999999999996E-4</v>
      </c>
      <c r="P738" s="544">
        <v>5.6499999999999996E-4</v>
      </c>
      <c r="R738" s="543" t="str">
        <f t="shared" si="34"/>
        <v>A0349:(株)エフエネ</v>
      </c>
      <c r="S738" s="544">
        <f t="shared" si="35"/>
        <v>5.6499999999999996E-4</v>
      </c>
    </row>
    <row r="739" spans="2:19">
      <c r="B739" s="146"/>
      <c r="C739" s="146"/>
      <c r="D739" s="543" t="str">
        <f t="shared" si="33"/>
        <v/>
      </c>
      <c r="I739" s="146" t="s">
        <v>1260</v>
      </c>
      <c r="J739" s="146" t="s">
        <v>1770</v>
      </c>
      <c r="K739" s="544"/>
      <c r="L739" s="544">
        <v>5.1800000000000001E-4</v>
      </c>
      <c r="M739" s="544">
        <v>5.1800000000000001E-4</v>
      </c>
      <c r="N739" s="544">
        <v>5.1800000000000001E-4</v>
      </c>
      <c r="O739" s="544">
        <v>5.1800000000000001E-4</v>
      </c>
      <c r="P739" s="544">
        <v>5.1800000000000001E-4</v>
      </c>
      <c r="R739" s="543" t="str">
        <f t="shared" si="34"/>
        <v>A0350:こなんウルトラパワー(株)</v>
      </c>
      <c r="S739" s="544">
        <f t="shared" si="35"/>
        <v>5.1800000000000001E-4</v>
      </c>
    </row>
    <row r="740" spans="2:19">
      <c r="B740" s="146"/>
      <c r="C740" s="146"/>
      <c r="D740" s="543" t="str">
        <f t="shared" si="33"/>
        <v/>
      </c>
      <c r="I740" s="146" t="s">
        <v>1261</v>
      </c>
      <c r="J740" s="146" t="s">
        <v>1771</v>
      </c>
      <c r="K740" s="544"/>
      <c r="L740" s="544">
        <v>3.9199999999999999E-4</v>
      </c>
      <c r="M740" s="544">
        <v>3.9199999999999999E-4</v>
      </c>
      <c r="N740" s="544">
        <v>3.9199999999999999E-4</v>
      </c>
      <c r="O740" s="544">
        <v>3.9199999999999999E-4</v>
      </c>
      <c r="P740" s="544">
        <v>3.9199999999999999E-4</v>
      </c>
      <c r="R740" s="543" t="str">
        <f t="shared" si="34"/>
        <v>A0351:(株)CHIBAむつざわエナジー</v>
      </c>
      <c r="S740" s="544">
        <f t="shared" si="35"/>
        <v>3.9199999999999999E-4</v>
      </c>
    </row>
    <row r="741" spans="2:19">
      <c r="B741" s="146"/>
      <c r="C741" s="146"/>
      <c r="D741" s="543" t="str">
        <f t="shared" si="33"/>
        <v/>
      </c>
      <c r="I741" s="146" t="s">
        <v>1262</v>
      </c>
      <c r="J741" s="146" t="s">
        <v>1772</v>
      </c>
      <c r="K741" s="544"/>
      <c r="L741" s="544">
        <v>5.6400000000000005E-4</v>
      </c>
      <c r="M741" s="544">
        <v>5.6400000000000005E-4</v>
      </c>
      <c r="N741" s="544">
        <v>5.6400000000000005E-4</v>
      </c>
      <c r="O741" s="544">
        <v>5.6400000000000005E-4</v>
      </c>
      <c r="P741" s="544">
        <v>5.6400000000000005E-4</v>
      </c>
      <c r="R741" s="543" t="str">
        <f t="shared" si="34"/>
        <v>A0352:(株)関西空調</v>
      </c>
      <c r="S741" s="544">
        <f t="shared" si="35"/>
        <v>5.6400000000000005E-4</v>
      </c>
    </row>
    <row r="742" spans="2:19">
      <c r="B742" s="146"/>
      <c r="C742" s="146"/>
      <c r="D742" s="543" t="str">
        <f t="shared" si="33"/>
        <v/>
      </c>
      <c r="I742" s="146" t="s">
        <v>1263</v>
      </c>
      <c r="J742" s="146" t="s">
        <v>1773</v>
      </c>
      <c r="K742" s="544"/>
      <c r="L742" s="544">
        <v>4.7800000000000002E-4</v>
      </c>
      <c r="M742" s="544">
        <v>4.7800000000000002E-4</v>
      </c>
      <c r="N742" s="544">
        <v>4.7800000000000002E-4</v>
      </c>
      <c r="O742" s="544">
        <v>4.7800000000000002E-4</v>
      </c>
      <c r="P742" s="544">
        <v>4.7800000000000002E-4</v>
      </c>
      <c r="R742" s="543" t="str">
        <f t="shared" si="34"/>
        <v>A0353:奥出雲電力(株)</v>
      </c>
      <c r="S742" s="544">
        <f t="shared" si="35"/>
        <v>4.7800000000000002E-4</v>
      </c>
    </row>
    <row r="743" spans="2:19">
      <c r="B743" s="146"/>
      <c r="C743" s="146"/>
      <c r="D743" s="543" t="str">
        <f t="shared" si="33"/>
        <v/>
      </c>
      <c r="I743" s="146" t="s">
        <v>1264</v>
      </c>
      <c r="J743" s="146" t="s">
        <v>1774</v>
      </c>
      <c r="K743" s="544" t="s">
        <v>710</v>
      </c>
      <c r="L743" s="544">
        <v>0</v>
      </c>
      <c r="M743" s="544">
        <v>0</v>
      </c>
      <c r="N743" s="544">
        <v>0</v>
      </c>
      <c r="O743" s="544">
        <v>0</v>
      </c>
      <c r="P743" s="544">
        <v>0</v>
      </c>
      <c r="R743" s="543" t="str">
        <f t="shared" si="34"/>
        <v>A0355:レジル(株)メニューA</v>
      </c>
      <c r="S743" s="544">
        <f t="shared" si="35"/>
        <v>0</v>
      </c>
    </row>
    <row r="744" spans="2:19">
      <c r="B744" s="146"/>
      <c r="C744" s="146"/>
      <c r="D744" s="543" t="str">
        <f t="shared" si="33"/>
        <v/>
      </c>
      <c r="I744" s="146" t="s">
        <v>1264</v>
      </c>
      <c r="J744" s="146" t="s">
        <v>1774</v>
      </c>
      <c r="K744" s="544" t="s">
        <v>787</v>
      </c>
      <c r="L744" s="544">
        <v>0</v>
      </c>
      <c r="M744" s="544">
        <v>0</v>
      </c>
      <c r="N744" s="544">
        <v>0</v>
      </c>
      <c r="O744" s="544">
        <v>0</v>
      </c>
      <c r="P744" s="544">
        <v>0</v>
      </c>
      <c r="R744" s="543" t="str">
        <f t="shared" si="34"/>
        <v>A0355:レジル(株)メニューB</v>
      </c>
      <c r="S744" s="544">
        <f t="shared" si="35"/>
        <v>0</v>
      </c>
    </row>
    <row r="745" spans="2:19">
      <c r="B745" s="146"/>
      <c r="C745" s="146"/>
      <c r="D745" s="543" t="str">
        <f t="shared" si="33"/>
        <v/>
      </c>
      <c r="I745" s="146" t="s">
        <v>1264</v>
      </c>
      <c r="J745" s="146" t="s">
        <v>1774</v>
      </c>
      <c r="K745" s="544" t="s">
        <v>788</v>
      </c>
      <c r="L745" s="544">
        <v>0</v>
      </c>
      <c r="M745" s="544">
        <v>0</v>
      </c>
      <c r="N745" s="544">
        <v>0</v>
      </c>
      <c r="O745" s="544">
        <v>0</v>
      </c>
      <c r="P745" s="544">
        <v>0</v>
      </c>
      <c r="R745" s="543" t="str">
        <f t="shared" si="34"/>
        <v>A0355:レジル(株)メニューC</v>
      </c>
      <c r="S745" s="544">
        <f t="shared" si="35"/>
        <v>0</v>
      </c>
    </row>
    <row r="746" spans="2:19">
      <c r="B746" s="146"/>
      <c r="C746" s="146"/>
      <c r="D746" s="543" t="str">
        <f t="shared" si="33"/>
        <v/>
      </c>
      <c r="I746" s="146" t="s">
        <v>1264</v>
      </c>
      <c r="J746" s="146" t="s">
        <v>1774</v>
      </c>
      <c r="K746" s="544" t="s">
        <v>974</v>
      </c>
      <c r="L746" s="544">
        <v>4.2200000000000001E-4</v>
      </c>
      <c r="M746" s="544">
        <v>4.2200000000000001E-4</v>
      </c>
      <c r="N746" s="544">
        <v>4.2200000000000001E-4</v>
      </c>
      <c r="O746" s="544">
        <v>4.2200000000000001E-4</v>
      </c>
      <c r="P746" s="544">
        <v>4.2200000000000001E-4</v>
      </c>
      <c r="R746" s="543" t="str">
        <f t="shared" si="34"/>
        <v>A0355:レジル(株)メニューD</v>
      </c>
      <c r="S746" s="544">
        <f t="shared" si="35"/>
        <v>4.2200000000000001E-4</v>
      </c>
    </row>
    <row r="747" spans="2:19">
      <c r="B747" s="146"/>
      <c r="C747" s="146"/>
      <c r="D747" s="543" t="str">
        <f t="shared" si="33"/>
        <v/>
      </c>
      <c r="I747" s="146" t="s">
        <v>1264</v>
      </c>
      <c r="J747" s="146" t="s">
        <v>1774</v>
      </c>
      <c r="K747" s="544" t="s">
        <v>2058</v>
      </c>
      <c r="L747" s="544">
        <v>1.6200000000000001E-4</v>
      </c>
      <c r="M747" s="544">
        <v>1.6200000000000001E-4</v>
      </c>
      <c r="N747" s="544">
        <v>1.6200000000000001E-4</v>
      </c>
      <c r="O747" s="544">
        <v>1.6200000000000001E-4</v>
      </c>
      <c r="P747" s="544">
        <v>1.6200000000000001E-4</v>
      </c>
      <c r="R747" s="543" t="str">
        <f t="shared" si="34"/>
        <v>A0355:レジル(株)(参考値)事業者全体</v>
      </c>
      <c r="S747" s="544">
        <f t="shared" si="35"/>
        <v>1.6200000000000001E-4</v>
      </c>
    </row>
    <row r="748" spans="2:19">
      <c r="B748" s="146"/>
      <c r="C748" s="146"/>
      <c r="D748" s="543" t="str">
        <f t="shared" si="33"/>
        <v/>
      </c>
      <c r="I748" s="146" t="s">
        <v>1265</v>
      </c>
      <c r="J748" s="146" t="s">
        <v>1775</v>
      </c>
      <c r="K748" s="544"/>
      <c r="L748" s="544">
        <v>4.15E-4</v>
      </c>
      <c r="M748" s="544">
        <v>4.15E-4</v>
      </c>
      <c r="N748" s="544">
        <v>4.15E-4</v>
      </c>
      <c r="O748" s="544">
        <v>4.15E-4</v>
      </c>
      <c r="P748" s="544">
        <v>4.15E-4</v>
      </c>
      <c r="R748" s="543" t="str">
        <f t="shared" si="34"/>
        <v>A0356:(株)成田香取エネルギー</v>
      </c>
      <c r="S748" s="544">
        <f t="shared" si="35"/>
        <v>4.15E-4</v>
      </c>
    </row>
    <row r="749" spans="2:19">
      <c r="B749" s="146"/>
      <c r="C749" s="146"/>
      <c r="D749" s="543" t="str">
        <f t="shared" si="33"/>
        <v/>
      </c>
      <c r="I749" s="146" t="s">
        <v>1266</v>
      </c>
      <c r="J749" s="146" t="s">
        <v>1776</v>
      </c>
      <c r="K749" s="544"/>
      <c r="L749" s="544">
        <v>3.4099999999999999E-4</v>
      </c>
      <c r="M749" s="544">
        <v>3.4099999999999999E-4</v>
      </c>
      <c r="N749" s="544">
        <v>3.4099999999999999E-4</v>
      </c>
      <c r="O749" s="544">
        <v>3.4099999999999999E-4</v>
      </c>
      <c r="P749" s="544">
        <v>3.4099999999999999E-4</v>
      </c>
      <c r="R749" s="543" t="str">
        <f t="shared" si="34"/>
        <v>A0362:(株)CWS</v>
      </c>
      <c r="S749" s="544">
        <f t="shared" si="35"/>
        <v>3.4099999999999999E-4</v>
      </c>
    </row>
    <row r="750" spans="2:19">
      <c r="B750" s="146"/>
      <c r="C750" s="146"/>
      <c r="D750" s="543" t="str">
        <f t="shared" si="33"/>
        <v/>
      </c>
      <c r="I750" s="146" t="s">
        <v>1267</v>
      </c>
      <c r="J750" s="146" t="s">
        <v>1777</v>
      </c>
      <c r="K750" s="544"/>
      <c r="L750" s="544">
        <v>3.9800000000000002E-4</v>
      </c>
      <c r="M750" s="544">
        <v>3.9800000000000002E-4</v>
      </c>
      <c r="N750" s="544">
        <v>3.9800000000000002E-4</v>
      </c>
      <c r="O750" s="544">
        <v>3.9800000000000002E-4</v>
      </c>
      <c r="P750" s="544">
        <v>3.9800000000000002E-4</v>
      </c>
      <c r="R750" s="543" t="str">
        <f t="shared" si="34"/>
        <v>A0364:ふくしま新電力(株)</v>
      </c>
      <c r="S750" s="544">
        <f t="shared" si="35"/>
        <v>3.9800000000000002E-4</v>
      </c>
    </row>
    <row r="751" spans="2:19">
      <c r="B751" s="146"/>
      <c r="C751" s="146"/>
      <c r="D751" s="543" t="str">
        <f t="shared" si="33"/>
        <v/>
      </c>
      <c r="I751" s="146" t="s">
        <v>1268</v>
      </c>
      <c r="J751" s="146" t="s">
        <v>1778</v>
      </c>
      <c r="K751" s="544" t="s">
        <v>710</v>
      </c>
      <c r="L751" s="544">
        <v>0</v>
      </c>
      <c r="M751" s="544">
        <v>0</v>
      </c>
      <c r="N751" s="544">
        <v>0</v>
      </c>
      <c r="O751" s="544">
        <v>0</v>
      </c>
      <c r="P751" s="544">
        <v>0</v>
      </c>
      <c r="R751" s="543" t="str">
        <f t="shared" si="34"/>
        <v>A0365:ティーダッシュ合同会社メニューA</v>
      </c>
      <c r="S751" s="544">
        <f t="shared" si="35"/>
        <v>0</v>
      </c>
    </row>
    <row r="752" spans="2:19">
      <c r="B752" s="146"/>
      <c r="C752" s="146"/>
      <c r="D752" s="543" t="str">
        <f t="shared" si="33"/>
        <v/>
      </c>
      <c r="I752" s="146" t="s">
        <v>1268</v>
      </c>
      <c r="J752" s="146" t="s">
        <v>1778</v>
      </c>
      <c r="K752" s="544" t="s">
        <v>787</v>
      </c>
      <c r="L752" s="544">
        <v>4.0099999999999999E-4</v>
      </c>
      <c r="M752" s="544">
        <v>4.0099999999999999E-4</v>
      </c>
      <c r="N752" s="544">
        <v>4.0099999999999999E-4</v>
      </c>
      <c r="O752" s="544">
        <v>4.0099999999999999E-4</v>
      </c>
      <c r="P752" s="544">
        <v>4.0099999999999999E-4</v>
      </c>
      <c r="R752" s="543" t="str">
        <f t="shared" si="34"/>
        <v>A0365:ティーダッシュ合同会社メニューB</v>
      </c>
      <c r="S752" s="544">
        <f t="shared" si="35"/>
        <v>4.0099999999999999E-4</v>
      </c>
    </row>
    <row r="753" spans="2:19">
      <c r="B753" s="146"/>
      <c r="C753" s="146"/>
      <c r="D753" s="543" t="str">
        <f t="shared" si="33"/>
        <v/>
      </c>
      <c r="I753" s="146" t="s">
        <v>1268</v>
      </c>
      <c r="J753" s="146" t="s">
        <v>1778</v>
      </c>
      <c r="K753" s="544" t="s">
        <v>2058</v>
      </c>
      <c r="L753" s="544">
        <v>3.9399999999999998E-4</v>
      </c>
      <c r="M753" s="544">
        <v>3.9399999999999998E-4</v>
      </c>
      <c r="N753" s="544">
        <v>3.9399999999999998E-4</v>
      </c>
      <c r="O753" s="544">
        <v>3.9399999999999998E-4</v>
      </c>
      <c r="P753" s="544">
        <v>3.9399999999999998E-4</v>
      </c>
      <c r="R753" s="543" t="str">
        <f t="shared" si="34"/>
        <v>A0365:ティーダッシュ合同会社(参考値)事業者全体</v>
      </c>
      <c r="S753" s="544">
        <f t="shared" si="35"/>
        <v>3.9399999999999998E-4</v>
      </c>
    </row>
    <row r="754" spans="2:19">
      <c r="B754" s="146"/>
      <c r="C754" s="146"/>
      <c r="D754" s="543" t="str">
        <f t="shared" si="33"/>
        <v/>
      </c>
      <c r="I754" s="146" t="s">
        <v>1269</v>
      </c>
      <c r="J754" s="146" t="s">
        <v>1779</v>
      </c>
      <c r="K754" s="544"/>
      <c r="L754" s="544">
        <v>3.3300000000000002E-4</v>
      </c>
      <c r="M754" s="544">
        <v>3.3300000000000002E-4</v>
      </c>
      <c r="N754" s="544">
        <v>3.3300000000000002E-4</v>
      </c>
      <c r="O754" s="544">
        <v>3.3300000000000002E-4</v>
      </c>
      <c r="P754" s="544">
        <v>3.3300000000000002E-4</v>
      </c>
      <c r="R754" s="543" t="str">
        <f t="shared" si="34"/>
        <v>A0366:(株)エネクスライフサービス</v>
      </c>
      <c r="S754" s="544">
        <f t="shared" si="35"/>
        <v>3.3300000000000002E-4</v>
      </c>
    </row>
    <row r="755" spans="2:19">
      <c r="B755" s="146"/>
      <c r="C755" s="146"/>
      <c r="D755" s="543" t="str">
        <f t="shared" si="33"/>
        <v/>
      </c>
      <c r="I755" s="146" t="s">
        <v>1270</v>
      </c>
      <c r="J755" s="146" t="s">
        <v>1780</v>
      </c>
      <c r="K755" s="544"/>
      <c r="L755" s="544">
        <v>4.8200000000000001E-4</v>
      </c>
      <c r="M755" s="544">
        <v>4.8200000000000001E-4</v>
      </c>
      <c r="N755" s="544">
        <v>4.8200000000000001E-4</v>
      </c>
      <c r="O755" s="544">
        <v>4.8200000000000001E-4</v>
      </c>
      <c r="P755" s="544">
        <v>4.8200000000000001E-4</v>
      </c>
      <c r="R755" s="543" t="str">
        <f t="shared" si="34"/>
        <v>A0367:ネイチャーエナジー小国(株)</v>
      </c>
      <c r="S755" s="544">
        <f t="shared" si="35"/>
        <v>4.8200000000000001E-4</v>
      </c>
    </row>
    <row r="756" spans="2:19">
      <c r="B756" s="146"/>
      <c r="C756" s="146"/>
      <c r="D756" s="543" t="str">
        <f t="shared" si="33"/>
        <v/>
      </c>
      <c r="I756" s="146" t="s">
        <v>1271</v>
      </c>
      <c r="J756" s="146" t="s">
        <v>1781</v>
      </c>
      <c r="K756" s="544"/>
      <c r="L756" s="544">
        <v>3.7399999999999998E-4</v>
      </c>
      <c r="M756" s="544">
        <v>3.7399999999999998E-4</v>
      </c>
      <c r="N756" s="544">
        <v>3.7399999999999998E-4</v>
      </c>
      <c r="O756" s="544">
        <v>3.7399999999999998E-4</v>
      </c>
      <c r="P756" s="544">
        <v>3.7399999999999998E-4</v>
      </c>
      <c r="R756" s="543" t="str">
        <f t="shared" si="34"/>
        <v>A0368:リエスパワーネクスト(株)</v>
      </c>
      <c r="S756" s="544">
        <f t="shared" si="35"/>
        <v>3.7399999999999998E-4</v>
      </c>
    </row>
    <row r="757" spans="2:19">
      <c r="B757" s="146"/>
      <c r="C757" s="146"/>
      <c r="D757" s="543" t="str">
        <f t="shared" si="33"/>
        <v/>
      </c>
      <c r="I757" s="146" t="s">
        <v>1272</v>
      </c>
      <c r="J757" s="146" t="s">
        <v>1782</v>
      </c>
      <c r="K757" s="544"/>
      <c r="L757" s="544">
        <v>5.6999999999999998E-4</v>
      </c>
      <c r="M757" s="544">
        <v>5.6999999999999998E-4</v>
      </c>
      <c r="N757" s="544">
        <v>5.6999999999999998E-4</v>
      </c>
      <c r="O757" s="544">
        <v>5.6999999999999998E-4</v>
      </c>
      <c r="P757" s="544">
        <v>5.6999999999999998E-4</v>
      </c>
      <c r="R757" s="543" t="str">
        <f t="shared" si="34"/>
        <v>A0371:エネルギーパワー(株)</v>
      </c>
      <c r="S757" s="544">
        <f t="shared" si="35"/>
        <v>5.6999999999999998E-4</v>
      </c>
    </row>
    <row r="758" spans="2:19">
      <c r="B758" s="146"/>
      <c r="C758" s="146"/>
      <c r="D758" s="543" t="str">
        <f t="shared" si="33"/>
        <v/>
      </c>
      <c r="I758" s="146" t="s">
        <v>1273</v>
      </c>
      <c r="J758" s="146" t="s">
        <v>1783</v>
      </c>
      <c r="K758" s="544" t="s">
        <v>710</v>
      </c>
      <c r="L758" s="544">
        <v>0</v>
      </c>
      <c r="M758" s="544">
        <v>0</v>
      </c>
      <c r="N758" s="544">
        <v>0</v>
      </c>
      <c r="O758" s="544">
        <v>0</v>
      </c>
      <c r="P758" s="544">
        <v>0</v>
      </c>
      <c r="R758" s="543" t="str">
        <f t="shared" si="34"/>
        <v>A0372:(株)グリムスパワーメニューA</v>
      </c>
      <c r="S758" s="544">
        <f t="shared" si="35"/>
        <v>0</v>
      </c>
    </row>
    <row r="759" spans="2:19">
      <c r="B759" s="146"/>
      <c r="C759" s="146"/>
      <c r="D759" s="543" t="str">
        <f t="shared" si="33"/>
        <v/>
      </c>
      <c r="I759" s="146" t="s">
        <v>1273</v>
      </c>
      <c r="J759" s="146" t="s">
        <v>1783</v>
      </c>
      <c r="K759" s="544" t="s">
        <v>787</v>
      </c>
      <c r="L759" s="544">
        <v>5.5199999999999997E-4</v>
      </c>
      <c r="M759" s="544">
        <v>5.5199999999999997E-4</v>
      </c>
      <c r="N759" s="544">
        <v>5.5199999999999997E-4</v>
      </c>
      <c r="O759" s="544">
        <v>5.5199999999999997E-4</v>
      </c>
      <c r="P759" s="544">
        <v>5.5199999999999997E-4</v>
      </c>
      <c r="R759" s="543" t="str">
        <f t="shared" si="34"/>
        <v>A0372:(株)グリムスパワーメニューB</v>
      </c>
      <c r="S759" s="544">
        <f t="shared" si="35"/>
        <v>5.5199999999999997E-4</v>
      </c>
    </row>
    <row r="760" spans="2:19">
      <c r="B760" s="146"/>
      <c r="C760" s="146"/>
      <c r="D760" s="543" t="str">
        <f t="shared" si="33"/>
        <v/>
      </c>
      <c r="I760" s="146" t="s">
        <v>1273</v>
      </c>
      <c r="J760" s="146" t="s">
        <v>1783</v>
      </c>
      <c r="K760" s="544" t="s">
        <v>2058</v>
      </c>
      <c r="L760" s="544">
        <v>5.4699999999999996E-4</v>
      </c>
      <c r="M760" s="544">
        <v>5.4699999999999996E-4</v>
      </c>
      <c r="N760" s="544">
        <v>5.4699999999999996E-4</v>
      </c>
      <c r="O760" s="544">
        <v>5.4699999999999996E-4</v>
      </c>
      <c r="P760" s="544">
        <v>5.4699999999999996E-4</v>
      </c>
      <c r="R760" s="543" t="str">
        <f t="shared" si="34"/>
        <v>A0372:(株)グリムスパワー(参考値)事業者全体</v>
      </c>
      <c r="S760" s="544">
        <f t="shared" si="35"/>
        <v>5.4699999999999996E-4</v>
      </c>
    </row>
    <row r="761" spans="2:19">
      <c r="B761" s="146"/>
      <c r="C761" s="146"/>
      <c r="D761" s="543" t="str">
        <f t="shared" si="33"/>
        <v/>
      </c>
      <c r="I761" s="146" t="s">
        <v>1274</v>
      </c>
      <c r="J761" s="146" t="s">
        <v>1784</v>
      </c>
      <c r="K761" s="544"/>
      <c r="L761" s="544">
        <v>5.71E-4</v>
      </c>
      <c r="M761" s="544">
        <v>5.71E-4</v>
      </c>
      <c r="N761" s="544">
        <v>5.71E-4</v>
      </c>
      <c r="O761" s="544">
        <v>5.71E-4</v>
      </c>
      <c r="P761" s="544">
        <v>5.71E-4</v>
      </c>
      <c r="R761" s="543" t="str">
        <f t="shared" si="34"/>
        <v>A0376:自然電力(株)</v>
      </c>
      <c r="S761" s="544">
        <f t="shared" si="35"/>
        <v>5.71E-4</v>
      </c>
    </row>
    <row r="762" spans="2:19">
      <c r="B762" s="146"/>
      <c r="C762" s="146"/>
      <c r="D762" s="543" t="str">
        <f t="shared" si="33"/>
        <v/>
      </c>
      <c r="I762" s="146" t="s">
        <v>1275</v>
      </c>
      <c r="J762" s="146" t="s">
        <v>1785</v>
      </c>
      <c r="K762" s="544"/>
      <c r="L762" s="544">
        <v>4.1899999999999999E-4</v>
      </c>
      <c r="M762" s="544">
        <v>4.1899999999999999E-4</v>
      </c>
      <c r="N762" s="544">
        <v>4.1899999999999999E-4</v>
      </c>
      <c r="O762" s="544">
        <v>4.1899999999999999E-4</v>
      </c>
      <c r="P762" s="544">
        <v>4.1899999999999999E-4</v>
      </c>
      <c r="R762" s="543" t="str">
        <f t="shared" si="34"/>
        <v>A0378:本庄ガス(株)</v>
      </c>
      <c r="S762" s="544">
        <f t="shared" si="35"/>
        <v>4.1899999999999999E-4</v>
      </c>
    </row>
    <row r="763" spans="2:19">
      <c r="B763" s="146"/>
      <c r="C763" s="146"/>
      <c r="D763" s="543" t="str">
        <f t="shared" si="33"/>
        <v/>
      </c>
      <c r="I763" s="146" t="s">
        <v>1276</v>
      </c>
      <c r="J763" s="146" t="s">
        <v>1786</v>
      </c>
      <c r="K763" s="544"/>
      <c r="L763" s="544">
        <v>4.84E-4</v>
      </c>
      <c r="M763" s="544">
        <v>4.84E-4</v>
      </c>
      <c r="N763" s="544">
        <v>4.84E-4</v>
      </c>
      <c r="O763" s="544">
        <v>4.84E-4</v>
      </c>
      <c r="P763" s="544">
        <v>4.84E-4</v>
      </c>
      <c r="R763" s="543" t="str">
        <f t="shared" si="34"/>
        <v>A0380:青森県民エナジー(株)</v>
      </c>
      <c r="S763" s="544">
        <f t="shared" si="35"/>
        <v>4.84E-4</v>
      </c>
    </row>
    <row r="764" spans="2:19">
      <c r="B764" s="146"/>
      <c r="C764" s="146"/>
      <c r="D764" s="543" t="str">
        <f t="shared" si="33"/>
        <v/>
      </c>
      <c r="I764" s="146" t="s">
        <v>1277</v>
      </c>
      <c r="J764" s="146" t="s">
        <v>1787</v>
      </c>
      <c r="K764" s="544" t="s">
        <v>710</v>
      </c>
      <c r="L764" s="544">
        <v>0</v>
      </c>
      <c r="M764" s="544">
        <v>0</v>
      </c>
      <c r="N764" s="544">
        <v>0</v>
      </c>
      <c r="O764" s="544">
        <v>0</v>
      </c>
      <c r="P764" s="544">
        <v>0</v>
      </c>
      <c r="R764" s="543" t="str">
        <f t="shared" si="34"/>
        <v>A0381:国際航業(株)メニューA</v>
      </c>
      <c r="S764" s="544">
        <f t="shared" si="35"/>
        <v>0</v>
      </c>
    </row>
    <row r="765" spans="2:19">
      <c r="B765" s="146"/>
      <c r="C765" s="146"/>
      <c r="D765" s="543" t="str">
        <f t="shared" si="33"/>
        <v/>
      </c>
      <c r="I765" s="146" t="s">
        <v>1277</v>
      </c>
      <c r="J765" s="146" t="s">
        <v>1787</v>
      </c>
      <c r="K765" s="544" t="s">
        <v>787</v>
      </c>
      <c r="L765" s="544">
        <v>6.4400000000000004E-4</v>
      </c>
      <c r="M765" s="544">
        <v>6.4400000000000004E-4</v>
      </c>
      <c r="N765" s="544">
        <v>6.4400000000000004E-4</v>
      </c>
      <c r="O765" s="544">
        <v>6.4400000000000004E-4</v>
      </c>
      <c r="P765" s="544">
        <v>6.4400000000000004E-4</v>
      </c>
      <c r="R765" s="543" t="str">
        <f t="shared" si="34"/>
        <v>A0381:国際航業(株)メニューB</v>
      </c>
      <c r="S765" s="544">
        <f t="shared" si="35"/>
        <v>6.4400000000000004E-4</v>
      </c>
    </row>
    <row r="766" spans="2:19">
      <c r="B766" s="146"/>
      <c r="C766" s="146"/>
      <c r="D766" s="543" t="str">
        <f t="shared" si="33"/>
        <v/>
      </c>
      <c r="I766" s="146" t="s">
        <v>1277</v>
      </c>
      <c r="J766" s="146" t="s">
        <v>1787</v>
      </c>
      <c r="K766" s="544" t="s">
        <v>2058</v>
      </c>
      <c r="L766" s="544">
        <v>2.6800000000000001E-4</v>
      </c>
      <c r="M766" s="544">
        <v>2.6800000000000001E-4</v>
      </c>
      <c r="N766" s="544">
        <v>2.6800000000000001E-4</v>
      </c>
      <c r="O766" s="544">
        <v>2.6800000000000001E-4</v>
      </c>
      <c r="P766" s="544">
        <v>2.6800000000000001E-4</v>
      </c>
      <c r="R766" s="543" t="str">
        <f t="shared" si="34"/>
        <v>A0381:国際航業(株)(参考値)事業者全体</v>
      </c>
      <c r="S766" s="544">
        <f t="shared" si="35"/>
        <v>2.6800000000000001E-4</v>
      </c>
    </row>
    <row r="767" spans="2:19">
      <c r="B767" s="146"/>
      <c r="C767" s="146"/>
      <c r="D767" s="543" t="str">
        <f t="shared" si="33"/>
        <v/>
      </c>
      <c r="I767" s="146" t="s">
        <v>1278</v>
      </c>
      <c r="J767" s="146" t="s">
        <v>1788</v>
      </c>
      <c r="K767" s="544" t="s">
        <v>710</v>
      </c>
      <c r="L767" s="544">
        <v>0</v>
      </c>
      <c r="M767" s="544">
        <v>0</v>
      </c>
      <c r="N767" s="544">
        <v>0</v>
      </c>
      <c r="O767" s="544">
        <v>0</v>
      </c>
      <c r="P767" s="544">
        <v>0</v>
      </c>
      <c r="R767" s="543" t="str">
        <f t="shared" si="34"/>
        <v>A0382:ローカルでんき(株)メニューA</v>
      </c>
      <c r="S767" s="544">
        <f t="shared" si="35"/>
        <v>0</v>
      </c>
    </row>
    <row r="768" spans="2:19">
      <c r="B768" s="146"/>
      <c r="C768" s="146"/>
      <c r="D768" s="543" t="str">
        <f t="shared" si="33"/>
        <v/>
      </c>
      <c r="I768" s="146" t="s">
        <v>1278</v>
      </c>
      <c r="J768" s="146" t="s">
        <v>1788</v>
      </c>
      <c r="K768" s="544" t="s">
        <v>787</v>
      </c>
      <c r="L768" s="544">
        <v>5.4100000000000003E-4</v>
      </c>
      <c r="M768" s="544">
        <v>5.4100000000000003E-4</v>
      </c>
      <c r="N768" s="544">
        <v>5.4100000000000003E-4</v>
      </c>
      <c r="O768" s="544">
        <v>5.4100000000000003E-4</v>
      </c>
      <c r="P768" s="544">
        <v>5.4100000000000003E-4</v>
      </c>
      <c r="R768" s="543" t="str">
        <f t="shared" si="34"/>
        <v>A0382:ローカルでんき(株)メニューB</v>
      </c>
      <c r="S768" s="544">
        <f t="shared" si="35"/>
        <v>5.4100000000000003E-4</v>
      </c>
    </row>
    <row r="769" spans="2:19">
      <c r="B769" s="146"/>
      <c r="C769" s="146"/>
      <c r="D769" s="543" t="str">
        <f t="shared" si="33"/>
        <v/>
      </c>
      <c r="I769" s="146" t="s">
        <v>1278</v>
      </c>
      <c r="J769" s="146" t="s">
        <v>1788</v>
      </c>
      <c r="K769" s="544" t="s">
        <v>2058</v>
      </c>
      <c r="L769" s="544">
        <v>4.7699999999999999E-4</v>
      </c>
      <c r="M769" s="544">
        <v>4.7699999999999999E-4</v>
      </c>
      <c r="N769" s="544">
        <v>4.7699999999999999E-4</v>
      </c>
      <c r="O769" s="544">
        <v>4.7699999999999999E-4</v>
      </c>
      <c r="P769" s="544">
        <v>4.7699999999999999E-4</v>
      </c>
      <c r="R769" s="543" t="str">
        <f t="shared" si="34"/>
        <v>A0382:ローカルでんき(株)(参考値)事業者全体</v>
      </c>
      <c r="S769" s="544">
        <f t="shared" si="35"/>
        <v>4.7699999999999999E-4</v>
      </c>
    </row>
    <row r="770" spans="2:19">
      <c r="B770" s="146"/>
      <c r="C770" s="146"/>
      <c r="D770" s="543" t="str">
        <f t="shared" si="33"/>
        <v/>
      </c>
      <c r="I770" s="146" t="s">
        <v>1279</v>
      </c>
      <c r="J770" s="146" t="s">
        <v>1789</v>
      </c>
      <c r="K770" s="544"/>
      <c r="L770" s="544">
        <v>4.4099999999999999E-4</v>
      </c>
      <c r="M770" s="544">
        <v>4.4099999999999999E-4</v>
      </c>
      <c r="N770" s="544">
        <v>4.4099999999999999E-4</v>
      </c>
      <c r="O770" s="544">
        <v>4.4099999999999999E-4</v>
      </c>
      <c r="P770" s="544">
        <v>4.4099999999999999E-4</v>
      </c>
      <c r="R770" s="543" t="str">
        <f t="shared" si="34"/>
        <v>A0383:(株)明治産業</v>
      </c>
      <c r="S770" s="544">
        <f t="shared" si="35"/>
        <v>4.4099999999999999E-4</v>
      </c>
    </row>
    <row r="771" spans="2:19">
      <c r="B771" s="146"/>
      <c r="C771" s="146"/>
      <c r="D771" s="543" t="str">
        <f t="shared" si="33"/>
        <v/>
      </c>
      <c r="I771" s="146" t="s">
        <v>1280</v>
      </c>
      <c r="J771" s="146" t="s">
        <v>1790</v>
      </c>
      <c r="K771" s="544" t="s">
        <v>710</v>
      </c>
      <c r="L771" s="544">
        <v>0</v>
      </c>
      <c r="M771" s="544">
        <v>0</v>
      </c>
      <c r="N771" s="544">
        <v>0</v>
      </c>
      <c r="O771" s="544">
        <v>0</v>
      </c>
      <c r="P771" s="544">
        <v>0</v>
      </c>
      <c r="R771" s="543" t="str">
        <f t="shared" si="34"/>
        <v>A0385:岡山電力(株)メニューA</v>
      </c>
      <c r="S771" s="544">
        <f t="shared" si="35"/>
        <v>0</v>
      </c>
    </row>
    <row r="772" spans="2:19">
      <c r="B772" s="146"/>
      <c r="C772" s="146"/>
      <c r="D772" s="543" t="str">
        <f t="shared" si="33"/>
        <v/>
      </c>
      <c r="I772" s="146" t="s">
        <v>1280</v>
      </c>
      <c r="J772" s="146" t="s">
        <v>1790</v>
      </c>
      <c r="K772" s="544" t="s">
        <v>787</v>
      </c>
      <c r="L772" s="544">
        <v>4.55E-4</v>
      </c>
      <c r="M772" s="544">
        <v>4.55E-4</v>
      </c>
      <c r="N772" s="544">
        <v>4.55E-4</v>
      </c>
      <c r="O772" s="544">
        <v>4.55E-4</v>
      </c>
      <c r="P772" s="544">
        <v>4.55E-4</v>
      </c>
      <c r="R772" s="543" t="str">
        <f t="shared" si="34"/>
        <v>A0385:岡山電力(株)メニューB</v>
      </c>
      <c r="S772" s="544">
        <f t="shared" si="35"/>
        <v>4.55E-4</v>
      </c>
    </row>
    <row r="773" spans="2:19">
      <c r="B773" s="146"/>
      <c r="C773" s="146"/>
      <c r="D773" s="543" t="str">
        <f t="shared" si="33"/>
        <v/>
      </c>
      <c r="I773" s="146" t="s">
        <v>1280</v>
      </c>
      <c r="J773" s="146" t="s">
        <v>1790</v>
      </c>
      <c r="K773" s="544" t="s">
        <v>2058</v>
      </c>
      <c r="L773" s="544">
        <v>4.35E-4</v>
      </c>
      <c r="M773" s="544">
        <v>4.35E-4</v>
      </c>
      <c r="N773" s="544">
        <v>4.35E-4</v>
      </c>
      <c r="O773" s="544">
        <v>4.35E-4</v>
      </c>
      <c r="P773" s="544">
        <v>4.35E-4</v>
      </c>
      <c r="R773" s="543" t="str">
        <f t="shared" si="34"/>
        <v>A0385:岡山電力(株)(参考値)事業者全体</v>
      </c>
      <c r="S773" s="544">
        <f t="shared" si="35"/>
        <v>4.35E-4</v>
      </c>
    </row>
    <row r="774" spans="2:19">
      <c r="B774" s="146"/>
      <c r="C774" s="146"/>
      <c r="D774" s="543" t="str">
        <f t="shared" si="33"/>
        <v/>
      </c>
      <c r="I774" s="146" t="s">
        <v>1281</v>
      </c>
      <c r="J774" s="146" t="s">
        <v>1791</v>
      </c>
      <c r="K774" s="544" t="s">
        <v>710</v>
      </c>
      <c r="L774" s="544">
        <v>0</v>
      </c>
      <c r="M774" s="544">
        <v>0</v>
      </c>
      <c r="N774" s="544">
        <v>0</v>
      </c>
      <c r="O774" s="544">
        <v>0</v>
      </c>
      <c r="P774" s="544">
        <v>0</v>
      </c>
      <c r="R774" s="543" t="str">
        <f t="shared" si="34"/>
        <v>A0386:ミライフ(株)メニューA</v>
      </c>
      <c r="S774" s="544">
        <f t="shared" si="35"/>
        <v>0</v>
      </c>
    </row>
    <row r="775" spans="2:19">
      <c r="B775" s="146"/>
      <c r="C775" s="146"/>
      <c r="D775" s="543" t="str">
        <f t="shared" si="33"/>
        <v/>
      </c>
      <c r="I775" s="146" t="s">
        <v>1281</v>
      </c>
      <c r="J775" s="146" t="s">
        <v>1791</v>
      </c>
      <c r="K775" s="544" t="s">
        <v>787</v>
      </c>
      <c r="L775" s="544">
        <v>4.2000000000000002E-4</v>
      </c>
      <c r="M775" s="544">
        <v>4.2000000000000002E-4</v>
      </c>
      <c r="N775" s="544">
        <v>4.2000000000000002E-4</v>
      </c>
      <c r="O775" s="544">
        <v>4.2000000000000002E-4</v>
      </c>
      <c r="P775" s="544">
        <v>4.2000000000000002E-4</v>
      </c>
      <c r="R775" s="543" t="str">
        <f t="shared" si="34"/>
        <v>A0386:ミライフ(株)メニューB</v>
      </c>
      <c r="S775" s="544">
        <f t="shared" si="35"/>
        <v>4.2000000000000002E-4</v>
      </c>
    </row>
    <row r="776" spans="2:19">
      <c r="B776" s="146"/>
      <c r="C776" s="146"/>
      <c r="D776" s="543" t="str">
        <f t="shared" si="33"/>
        <v/>
      </c>
      <c r="I776" s="146" t="s">
        <v>1281</v>
      </c>
      <c r="J776" s="146" t="s">
        <v>1791</v>
      </c>
      <c r="K776" s="544" t="s">
        <v>2058</v>
      </c>
      <c r="L776" s="544">
        <v>4.1599999999999997E-4</v>
      </c>
      <c r="M776" s="544">
        <v>4.1599999999999997E-4</v>
      </c>
      <c r="N776" s="544">
        <v>4.1599999999999997E-4</v>
      </c>
      <c r="O776" s="544">
        <v>4.1599999999999997E-4</v>
      </c>
      <c r="P776" s="544">
        <v>4.1599999999999997E-4</v>
      </c>
      <c r="R776" s="543" t="str">
        <f t="shared" si="34"/>
        <v>A0386:ミライフ(株)(参考値)事業者全体</v>
      </c>
      <c r="S776" s="544">
        <f t="shared" si="35"/>
        <v>4.1599999999999997E-4</v>
      </c>
    </row>
    <row r="777" spans="2:19">
      <c r="B777" s="146"/>
      <c r="C777" s="146"/>
      <c r="D777" s="543" t="str">
        <f t="shared" si="33"/>
        <v/>
      </c>
      <c r="I777" s="146" t="s">
        <v>1282</v>
      </c>
      <c r="J777" s="146" t="s">
        <v>1792</v>
      </c>
      <c r="K777" s="544" t="s">
        <v>710</v>
      </c>
      <c r="L777" s="544">
        <v>0</v>
      </c>
      <c r="M777" s="544">
        <v>0</v>
      </c>
      <c r="N777" s="544">
        <v>0</v>
      </c>
      <c r="O777" s="544">
        <v>0</v>
      </c>
      <c r="P777" s="544">
        <v>0</v>
      </c>
      <c r="R777" s="543" t="str">
        <f t="shared" si="34"/>
        <v>A0388:楽天モバイル(株)(旧：楽天エナジー(株))メニューA</v>
      </c>
      <c r="S777" s="544">
        <f t="shared" si="35"/>
        <v>0</v>
      </c>
    </row>
    <row r="778" spans="2:19">
      <c r="B778" s="146"/>
      <c r="C778" s="146"/>
      <c r="D778" s="543" t="str">
        <f t="shared" ref="D778:D841" si="36">IF(B778="","",B778&amp;":"&amp;C778)</f>
        <v/>
      </c>
      <c r="I778" s="146" t="s">
        <v>1282</v>
      </c>
      <c r="J778" s="146" t="s">
        <v>1792</v>
      </c>
      <c r="K778" s="544" t="s">
        <v>787</v>
      </c>
      <c r="L778" s="544">
        <v>0</v>
      </c>
      <c r="M778" s="544">
        <v>0</v>
      </c>
      <c r="N778" s="544">
        <v>0</v>
      </c>
      <c r="O778" s="544">
        <v>0</v>
      </c>
      <c r="P778" s="544">
        <v>0</v>
      </c>
      <c r="R778" s="543" t="str">
        <f t="shared" ref="R778:R841" si="37">I778&amp;":"&amp;J778&amp;K778</f>
        <v>A0388:楽天モバイル(株)(旧：楽天エナジー(株))メニューB</v>
      </c>
      <c r="S778" s="544">
        <f t="shared" ref="S778:S841" si="38">HLOOKUP($S$8,$L$8:$P$2000,ROW()-7,FALSE)</f>
        <v>0</v>
      </c>
    </row>
    <row r="779" spans="2:19">
      <c r="B779" s="146"/>
      <c r="C779" s="146"/>
      <c r="D779" s="543" t="str">
        <f t="shared" si="36"/>
        <v/>
      </c>
      <c r="I779" s="146" t="s">
        <v>1282</v>
      </c>
      <c r="J779" s="146" t="s">
        <v>1792</v>
      </c>
      <c r="K779" s="544" t="s">
        <v>788</v>
      </c>
      <c r="L779" s="544">
        <v>5.7799999999999995E-4</v>
      </c>
      <c r="M779" s="544">
        <v>5.7799999999999995E-4</v>
      </c>
      <c r="N779" s="544">
        <v>5.7799999999999995E-4</v>
      </c>
      <c r="O779" s="544">
        <v>5.7799999999999995E-4</v>
      </c>
      <c r="P779" s="544">
        <v>5.7799999999999995E-4</v>
      </c>
      <c r="R779" s="543" t="str">
        <f t="shared" si="37"/>
        <v>A0388:楽天モバイル(株)(旧：楽天エナジー(株))メニューC</v>
      </c>
      <c r="S779" s="544">
        <f t="shared" si="38"/>
        <v>5.7799999999999995E-4</v>
      </c>
    </row>
    <row r="780" spans="2:19">
      <c r="B780" s="146"/>
      <c r="C780" s="146"/>
      <c r="D780" s="543" t="str">
        <f t="shared" si="36"/>
        <v/>
      </c>
      <c r="I780" s="146" t="s">
        <v>1282</v>
      </c>
      <c r="J780" s="146" t="s">
        <v>1792</v>
      </c>
      <c r="K780" s="544" t="s">
        <v>2058</v>
      </c>
      <c r="L780" s="544">
        <v>5.71E-4</v>
      </c>
      <c r="M780" s="544">
        <v>5.71E-4</v>
      </c>
      <c r="N780" s="544">
        <v>5.71E-4</v>
      </c>
      <c r="O780" s="544">
        <v>5.71E-4</v>
      </c>
      <c r="P780" s="544">
        <v>5.71E-4</v>
      </c>
      <c r="R780" s="543" t="str">
        <f t="shared" si="37"/>
        <v>A0388:楽天モバイル(株)(旧：楽天エナジー(株))(参考値)事業者全体</v>
      </c>
      <c r="S780" s="544">
        <f t="shared" si="38"/>
        <v>5.71E-4</v>
      </c>
    </row>
    <row r="781" spans="2:19">
      <c r="B781" s="146"/>
      <c r="C781" s="146"/>
      <c r="D781" s="543" t="str">
        <f t="shared" si="36"/>
        <v/>
      </c>
      <c r="I781" s="146" t="s">
        <v>1283</v>
      </c>
      <c r="J781" s="146" t="s">
        <v>1793</v>
      </c>
      <c r="K781" s="544"/>
      <c r="L781" s="544">
        <v>5.5500000000000005E-4</v>
      </c>
      <c r="M781" s="544">
        <v>5.5500000000000005E-4</v>
      </c>
      <c r="N781" s="544">
        <v>5.5500000000000005E-4</v>
      </c>
      <c r="O781" s="544">
        <v>5.5500000000000005E-4</v>
      </c>
      <c r="P781" s="544">
        <v>5.5500000000000005E-4</v>
      </c>
      <c r="R781" s="543" t="str">
        <f t="shared" si="37"/>
        <v>A0389:うすきエネルギー(株)</v>
      </c>
      <c r="S781" s="544">
        <f t="shared" si="38"/>
        <v>5.5500000000000005E-4</v>
      </c>
    </row>
    <row r="782" spans="2:19">
      <c r="B782" s="146"/>
      <c r="C782" s="146"/>
      <c r="D782" s="543" t="str">
        <f t="shared" si="36"/>
        <v/>
      </c>
      <c r="I782" s="146" t="s">
        <v>1284</v>
      </c>
      <c r="J782" s="146" t="s">
        <v>1794</v>
      </c>
      <c r="K782" s="544"/>
      <c r="L782" s="544">
        <v>5.6300000000000002E-4</v>
      </c>
      <c r="M782" s="544">
        <v>5.6300000000000002E-4</v>
      </c>
      <c r="N782" s="544">
        <v>5.6300000000000002E-4</v>
      </c>
      <c r="O782" s="544">
        <v>5.6300000000000002E-4</v>
      </c>
      <c r="P782" s="544">
        <v>5.6300000000000002E-4</v>
      </c>
      <c r="R782" s="543" t="str">
        <f t="shared" si="37"/>
        <v>A0391:森のエネルギー(株)</v>
      </c>
      <c r="S782" s="544">
        <f t="shared" si="38"/>
        <v>5.6300000000000002E-4</v>
      </c>
    </row>
    <row r="783" spans="2:19">
      <c r="B783" s="146"/>
      <c r="C783" s="146"/>
      <c r="D783" s="543" t="str">
        <f t="shared" si="36"/>
        <v/>
      </c>
      <c r="I783" s="146" t="s">
        <v>1285</v>
      </c>
      <c r="J783" s="146" t="s">
        <v>1795</v>
      </c>
      <c r="K783" s="544" t="s">
        <v>710</v>
      </c>
      <c r="L783" s="544">
        <v>0</v>
      </c>
      <c r="M783" s="544">
        <v>0</v>
      </c>
      <c r="N783" s="544">
        <v>0</v>
      </c>
      <c r="O783" s="544">
        <v>0</v>
      </c>
      <c r="P783" s="544">
        <v>0</v>
      </c>
      <c r="R783" s="543" t="str">
        <f t="shared" si="37"/>
        <v>A0392:岐阜電力(株)メニューA</v>
      </c>
      <c r="S783" s="544">
        <f t="shared" si="38"/>
        <v>0</v>
      </c>
    </row>
    <row r="784" spans="2:19">
      <c r="B784" s="146"/>
      <c r="C784" s="146"/>
      <c r="D784" s="543" t="str">
        <f t="shared" si="36"/>
        <v/>
      </c>
      <c r="I784" s="146" t="s">
        <v>1285</v>
      </c>
      <c r="J784" s="146" t="s">
        <v>1795</v>
      </c>
      <c r="K784" s="544" t="s">
        <v>2058</v>
      </c>
      <c r="L784" s="544">
        <v>0</v>
      </c>
      <c r="M784" s="544">
        <v>0</v>
      </c>
      <c r="N784" s="544">
        <v>0</v>
      </c>
      <c r="O784" s="544">
        <v>0</v>
      </c>
      <c r="P784" s="544">
        <v>0</v>
      </c>
      <c r="R784" s="543" t="str">
        <f t="shared" si="37"/>
        <v>A0392:岐阜電力(株)(参考値)事業者全体</v>
      </c>
      <c r="S784" s="544">
        <f t="shared" si="38"/>
        <v>0</v>
      </c>
    </row>
    <row r="785" spans="2:19">
      <c r="B785" s="146"/>
      <c r="C785" s="146"/>
      <c r="D785" s="543" t="str">
        <f t="shared" si="36"/>
        <v/>
      </c>
      <c r="I785" s="146" t="s">
        <v>1286</v>
      </c>
      <c r="J785" s="146" t="s">
        <v>1796</v>
      </c>
      <c r="K785" s="544"/>
      <c r="L785" s="544">
        <v>4.1899999999999999E-4</v>
      </c>
      <c r="M785" s="544">
        <v>4.1899999999999999E-4</v>
      </c>
      <c r="N785" s="544">
        <v>4.1899999999999999E-4</v>
      </c>
      <c r="O785" s="544">
        <v>4.1899999999999999E-4</v>
      </c>
      <c r="P785" s="544">
        <v>4.1899999999999999E-4</v>
      </c>
      <c r="R785" s="543" t="str">
        <f t="shared" si="37"/>
        <v>A0397:名南共同エネルギー(株)</v>
      </c>
      <c r="S785" s="544">
        <f t="shared" si="38"/>
        <v>4.1899999999999999E-4</v>
      </c>
    </row>
    <row r="786" spans="2:19">
      <c r="B786" s="146"/>
      <c r="C786" s="146"/>
      <c r="D786" s="543" t="str">
        <f t="shared" si="36"/>
        <v/>
      </c>
      <c r="I786" s="146" t="s">
        <v>1287</v>
      </c>
      <c r="J786" s="146" t="s">
        <v>1797</v>
      </c>
      <c r="K786" s="544"/>
      <c r="L786" s="544">
        <v>6.3699999999999998E-4</v>
      </c>
      <c r="M786" s="544">
        <v>6.3699999999999998E-4</v>
      </c>
      <c r="N786" s="544">
        <v>6.3699999999999998E-4</v>
      </c>
      <c r="O786" s="544">
        <v>6.3699999999999998E-4</v>
      </c>
      <c r="P786" s="544">
        <v>6.3699999999999998E-4</v>
      </c>
      <c r="R786" s="543" t="str">
        <f t="shared" si="37"/>
        <v>A0398:Apaman Energy(株)</v>
      </c>
      <c r="S786" s="544">
        <f t="shared" si="38"/>
        <v>6.3699999999999998E-4</v>
      </c>
    </row>
    <row r="787" spans="2:19">
      <c r="B787" s="146"/>
      <c r="C787" s="146"/>
      <c r="D787" s="543" t="str">
        <f t="shared" si="36"/>
        <v/>
      </c>
      <c r="I787" s="146" t="s">
        <v>1288</v>
      </c>
      <c r="J787" s="146" t="s">
        <v>1798</v>
      </c>
      <c r="K787" s="544" t="s">
        <v>710</v>
      </c>
      <c r="L787" s="544">
        <v>0</v>
      </c>
      <c r="M787" s="544">
        <v>0</v>
      </c>
      <c r="N787" s="544">
        <v>0</v>
      </c>
      <c r="O787" s="544">
        <v>0</v>
      </c>
      <c r="P787" s="544">
        <v>0</v>
      </c>
      <c r="R787" s="543" t="str">
        <f t="shared" si="37"/>
        <v>A0405:アストマックス・エネルギー(株)メニューA</v>
      </c>
      <c r="S787" s="544">
        <f t="shared" si="38"/>
        <v>0</v>
      </c>
    </row>
    <row r="788" spans="2:19">
      <c r="B788" s="146"/>
      <c r="C788" s="146"/>
      <c r="D788" s="543" t="str">
        <f t="shared" si="36"/>
        <v/>
      </c>
      <c r="I788" s="146" t="s">
        <v>1288</v>
      </c>
      <c r="J788" s="146" t="s">
        <v>1798</v>
      </c>
      <c r="K788" s="544" t="s">
        <v>787</v>
      </c>
      <c r="L788" s="544">
        <v>0</v>
      </c>
      <c r="M788" s="544">
        <v>0</v>
      </c>
      <c r="N788" s="544">
        <v>0</v>
      </c>
      <c r="O788" s="544">
        <v>0</v>
      </c>
      <c r="P788" s="544">
        <v>0</v>
      </c>
      <c r="R788" s="543" t="str">
        <f t="shared" si="37"/>
        <v>A0405:アストマックス・エネルギー(株)メニューB</v>
      </c>
      <c r="S788" s="544">
        <f t="shared" si="38"/>
        <v>0</v>
      </c>
    </row>
    <row r="789" spans="2:19">
      <c r="B789" s="146"/>
      <c r="C789" s="146"/>
      <c r="D789" s="543" t="str">
        <f t="shared" si="36"/>
        <v/>
      </c>
      <c r="I789" s="146" t="s">
        <v>1288</v>
      </c>
      <c r="J789" s="146" t="s">
        <v>1798</v>
      </c>
      <c r="K789" s="544" t="s">
        <v>788</v>
      </c>
      <c r="L789" s="544">
        <v>0</v>
      </c>
      <c r="M789" s="544">
        <v>0</v>
      </c>
      <c r="N789" s="544">
        <v>0</v>
      </c>
      <c r="O789" s="544">
        <v>0</v>
      </c>
      <c r="P789" s="544">
        <v>0</v>
      </c>
      <c r="R789" s="543" t="str">
        <f t="shared" si="37"/>
        <v>A0405:アストマックス・エネルギー(株)メニューC</v>
      </c>
      <c r="S789" s="544">
        <f t="shared" si="38"/>
        <v>0</v>
      </c>
    </row>
    <row r="790" spans="2:19">
      <c r="B790" s="146"/>
      <c r="C790" s="146"/>
      <c r="D790" s="543" t="str">
        <f t="shared" si="36"/>
        <v/>
      </c>
      <c r="I790" s="146" t="s">
        <v>1288</v>
      </c>
      <c r="J790" s="146" t="s">
        <v>1798</v>
      </c>
      <c r="K790" s="544" t="s">
        <v>974</v>
      </c>
      <c r="L790" s="544">
        <v>6.4199999999999999E-4</v>
      </c>
      <c r="M790" s="544">
        <v>6.4199999999999999E-4</v>
      </c>
      <c r="N790" s="544">
        <v>6.4199999999999999E-4</v>
      </c>
      <c r="O790" s="544">
        <v>6.4199999999999999E-4</v>
      </c>
      <c r="P790" s="544">
        <v>6.4199999999999999E-4</v>
      </c>
      <c r="R790" s="543" t="str">
        <f t="shared" si="37"/>
        <v>A0405:アストマックス・エネルギー(株)メニューD</v>
      </c>
      <c r="S790" s="544">
        <f t="shared" si="38"/>
        <v>6.4199999999999999E-4</v>
      </c>
    </row>
    <row r="791" spans="2:19">
      <c r="B791" s="146"/>
      <c r="C791" s="146"/>
      <c r="D791" s="543" t="str">
        <f t="shared" si="36"/>
        <v/>
      </c>
      <c r="I791" s="146" t="s">
        <v>1288</v>
      </c>
      <c r="J791" s="146" t="s">
        <v>1798</v>
      </c>
      <c r="K791" s="544" t="s">
        <v>2058</v>
      </c>
      <c r="L791" s="544">
        <v>6.2299999999999996E-4</v>
      </c>
      <c r="M791" s="544">
        <v>6.2299999999999996E-4</v>
      </c>
      <c r="N791" s="544">
        <v>6.2299999999999996E-4</v>
      </c>
      <c r="O791" s="544">
        <v>6.2299999999999996E-4</v>
      </c>
      <c r="P791" s="544">
        <v>6.2299999999999996E-4</v>
      </c>
      <c r="R791" s="543" t="str">
        <f t="shared" si="37"/>
        <v>A0405:アストマックス・エネルギー(株)(参考値)事業者全体</v>
      </c>
      <c r="S791" s="544">
        <f t="shared" si="38"/>
        <v>6.2299999999999996E-4</v>
      </c>
    </row>
    <row r="792" spans="2:19">
      <c r="B792" s="146"/>
      <c r="C792" s="146"/>
      <c r="D792" s="543" t="str">
        <f t="shared" si="36"/>
        <v/>
      </c>
      <c r="I792" s="146" t="s">
        <v>1289</v>
      </c>
      <c r="J792" s="146" t="s">
        <v>1799</v>
      </c>
      <c r="K792" s="544"/>
      <c r="L792" s="544">
        <v>4.2200000000000001E-4</v>
      </c>
      <c r="M792" s="544">
        <v>4.2200000000000001E-4</v>
      </c>
      <c r="N792" s="544">
        <v>4.2200000000000001E-4</v>
      </c>
      <c r="O792" s="544">
        <v>4.2200000000000001E-4</v>
      </c>
      <c r="P792" s="544">
        <v>4.2200000000000001E-4</v>
      </c>
      <c r="R792" s="543" t="str">
        <f t="shared" si="37"/>
        <v>A0407:ALL GREEN POWER(株)</v>
      </c>
      <c r="S792" s="544">
        <f t="shared" si="38"/>
        <v>4.2200000000000001E-4</v>
      </c>
    </row>
    <row r="793" spans="2:19">
      <c r="B793" s="146"/>
      <c r="C793" s="146"/>
      <c r="D793" s="543" t="str">
        <f t="shared" si="36"/>
        <v/>
      </c>
      <c r="I793" s="146" t="s">
        <v>1290</v>
      </c>
      <c r="J793" s="146" t="s">
        <v>1800</v>
      </c>
      <c r="K793" s="544"/>
      <c r="L793" s="544">
        <v>6.11E-4</v>
      </c>
      <c r="M793" s="544">
        <v>6.11E-4</v>
      </c>
      <c r="N793" s="544">
        <v>6.11E-4</v>
      </c>
      <c r="O793" s="544">
        <v>6.11E-4</v>
      </c>
      <c r="P793" s="544">
        <v>6.11E-4</v>
      </c>
      <c r="R793" s="543" t="str">
        <f t="shared" si="37"/>
        <v>A0411:福井電力(株)</v>
      </c>
      <c r="S793" s="544">
        <f t="shared" si="38"/>
        <v>6.11E-4</v>
      </c>
    </row>
    <row r="794" spans="2:19">
      <c r="B794" s="146"/>
      <c r="C794" s="146"/>
      <c r="D794" s="543" t="str">
        <f t="shared" si="36"/>
        <v/>
      </c>
      <c r="I794" s="146" t="s">
        <v>1291</v>
      </c>
      <c r="J794" s="146" t="s">
        <v>1801</v>
      </c>
      <c r="K794" s="544"/>
      <c r="L794" s="544">
        <v>6.2600000000000004E-4</v>
      </c>
      <c r="M794" s="544">
        <v>6.2600000000000004E-4</v>
      </c>
      <c r="N794" s="544">
        <v>6.2600000000000004E-4</v>
      </c>
      <c r="O794" s="544">
        <v>6.2600000000000004E-4</v>
      </c>
      <c r="P794" s="544">
        <v>6.2600000000000004E-4</v>
      </c>
      <c r="R794" s="543" t="str">
        <f t="shared" si="37"/>
        <v>A0413:(株)MKエネルギー</v>
      </c>
      <c r="S794" s="544">
        <f t="shared" si="38"/>
        <v>6.2600000000000004E-4</v>
      </c>
    </row>
    <row r="795" spans="2:19">
      <c r="B795" s="146"/>
      <c r="C795" s="146"/>
      <c r="D795" s="543" t="str">
        <f t="shared" si="36"/>
        <v/>
      </c>
      <c r="I795" s="146" t="s">
        <v>1292</v>
      </c>
      <c r="J795" s="146" t="s">
        <v>1802</v>
      </c>
      <c r="K795" s="544" t="s">
        <v>710</v>
      </c>
      <c r="L795" s="544">
        <v>0</v>
      </c>
      <c r="M795" s="544">
        <v>0</v>
      </c>
      <c r="N795" s="544">
        <v>0</v>
      </c>
      <c r="O795" s="544">
        <v>0</v>
      </c>
      <c r="P795" s="544">
        <v>0</v>
      </c>
      <c r="R795" s="543" t="str">
        <f t="shared" si="37"/>
        <v>A0415:エネラボ(株)メニューA</v>
      </c>
      <c r="S795" s="544">
        <f t="shared" si="38"/>
        <v>0</v>
      </c>
    </row>
    <row r="796" spans="2:19">
      <c r="B796" s="146"/>
      <c r="C796" s="146"/>
      <c r="D796" s="543" t="str">
        <f t="shared" si="36"/>
        <v/>
      </c>
      <c r="I796" s="146" t="s">
        <v>1292</v>
      </c>
      <c r="J796" s="146" t="s">
        <v>1802</v>
      </c>
      <c r="K796" s="544" t="s">
        <v>787</v>
      </c>
      <c r="L796" s="544">
        <v>4.5800000000000002E-4</v>
      </c>
      <c r="M796" s="544">
        <v>4.5800000000000002E-4</v>
      </c>
      <c r="N796" s="544">
        <v>4.5800000000000002E-4</v>
      </c>
      <c r="O796" s="544">
        <v>4.5800000000000002E-4</v>
      </c>
      <c r="P796" s="544">
        <v>4.5800000000000002E-4</v>
      </c>
      <c r="R796" s="543" t="str">
        <f t="shared" si="37"/>
        <v>A0415:エネラボ(株)メニューB</v>
      </c>
      <c r="S796" s="544">
        <f t="shared" si="38"/>
        <v>4.5800000000000002E-4</v>
      </c>
    </row>
    <row r="797" spans="2:19">
      <c r="B797" s="146"/>
      <c r="C797" s="146"/>
      <c r="D797" s="543" t="str">
        <f t="shared" si="36"/>
        <v/>
      </c>
      <c r="I797" s="146" t="s">
        <v>1292</v>
      </c>
      <c r="J797" s="146" t="s">
        <v>1802</v>
      </c>
      <c r="K797" s="544" t="s">
        <v>2058</v>
      </c>
      <c r="L797" s="544">
        <v>4.5800000000000002E-4</v>
      </c>
      <c r="M797" s="544">
        <v>4.5800000000000002E-4</v>
      </c>
      <c r="N797" s="544">
        <v>4.5800000000000002E-4</v>
      </c>
      <c r="O797" s="544">
        <v>4.5800000000000002E-4</v>
      </c>
      <c r="P797" s="544">
        <v>4.5800000000000002E-4</v>
      </c>
      <c r="R797" s="543" t="str">
        <f t="shared" si="37"/>
        <v>A0415:エネラボ(株)(参考値)事業者全体</v>
      </c>
      <c r="S797" s="544">
        <f t="shared" si="38"/>
        <v>4.5800000000000002E-4</v>
      </c>
    </row>
    <row r="798" spans="2:19">
      <c r="B798" s="146"/>
      <c r="C798" s="146"/>
      <c r="D798" s="543" t="str">
        <f t="shared" si="36"/>
        <v/>
      </c>
      <c r="I798" s="146" t="s">
        <v>1293</v>
      </c>
      <c r="J798" s="146" t="s">
        <v>1803</v>
      </c>
      <c r="K798" s="544" t="s">
        <v>710</v>
      </c>
      <c r="L798" s="544">
        <v>0</v>
      </c>
      <c r="M798" s="544">
        <v>0</v>
      </c>
      <c r="N798" s="544">
        <v>0</v>
      </c>
      <c r="O798" s="544">
        <v>0</v>
      </c>
      <c r="P798" s="544">
        <v>0</v>
      </c>
      <c r="R798" s="543" t="str">
        <f t="shared" si="37"/>
        <v>A0419:スマートエナジー磐田(株)メニューA</v>
      </c>
      <c r="S798" s="544">
        <f t="shared" si="38"/>
        <v>0</v>
      </c>
    </row>
    <row r="799" spans="2:19">
      <c r="B799" s="146"/>
      <c r="C799" s="146"/>
      <c r="D799" s="543" t="str">
        <f t="shared" si="36"/>
        <v/>
      </c>
      <c r="I799" s="146" t="s">
        <v>1293</v>
      </c>
      <c r="J799" s="146" t="s">
        <v>1803</v>
      </c>
      <c r="K799" s="544" t="s">
        <v>787</v>
      </c>
      <c r="L799" s="544">
        <v>3.0600000000000001E-4</v>
      </c>
      <c r="M799" s="544">
        <v>3.0600000000000001E-4</v>
      </c>
      <c r="N799" s="544">
        <v>3.0600000000000001E-4</v>
      </c>
      <c r="O799" s="544">
        <v>3.0600000000000001E-4</v>
      </c>
      <c r="P799" s="544">
        <v>3.0600000000000001E-4</v>
      </c>
      <c r="R799" s="543" t="str">
        <f t="shared" si="37"/>
        <v>A0419:スマートエナジー磐田(株)メニューB</v>
      </c>
      <c r="S799" s="544">
        <f t="shared" si="38"/>
        <v>3.0600000000000001E-4</v>
      </c>
    </row>
    <row r="800" spans="2:19">
      <c r="B800" s="146"/>
      <c r="C800" s="146"/>
      <c r="D800" s="543" t="str">
        <f t="shared" si="36"/>
        <v/>
      </c>
      <c r="I800" s="146" t="s">
        <v>1293</v>
      </c>
      <c r="J800" s="146" t="s">
        <v>1803</v>
      </c>
      <c r="K800" s="544" t="s">
        <v>788</v>
      </c>
      <c r="L800" s="544">
        <v>3.6900000000000002E-4</v>
      </c>
      <c r="M800" s="544">
        <v>3.6900000000000002E-4</v>
      </c>
      <c r="N800" s="544">
        <v>3.6900000000000002E-4</v>
      </c>
      <c r="O800" s="544">
        <v>3.6900000000000002E-4</v>
      </c>
      <c r="P800" s="544">
        <v>3.6900000000000002E-4</v>
      </c>
      <c r="R800" s="543" t="str">
        <f t="shared" si="37"/>
        <v>A0419:スマートエナジー磐田(株)メニューC</v>
      </c>
      <c r="S800" s="544">
        <f t="shared" si="38"/>
        <v>3.6900000000000002E-4</v>
      </c>
    </row>
    <row r="801" spans="2:19">
      <c r="B801" s="146"/>
      <c r="C801" s="146"/>
      <c r="D801" s="543" t="str">
        <f t="shared" si="36"/>
        <v/>
      </c>
      <c r="I801" s="146" t="s">
        <v>1293</v>
      </c>
      <c r="J801" s="146" t="s">
        <v>1803</v>
      </c>
      <c r="K801" s="544" t="s">
        <v>2058</v>
      </c>
      <c r="L801" s="544">
        <v>3.59E-4</v>
      </c>
      <c r="M801" s="544">
        <v>3.59E-4</v>
      </c>
      <c r="N801" s="544">
        <v>3.59E-4</v>
      </c>
      <c r="O801" s="544">
        <v>3.59E-4</v>
      </c>
      <c r="P801" s="544">
        <v>3.59E-4</v>
      </c>
      <c r="R801" s="543" t="str">
        <f t="shared" si="37"/>
        <v>A0419:スマートエナジー磐田(株)(参考値)事業者全体</v>
      </c>
      <c r="S801" s="544">
        <f t="shared" si="38"/>
        <v>3.59E-4</v>
      </c>
    </row>
    <row r="802" spans="2:19">
      <c r="B802" s="146"/>
      <c r="C802" s="146"/>
      <c r="D802" s="543" t="str">
        <f t="shared" si="36"/>
        <v/>
      </c>
      <c r="I802" s="146" t="s">
        <v>1294</v>
      </c>
      <c r="J802" s="146" t="s">
        <v>1804</v>
      </c>
      <c r="K802" s="544"/>
      <c r="L802" s="544">
        <v>4.8799999999999999E-4</v>
      </c>
      <c r="M802" s="544">
        <v>4.8799999999999999E-4</v>
      </c>
      <c r="N802" s="544">
        <v>4.8799999999999999E-4</v>
      </c>
      <c r="O802" s="544">
        <v>4.8799999999999999E-4</v>
      </c>
      <c r="P802" s="544">
        <v>4.8799999999999999E-4</v>
      </c>
      <c r="R802" s="543" t="str">
        <f t="shared" si="37"/>
        <v>A0420:そうまIグリッド合同会社</v>
      </c>
      <c r="S802" s="544">
        <f t="shared" si="38"/>
        <v>4.8799999999999999E-4</v>
      </c>
    </row>
    <row r="803" spans="2:19">
      <c r="B803" s="146"/>
      <c r="C803" s="146"/>
      <c r="D803" s="543" t="str">
        <f t="shared" si="36"/>
        <v/>
      </c>
      <c r="I803" s="146" t="s">
        <v>1295</v>
      </c>
      <c r="J803" s="146" t="s">
        <v>1805</v>
      </c>
      <c r="K803" s="544"/>
      <c r="L803" s="544">
        <v>4.2200000000000001E-4</v>
      </c>
      <c r="M803" s="544">
        <v>4.2200000000000001E-4</v>
      </c>
      <c r="N803" s="544">
        <v>4.2200000000000001E-4</v>
      </c>
      <c r="O803" s="544">
        <v>4.2200000000000001E-4</v>
      </c>
      <c r="P803" s="544">
        <v>4.2200000000000001E-4</v>
      </c>
      <c r="R803" s="543" t="str">
        <f t="shared" si="37"/>
        <v>A0425:エネトレード(株)</v>
      </c>
      <c r="S803" s="544">
        <f t="shared" si="38"/>
        <v>4.2200000000000001E-4</v>
      </c>
    </row>
    <row r="804" spans="2:19">
      <c r="B804" s="146"/>
      <c r="C804" s="146"/>
      <c r="D804" s="543" t="str">
        <f t="shared" si="36"/>
        <v/>
      </c>
      <c r="I804" s="146" t="s">
        <v>1296</v>
      </c>
      <c r="J804" s="146" t="s">
        <v>1806</v>
      </c>
      <c r="K804" s="544"/>
      <c r="L804" s="544">
        <v>6.1899999999999998E-4</v>
      </c>
      <c r="M804" s="544">
        <v>6.1899999999999998E-4</v>
      </c>
      <c r="N804" s="544">
        <v>6.1899999999999998E-4</v>
      </c>
      <c r="O804" s="544">
        <v>6.1899999999999998E-4</v>
      </c>
      <c r="P804" s="544">
        <v>6.1899999999999998E-4</v>
      </c>
      <c r="R804" s="543" t="str">
        <f t="shared" si="37"/>
        <v>A0429:ニシムラ(株)</v>
      </c>
      <c r="S804" s="544">
        <f t="shared" si="38"/>
        <v>6.1899999999999998E-4</v>
      </c>
    </row>
    <row r="805" spans="2:19">
      <c r="B805" s="146"/>
      <c r="C805" s="146"/>
      <c r="D805" s="543" t="str">
        <f t="shared" si="36"/>
        <v/>
      </c>
      <c r="I805" s="146" t="s">
        <v>1297</v>
      </c>
      <c r="J805" s="146" t="s">
        <v>1807</v>
      </c>
      <c r="K805" s="544" t="s">
        <v>710</v>
      </c>
      <c r="L805" s="544">
        <v>0</v>
      </c>
      <c r="M805" s="544">
        <v>0</v>
      </c>
      <c r="N805" s="544">
        <v>0</v>
      </c>
      <c r="O805" s="544">
        <v>0</v>
      </c>
      <c r="P805" s="544">
        <v>0</v>
      </c>
      <c r="R805" s="543" t="str">
        <f t="shared" si="37"/>
        <v>A0430:(株)さくら新電力メニューA</v>
      </c>
      <c r="S805" s="544">
        <f t="shared" si="38"/>
        <v>0</v>
      </c>
    </row>
    <row r="806" spans="2:19">
      <c r="B806" s="146"/>
      <c r="C806" s="146"/>
      <c r="D806" s="543" t="str">
        <f t="shared" si="36"/>
        <v/>
      </c>
      <c r="I806" s="146" t="s">
        <v>1297</v>
      </c>
      <c r="J806" s="146" t="s">
        <v>1807</v>
      </c>
      <c r="K806" s="544" t="s">
        <v>787</v>
      </c>
      <c r="L806" s="544">
        <v>4.8299999999999998E-4</v>
      </c>
      <c r="M806" s="544">
        <v>4.8299999999999998E-4</v>
      </c>
      <c r="N806" s="544">
        <v>4.8299999999999998E-4</v>
      </c>
      <c r="O806" s="544">
        <v>4.8299999999999998E-4</v>
      </c>
      <c r="P806" s="544">
        <v>4.8299999999999998E-4</v>
      </c>
      <c r="R806" s="543" t="str">
        <f t="shared" si="37"/>
        <v>A0430:(株)さくら新電力メニューB</v>
      </c>
      <c r="S806" s="544">
        <f t="shared" si="38"/>
        <v>4.8299999999999998E-4</v>
      </c>
    </row>
    <row r="807" spans="2:19">
      <c r="B807" s="146"/>
      <c r="C807" s="146"/>
      <c r="D807" s="543" t="str">
        <f t="shared" si="36"/>
        <v/>
      </c>
      <c r="I807" s="146" t="s">
        <v>1297</v>
      </c>
      <c r="J807" s="146" t="s">
        <v>1807</v>
      </c>
      <c r="K807" s="544" t="s">
        <v>2058</v>
      </c>
      <c r="L807" s="544">
        <v>4.44E-4</v>
      </c>
      <c r="M807" s="544">
        <v>4.44E-4</v>
      </c>
      <c r="N807" s="544">
        <v>4.44E-4</v>
      </c>
      <c r="O807" s="544">
        <v>4.44E-4</v>
      </c>
      <c r="P807" s="544">
        <v>4.44E-4</v>
      </c>
      <c r="R807" s="543" t="str">
        <f t="shared" si="37"/>
        <v>A0430:(株)さくら新電力(参考値)事業者全体</v>
      </c>
      <c r="S807" s="544">
        <f t="shared" si="38"/>
        <v>4.44E-4</v>
      </c>
    </row>
    <row r="808" spans="2:19">
      <c r="B808" s="146"/>
      <c r="C808" s="146"/>
      <c r="D808" s="543" t="str">
        <f t="shared" si="36"/>
        <v/>
      </c>
      <c r="I808" s="146" t="s">
        <v>1298</v>
      </c>
      <c r="J808" s="146" t="s">
        <v>1808</v>
      </c>
      <c r="K808" s="544"/>
      <c r="L808" s="544">
        <v>3.1399999999999999E-4</v>
      </c>
      <c r="M808" s="544">
        <v>3.1399999999999999E-4</v>
      </c>
      <c r="N808" s="544">
        <v>3.1399999999999999E-4</v>
      </c>
      <c r="O808" s="544">
        <v>3.1399999999999999E-4</v>
      </c>
      <c r="P808" s="544">
        <v>3.1399999999999999E-4</v>
      </c>
      <c r="R808" s="543" t="str">
        <f t="shared" si="37"/>
        <v>A0431:(株)グローアップ</v>
      </c>
      <c r="S808" s="544">
        <f t="shared" si="38"/>
        <v>3.1399999999999999E-4</v>
      </c>
    </row>
    <row r="809" spans="2:19">
      <c r="B809" s="146"/>
      <c r="C809" s="146"/>
      <c r="D809" s="543" t="str">
        <f t="shared" si="36"/>
        <v/>
      </c>
      <c r="I809" s="146" t="s">
        <v>1299</v>
      </c>
      <c r="J809" s="146" t="s">
        <v>1809</v>
      </c>
      <c r="K809" s="544"/>
      <c r="L809" s="544">
        <v>4.0499999999999998E-4</v>
      </c>
      <c r="M809" s="544">
        <v>4.0499999999999998E-4</v>
      </c>
      <c r="N809" s="544">
        <v>4.0499999999999998E-4</v>
      </c>
      <c r="O809" s="544">
        <v>4.0499999999999998E-4</v>
      </c>
      <c r="P809" s="544">
        <v>4.0499999999999998E-4</v>
      </c>
      <c r="R809" s="543" t="str">
        <f t="shared" si="37"/>
        <v>A0435:いこま市民パワー(株)</v>
      </c>
      <c r="S809" s="544">
        <f t="shared" si="38"/>
        <v>4.0499999999999998E-4</v>
      </c>
    </row>
    <row r="810" spans="2:19">
      <c r="B810" s="146"/>
      <c r="C810" s="146"/>
      <c r="D810" s="543" t="str">
        <f t="shared" si="36"/>
        <v/>
      </c>
      <c r="I810" s="146" t="s">
        <v>1300</v>
      </c>
      <c r="J810" s="146" t="s">
        <v>1810</v>
      </c>
      <c r="K810" s="544" t="s">
        <v>710</v>
      </c>
      <c r="L810" s="544">
        <v>0</v>
      </c>
      <c r="M810" s="544">
        <v>0</v>
      </c>
      <c r="N810" s="544">
        <v>0</v>
      </c>
      <c r="O810" s="544">
        <v>0</v>
      </c>
      <c r="P810" s="544">
        <v>0</v>
      </c>
      <c r="R810" s="543" t="str">
        <f t="shared" si="37"/>
        <v>A0437:おもてなし山形(株)メニューA</v>
      </c>
      <c r="S810" s="544">
        <f t="shared" si="38"/>
        <v>0</v>
      </c>
    </row>
    <row r="811" spans="2:19">
      <c r="B811" s="146"/>
      <c r="C811" s="146"/>
      <c r="D811" s="543" t="str">
        <f t="shared" si="36"/>
        <v/>
      </c>
      <c r="I811" s="146" t="s">
        <v>1300</v>
      </c>
      <c r="J811" s="146" t="s">
        <v>1810</v>
      </c>
      <c r="K811" s="544" t="s">
        <v>787</v>
      </c>
      <c r="L811" s="544">
        <v>4.3100000000000001E-4</v>
      </c>
      <c r="M811" s="544">
        <v>4.3100000000000001E-4</v>
      </c>
      <c r="N811" s="544">
        <v>4.3100000000000001E-4</v>
      </c>
      <c r="O811" s="544">
        <v>4.3100000000000001E-4</v>
      </c>
      <c r="P811" s="544">
        <v>4.3100000000000001E-4</v>
      </c>
      <c r="R811" s="543" t="str">
        <f t="shared" si="37"/>
        <v>A0437:おもてなし山形(株)メニューB</v>
      </c>
      <c r="S811" s="544">
        <f t="shared" si="38"/>
        <v>4.3100000000000001E-4</v>
      </c>
    </row>
    <row r="812" spans="2:19">
      <c r="B812" s="146"/>
      <c r="C812" s="146"/>
      <c r="D812" s="543" t="str">
        <f t="shared" si="36"/>
        <v/>
      </c>
      <c r="I812" s="146" t="s">
        <v>1300</v>
      </c>
      <c r="J812" s="146" t="s">
        <v>1810</v>
      </c>
      <c r="K812" s="544" t="s">
        <v>2058</v>
      </c>
      <c r="L812" s="544">
        <v>6.7000000000000002E-5</v>
      </c>
      <c r="M812" s="544">
        <v>6.7000000000000002E-5</v>
      </c>
      <c r="N812" s="544">
        <v>6.7000000000000002E-5</v>
      </c>
      <c r="O812" s="544">
        <v>6.7000000000000002E-5</v>
      </c>
      <c r="P812" s="544">
        <v>6.7000000000000002E-5</v>
      </c>
      <c r="R812" s="543" t="str">
        <f t="shared" si="37"/>
        <v>A0437:おもてなし山形(株)(参考値)事業者全体</v>
      </c>
      <c r="S812" s="544">
        <f t="shared" si="38"/>
        <v>6.7000000000000002E-5</v>
      </c>
    </row>
    <row r="813" spans="2:19">
      <c r="B813" s="146"/>
      <c r="C813" s="146"/>
      <c r="D813" s="543" t="str">
        <f t="shared" si="36"/>
        <v/>
      </c>
      <c r="I813" s="146" t="s">
        <v>1301</v>
      </c>
      <c r="J813" s="146" t="s">
        <v>1811</v>
      </c>
      <c r="K813" s="544"/>
      <c r="L813" s="544">
        <v>4.06E-4</v>
      </c>
      <c r="M813" s="544">
        <v>4.06E-4</v>
      </c>
      <c r="N813" s="544">
        <v>4.06E-4</v>
      </c>
      <c r="O813" s="544">
        <v>4.06E-4</v>
      </c>
      <c r="P813" s="544">
        <v>4.06E-4</v>
      </c>
      <c r="R813" s="543" t="str">
        <f t="shared" si="37"/>
        <v>A0438:長野都市ガス(株)</v>
      </c>
      <c r="S813" s="544">
        <f t="shared" si="38"/>
        <v>4.06E-4</v>
      </c>
    </row>
    <row r="814" spans="2:19">
      <c r="B814" s="146"/>
      <c r="C814" s="146"/>
      <c r="D814" s="543" t="str">
        <f t="shared" si="36"/>
        <v/>
      </c>
      <c r="I814" s="146" t="s">
        <v>1302</v>
      </c>
      <c r="J814" s="146" t="s">
        <v>1812</v>
      </c>
      <c r="K814" s="544"/>
      <c r="L814" s="544">
        <v>4.1899999999999999E-4</v>
      </c>
      <c r="M814" s="544">
        <v>4.1899999999999999E-4</v>
      </c>
      <c r="N814" s="544">
        <v>4.1899999999999999E-4</v>
      </c>
      <c r="O814" s="544">
        <v>4.1899999999999999E-4</v>
      </c>
      <c r="P814" s="544">
        <v>4.1899999999999999E-4</v>
      </c>
      <c r="R814" s="543" t="str">
        <f t="shared" si="37"/>
        <v>A0439:上田ガス(株)</v>
      </c>
      <c r="S814" s="544">
        <f t="shared" si="38"/>
        <v>4.1899999999999999E-4</v>
      </c>
    </row>
    <row r="815" spans="2:19">
      <c r="B815" s="146"/>
      <c r="C815" s="146"/>
      <c r="D815" s="543" t="str">
        <f t="shared" si="36"/>
        <v/>
      </c>
      <c r="I815" s="146" t="s">
        <v>1303</v>
      </c>
      <c r="J815" s="146" t="s">
        <v>1813</v>
      </c>
      <c r="K815" s="544" t="s">
        <v>710</v>
      </c>
      <c r="L815" s="544">
        <v>0</v>
      </c>
      <c r="M815" s="544">
        <v>0</v>
      </c>
      <c r="N815" s="544">
        <v>0</v>
      </c>
      <c r="O815" s="544">
        <v>0</v>
      </c>
      <c r="P815" s="544">
        <v>0</v>
      </c>
      <c r="R815" s="543" t="str">
        <f t="shared" si="37"/>
        <v>A0440:日本瓦斯(株)メニューA</v>
      </c>
      <c r="S815" s="544">
        <f t="shared" si="38"/>
        <v>0</v>
      </c>
    </row>
    <row r="816" spans="2:19">
      <c r="B816" s="146"/>
      <c r="C816" s="146"/>
      <c r="D816" s="543" t="str">
        <f t="shared" si="36"/>
        <v/>
      </c>
      <c r="I816" s="146" t="s">
        <v>1303</v>
      </c>
      <c r="J816" s="146" t="s">
        <v>1813</v>
      </c>
      <c r="K816" s="544" t="s">
        <v>787</v>
      </c>
      <c r="L816" s="544">
        <v>3.9100000000000002E-4</v>
      </c>
      <c r="M816" s="544">
        <v>3.9100000000000002E-4</v>
      </c>
      <c r="N816" s="544">
        <v>3.9100000000000002E-4</v>
      </c>
      <c r="O816" s="544">
        <v>3.9100000000000002E-4</v>
      </c>
      <c r="P816" s="544">
        <v>3.9100000000000002E-4</v>
      </c>
      <c r="R816" s="543" t="str">
        <f t="shared" si="37"/>
        <v>A0440:日本瓦斯(株)メニューB</v>
      </c>
      <c r="S816" s="544">
        <f t="shared" si="38"/>
        <v>3.9100000000000002E-4</v>
      </c>
    </row>
    <row r="817" spans="2:19">
      <c r="B817" s="146"/>
      <c r="C817" s="146"/>
      <c r="D817" s="543" t="str">
        <f t="shared" si="36"/>
        <v/>
      </c>
      <c r="I817" s="146" t="s">
        <v>1303</v>
      </c>
      <c r="J817" s="146" t="s">
        <v>1813</v>
      </c>
      <c r="K817" s="544" t="s">
        <v>2058</v>
      </c>
      <c r="L817" s="544">
        <v>3.8400000000000001E-4</v>
      </c>
      <c r="M817" s="544">
        <v>3.8400000000000001E-4</v>
      </c>
      <c r="N817" s="544">
        <v>3.8400000000000001E-4</v>
      </c>
      <c r="O817" s="544">
        <v>3.8400000000000001E-4</v>
      </c>
      <c r="P817" s="544">
        <v>3.8400000000000001E-4</v>
      </c>
      <c r="R817" s="543" t="str">
        <f t="shared" si="37"/>
        <v>A0440:日本瓦斯(株)(参考値)事業者全体</v>
      </c>
      <c r="S817" s="544">
        <f t="shared" si="38"/>
        <v>3.8400000000000001E-4</v>
      </c>
    </row>
    <row r="818" spans="2:19">
      <c r="B818" s="146"/>
      <c r="C818" s="146"/>
      <c r="D818" s="543" t="str">
        <f t="shared" si="36"/>
        <v/>
      </c>
      <c r="I818" s="146" t="s">
        <v>1304</v>
      </c>
      <c r="J818" s="146" t="s">
        <v>1814</v>
      </c>
      <c r="K818" s="544"/>
      <c r="L818" s="544">
        <v>4.6299999999999998E-4</v>
      </c>
      <c r="M818" s="544">
        <v>4.6299999999999998E-4</v>
      </c>
      <c r="N818" s="544">
        <v>4.6299999999999998E-4</v>
      </c>
      <c r="O818" s="544">
        <v>4.6299999999999998E-4</v>
      </c>
      <c r="P818" s="544">
        <v>4.6299999999999998E-4</v>
      </c>
      <c r="R818" s="543" t="str">
        <f t="shared" si="37"/>
        <v>A0442:(株)シグナストラスト</v>
      </c>
      <c r="S818" s="544">
        <f t="shared" si="38"/>
        <v>4.6299999999999998E-4</v>
      </c>
    </row>
    <row r="819" spans="2:19">
      <c r="B819" s="146"/>
      <c r="C819" s="146"/>
      <c r="D819" s="543" t="str">
        <f t="shared" si="36"/>
        <v/>
      </c>
      <c r="I819" s="146" t="s">
        <v>1305</v>
      </c>
      <c r="J819" s="146" t="s">
        <v>1815</v>
      </c>
      <c r="K819" s="544"/>
      <c r="L819" s="544">
        <v>5.0600000000000005E-4</v>
      </c>
      <c r="M819" s="544">
        <v>5.0600000000000005E-4</v>
      </c>
      <c r="N819" s="544">
        <v>5.0600000000000005E-4</v>
      </c>
      <c r="O819" s="544">
        <v>5.0600000000000005E-4</v>
      </c>
      <c r="P819" s="544">
        <v>5.0600000000000005E-4</v>
      </c>
      <c r="R819" s="543" t="str">
        <f t="shared" si="37"/>
        <v>A0443:ゲーテハウス(株)</v>
      </c>
      <c r="S819" s="544">
        <f t="shared" si="38"/>
        <v>5.0600000000000005E-4</v>
      </c>
    </row>
    <row r="820" spans="2:19">
      <c r="B820" s="146"/>
      <c r="C820" s="146"/>
      <c r="D820" s="543" t="str">
        <f t="shared" si="36"/>
        <v/>
      </c>
      <c r="I820" s="146" t="s">
        <v>1306</v>
      </c>
      <c r="J820" s="146" t="s">
        <v>1816</v>
      </c>
      <c r="K820" s="544"/>
      <c r="L820" s="544">
        <v>6.1700000000000004E-4</v>
      </c>
      <c r="M820" s="544">
        <v>6.1700000000000004E-4</v>
      </c>
      <c r="N820" s="544">
        <v>6.1700000000000004E-4</v>
      </c>
      <c r="O820" s="544">
        <v>6.1700000000000004E-4</v>
      </c>
      <c r="P820" s="544">
        <v>6.1700000000000004E-4</v>
      </c>
      <c r="R820" s="543" t="str">
        <f t="shared" si="37"/>
        <v>A0446:JPエネルギー(株)</v>
      </c>
      <c r="S820" s="544">
        <f t="shared" si="38"/>
        <v>6.1700000000000004E-4</v>
      </c>
    </row>
    <row r="821" spans="2:19">
      <c r="B821" s="146"/>
      <c r="C821" s="146"/>
      <c r="D821" s="543" t="str">
        <f t="shared" si="36"/>
        <v/>
      </c>
      <c r="I821" s="146" t="s">
        <v>1307</v>
      </c>
      <c r="J821" s="146" t="s">
        <v>1817</v>
      </c>
      <c r="K821" s="544"/>
      <c r="L821" s="544">
        <v>6.2299999999999996E-4</v>
      </c>
      <c r="M821" s="544">
        <v>6.2299999999999996E-4</v>
      </c>
      <c r="N821" s="544">
        <v>6.2299999999999996E-4</v>
      </c>
      <c r="O821" s="544">
        <v>6.2299999999999996E-4</v>
      </c>
      <c r="P821" s="544">
        <v>6.2299999999999996E-4</v>
      </c>
      <c r="R821" s="543" t="str">
        <f t="shared" si="37"/>
        <v>A0447:兵庫電力(株)</v>
      </c>
      <c r="S821" s="544">
        <f t="shared" si="38"/>
        <v>6.2299999999999996E-4</v>
      </c>
    </row>
    <row r="822" spans="2:19">
      <c r="B822" s="146"/>
      <c r="C822" s="146"/>
      <c r="D822" s="543" t="str">
        <f t="shared" si="36"/>
        <v/>
      </c>
      <c r="I822" s="146" t="s">
        <v>1308</v>
      </c>
      <c r="J822" s="146" t="s">
        <v>1818</v>
      </c>
      <c r="K822" s="544"/>
      <c r="L822" s="544">
        <v>5.1900000000000004E-4</v>
      </c>
      <c r="M822" s="544">
        <v>5.1900000000000004E-4</v>
      </c>
      <c r="N822" s="544">
        <v>5.1900000000000004E-4</v>
      </c>
      <c r="O822" s="544">
        <v>5.1900000000000004E-4</v>
      </c>
      <c r="P822" s="544">
        <v>5.1900000000000004E-4</v>
      </c>
      <c r="R822" s="543" t="str">
        <f t="shared" si="37"/>
        <v>A0451:Cocoテラスたがわ(株)</v>
      </c>
      <c r="S822" s="544">
        <f t="shared" si="38"/>
        <v>5.1900000000000004E-4</v>
      </c>
    </row>
    <row r="823" spans="2:19">
      <c r="B823" s="146"/>
      <c r="C823" s="146"/>
      <c r="D823" s="543" t="str">
        <f t="shared" si="36"/>
        <v/>
      </c>
      <c r="I823" s="146" t="s">
        <v>1309</v>
      </c>
      <c r="J823" s="146" t="s">
        <v>1819</v>
      </c>
      <c r="K823" s="544"/>
      <c r="L823" s="544">
        <v>4.2200000000000001E-4</v>
      </c>
      <c r="M823" s="544">
        <v>4.2200000000000001E-4</v>
      </c>
      <c r="N823" s="544">
        <v>4.2200000000000001E-4</v>
      </c>
      <c r="O823" s="544">
        <v>4.2200000000000001E-4</v>
      </c>
      <c r="P823" s="544">
        <v>4.2200000000000001E-4</v>
      </c>
      <c r="R823" s="543" t="str">
        <f t="shared" si="37"/>
        <v>A0452:東北電力エナジートレーディング(株)</v>
      </c>
      <c r="S823" s="544">
        <f t="shared" si="38"/>
        <v>4.2200000000000001E-4</v>
      </c>
    </row>
    <row r="824" spans="2:19">
      <c r="B824" s="146"/>
      <c r="C824" s="146"/>
      <c r="D824" s="543" t="str">
        <f t="shared" si="36"/>
        <v/>
      </c>
      <c r="I824" s="146" t="s">
        <v>1310</v>
      </c>
      <c r="J824" s="146" t="s">
        <v>1820</v>
      </c>
      <c r="K824" s="544" t="s">
        <v>710</v>
      </c>
      <c r="L824" s="544">
        <v>0</v>
      </c>
      <c r="M824" s="544">
        <v>0</v>
      </c>
      <c r="N824" s="544">
        <v>0</v>
      </c>
      <c r="O824" s="544">
        <v>0</v>
      </c>
      <c r="P824" s="544">
        <v>0</v>
      </c>
      <c r="R824" s="543" t="str">
        <f t="shared" si="37"/>
        <v>A0454:(株)まち未来製作所メニューA</v>
      </c>
      <c r="S824" s="544">
        <f t="shared" si="38"/>
        <v>0</v>
      </c>
    </row>
    <row r="825" spans="2:19">
      <c r="B825" s="146"/>
      <c r="C825" s="146"/>
      <c r="D825" s="543" t="str">
        <f t="shared" si="36"/>
        <v/>
      </c>
      <c r="I825" s="146" t="s">
        <v>1310</v>
      </c>
      <c r="J825" s="146" t="s">
        <v>1820</v>
      </c>
      <c r="K825" s="544" t="s">
        <v>787</v>
      </c>
      <c r="L825" s="544">
        <v>5.4699999999999996E-4</v>
      </c>
      <c r="M825" s="544">
        <v>5.4699999999999996E-4</v>
      </c>
      <c r="N825" s="544">
        <v>5.4699999999999996E-4</v>
      </c>
      <c r="O825" s="544">
        <v>5.4699999999999996E-4</v>
      </c>
      <c r="P825" s="544">
        <v>5.4699999999999996E-4</v>
      </c>
      <c r="R825" s="543" t="str">
        <f t="shared" si="37"/>
        <v>A0454:(株)まち未来製作所メニューB</v>
      </c>
      <c r="S825" s="544">
        <f t="shared" si="38"/>
        <v>5.4699999999999996E-4</v>
      </c>
    </row>
    <row r="826" spans="2:19">
      <c r="B826" s="146"/>
      <c r="C826" s="146"/>
      <c r="D826" s="543" t="str">
        <f t="shared" si="36"/>
        <v/>
      </c>
      <c r="I826" s="146" t="s">
        <v>1310</v>
      </c>
      <c r="J826" s="146" t="s">
        <v>1820</v>
      </c>
      <c r="K826" s="544" t="s">
        <v>2058</v>
      </c>
      <c r="L826" s="544">
        <v>4.2499999999999998E-4</v>
      </c>
      <c r="M826" s="544">
        <v>4.2499999999999998E-4</v>
      </c>
      <c r="N826" s="544">
        <v>4.2499999999999998E-4</v>
      </c>
      <c r="O826" s="544">
        <v>4.2499999999999998E-4</v>
      </c>
      <c r="P826" s="544">
        <v>4.2499999999999998E-4</v>
      </c>
      <c r="R826" s="543" t="str">
        <f t="shared" si="37"/>
        <v>A0454:(株)まち未来製作所(参考値)事業者全体</v>
      </c>
      <c r="S826" s="544">
        <f t="shared" si="38"/>
        <v>4.2499999999999998E-4</v>
      </c>
    </row>
    <row r="827" spans="2:19">
      <c r="B827" s="146"/>
      <c r="C827" s="146"/>
      <c r="D827" s="543" t="str">
        <f t="shared" si="36"/>
        <v/>
      </c>
      <c r="I827" s="146" t="s">
        <v>1311</v>
      </c>
      <c r="J827" s="146" t="s">
        <v>1821</v>
      </c>
      <c r="K827" s="544"/>
      <c r="L827" s="544">
        <v>6.3599999999999996E-4</v>
      </c>
      <c r="M827" s="544">
        <v>6.3599999999999996E-4</v>
      </c>
      <c r="N827" s="544">
        <v>6.3599999999999996E-4</v>
      </c>
      <c r="O827" s="544">
        <v>6.3599999999999996E-4</v>
      </c>
      <c r="P827" s="544">
        <v>6.3599999999999996E-4</v>
      </c>
      <c r="R827" s="543" t="str">
        <f t="shared" si="37"/>
        <v>A0456:(株)どさんこパワー</v>
      </c>
      <c r="S827" s="544">
        <f t="shared" si="38"/>
        <v>6.3599999999999996E-4</v>
      </c>
    </row>
    <row r="828" spans="2:19">
      <c r="B828" s="146"/>
      <c r="C828" s="146"/>
      <c r="D828" s="543" t="str">
        <f t="shared" si="36"/>
        <v/>
      </c>
      <c r="I828" s="146" t="s">
        <v>1312</v>
      </c>
      <c r="J828" s="146" t="s">
        <v>1822</v>
      </c>
      <c r="K828" s="544"/>
      <c r="L828" s="544">
        <v>5.8100000000000003E-4</v>
      </c>
      <c r="M828" s="544">
        <v>5.8100000000000003E-4</v>
      </c>
      <c r="N828" s="544">
        <v>5.8100000000000003E-4</v>
      </c>
      <c r="O828" s="544">
        <v>5.8100000000000003E-4</v>
      </c>
      <c r="P828" s="544">
        <v>5.8100000000000003E-4</v>
      </c>
      <c r="R828" s="543" t="str">
        <f t="shared" si="37"/>
        <v>A0457:トリニティエナジー(株)</v>
      </c>
      <c r="S828" s="544">
        <f t="shared" si="38"/>
        <v>5.8100000000000003E-4</v>
      </c>
    </row>
    <row r="829" spans="2:19">
      <c r="B829" s="146"/>
      <c r="C829" s="146"/>
      <c r="D829" s="543" t="str">
        <f t="shared" si="36"/>
        <v/>
      </c>
      <c r="I829" s="146" t="s">
        <v>1313</v>
      </c>
      <c r="J829" s="146" t="s">
        <v>1823</v>
      </c>
      <c r="K829" s="544"/>
      <c r="L829" s="544">
        <v>4.2200000000000001E-4</v>
      </c>
      <c r="M829" s="544">
        <v>4.2200000000000001E-4</v>
      </c>
      <c r="N829" s="544">
        <v>4.2200000000000001E-4</v>
      </c>
      <c r="O829" s="544">
        <v>4.2200000000000001E-4</v>
      </c>
      <c r="P829" s="544">
        <v>4.2200000000000001E-4</v>
      </c>
      <c r="R829" s="543" t="str">
        <f t="shared" si="37"/>
        <v>A0461:(株)LIXIL TEPCO スマートパートナーズ</v>
      </c>
      <c r="S829" s="544">
        <f t="shared" si="38"/>
        <v>4.2200000000000001E-4</v>
      </c>
    </row>
    <row r="830" spans="2:19">
      <c r="B830" s="146"/>
      <c r="C830" s="146"/>
      <c r="D830" s="543" t="str">
        <f t="shared" si="36"/>
        <v/>
      </c>
      <c r="I830" s="146" t="s">
        <v>1314</v>
      </c>
      <c r="J830" s="146" t="s">
        <v>1824</v>
      </c>
      <c r="K830" s="544"/>
      <c r="L830" s="544">
        <v>4.6900000000000002E-4</v>
      </c>
      <c r="M830" s="544">
        <v>4.6900000000000002E-4</v>
      </c>
      <c r="N830" s="544">
        <v>4.6900000000000002E-4</v>
      </c>
      <c r="O830" s="544">
        <v>4.6900000000000002E-4</v>
      </c>
      <c r="P830" s="544">
        <v>4.6900000000000002E-4</v>
      </c>
      <c r="R830" s="543" t="str">
        <f t="shared" si="37"/>
        <v>A0463:(株)NEXT ONE</v>
      </c>
      <c r="S830" s="544">
        <f t="shared" si="38"/>
        <v>4.6900000000000002E-4</v>
      </c>
    </row>
    <row r="831" spans="2:19">
      <c r="B831" s="146"/>
      <c r="C831" s="146"/>
      <c r="D831" s="543" t="str">
        <f t="shared" si="36"/>
        <v/>
      </c>
      <c r="I831" s="146" t="s">
        <v>1315</v>
      </c>
      <c r="J831" s="146" t="s">
        <v>1825</v>
      </c>
      <c r="K831" s="544"/>
      <c r="L831" s="544">
        <v>5.0500000000000002E-4</v>
      </c>
      <c r="M831" s="544">
        <v>5.0500000000000002E-4</v>
      </c>
      <c r="N831" s="544">
        <v>5.0500000000000002E-4</v>
      </c>
      <c r="O831" s="544">
        <v>5.0500000000000002E-4</v>
      </c>
      <c r="P831" s="544">
        <v>5.0500000000000002E-4</v>
      </c>
      <c r="R831" s="543" t="str">
        <f t="shared" si="37"/>
        <v>A0465:(株)テラス(旧：(株)ネオ・コーポレーション)</v>
      </c>
      <c r="S831" s="544">
        <f t="shared" si="38"/>
        <v>5.0500000000000002E-4</v>
      </c>
    </row>
    <row r="832" spans="2:19">
      <c r="B832" s="146"/>
      <c r="C832" s="146"/>
      <c r="D832" s="543" t="str">
        <f t="shared" si="36"/>
        <v/>
      </c>
      <c r="I832" s="146" t="s">
        <v>1316</v>
      </c>
      <c r="J832" s="146" t="s">
        <v>1826</v>
      </c>
      <c r="K832" s="544"/>
      <c r="L832" s="544">
        <v>7.0899999999999999E-4</v>
      </c>
      <c r="M832" s="544">
        <v>7.0899999999999999E-4</v>
      </c>
      <c r="N832" s="544">
        <v>7.0899999999999999E-4</v>
      </c>
      <c r="O832" s="544">
        <v>7.0899999999999999E-4</v>
      </c>
      <c r="P832" s="544">
        <v>7.0899999999999999E-4</v>
      </c>
      <c r="R832" s="543" t="str">
        <f t="shared" si="37"/>
        <v>A0467:つばさでんき(株)(旧：(株)アルファライズ)</v>
      </c>
      <c r="S832" s="544">
        <f t="shared" si="38"/>
        <v>7.0899999999999999E-4</v>
      </c>
    </row>
    <row r="833" spans="2:19">
      <c r="B833" s="146"/>
      <c r="C833" s="146"/>
      <c r="D833" s="543" t="str">
        <f t="shared" si="36"/>
        <v/>
      </c>
      <c r="I833" s="146" t="s">
        <v>1317</v>
      </c>
      <c r="J833" s="146" t="s">
        <v>1827</v>
      </c>
      <c r="K833" s="544"/>
      <c r="L833" s="544">
        <v>5.8699999999999996E-4</v>
      </c>
      <c r="M833" s="544">
        <v>5.8699999999999996E-4</v>
      </c>
      <c r="N833" s="544">
        <v>5.8699999999999996E-4</v>
      </c>
      <c r="O833" s="544">
        <v>5.8699999999999996E-4</v>
      </c>
      <c r="P833" s="544">
        <v>5.8699999999999996E-4</v>
      </c>
      <c r="R833" s="543" t="str">
        <f t="shared" si="37"/>
        <v>A0468:おおすみ半島スマートエネルギー(株)</v>
      </c>
      <c r="S833" s="544">
        <f t="shared" si="38"/>
        <v>5.8699999999999996E-4</v>
      </c>
    </row>
    <row r="834" spans="2:19">
      <c r="B834" s="146"/>
      <c r="C834" s="146"/>
      <c r="D834" s="543" t="str">
        <f t="shared" si="36"/>
        <v/>
      </c>
      <c r="I834" s="146" t="s">
        <v>1318</v>
      </c>
      <c r="J834" s="146" t="s">
        <v>1828</v>
      </c>
      <c r="K834" s="544"/>
      <c r="L834" s="544">
        <v>6.5600000000000001E-4</v>
      </c>
      <c r="M834" s="544">
        <v>6.5600000000000001E-4</v>
      </c>
      <c r="N834" s="544">
        <v>6.5600000000000001E-4</v>
      </c>
      <c r="O834" s="544">
        <v>6.5600000000000001E-4</v>
      </c>
      <c r="P834" s="544">
        <v>6.5600000000000001E-4</v>
      </c>
      <c r="R834" s="543" t="str">
        <f t="shared" si="37"/>
        <v>A0470:おきなわコープエナジー(株)</v>
      </c>
      <c r="S834" s="544">
        <f t="shared" si="38"/>
        <v>6.5600000000000001E-4</v>
      </c>
    </row>
    <row r="835" spans="2:19">
      <c r="B835" s="146"/>
      <c r="C835" s="146"/>
      <c r="D835" s="543" t="str">
        <f t="shared" si="36"/>
        <v/>
      </c>
      <c r="I835" s="146" t="s">
        <v>1319</v>
      </c>
      <c r="J835" s="146" t="s">
        <v>1829</v>
      </c>
      <c r="K835" s="544" t="s">
        <v>710</v>
      </c>
      <c r="L835" s="544">
        <v>0</v>
      </c>
      <c r="M835" s="544">
        <v>0</v>
      </c>
      <c r="N835" s="544">
        <v>0</v>
      </c>
      <c r="O835" s="544">
        <v>0</v>
      </c>
      <c r="P835" s="544">
        <v>0</v>
      </c>
      <c r="R835" s="543" t="str">
        <f t="shared" si="37"/>
        <v>A0471:久慈地域エネルギー(株)メニューA</v>
      </c>
      <c r="S835" s="544">
        <f t="shared" si="38"/>
        <v>0</v>
      </c>
    </row>
    <row r="836" spans="2:19">
      <c r="B836" s="146"/>
      <c r="C836" s="146"/>
      <c r="D836" s="543" t="str">
        <f t="shared" si="36"/>
        <v/>
      </c>
      <c r="I836" s="146" t="s">
        <v>1319</v>
      </c>
      <c r="J836" s="146" t="s">
        <v>1829</v>
      </c>
      <c r="K836" s="544" t="s">
        <v>787</v>
      </c>
      <c r="L836" s="544">
        <v>4.0700000000000003E-4</v>
      </c>
      <c r="M836" s="544">
        <v>4.0700000000000003E-4</v>
      </c>
      <c r="N836" s="544">
        <v>4.0700000000000003E-4</v>
      </c>
      <c r="O836" s="544">
        <v>4.0700000000000003E-4</v>
      </c>
      <c r="P836" s="544">
        <v>4.0700000000000003E-4</v>
      </c>
      <c r="R836" s="543" t="str">
        <f t="shared" si="37"/>
        <v>A0471:久慈地域エネルギー(株)メニューB</v>
      </c>
      <c r="S836" s="544">
        <f t="shared" si="38"/>
        <v>4.0700000000000003E-4</v>
      </c>
    </row>
    <row r="837" spans="2:19">
      <c r="B837" s="146"/>
      <c r="C837" s="146"/>
      <c r="D837" s="543" t="str">
        <f t="shared" si="36"/>
        <v/>
      </c>
      <c r="I837" s="146" t="s">
        <v>1319</v>
      </c>
      <c r="J837" s="146" t="s">
        <v>1829</v>
      </c>
      <c r="K837" s="544" t="s">
        <v>2058</v>
      </c>
      <c r="L837" s="544">
        <v>3.1399999999999999E-4</v>
      </c>
      <c r="M837" s="544">
        <v>3.1399999999999999E-4</v>
      </c>
      <c r="N837" s="544">
        <v>3.1399999999999999E-4</v>
      </c>
      <c r="O837" s="544">
        <v>3.1399999999999999E-4</v>
      </c>
      <c r="P837" s="544">
        <v>3.1399999999999999E-4</v>
      </c>
      <c r="R837" s="543" t="str">
        <f t="shared" si="37"/>
        <v>A0471:久慈地域エネルギー(株)(参考値)事業者全体</v>
      </c>
      <c r="S837" s="544">
        <f t="shared" si="38"/>
        <v>3.1399999999999999E-4</v>
      </c>
    </row>
    <row r="838" spans="2:19">
      <c r="B838" s="146"/>
      <c r="C838" s="146"/>
      <c r="D838" s="543" t="str">
        <f t="shared" si="36"/>
        <v/>
      </c>
      <c r="I838" s="146" t="s">
        <v>1320</v>
      </c>
      <c r="J838" s="146" t="s">
        <v>1830</v>
      </c>
      <c r="K838" s="544"/>
      <c r="L838" s="544">
        <v>5.9000000000000003E-4</v>
      </c>
      <c r="M838" s="544">
        <v>5.9000000000000003E-4</v>
      </c>
      <c r="N838" s="544">
        <v>5.9000000000000003E-4</v>
      </c>
      <c r="O838" s="544">
        <v>5.9000000000000003E-4</v>
      </c>
      <c r="P838" s="544">
        <v>5.9000000000000003E-4</v>
      </c>
      <c r="R838" s="543" t="str">
        <f t="shared" si="37"/>
        <v>A0472:弘前ガス(株)</v>
      </c>
      <c r="S838" s="544">
        <f t="shared" si="38"/>
        <v>5.9000000000000003E-4</v>
      </c>
    </row>
    <row r="839" spans="2:19">
      <c r="B839" s="146"/>
      <c r="C839" s="146"/>
      <c r="D839" s="543" t="str">
        <f t="shared" si="36"/>
        <v/>
      </c>
      <c r="I839" s="146" t="s">
        <v>1321</v>
      </c>
      <c r="J839" s="146" t="s">
        <v>1831</v>
      </c>
      <c r="K839" s="544" t="s">
        <v>710</v>
      </c>
      <c r="L839" s="544">
        <v>0</v>
      </c>
      <c r="M839" s="544">
        <v>0</v>
      </c>
      <c r="N839" s="544">
        <v>0</v>
      </c>
      <c r="O839" s="544">
        <v>0</v>
      </c>
      <c r="P839" s="544">
        <v>0</v>
      </c>
      <c r="R839" s="543" t="str">
        <f t="shared" si="37"/>
        <v>A0473:(株)フォーバルテレコムメニューA</v>
      </c>
      <c r="S839" s="544">
        <f t="shared" si="38"/>
        <v>0</v>
      </c>
    </row>
    <row r="840" spans="2:19">
      <c r="B840" s="146"/>
      <c r="C840" s="146"/>
      <c r="D840" s="543" t="str">
        <f t="shared" si="36"/>
        <v/>
      </c>
      <c r="I840" s="146" t="s">
        <v>1321</v>
      </c>
      <c r="J840" s="146" t="s">
        <v>1831</v>
      </c>
      <c r="K840" s="544" t="s">
        <v>787</v>
      </c>
      <c r="L840" s="544">
        <v>4.7199999999999998E-4</v>
      </c>
      <c r="M840" s="544">
        <v>4.7199999999999998E-4</v>
      </c>
      <c r="N840" s="544">
        <v>4.7199999999999998E-4</v>
      </c>
      <c r="O840" s="544">
        <v>4.7199999999999998E-4</v>
      </c>
      <c r="P840" s="544">
        <v>4.7199999999999998E-4</v>
      </c>
      <c r="R840" s="543" t="str">
        <f t="shared" si="37"/>
        <v>A0473:(株)フォーバルテレコムメニューB</v>
      </c>
      <c r="S840" s="544">
        <f t="shared" si="38"/>
        <v>4.7199999999999998E-4</v>
      </c>
    </row>
    <row r="841" spans="2:19">
      <c r="B841" s="146"/>
      <c r="C841" s="146"/>
      <c r="D841" s="543" t="str">
        <f t="shared" si="36"/>
        <v/>
      </c>
      <c r="I841" s="146" t="s">
        <v>1321</v>
      </c>
      <c r="J841" s="146" t="s">
        <v>1831</v>
      </c>
      <c r="K841" s="544" t="s">
        <v>2058</v>
      </c>
      <c r="L841" s="544">
        <v>4.66E-4</v>
      </c>
      <c r="M841" s="544">
        <v>4.66E-4</v>
      </c>
      <c r="N841" s="544">
        <v>4.66E-4</v>
      </c>
      <c r="O841" s="544">
        <v>4.66E-4</v>
      </c>
      <c r="P841" s="544">
        <v>4.66E-4</v>
      </c>
      <c r="R841" s="543" t="str">
        <f t="shared" si="37"/>
        <v>A0473:(株)フォーバルテレコム(参考値)事業者全体</v>
      </c>
      <c r="S841" s="544">
        <f t="shared" si="38"/>
        <v>4.66E-4</v>
      </c>
    </row>
    <row r="842" spans="2:19">
      <c r="B842" s="146"/>
      <c r="C842" s="146"/>
      <c r="D842" s="543" t="str">
        <f t="shared" ref="D842:D905" si="39">IF(B842="","",B842&amp;":"&amp;C842)</f>
        <v/>
      </c>
      <c r="I842" s="146" t="s">
        <v>1322</v>
      </c>
      <c r="J842" s="146" t="s">
        <v>1832</v>
      </c>
      <c r="K842" s="544"/>
      <c r="L842" s="544">
        <v>3.3399999999999999E-4</v>
      </c>
      <c r="M842" s="544">
        <v>3.3399999999999999E-4</v>
      </c>
      <c r="N842" s="544">
        <v>3.3399999999999999E-4</v>
      </c>
      <c r="O842" s="544">
        <v>3.3399999999999999E-4</v>
      </c>
      <c r="P842" s="544">
        <v>3.3399999999999999E-4</v>
      </c>
      <c r="R842" s="543" t="str">
        <f t="shared" ref="R842:R905" si="40">I842&amp;":"&amp;J842&amp;K842</f>
        <v>A0476:(株)ストエネ</v>
      </c>
      <c r="S842" s="544">
        <f t="shared" ref="S842:S905" si="41">HLOOKUP($S$8,$L$8:$P$2000,ROW()-7,FALSE)</f>
        <v>3.3399999999999999E-4</v>
      </c>
    </row>
    <row r="843" spans="2:19">
      <c r="B843" s="146"/>
      <c r="C843" s="146"/>
      <c r="D843" s="543" t="str">
        <f t="shared" si="39"/>
        <v/>
      </c>
      <c r="I843" s="146" t="s">
        <v>1323</v>
      </c>
      <c r="J843" s="146" t="s">
        <v>1833</v>
      </c>
      <c r="K843" s="544"/>
      <c r="L843" s="544">
        <v>5.8600000000000004E-4</v>
      </c>
      <c r="M843" s="544">
        <v>5.8600000000000004E-4</v>
      </c>
      <c r="N843" s="544">
        <v>5.8600000000000004E-4</v>
      </c>
      <c r="O843" s="544">
        <v>5.8600000000000004E-4</v>
      </c>
      <c r="P843" s="544">
        <v>5.8600000000000004E-4</v>
      </c>
      <c r="R843" s="543" t="str">
        <f t="shared" si="40"/>
        <v>A0477:くるめエネルギー(株)</v>
      </c>
      <c r="S843" s="544">
        <f t="shared" si="41"/>
        <v>5.8600000000000004E-4</v>
      </c>
    </row>
    <row r="844" spans="2:19">
      <c r="B844" s="146"/>
      <c r="C844" s="146"/>
      <c r="D844" s="543" t="str">
        <f t="shared" si="39"/>
        <v/>
      </c>
      <c r="I844" s="146" t="s">
        <v>1324</v>
      </c>
      <c r="J844" s="146" t="s">
        <v>1834</v>
      </c>
      <c r="K844" s="544"/>
      <c r="L844" s="544">
        <v>2.9300000000000002E-4</v>
      </c>
      <c r="M844" s="544">
        <v>2.9300000000000002E-4</v>
      </c>
      <c r="N844" s="544">
        <v>2.9300000000000002E-4</v>
      </c>
      <c r="O844" s="544">
        <v>2.9300000000000002E-4</v>
      </c>
      <c r="P844" s="544">
        <v>2.9300000000000002E-4</v>
      </c>
      <c r="R844" s="543" t="str">
        <f t="shared" si="40"/>
        <v>A0480:松阪新電力(株)</v>
      </c>
      <c r="S844" s="544">
        <f t="shared" si="41"/>
        <v>2.9300000000000002E-4</v>
      </c>
    </row>
    <row r="845" spans="2:19">
      <c r="B845" s="146"/>
      <c r="C845" s="146"/>
      <c r="D845" s="543" t="str">
        <f t="shared" si="39"/>
        <v/>
      </c>
      <c r="I845" s="146" t="s">
        <v>1325</v>
      </c>
      <c r="J845" s="146" t="s">
        <v>1835</v>
      </c>
      <c r="K845" s="544" t="s">
        <v>710</v>
      </c>
      <c r="L845" s="544">
        <v>0</v>
      </c>
      <c r="M845" s="544">
        <v>0</v>
      </c>
      <c r="N845" s="544">
        <v>0</v>
      </c>
      <c r="O845" s="544">
        <v>0</v>
      </c>
      <c r="P845" s="544">
        <v>0</v>
      </c>
      <c r="R845" s="543" t="str">
        <f t="shared" si="40"/>
        <v>A0481:ヒューリックプロパティソリューション(株)メニューA</v>
      </c>
      <c r="S845" s="544">
        <f t="shared" si="41"/>
        <v>0</v>
      </c>
    </row>
    <row r="846" spans="2:19">
      <c r="B846" s="146"/>
      <c r="C846" s="146"/>
      <c r="D846" s="543" t="str">
        <f t="shared" si="39"/>
        <v/>
      </c>
      <c r="I846" s="146" t="s">
        <v>1325</v>
      </c>
      <c r="J846" s="146" t="s">
        <v>1835</v>
      </c>
      <c r="K846" s="544" t="s">
        <v>787</v>
      </c>
      <c r="L846" s="544">
        <v>4.6000000000000001E-4</v>
      </c>
      <c r="M846" s="544">
        <v>4.6000000000000001E-4</v>
      </c>
      <c r="N846" s="544">
        <v>4.6000000000000001E-4</v>
      </c>
      <c r="O846" s="544">
        <v>4.6000000000000001E-4</v>
      </c>
      <c r="P846" s="544">
        <v>4.6000000000000001E-4</v>
      </c>
      <c r="R846" s="543" t="str">
        <f t="shared" si="40"/>
        <v>A0481:ヒューリックプロパティソリューション(株)メニューB</v>
      </c>
      <c r="S846" s="544">
        <f t="shared" si="41"/>
        <v>4.6000000000000001E-4</v>
      </c>
    </row>
    <row r="847" spans="2:19">
      <c r="B847" s="146"/>
      <c r="C847" s="146"/>
      <c r="D847" s="543" t="str">
        <f t="shared" si="39"/>
        <v/>
      </c>
      <c r="I847" s="146" t="s">
        <v>1325</v>
      </c>
      <c r="J847" s="146" t="s">
        <v>1835</v>
      </c>
      <c r="K847" s="544" t="s">
        <v>2058</v>
      </c>
      <c r="L847" s="544">
        <v>3.1599999999999998E-4</v>
      </c>
      <c r="M847" s="544">
        <v>3.1599999999999998E-4</v>
      </c>
      <c r="N847" s="544">
        <v>3.1599999999999998E-4</v>
      </c>
      <c r="O847" s="544">
        <v>3.1599999999999998E-4</v>
      </c>
      <c r="P847" s="544">
        <v>3.1599999999999998E-4</v>
      </c>
      <c r="R847" s="543" t="str">
        <f t="shared" si="40"/>
        <v>A0481:ヒューリックプロパティソリューション(株)(参考値)事業者全体</v>
      </c>
      <c r="S847" s="544">
        <f t="shared" si="41"/>
        <v>3.1599999999999998E-4</v>
      </c>
    </row>
    <row r="848" spans="2:19">
      <c r="B848" s="146"/>
      <c r="C848" s="146"/>
      <c r="D848" s="543" t="str">
        <f t="shared" si="39"/>
        <v/>
      </c>
      <c r="I848" s="146" t="s">
        <v>1326</v>
      </c>
      <c r="J848" s="146" t="s">
        <v>1836</v>
      </c>
      <c r="K848" s="544"/>
      <c r="L848" s="544">
        <v>4.9200000000000003E-4</v>
      </c>
      <c r="M848" s="544">
        <v>4.9200000000000003E-4</v>
      </c>
      <c r="N848" s="544">
        <v>4.9200000000000003E-4</v>
      </c>
      <c r="O848" s="544">
        <v>4.9200000000000003E-4</v>
      </c>
      <c r="P848" s="544">
        <v>4.9200000000000003E-4</v>
      </c>
      <c r="R848" s="543" t="str">
        <f t="shared" si="40"/>
        <v>A0482:宮崎電力(株)</v>
      </c>
      <c r="S848" s="544">
        <f t="shared" si="41"/>
        <v>4.9200000000000003E-4</v>
      </c>
    </row>
    <row r="849" spans="2:19">
      <c r="B849" s="146"/>
      <c r="C849" s="146"/>
      <c r="D849" s="543" t="str">
        <f t="shared" si="39"/>
        <v/>
      </c>
      <c r="I849" s="146" t="s">
        <v>1327</v>
      </c>
      <c r="J849" s="146" t="s">
        <v>1837</v>
      </c>
      <c r="K849" s="544" t="s">
        <v>710</v>
      </c>
      <c r="L849" s="544">
        <v>0</v>
      </c>
      <c r="M849" s="544">
        <v>0</v>
      </c>
      <c r="N849" s="544">
        <v>0</v>
      </c>
      <c r="O849" s="544">
        <v>0</v>
      </c>
      <c r="P849" s="544">
        <v>0</v>
      </c>
      <c r="R849" s="543" t="str">
        <f t="shared" si="40"/>
        <v>A0490:(株)CDエナジーダイレクトメニューA</v>
      </c>
      <c r="S849" s="544">
        <f t="shared" si="41"/>
        <v>0</v>
      </c>
    </row>
    <row r="850" spans="2:19">
      <c r="B850" s="146"/>
      <c r="C850" s="146"/>
      <c r="D850" s="543" t="str">
        <f t="shared" si="39"/>
        <v/>
      </c>
      <c r="I850" s="146" t="s">
        <v>1327</v>
      </c>
      <c r="J850" s="146" t="s">
        <v>1837</v>
      </c>
      <c r="K850" s="544" t="s">
        <v>787</v>
      </c>
      <c r="L850" s="544">
        <v>4.6500000000000003E-4</v>
      </c>
      <c r="M850" s="544">
        <v>4.6500000000000003E-4</v>
      </c>
      <c r="N850" s="544">
        <v>4.6500000000000003E-4</v>
      </c>
      <c r="O850" s="544">
        <v>4.6500000000000003E-4</v>
      </c>
      <c r="P850" s="544">
        <v>4.6500000000000003E-4</v>
      </c>
      <c r="R850" s="543" t="str">
        <f t="shared" si="40"/>
        <v>A0490:(株)CDエナジーダイレクトメニューB</v>
      </c>
      <c r="S850" s="544">
        <f t="shared" si="41"/>
        <v>4.6500000000000003E-4</v>
      </c>
    </row>
    <row r="851" spans="2:19">
      <c r="B851" s="146"/>
      <c r="C851" s="146"/>
      <c r="D851" s="543" t="str">
        <f t="shared" si="39"/>
        <v/>
      </c>
      <c r="I851" s="146" t="s">
        <v>1327</v>
      </c>
      <c r="J851" s="146" t="s">
        <v>1837</v>
      </c>
      <c r="K851" s="544" t="s">
        <v>2058</v>
      </c>
      <c r="L851" s="544">
        <v>4.28E-4</v>
      </c>
      <c r="M851" s="544">
        <v>4.28E-4</v>
      </c>
      <c r="N851" s="544">
        <v>4.28E-4</v>
      </c>
      <c r="O851" s="544">
        <v>4.28E-4</v>
      </c>
      <c r="P851" s="544">
        <v>4.28E-4</v>
      </c>
      <c r="R851" s="543" t="str">
        <f t="shared" si="40"/>
        <v>A0490:(株)CDエナジーダイレクト(参考値)事業者全体</v>
      </c>
      <c r="S851" s="544">
        <f t="shared" si="41"/>
        <v>4.28E-4</v>
      </c>
    </row>
    <row r="852" spans="2:19">
      <c r="B852" s="146"/>
      <c r="C852" s="146"/>
      <c r="D852" s="543" t="str">
        <f t="shared" si="39"/>
        <v/>
      </c>
      <c r="I852" s="146" t="s">
        <v>1328</v>
      </c>
      <c r="J852" s="146" t="s">
        <v>1838</v>
      </c>
      <c r="K852" s="544" t="s">
        <v>710</v>
      </c>
      <c r="L852" s="544">
        <v>0</v>
      </c>
      <c r="M852" s="544">
        <v>0</v>
      </c>
      <c r="N852" s="544">
        <v>0</v>
      </c>
      <c r="O852" s="544">
        <v>0</v>
      </c>
      <c r="P852" s="544">
        <v>0</v>
      </c>
      <c r="R852" s="543" t="str">
        <f t="shared" si="40"/>
        <v>A0491:Q.ENESTでんき(株)メニューA</v>
      </c>
      <c r="S852" s="544">
        <f t="shared" si="41"/>
        <v>0</v>
      </c>
    </row>
    <row r="853" spans="2:19">
      <c r="B853" s="146"/>
      <c r="C853" s="146"/>
      <c r="D853" s="543" t="str">
        <f t="shared" si="39"/>
        <v/>
      </c>
      <c r="I853" s="146" t="s">
        <v>1328</v>
      </c>
      <c r="J853" s="146" t="s">
        <v>1838</v>
      </c>
      <c r="K853" s="544" t="s">
        <v>787</v>
      </c>
      <c r="L853" s="544">
        <v>3.19E-4</v>
      </c>
      <c r="M853" s="544">
        <v>3.19E-4</v>
      </c>
      <c r="N853" s="544">
        <v>3.19E-4</v>
      </c>
      <c r="O853" s="544">
        <v>3.19E-4</v>
      </c>
      <c r="P853" s="544">
        <v>3.19E-4</v>
      </c>
      <c r="R853" s="543" t="str">
        <f t="shared" si="40"/>
        <v>A0491:Q.ENESTでんき(株)メニューB</v>
      </c>
      <c r="S853" s="544">
        <f t="shared" si="41"/>
        <v>3.19E-4</v>
      </c>
    </row>
    <row r="854" spans="2:19">
      <c r="B854" s="146"/>
      <c r="C854" s="146"/>
      <c r="D854" s="543" t="str">
        <f t="shared" si="39"/>
        <v/>
      </c>
      <c r="I854" s="146" t="s">
        <v>1328</v>
      </c>
      <c r="J854" s="146" t="s">
        <v>1838</v>
      </c>
      <c r="K854" s="544" t="s">
        <v>788</v>
      </c>
      <c r="L854" s="544">
        <v>4.95E-4</v>
      </c>
      <c r="M854" s="544">
        <v>4.95E-4</v>
      </c>
      <c r="N854" s="544">
        <v>4.95E-4</v>
      </c>
      <c r="O854" s="544">
        <v>4.95E-4</v>
      </c>
      <c r="P854" s="544">
        <v>4.95E-4</v>
      </c>
      <c r="R854" s="543" t="str">
        <f t="shared" si="40"/>
        <v>A0491:Q.ENESTでんき(株)メニューC</v>
      </c>
      <c r="S854" s="544">
        <f t="shared" si="41"/>
        <v>4.95E-4</v>
      </c>
    </row>
    <row r="855" spans="2:19">
      <c r="B855" s="146"/>
      <c r="C855" s="146"/>
      <c r="D855" s="543" t="str">
        <f t="shared" si="39"/>
        <v/>
      </c>
      <c r="I855" s="146" t="s">
        <v>1328</v>
      </c>
      <c r="J855" s="146" t="s">
        <v>1838</v>
      </c>
      <c r="K855" s="544" t="s">
        <v>2058</v>
      </c>
      <c r="L855" s="544">
        <v>3.2600000000000001E-4</v>
      </c>
      <c r="M855" s="544">
        <v>3.2600000000000001E-4</v>
      </c>
      <c r="N855" s="544">
        <v>3.2600000000000001E-4</v>
      </c>
      <c r="O855" s="544">
        <v>3.2600000000000001E-4</v>
      </c>
      <c r="P855" s="544">
        <v>3.2600000000000001E-4</v>
      </c>
      <c r="R855" s="543" t="str">
        <f t="shared" si="40"/>
        <v>A0491:Q.ENESTでんき(株)(参考値)事業者全体</v>
      </c>
      <c r="S855" s="544">
        <f t="shared" si="41"/>
        <v>3.2600000000000001E-4</v>
      </c>
    </row>
    <row r="856" spans="2:19">
      <c r="B856" s="146"/>
      <c r="C856" s="146"/>
      <c r="D856" s="543" t="str">
        <f t="shared" si="39"/>
        <v/>
      </c>
      <c r="I856" s="146" t="s">
        <v>1329</v>
      </c>
      <c r="J856" s="146" t="s">
        <v>1839</v>
      </c>
      <c r="K856" s="544" t="s">
        <v>710</v>
      </c>
      <c r="L856" s="544">
        <v>0</v>
      </c>
      <c r="M856" s="544">
        <v>0</v>
      </c>
      <c r="N856" s="544">
        <v>0</v>
      </c>
      <c r="O856" s="544">
        <v>0</v>
      </c>
      <c r="P856" s="544">
        <v>0</v>
      </c>
      <c r="R856" s="543" t="str">
        <f t="shared" si="40"/>
        <v>A0493:(株)ぶんごおおのエナジーメニューA</v>
      </c>
      <c r="S856" s="544">
        <f t="shared" si="41"/>
        <v>0</v>
      </c>
    </row>
    <row r="857" spans="2:19">
      <c r="B857" s="146"/>
      <c r="C857" s="146"/>
      <c r="D857" s="543" t="str">
        <f t="shared" si="39"/>
        <v/>
      </c>
      <c r="I857" s="146" t="s">
        <v>1329</v>
      </c>
      <c r="J857" s="146" t="s">
        <v>1839</v>
      </c>
      <c r="K857" s="544" t="s">
        <v>787</v>
      </c>
      <c r="L857" s="544">
        <v>3.8499999999999998E-4</v>
      </c>
      <c r="M857" s="544">
        <v>3.8499999999999998E-4</v>
      </c>
      <c r="N857" s="544">
        <v>3.8499999999999998E-4</v>
      </c>
      <c r="O857" s="544">
        <v>3.8499999999999998E-4</v>
      </c>
      <c r="P857" s="544">
        <v>3.8499999999999998E-4</v>
      </c>
      <c r="R857" s="543" t="str">
        <f t="shared" si="40"/>
        <v>A0493:(株)ぶんごおおのエナジーメニューB</v>
      </c>
      <c r="S857" s="544">
        <f t="shared" si="41"/>
        <v>3.8499999999999998E-4</v>
      </c>
    </row>
    <row r="858" spans="2:19">
      <c r="B858" s="146"/>
      <c r="C858" s="146"/>
      <c r="D858" s="543" t="str">
        <f t="shared" si="39"/>
        <v/>
      </c>
      <c r="I858" s="146" t="s">
        <v>1329</v>
      </c>
      <c r="J858" s="146" t="s">
        <v>1839</v>
      </c>
      <c r="K858" s="544" t="s">
        <v>2058</v>
      </c>
      <c r="L858" s="544">
        <v>3.8200000000000002E-4</v>
      </c>
      <c r="M858" s="544">
        <v>3.8200000000000002E-4</v>
      </c>
      <c r="N858" s="544">
        <v>3.8200000000000002E-4</v>
      </c>
      <c r="O858" s="544">
        <v>3.8200000000000002E-4</v>
      </c>
      <c r="P858" s="544">
        <v>3.8200000000000002E-4</v>
      </c>
      <c r="R858" s="543" t="str">
        <f t="shared" si="40"/>
        <v>A0493:(株)ぶんごおおのエナジー(参考値)事業者全体</v>
      </c>
      <c r="S858" s="544">
        <f t="shared" si="41"/>
        <v>3.8200000000000002E-4</v>
      </c>
    </row>
    <row r="859" spans="2:19">
      <c r="B859" s="146"/>
      <c r="C859" s="146"/>
      <c r="D859" s="543" t="str">
        <f t="shared" si="39"/>
        <v/>
      </c>
      <c r="I859" s="146" t="s">
        <v>1330</v>
      </c>
      <c r="J859" s="146" t="s">
        <v>1840</v>
      </c>
      <c r="K859" s="544"/>
      <c r="L859" s="544">
        <v>2.5300000000000002E-4</v>
      </c>
      <c r="M859" s="544">
        <v>2.5300000000000002E-4</v>
      </c>
      <c r="N859" s="544">
        <v>2.5300000000000002E-4</v>
      </c>
      <c r="O859" s="544">
        <v>2.5300000000000002E-4</v>
      </c>
      <c r="P859" s="544">
        <v>2.5300000000000002E-4</v>
      </c>
      <c r="R859" s="543" t="str">
        <f t="shared" si="40"/>
        <v>A0494:ヴィジョナリーパワー(株)</v>
      </c>
      <c r="S859" s="544">
        <f t="shared" si="41"/>
        <v>2.5300000000000002E-4</v>
      </c>
    </row>
    <row r="860" spans="2:19">
      <c r="B860" s="146"/>
      <c r="C860" s="146"/>
      <c r="D860" s="543" t="str">
        <f t="shared" si="39"/>
        <v/>
      </c>
      <c r="I860" s="146" t="s">
        <v>1331</v>
      </c>
      <c r="J860" s="146" t="s">
        <v>1841</v>
      </c>
      <c r="K860" s="544"/>
      <c r="L860" s="544">
        <v>6.2299999999999996E-4</v>
      </c>
      <c r="M860" s="544">
        <v>6.2299999999999996E-4</v>
      </c>
      <c r="N860" s="544">
        <v>6.2299999999999996E-4</v>
      </c>
      <c r="O860" s="544">
        <v>6.2299999999999996E-4</v>
      </c>
      <c r="P860" s="544">
        <v>6.2299999999999996E-4</v>
      </c>
      <c r="R860" s="543" t="str">
        <f t="shared" si="40"/>
        <v>A0495:有明エナジー(株)</v>
      </c>
      <c r="S860" s="544">
        <f t="shared" si="41"/>
        <v>6.2299999999999996E-4</v>
      </c>
    </row>
    <row r="861" spans="2:19">
      <c r="B861" s="146"/>
      <c r="C861" s="146"/>
      <c r="D861" s="543" t="str">
        <f t="shared" si="39"/>
        <v/>
      </c>
      <c r="I861" s="146" t="s">
        <v>1332</v>
      </c>
      <c r="J861" s="146" t="s">
        <v>1842</v>
      </c>
      <c r="K861" s="544" t="s">
        <v>710</v>
      </c>
      <c r="L861" s="544">
        <v>0</v>
      </c>
      <c r="M861" s="544">
        <v>0</v>
      </c>
      <c r="N861" s="544">
        <v>0</v>
      </c>
      <c r="O861" s="544">
        <v>0</v>
      </c>
      <c r="P861" s="544">
        <v>0</v>
      </c>
      <c r="R861" s="543" t="str">
        <f t="shared" si="40"/>
        <v>A0499:厚木瓦斯(株)メニューA</v>
      </c>
      <c r="S861" s="544">
        <f t="shared" si="41"/>
        <v>0</v>
      </c>
    </row>
    <row r="862" spans="2:19">
      <c r="B862" s="146"/>
      <c r="C862" s="146"/>
      <c r="D862" s="543" t="str">
        <f t="shared" si="39"/>
        <v/>
      </c>
      <c r="I862" s="146" t="s">
        <v>1332</v>
      </c>
      <c r="J862" s="146" t="s">
        <v>1842</v>
      </c>
      <c r="K862" s="544" t="s">
        <v>787</v>
      </c>
      <c r="L862" s="544">
        <v>4.2000000000000002E-4</v>
      </c>
      <c r="M862" s="544">
        <v>4.2000000000000002E-4</v>
      </c>
      <c r="N862" s="544">
        <v>4.2000000000000002E-4</v>
      </c>
      <c r="O862" s="544">
        <v>4.2000000000000002E-4</v>
      </c>
      <c r="P862" s="544">
        <v>4.2000000000000002E-4</v>
      </c>
      <c r="R862" s="543" t="str">
        <f t="shared" si="40"/>
        <v>A0499:厚木瓦斯(株)メニューB</v>
      </c>
      <c r="S862" s="544">
        <f t="shared" si="41"/>
        <v>4.2000000000000002E-4</v>
      </c>
    </row>
    <row r="863" spans="2:19">
      <c r="B863" s="146"/>
      <c r="C863" s="146"/>
      <c r="D863" s="543" t="str">
        <f t="shared" si="39"/>
        <v/>
      </c>
      <c r="I863" s="146" t="s">
        <v>1332</v>
      </c>
      <c r="J863" s="146" t="s">
        <v>1842</v>
      </c>
      <c r="K863" s="544" t="s">
        <v>2058</v>
      </c>
      <c r="L863" s="544">
        <v>4.1399999999999998E-4</v>
      </c>
      <c r="M863" s="544">
        <v>4.1399999999999998E-4</v>
      </c>
      <c r="N863" s="544">
        <v>4.1399999999999998E-4</v>
      </c>
      <c r="O863" s="544">
        <v>4.1399999999999998E-4</v>
      </c>
      <c r="P863" s="544">
        <v>4.1399999999999998E-4</v>
      </c>
      <c r="R863" s="543" t="str">
        <f t="shared" si="40"/>
        <v>A0499:厚木瓦斯(株)(参考値)事業者全体</v>
      </c>
      <c r="S863" s="544">
        <f t="shared" si="41"/>
        <v>4.1399999999999998E-4</v>
      </c>
    </row>
    <row r="864" spans="2:19">
      <c r="B864" s="146"/>
      <c r="C864" s="146"/>
      <c r="D864" s="543" t="str">
        <f t="shared" si="39"/>
        <v/>
      </c>
      <c r="I864" s="146" t="s">
        <v>1333</v>
      </c>
      <c r="J864" s="146" t="s">
        <v>1843</v>
      </c>
      <c r="K864" s="544"/>
      <c r="L864" s="544">
        <v>6.4000000000000005E-4</v>
      </c>
      <c r="M864" s="544">
        <v>6.4000000000000005E-4</v>
      </c>
      <c r="N864" s="544">
        <v>6.4000000000000005E-4</v>
      </c>
      <c r="O864" s="544">
        <v>6.4000000000000005E-4</v>
      </c>
      <c r="P864" s="544">
        <v>6.4000000000000005E-4</v>
      </c>
      <c r="R864" s="543" t="str">
        <f t="shared" si="40"/>
        <v>A0500:(株)エネ・ビジョン</v>
      </c>
      <c r="S864" s="544">
        <f t="shared" si="41"/>
        <v>6.4000000000000005E-4</v>
      </c>
    </row>
    <row r="865" spans="2:19">
      <c r="B865" s="146"/>
      <c r="C865" s="146"/>
      <c r="D865" s="543" t="str">
        <f t="shared" si="39"/>
        <v/>
      </c>
      <c r="I865" s="146" t="s">
        <v>1334</v>
      </c>
      <c r="J865" s="146" t="s">
        <v>1844</v>
      </c>
      <c r="K865" s="544"/>
      <c r="L865" s="544">
        <v>4.1899999999999999E-4</v>
      </c>
      <c r="M865" s="544">
        <v>4.1899999999999999E-4</v>
      </c>
      <c r="N865" s="544">
        <v>4.1899999999999999E-4</v>
      </c>
      <c r="O865" s="544">
        <v>4.1899999999999999E-4</v>
      </c>
      <c r="P865" s="544">
        <v>4.1899999999999999E-4</v>
      </c>
      <c r="R865" s="543" t="str">
        <f t="shared" si="40"/>
        <v>A0501:イワタニ三重(株)</v>
      </c>
      <c r="S865" s="544">
        <f t="shared" si="41"/>
        <v>4.1899999999999999E-4</v>
      </c>
    </row>
    <row r="866" spans="2:19">
      <c r="B866" s="146"/>
      <c r="C866" s="146"/>
      <c r="D866" s="543" t="str">
        <f t="shared" si="39"/>
        <v/>
      </c>
      <c r="I866" s="146" t="s">
        <v>1335</v>
      </c>
      <c r="J866" s="146" t="s">
        <v>1845</v>
      </c>
      <c r="K866" s="544"/>
      <c r="L866" s="544">
        <v>5.4900000000000001E-4</v>
      </c>
      <c r="M866" s="544">
        <v>5.4900000000000001E-4</v>
      </c>
      <c r="N866" s="544">
        <v>5.4900000000000001E-4</v>
      </c>
      <c r="O866" s="544">
        <v>5.4900000000000001E-4</v>
      </c>
      <c r="P866" s="544">
        <v>5.4900000000000001E-4</v>
      </c>
      <c r="R866" s="543" t="str">
        <f t="shared" si="40"/>
        <v>A0502:(株)マルヰ</v>
      </c>
      <c r="S866" s="544">
        <f t="shared" si="41"/>
        <v>5.4900000000000001E-4</v>
      </c>
    </row>
    <row r="867" spans="2:19">
      <c r="B867" s="146"/>
      <c r="C867" s="146"/>
      <c r="D867" s="543" t="str">
        <f t="shared" si="39"/>
        <v/>
      </c>
      <c r="I867" s="146" t="s">
        <v>1336</v>
      </c>
      <c r="J867" s="146" t="s">
        <v>1846</v>
      </c>
      <c r="K867" s="544" t="s">
        <v>710</v>
      </c>
      <c r="L867" s="544">
        <v>0</v>
      </c>
      <c r="M867" s="544">
        <v>0</v>
      </c>
      <c r="N867" s="544">
        <v>0</v>
      </c>
      <c r="O867" s="544">
        <v>0</v>
      </c>
      <c r="P867" s="544">
        <v>0</v>
      </c>
      <c r="R867" s="543" t="str">
        <f t="shared" si="40"/>
        <v>A0503:大多喜ガス(株)メニューA</v>
      </c>
      <c r="S867" s="544">
        <f t="shared" si="41"/>
        <v>0</v>
      </c>
    </row>
    <row r="868" spans="2:19">
      <c r="B868" s="146"/>
      <c r="C868" s="146"/>
      <c r="D868" s="543" t="str">
        <f t="shared" si="39"/>
        <v/>
      </c>
      <c r="I868" s="146" t="s">
        <v>1336</v>
      </c>
      <c r="J868" s="146" t="s">
        <v>1846</v>
      </c>
      <c r="K868" s="544" t="s">
        <v>787</v>
      </c>
      <c r="L868" s="544">
        <v>4.3199999999999998E-4</v>
      </c>
      <c r="M868" s="544">
        <v>4.3199999999999998E-4</v>
      </c>
      <c r="N868" s="544">
        <v>4.3199999999999998E-4</v>
      </c>
      <c r="O868" s="544">
        <v>4.3199999999999998E-4</v>
      </c>
      <c r="P868" s="544">
        <v>4.3199999999999998E-4</v>
      </c>
      <c r="R868" s="543" t="str">
        <f t="shared" si="40"/>
        <v>A0503:大多喜ガス(株)メニューB</v>
      </c>
      <c r="S868" s="544">
        <f t="shared" si="41"/>
        <v>4.3199999999999998E-4</v>
      </c>
    </row>
    <row r="869" spans="2:19">
      <c r="B869" s="146"/>
      <c r="C869" s="146"/>
      <c r="D869" s="543" t="str">
        <f t="shared" si="39"/>
        <v/>
      </c>
      <c r="I869" s="146" t="s">
        <v>1336</v>
      </c>
      <c r="J869" s="146" t="s">
        <v>1846</v>
      </c>
      <c r="K869" s="544" t="s">
        <v>2058</v>
      </c>
      <c r="L869" s="544">
        <v>4.28E-4</v>
      </c>
      <c r="M869" s="544">
        <v>4.28E-4</v>
      </c>
      <c r="N869" s="544">
        <v>4.28E-4</v>
      </c>
      <c r="O869" s="544">
        <v>4.28E-4</v>
      </c>
      <c r="P869" s="544">
        <v>4.28E-4</v>
      </c>
      <c r="R869" s="543" t="str">
        <f t="shared" si="40"/>
        <v>A0503:大多喜ガス(株)(参考値)事業者全体</v>
      </c>
      <c r="S869" s="544">
        <f t="shared" si="41"/>
        <v>4.28E-4</v>
      </c>
    </row>
    <row r="870" spans="2:19">
      <c r="B870" s="146"/>
      <c r="C870" s="146"/>
      <c r="D870" s="543" t="str">
        <f t="shared" si="39"/>
        <v/>
      </c>
      <c r="I870" s="146" t="s">
        <v>1337</v>
      </c>
      <c r="J870" s="146" t="s">
        <v>1847</v>
      </c>
      <c r="K870" s="544" t="s">
        <v>710</v>
      </c>
      <c r="L870" s="544">
        <v>0</v>
      </c>
      <c r="M870" s="544">
        <v>0</v>
      </c>
      <c r="N870" s="544">
        <v>0</v>
      </c>
      <c r="O870" s="544">
        <v>0</v>
      </c>
      <c r="P870" s="544">
        <v>0</v>
      </c>
      <c r="R870" s="543" t="str">
        <f t="shared" si="40"/>
        <v>A0506:鈴与電力(株)メニューA</v>
      </c>
      <c r="S870" s="544">
        <f t="shared" si="41"/>
        <v>0</v>
      </c>
    </row>
    <row r="871" spans="2:19">
      <c r="B871" s="146"/>
      <c r="C871" s="146"/>
      <c r="D871" s="543" t="str">
        <f t="shared" si="39"/>
        <v/>
      </c>
      <c r="I871" s="146" t="s">
        <v>1337</v>
      </c>
      <c r="J871" s="146" t="s">
        <v>1847</v>
      </c>
      <c r="K871" s="544" t="s">
        <v>787</v>
      </c>
      <c r="L871" s="544">
        <v>0</v>
      </c>
      <c r="M871" s="544">
        <v>0</v>
      </c>
      <c r="N871" s="544">
        <v>0</v>
      </c>
      <c r="O871" s="544">
        <v>0</v>
      </c>
      <c r="P871" s="544">
        <v>0</v>
      </c>
      <c r="R871" s="543" t="str">
        <f t="shared" si="40"/>
        <v>A0506:鈴与電力(株)メニューB</v>
      </c>
      <c r="S871" s="544">
        <f t="shared" si="41"/>
        <v>0</v>
      </c>
    </row>
    <row r="872" spans="2:19">
      <c r="B872" s="146"/>
      <c r="C872" s="146"/>
      <c r="D872" s="543" t="str">
        <f t="shared" si="39"/>
        <v/>
      </c>
      <c r="I872" s="146" t="s">
        <v>1337</v>
      </c>
      <c r="J872" s="146" t="s">
        <v>1847</v>
      </c>
      <c r="K872" s="544" t="s">
        <v>788</v>
      </c>
      <c r="L872" s="544">
        <v>0</v>
      </c>
      <c r="M872" s="544">
        <v>0</v>
      </c>
      <c r="N872" s="544">
        <v>0</v>
      </c>
      <c r="O872" s="544">
        <v>0</v>
      </c>
      <c r="P872" s="544">
        <v>0</v>
      </c>
      <c r="R872" s="543" t="str">
        <f t="shared" si="40"/>
        <v>A0506:鈴与電力(株)メニューC</v>
      </c>
      <c r="S872" s="544">
        <f t="shared" si="41"/>
        <v>0</v>
      </c>
    </row>
    <row r="873" spans="2:19">
      <c r="B873" s="146"/>
      <c r="C873" s="146"/>
      <c r="D873" s="543" t="str">
        <f t="shared" si="39"/>
        <v/>
      </c>
      <c r="I873" s="146" t="s">
        <v>1337</v>
      </c>
      <c r="J873" s="146" t="s">
        <v>1847</v>
      </c>
      <c r="K873" s="544" t="s">
        <v>974</v>
      </c>
      <c r="L873" s="544">
        <v>0</v>
      </c>
      <c r="M873" s="544">
        <v>0</v>
      </c>
      <c r="N873" s="544">
        <v>0</v>
      </c>
      <c r="O873" s="544">
        <v>0</v>
      </c>
      <c r="P873" s="544">
        <v>0</v>
      </c>
      <c r="R873" s="543" t="str">
        <f t="shared" si="40"/>
        <v>A0506:鈴与電力(株)メニューD</v>
      </c>
      <c r="S873" s="544">
        <f t="shared" si="41"/>
        <v>0</v>
      </c>
    </row>
    <row r="874" spans="2:19">
      <c r="B874" s="146"/>
      <c r="C874" s="146"/>
      <c r="D874" s="543" t="str">
        <f t="shared" si="39"/>
        <v/>
      </c>
      <c r="I874" s="146" t="s">
        <v>1337</v>
      </c>
      <c r="J874" s="146" t="s">
        <v>1847</v>
      </c>
      <c r="K874" s="544" t="s">
        <v>975</v>
      </c>
      <c r="L874" s="544">
        <v>0</v>
      </c>
      <c r="M874" s="544">
        <v>0</v>
      </c>
      <c r="N874" s="544">
        <v>0</v>
      </c>
      <c r="O874" s="544">
        <v>0</v>
      </c>
      <c r="P874" s="544">
        <v>0</v>
      </c>
      <c r="R874" s="543" t="str">
        <f t="shared" si="40"/>
        <v>A0506:鈴与電力(株)メニューE</v>
      </c>
      <c r="S874" s="544">
        <f t="shared" si="41"/>
        <v>0</v>
      </c>
    </row>
    <row r="875" spans="2:19">
      <c r="B875" s="146"/>
      <c r="C875" s="146"/>
      <c r="D875" s="543" t="str">
        <f t="shared" si="39"/>
        <v/>
      </c>
      <c r="I875" s="146" t="s">
        <v>1337</v>
      </c>
      <c r="J875" s="146" t="s">
        <v>1847</v>
      </c>
      <c r="K875" s="544" t="s">
        <v>2059</v>
      </c>
      <c r="L875" s="544">
        <v>0</v>
      </c>
      <c r="M875" s="544">
        <v>0</v>
      </c>
      <c r="N875" s="544">
        <v>0</v>
      </c>
      <c r="O875" s="544">
        <v>0</v>
      </c>
      <c r="P875" s="544">
        <v>0</v>
      </c>
      <c r="R875" s="543" t="str">
        <f t="shared" si="40"/>
        <v>A0506:鈴与電力(株)メニューF</v>
      </c>
      <c r="S875" s="544">
        <f t="shared" si="41"/>
        <v>0</v>
      </c>
    </row>
    <row r="876" spans="2:19">
      <c r="B876" s="146"/>
      <c r="C876" s="146"/>
      <c r="D876" s="543" t="str">
        <f t="shared" si="39"/>
        <v/>
      </c>
      <c r="I876" s="146" t="s">
        <v>1337</v>
      </c>
      <c r="J876" s="146" t="s">
        <v>1847</v>
      </c>
      <c r="K876" s="544" t="s">
        <v>2060</v>
      </c>
      <c r="L876" s="544">
        <v>5.8799999999999998E-4</v>
      </c>
      <c r="M876" s="544">
        <v>5.8799999999999998E-4</v>
      </c>
      <c r="N876" s="544">
        <v>5.8799999999999998E-4</v>
      </c>
      <c r="O876" s="544">
        <v>5.8799999999999998E-4</v>
      </c>
      <c r="P876" s="544">
        <v>5.8799999999999998E-4</v>
      </c>
      <c r="R876" s="543" t="str">
        <f t="shared" si="40"/>
        <v>A0506:鈴与電力(株)メニューG</v>
      </c>
      <c r="S876" s="544">
        <f t="shared" si="41"/>
        <v>5.8799999999999998E-4</v>
      </c>
    </row>
    <row r="877" spans="2:19">
      <c r="B877" s="146"/>
      <c r="C877" s="146"/>
      <c r="D877" s="543" t="str">
        <f t="shared" si="39"/>
        <v/>
      </c>
      <c r="I877" s="146" t="s">
        <v>1337</v>
      </c>
      <c r="J877" s="146" t="s">
        <v>1847</v>
      </c>
      <c r="K877" s="544" t="s">
        <v>2061</v>
      </c>
      <c r="L877" s="544">
        <v>5.8500000000000002E-4</v>
      </c>
      <c r="M877" s="544">
        <v>5.8500000000000002E-4</v>
      </c>
      <c r="N877" s="544">
        <v>5.8500000000000002E-4</v>
      </c>
      <c r="O877" s="544">
        <v>5.8500000000000002E-4</v>
      </c>
      <c r="P877" s="544">
        <v>5.8500000000000002E-4</v>
      </c>
      <c r="R877" s="543" t="str">
        <f t="shared" si="40"/>
        <v>A0506:鈴与電力(株)メニューH</v>
      </c>
      <c r="S877" s="544">
        <f t="shared" si="41"/>
        <v>5.8500000000000002E-4</v>
      </c>
    </row>
    <row r="878" spans="2:19">
      <c r="B878" s="146"/>
      <c r="C878" s="146"/>
      <c r="D878" s="543" t="str">
        <f t="shared" si="39"/>
        <v/>
      </c>
      <c r="I878" s="146" t="s">
        <v>1337</v>
      </c>
      <c r="J878" s="146" t="s">
        <v>1847</v>
      </c>
      <c r="K878" s="544" t="s">
        <v>2062</v>
      </c>
      <c r="L878" s="544">
        <v>5.8399999999999999E-4</v>
      </c>
      <c r="M878" s="544">
        <v>5.8399999999999999E-4</v>
      </c>
      <c r="N878" s="544">
        <v>5.8399999999999999E-4</v>
      </c>
      <c r="O878" s="544">
        <v>5.8399999999999999E-4</v>
      </c>
      <c r="P878" s="544">
        <v>5.8399999999999999E-4</v>
      </c>
      <c r="R878" s="543" t="str">
        <f t="shared" si="40"/>
        <v>A0506:鈴与電力(株)メニューI</v>
      </c>
      <c r="S878" s="544">
        <f t="shared" si="41"/>
        <v>5.8399999999999999E-4</v>
      </c>
    </row>
    <row r="879" spans="2:19">
      <c r="B879" s="146"/>
      <c r="C879" s="146"/>
      <c r="D879" s="543" t="str">
        <f t="shared" si="39"/>
        <v/>
      </c>
      <c r="I879" s="146" t="s">
        <v>1337</v>
      </c>
      <c r="J879" s="146" t="s">
        <v>1847</v>
      </c>
      <c r="K879" s="544" t="s">
        <v>2063</v>
      </c>
      <c r="L879" s="544">
        <v>5.8E-4</v>
      </c>
      <c r="M879" s="544">
        <v>5.8E-4</v>
      </c>
      <c r="N879" s="544">
        <v>5.8E-4</v>
      </c>
      <c r="O879" s="544">
        <v>5.8E-4</v>
      </c>
      <c r="P879" s="544">
        <v>5.8E-4</v>
      </c>
      <c r="R879" s="543" t="str">
        <f t="shared" si="40"/>
        <v>A0506:鈴与電力(株)メニューJ</v>
      </c>
      <c r="S879" s="544">
        <f t="shared" si="41"/>
        <v>5.8E-4</v>
      </c>
    </row>
    <row r="880" spans="2:19">
      <c r="B880" s="146"/>
      <c r="C880" s="146"/>
      <c r="D880" s="543" t="str">
        <f t="shared" si="39"/>
        <v/>
      </c>
      <c r="I880" s="146" t="s">
        <v>1337</v>
      </c>
      <c r="J880" s="146" t="s">
        <v>1847</v>
      </c>
      <c r="K880" s="544" t="s">
        <v>2064</v>
      </c>
      <c r="L880" s="544">
        <v>0</v>
      </c>
      <c r="M880" s="544">
        <v>0</v>
      </c>
      <c r="N880" s="544">
        <v>0</v>
      </c>
      <c r="O880" s="544">
        <v>0</v>
      </c>
      <c r="P880" s="544">
        <v>0</v>
      </c>
      <c r="R880" s="543" t="str">
        <f t="shared" si="40"/>
        <v>A0506:鈴与電力(株)メニューK</v>
      </c>
      <c r="S880" s="544">
        <f t="shared" si="41"/>
        <v>0</v>
      </c>
    </row>
    <row r="881" spans="2:19">
      <c r="B881" s="146"/>
      <c r="C881" s="146"/>
      <c r="D881" s="543" t="str">
        <f t="shared" si="39"/>
        <v/>
      </c>
      <c r="I881" s="146" t="s">
        <v>1337</v>
      </c>
      <c r="J881" s="146" t="s">
        <v>1847</v>
      </c>
      <c r="K881" s="544" t="s">
        <v>2065</v>
      </c>
      <c r="L881" s="544">
        <v>6.2200000000000005E-4</v>
      </c>
      <c r="M881" s="544">
        <v>6.2200000000000005E-4</v>
      </c>
      <c r="N881" s="544">
        <v>6.2200000000000005E-4</v>
      </c>
      <c r="O881" s="544">
        <v>6.2200000000000005E-4</v>
      </c>
      <c r="P881" s="544">
        <v>6.2200000000000005E-4</v>
      </c>
      <c r="R881" s="543" t="str">
        <f t="shared" si="40"/>
        <v>A0506:鈴与電力(株)メニューL</v>
      </c>
      <c r="S881" s="544">
        <f t="shared" si="41"/>
        <v>6.2200000000000005E-4</v>
      </c>
    </row>
    <row r="882" spans="2:19">
      <c r="B882" s="146"/>
      <c r="C882" s="146"/>
      <c r="D882" s="543" t="str">
        <f t="shared" si="39"/>
        <v/>
      </c>
      <c r="I882" s="146" t="s">
        <v>1337</v>
      </c>
      <c r="J882" s="146" t="s">
        <v>1847</v>
      </c>
      <c r="K882" s="544" t="s">
        <v>2058</v>
      </c>
      <c r="L882" s="544">
        <v>5.2499999999999997E-4</v>
      </c>
      <c r="M882" s="544">
        <v>5.2499999999999997E-4</v>
      </c>
      <c r="N882" s="544">
        <v>5.2499999999999997E-4</v>
      </c>
      <c r="O882" s="544">
        <v>5.2499999999999997E-4</v>
      </c>
      <c r="P882" s="544">
        <v>5.2499999999999997E-4</v>
      </c>
      <c r="R882" s="543" t="str">
        <f t="shared" si="40"/>
        <v>A0506:鈴与電力(株)(参考値)事業者全体</v>
      </c>
      <c r="S882" s="544">
        <f t="shared" si="41"/>
        <v>5.2499999999999997E-4</v>
      </c>
    </row>
    <row r="883" spans="2:19">
      <c r="B883" s="146"/>
      <c r="C883" s="146"/>
      <c r="D883" s="543" t="str">
        <f t="shared" si="39"/>
        <v/>
      </c>
      <c r="I883" s="146" t="s">
        <v>1338</v>
      </c>
      <c r="J883" s="146" t="s">
        <v>1848</v>
      </c>
      <c r="K883" s="544" t="s">
        <v>710</v>
      </c>
      <c r="L883" s="544">
        <v>0</v>
      </c>
      <c r="M883" s="544">
        <v>0</v>
      </c>
      <c r="N883" s="544">
        <v>0</v>
      </c>
      <c r="O883" s="544">
        <v>0</v>
      </c>
      <c r="P883" s="544">
        <v>0</v>
      </c>
      <c r="R883" s="543" t="str">
        <f t="shared" si="40"/>
        <v>A0507:コープ電力(株)メニューA</v>
      </c>
      <c r="S883" s="544">
        <f t="shared" si="41"/>
        <v>0</v>
      </c>
    </row>
    <row r="884" spans="2:19">
      <c r="B884" s="146"/>
      <c r="C884" s="146"/>
      <c r="D884" s="543" t="str">
        <f t="shared" si="39"/>
        <v/>
      </c>
      <c r="I884" s="146" t="s">
        <v>1338</v>
      </c>
      <c r="J884" s="146" t="s">
        <v>1848</v>
      </c>
      <c r="K884" s="544" t="s">
        <v>787</v>
      </c>
      <c r="L884" s="544">
        <v>4.2999999999999999E-4</v>
      </c>
      <c r="M884" s="544">
        <v>4.2999999999999999E-4</v>
      </c>
      <c r="N884" s="544">
        <v>4.2999999999999999E-4</v>
      </c>
      <c r="O884" s="544">
        <v>4.2999999999999999E-4</v>
      </c>
      <c r="P884" s="544">
        <v>4.2999999999999999E-4</v>
      </c>
      <c r="R884" s="543" t="str">
        <f t="shared" si="40"/>
        <v>A0507:コープ電力(株)メニューB</v>
      </c>
      <c r="S884" s="544">
        <f t="shared" si="41"/>
        <v>4.2999999999999999E-4</v>
      </c>
    </row>
    <row r="885" spans="2:19">
      <c r="B885" s="146"/>
      <c r="C885" s="146"/>
      <c r="D885" s="543" t="str">
        <f t="shared" si="39"/>
        <v/>
      </c>
      <c r="I885" s="146" t="s">
        <v>1338</v>
      </c>
      <c r="J885" s="146" t="s">
        <v>1848</v>
      </c>
      <c r="K885" s="544" t="s">
        <v>2058</v>
      </c>
      <c r="L885" s="544">
        <v>4.2000000000000002E-4</v>
      </c>
      <c r="M885" s="544">
        <v>4.2000000000000002E-4</v>
      </c>
      <c r="N885" s="544">
        <v>4.2000000000000002E-4</v>
      </c>
      <c r="O885" s="544">
        <v>4.2000000000000002E-4</v>
      </c>
      <c r="P885" s="544">
        <v>4.2000000000000002E-4</v>
      </c>
      <c r="R885" s="543" t="str">
        <f t="shared" si="40"/>
        <v>A0507:コープ電力(株)(参考値)事業者全体</v>
      </c>
      <c r="S885" s="544">
        <f t="shared" si="41"/>
        <v>4.2000000000000002E-4</v>
      </c>
    </row>
    <row r="886" spans="2:19">
      <c r="B886" s="146"/>
      <c r="C886" s="146"/>
      <c r="D886" s="543" t="str">
        <f t="shared" si="39"/>
        <v/>
      </c>
      <c r="I886" s="146" t="s">
        <v>1339</v>
      </c>
      <c r="J886" s="146" t="s">
        <v>1849</v>
      </c>
      <c r="K886" s="544"/>
      <c r="L886" s="544">
        <v>6.3500000000000004E-4</v>
      </c>
      <c r="M886" s="544">
        <v>6.3500000000000004E-4</v>
      </c>
      <c r="N886" s="544">
        <v>6.3500000000000004E-4</v>
      </c>
      <c r="O886" s="544">
        <v>6.3500000000000004E-4</v>
      </c>
      <c r="P886" s="544">
        <v>6.3500000000000004E-4</v>
      </c>
      <c r="R886" s="543" t="str">
        <f t="shared" si="40"/>
        <v>A0511:亀岡ふるさとエナジー(株)</v>
      </c>
      <c r="S886" s="544">
        <f t="shared" si="41"/>
        <v>6.3500000000000004E-4</v>
      </c>
    </row>
    <row r="887" spans="2:19">
      <c r="B887" s="146"/>
      <c r="C887" s="146"/>
      <c r="D887" s="543" t="str">
        <f t="shared" si="39"/>
        <v/>
      </c>
      <c r="I887" s="146" t="s">
        <v>1340</v>
      </c>
      <c r="J887" s="146" t="s">
        <v>1850</v>
      </c>
      <c r="K887" s="544" t="s">
        <v>710</v>
      </c>
      <c r="L887" s="544">
        <v>4.2400000000000001E-4</v>
      </c>
      <c r="M887" s="544">
        <v>4.2400000000000001E-4</v>
      </c>
      <c r="N887" s="544">
        <v>4.2400000000000001E-4</v>
      </c>
      <c r="O887" s="544">
        <v>4.2400000000000001E-4</v>
      </c>
      <c r="P887" s="544">
        <v>4.2400000000000001E-4</v>
      </c>
      <c r="R887" s="543" t="str">
        <f t="shared" si="40"/>
        <v>A0513:(株)織戸組メニューA</v>
      </c>
      <c r="S887" s="544">
        <f t="shared" si="41"/>
        <v>4.2400000000000001E-4</v>
      </c>
    </row>
    <row r="888" spans="2:19">
      <c r="B888" s="146"/>
      <c r="C888" s="146"/>
      <c r="D888" s="543" t="str">
        <f t="shared" si="39"/>
        <v/>
      </c>
      <c r="I888" s="146" t="s">
        <v>1340</v>
      </c>
      <c r="J888" s="146" t="s">
        <v>1850</v>
      </c>
      <c r="K888" s="544" t="s">
        <v>2058</v>
      </c>
      <c r="L888" s="544">
        <v>4.2400000000000001E-4</v>
      </c>
      <c r="M888" s="544">
        <v>4.2400000000000001E-4</v>
      </c>
      <c r="N888" s="544">
        <v>4.2400000000000001E-4</v>
      </c>
      <c r="O888" s="544">
        <v>4.2400000000000001E-4</v>
      </c>
      <c r="P888" s="544">
        <v>4.2400000000000001E-4</v>
      </c>
      <c r="R888" s="543" t="str">
        <f t="shared" si="40"/>
        <v>A0513:(株)織戸組(参考値)事業者全体</v>
      </c>
      <c r="S888" s="544">
        <f t="shared" si="41"/>
        <v>4.2400000000000001E-4</v>
      </c>
    </row>
    <row r="889" spans="2:19">
      <c r="B889" s="146"/>
      <c r="C889" s="146"/>
      <c r="D889" s="543" t="str">
        <f t="shared" si="39"/>
        <v/>
      </c>
      <c r="I889" s="146" t="s">
        <v>1341</v>
      </c>
      <c r="J889" s="146" t="s">
        <v>1851</v>
      </c>
      <c r="K889" s="544" t="s">
        <v>710</v>
      </c>
      <c r="L889" s="544">
        <v>0</v>
      </c>
      <c r="M889" s="544">
        <v>0</v>
      </c>
      <c r="N889" s="544">
        <v>0</v>
      </c>
      <c r="O889" s="544">
        <v>0</v>
      </c>
      <c r="P889" s="544">
        <v>0</v>
      </c>
      <c r="R889" s="543" t="str">
        <f t="shared" si="40"/>
        <v>A0514:ふかやeパワー(株)メニューA</v>
      </c>
      <c r="S889" s="544">
        <f t="shared" si="41"/>
        <v>0</v>
      </c>
    </row>
    <row r="890" spans="2:19">
      <c r="B890" s="146"/>
      <c r="C890" s="146"/>
      <c r="D890" s="543" t="str">
        <f t="shared" si="39"/>
        <v/>
      </c>
      <c r="I890" s="146" t="s">
        <v>1341</v>
      </c>
      <c r="J890" s="146" t="s">
        <v>1851</v>
      </c>
      <c r="K890" s="544" t="s">
        <v>787</v>
      </c>
      <c r="L890" s="544">
        <v>3.9199999999999999E-4</v>
      </c>
      <c r="M890" s="544">
        <v>3.9199999999999999E-4</v>
      </c>
      <c r="N890" s="544">
        <v>3.9199999999999999E-4</v>
      </c>
      <c r="O890" s="544">
        <v>3.9199999999999999E-4</v>
      </c>
      <c r="P890" s="544">
        <v>3.9199999999999999E-4</v>
      </c>
      <c r="R890" s="543" t="str">
        <f t="shared" si="40"/>
        <v>A0514:ふかやeパワー(株)メニューB</v>
      </c>
      <c r="S890" s="544">
        <f t="shared" si="41"/>
        <v>3.9199999999999999E-4</v>
      </c>
    </row>
    <row r="891" spans="2:19">
      <c r="B891" s="146"/>
      <c r="C891" s="146"/>
      <c r="D891" s="543" t="str">
        <f t="shared" si="39"/>
        <v/>
      </c>
      <c r="I891" s="146" t="s">
        <v>1341</v>
      </c>
      <c r="J891" s="146" t="s">
        <v>1851</v>
      </c>
      <c r="K891" s="544" t="s">
        <v>2058</v>
      </c>
      <c r="L891" s="544">
        <v>3.6299999999999999E-4</v>
      </c>
      <c r="M891" s="544">
        <v>3.6299999999999999E-4</v>
      </c>
      <c r="N891" s="544">
        <v>3.6299999999999999E-4</v>
      </c>
      <c r="O891" s="544">
        <v>3.6299999999999999E-4</v>
      </c>
      <c r="P891" s="544">
        <v>3.6299999999999999E-4</v>
      </c>
      <c r="R891" s="543" t="str">
        <f t="shared" si="40"/>
        <v>A0514:ふかやeパワー(株)(参考値)事業者全体</v>
      </c>
      <c r="S891" s="544">
        <f t="shared" si="41"/>
        <v>3.6299999999999999E-4</v>
      </c>
    </row>
    <row r="892" spans="2:19">
      <c r="B892" s="146"/>
      <c r="C892" s="146"/>
      <c r="D892" s="543" t="str">
        <f t="shared" si="39"/>
        <v/>
      </c>
      <c r="I892" s="146" t="s">
        <v>1342</v>
      </c>
      <c r="J892" s="146" t="s">
        <v>1852</v>
      </c>
      <c r="K892" s="544"/>
      <c r="L892" s="544">
        <v>4.6299999999999998E-4</v>
      </c>
      <c r="M892" s="544">
        <v>4.6299999999999998E-4</v>
      </c>
      <c r="N892" s="544">
        <v>4.6299999999999998E-4</v>
      </c>
      <c r="O892" s="544">
        <v>4.6299999999999998E-4</v>
      </c>
      <c r="P892" s="544">
        <v>4.6299999999999998E-4</v>
      </c>
      <c r="R892" s="543" t="str">
        <f t="shared" si="40"/>
        <v>A0515:(株)Link Life</v>
      </c>
      <c r="S892" s="544">
        <f t="shared" si="41"/>
        <v>4.6299999999999998E-4</v>
      </c>
    </row>
    <row r="893" spans="2:19">
      <c r="B893" s="146"/>
      <c r="C893" s="146"/>
      <c r="D893" s="543" t="str">
        <f t="shared" si="39"/>
        <v/>
      </c>
      <c r="I893" s="146" t="s">
        <v>1343</v>
      </c>
      <c r="J893" s="146" t="s">
        <v>1853</v>
      </c>
      <c r="K893" s="544"/>
      <c r="L893" s="544">
        <v>4.1899999999999999E-4</v>
      </c>
      <c r="M893" s="544">
        <v>4.1899999999999999E-4</v>
      </c>
      <c r="N893" s="544">
        <v>4.1899999999999999E-4</v>
      </c>
      <c r="O893" s="544">
        <v>4.1899999999999999E-4</v>
      </c>
      <c r="P893" s="544">
        <v>4.1899999999999999E-4</v>
      </c>
      <c r="R893" s="543" t="str">
        <f t="shared" si="40"/>
        <v>A0518:(株)グローバルキャスト</v>
      </c>
      <c r="S893" s="544">
        <f t="shared" si="41"/>
        <v>4.1899999999999999E-4</v>
      </c>
    </row>
    <row r="894" spans="2:19">
      <c r="B894" s="146"/>
      <c r="C894" s="146"/>
      <c r="D894" s="543" t="str">
        <f t="shared" si="39"/>
        <v/>
      </c>
      <c r="I894" s="146" t="s">
        <v>1344</v>
      </c>
      <c r="J894" s="146" t="s">
        <v>1854</v>
      </c>
      <c r="K894" s="544" t="s">
        <v>710</v>
      </c>
      <c r="L894" s="544">
        <v>0</v>
      </c>
      <c r="M894" s="544">
        <v>0</v>
      </c>
      <c r="N894" s="544">
        <v>0</v>
      </c>
      <c r="O894" s="544">
        <v>0</v>
      </c>
      <c r="P894" s="544">
        <v>0</v>
      </c>
      <c r="R894" s="543" t="str">
        <f t="shared" si="40"/>
        <v>A0519:日本エネルギー総合システム(株)メニューA</v>
      </c>
      <c r="S894" s="544">
        <f t="shared" si="41"/>
        <v>0</v>
      </c>
    </row>
    <row r="895" spans="2:19">
      <c r="B895" s="146"/>
      <c r="C895" s="146"/>
      <c r="D895" s="543" t="str">
        <f t="shared" si="39"/>
        <v/>
      </c>
      <c r="I895" s="146" t="s">
        <v>1344</v>
      </c>
      <c r="J895" s="146" t="s">
        <v>1854</v>
      </c>
      <c r="K895" s="544" t="s">
        <v>787</v>
      </c>
      <c r="L895" s="544">
        <v>1.6699999999999999E-4</v>
      </c>
      <c r="M895" s="544">
        <v>1.6699999999999999E-4</v>
      </c>
      <c r="N895" s="544">
        <v>1.6699999999999999E-4</v>
      </c>
      <c r="O895" s="544">
        <v>1.6699999999999999E-4</v>
      </c>
      <c r="P895" s="544">
        <v>1.6699999999999999E-4</v>
      </c>
      <c r="R895" s="543" t="str">
        <f t="shared" si="40"/>
        <v>A0519:日本エネルギー総合システム(株)メニューB</v>
      </c>
      <c r="S895" s="544">
        <f t="shared" si="41"/>
        <v>1.6699999999999999E-4</v>
      </c>
    </row>
    <row r="896" spans="2:19">
      <c r="B896" s="146"/>
      <c r="C896" s="146"/>
      <c r="D896" s="543" t="str">
        <f t="shared" si="39"/>
        <v/>
      </c>
      <c r="I896" s="146" t="s">
        <v>1344</v>
      </c>
      <c r="J896" s="146" t="s">
        <v>1854</v>
      </c>
      <c r="K896" s="544" t="s">
        <v>788</v>
      </c>
      <c r="L896" s="544">
        <v>2.1000000000000001E-4</v>
      </c>
      <c r="M896" s="544">
        <v>2.1000000000000001E-4</v>
      </c>
      <c r="N896" s="544">
        <v>2.1000000000000001E-4</v>
      </c>
      <c r="O896" s="544">
        <v>2.1000000000000001E-4</v>
      </c>
      <c r="P896" s="544">
        <v>2.1000000000000001E-4</v>
      </c>
      <c r="R896" s="543" t="str">
        <f t="shared" si="40"/>
        <v>A0519:日本エネルギー総合システム(株)メニューC</v>
      </c>
      <c r="S896" s="544">
        <f t="shared" si="41"/>
        <v>2.1000000000000001E-4</v>
      </c>
    </row>
    <row r="897" spans="2:19">
      <c r="B897" s="146"/>
      <c r="C897" s="146"/>
      <c r="D897" s="543" t="str">
        <f t="shared" si="39"/>
        <v/>
      </c>
      <c r="I897" s="146" t="s">
        <v>1344</v>
      </c>
      <c r="J897" s="146" t="s">
        <v>1854</v>
      </c>
      <c r="K897" s="544" t="s">
        <v>974</v>
      </c>
      <c r="L897" s="544">
        <v>2.7399999999999999E-4</v>
      </c>
      <c r="M897" s="544">
        <v>2.7399999999999999E-4</v>
      </c>
      <c r="N897" s="544">
        <v>2.7399999999999999E-4</v>
      </c>
      <c r="O897" s="544">
        <v>2.7399999999999999E-4</v>
      </c>
      <c r="P897" s="544">
        <v>2.7399999999999999E-4</v>
      </c>
      <c r="R897" s="543" t="str">
        <f t="shared" si="40"/>
        <v>A0519:日本エネルギー総合システム(株)メニューD</v>
      </c>
      <c r="S897" s="544">
        <f t="shared" si="41"/>
        <v>2.7399999999999999E-4</v>
      </c>
    </row>
    <row r="898" spans="2:19">
      <c r="B898" s="146"/>
      <c r="C898" s="146"/>
      <c r="D898" s="543" t="str">
        <f t="shared" si="39"/>
        <v/>
      </c>
      <c r="I898" s="146" t="s">
        <v>1344</v>
      </c>
      <c r="J898" s="146" t="s">
        <v>1854</v>
      </c>
      <c r="K898" s="544" t="s">
        <v>975</v>
      </c>
      <c r="L898" s="544">
        <v>2.9500000000000001E-4</v>
      </c>
      <c r="M898" s="544">
        <v>2.9500000000000001E-4</v>
      </c>
      <c r="N898" s="544">
        <v>2.9500000000000001E-4</v>
      </c>
      <c r="O898" s="544">
        <v>2.9500000000000001E-4</v>
      </c>
      <c r="P898" s="544">
        <v>2.9500000000000001E-4</v>
      </c>
      <c r="R898" s="543" t="str">
        <f t="shared" si="40"/>
        <v>A0519:日本エネルギー総合システム(株)メニューE</v>
      </c>
      <c r="S898" s="544">
        <f t="shared" si="41"/>
        <v>2.9500000000000001E-4</v>
      </c>
    </row>
    <row r="899" spans="2:19">
      <c r="B899" s="146"/>
      <c r="C899" s="146"/>
      <c r="D899" s="543" t="str">
        <f t="shared" si="39"/>
        <v/>
      </c>
      <c r="I899" s="146" t="s">
        <v>1344</v>
      </c>
      <c r="J899" s="146" t="s">
        <v>1854</v>
      </c>
      <c r="K899" s="544" t="s">
        <v>2059</v>
      </c>
      <c r="L899" s="544">
        <v>3.8000000000000002E-4</v>
      </c>
      <c r="M899" s="544">
        <v>3.8000000000000002E-4</v>
      </c>
      <c r="N899" s="544">
        <v>3.8000000000000002E-4</v>
      </c>
      <c r="O899" s="544">
        <v>3.8000000000000002E-4</v>
      </c>
      <c r="P899" s="544">
        <v>3.8000000000000002E-4</v>
      </c>
      <c r="R899" s="543" t="str">
        <f t="shared" si="40"/>
        <v>A0519:日本エネルギー総合システム(株)メニューF</v>
      </c>
      <c r="S899" s="544">
        <f t="shared" si="41"/>
        <v>3.8000000000000002E-4</v>
      </c>
    </row>
    <row r="900" spans="2:19">
      <c r="B900" s="146"/>
      <c r="C900" s="146"/>
      <c r="D900" s="543" t="str">
        <f t="shared" si="39"/>
        <v/>
      </c>
      <c r="I900" s="146" t="s">
        <v>1344</v>
      </c>
      <c r="J900" s="146" t="s">
        <v>1854</v>
      </c>
      <c r="K900" s="544" t="s">
        <v>2060</v>
      </c>
      <c r="L900" s="544">
        <v>4.64E-4</v>
      </c>
      <c r="M900" s="544">
        <v>4.64E-4</v>
      </c>
      <c r="N900" s="544">
        <v>4.64E-4</v>
      </c>
      <c r="O900" s="544">
        <v>4.64E-4</v>
      </c>
      <c r="P900" s="544">
        <v>4.64E-4</v>
      </c>
      <c r="R900" s="543" t="str">
        <f t="shared" si="40"/>
        <v>A0519:日本エネルギー総合システム(株)メニューG</v>
      </c>
      <c r="S900" s="544">
        <f t="shared" si="41"/>
        <v>4.64E-4</v>
      </c>
    </row>
    <row r="901" spans="2:19">
      <c r="B901" s="146"/>
      <c r="C901" s="146"/>
      <c r="D901" s="543" t="str">
        <f t="shared" si="39"/>
        <v/>
      </c>
      <c r="I901" s="146" t="s">
        <v>1344</v>
      </c>
      <c r="J901" s="146" t="s">
        <v>1854</v>
      </c>
      <c r="K901" s="544" t="s">
        <v>2058</v>
      </c>
      <c r="L901" s="544">
        <v>3.9899999999999999E-4</v>
      </c>
      <c r="M901" s="544">
        <v>3.9899999999999999E-4</v>
      </c>
      <c r="N901" s="544">
        <v>3.9899999999999999E-4</v>
      </c>
      <c r="O901" s="544">
        <v>3.9899999999999999E-4</v>
      </c>
      <c r="P901" s="544">
        <v>3.9899999999999999E-4</v>
      </c>
      <c r="R901" s="543" t="str">
        <f t="shared" si="40"/>
        <v>A0519:日本エネルギー総合システム(株)(参考値)事業者全体</v>
      </c>
      <c r="S901" s="544">
        <f t="shared" si="41"/>
        <v>3.9899999999999999E-4</v>
      </c>
    </row>
    <row r="902" spans="2:19">
      <c r="B902" s="146"/>
      <c r="C902" s="146"/>
      <c r="D902" s="543" t="str">
        <f t="shared" si="39"/>
        <v/>
      </c>
      <c r="I902" s="146" t="s">
        <v>1345</v>
      </c>
      <c r="J902" s="146" t="s">
        <v>1855</v>
      </c>
      <c r="K902" s="544"/>
      <c r="L902" s="544">
        <v>4.1899999999999999E-4</v>
      </c>
      <c r="M902" s="544">
        <v>4.1899999999999999E-4</v>
      </c>
      <c r="N902" s="544">
        <v>4.1899999999999999E-4</v>
      </c>
      <c r="O902" s="544">
        <v>4.1899999999999999E-4</v>
      </c>
      <c r="P902" s="544">
        <v>4.1899999999999999E-4</v>
      </c>
      <c r="R902" s="543" t="str">
        <f t="shared" si="40"/>
        <v>A0520:イワタニ東海(株)</v>
      </c>
      <c r="S902" s="544">
        <f t="shared" si="41"/>
        <v>4.1899999999999999E-4</v>
      </c>
    </row>
    <row r="903" spans="2:19">
      <c r="B903" s="146"/>
      <c r="C903" s="146"/>
      <c r="D903" s="543" t="str">
        <f t="shared" si="39"/>
        <v/>
      </c>
      <c r="I903" s="146" t="s">
        <v>1346</v>
      </c>
      <c r="J903" s="146" t="s">
        <v>1856</v>
      </c>
      <c r="K903" s="544" t="s">
        <v>710</v>
      </c>
      <c r="L903" s="544">
        <v>1E-4</v>
      </c>
      <c r="M903" s="544">
        <v>1E-4</v>
      </c>
      <c r="N903" s="544">
        <v>1E-4</v>
      </c>
      <c r="O903" s="544">
        <v>1E-4</v>
      </c>
      <c r="P903" s="544">
        <v>1E-4</v>
      </c>
      <c r="R903" s="543" t="str">
        <f t="shared" si="40"/>
        <v>A0525:(株)ところざわ未来電力メニューA</v>
      </c>
      <c r="S903" s="544">
        <f t="shared" si="41"/>
        <v>1E-4</v>
      </c>
    </row>
    <row r="904" spans="2:19">
      <c r="B904" s="146"/>
      <c r="C904" s="146"/>
      <c r="D904" s="543" t="str">
        <f t="shared" si="39"/>
        <v/>
      </c>
      <c r="I904" s="146" t="s">
        <v>1346</v>
      </c>
      <c r="J904" s="146" t="s">
        <v>1856</v>
      </c>
      <c r="K904" s="544" t="s">
        <v>787</v>
      </c>
      <c r="L904" s="544">
        <v>0</v>
      </c>
      <c r="M904" s="544">
        <v>0</v>
      </c>
      <c r="N904" s="544">
        <v>0</v>
      </c>
      <c r="O904" s="544">
        <v>0</v>
      </c>
      <c r="P904" s="544">
        <v>0</v>
      </c>
      <c r="R904" s="543" t="str">
        <f t="shared" si="40"/>
        <v>A0525:(株)ところざわ未来電力メニューB</v>
      </c>
      <c r="S904" s="544">
        <f t="shared" si="41"/>
        <v>0</v>
      </c>
    </row>
    <row r="905" spans="2:19">
      <c r="B905" s="146"/>
      <c r="C905" s="146"/>
      <c r="D905" s="543" t="str">
        <f t="shared" si="39"/>
        <v/>
      </c>
      <c r="I905" s="146" t="s">
        <v>1346</v>
      </c>
      <c r="J905" s="146" t="s">
        <v>1856</v>
      </c>
      <c r="K905" s="544" t="s">
        <v>788</v>
      </c>
      <c r="L905" s="544">
        <v>1.02E-4</v>
      </c>
      <c r="M905" s="544">
        <v>1.02E-4</v>
      </c>
      <c r="N905" s="544">
        <v>1.02E-4</v>
      </c>
      <c r="O905" s="544">
        <v>1.02E-4</v>
      </c>
      <c r="P905" s="544">
        <v>1.02E-4</v>
      </c>
      <c r="R905" s="543" t="str">
        <f t="shared" si="40"/>
        <v>A0525:(株)ところざわ未来電力メニューC</v>
      </c>
      <c r="S905" s="544">
        <f t="shared" si="41"/>
        <v>1.02E-4</v>
      </c>
    </row>
    <row r="906" spans="2:19">
      <c r="B906" s="146"/>
      <c r="C906" s="146"/>
      <c r="D906" s="543" t="str">
        <f t="shared" ref="D906:D969" si="42">IF(B906="","",B906&amp;":"&amp;C906)</f>
        <v/>
      </c>
      <c r="I906" s="146" t="s">
        <v>1346</v>
      </c>
      <c r="J906" s="146" t="s">
        <v>1856</v>
      </c>
      <c r="K906" s="544" t="s">
        <v>2058</v>
      </c>
      <c r="L906" s="544">
        <v>1E-4</v>
      </c>
      <c r="M906" s="544">
        <v>1E-4</v>
      </c>
      <c r="N906" s="544">
        <v>1E-4</v>
      </c>
      <c r="O906" s="544">
        <v>1E-4</v>
      </c>
      <c r="P906" s="544">
        <v>1E-4</v>
      </c>
      <c r="R906" s="543" t="str">
        <f t="shared" ref="R906:R969" si="43">I906&amp;":"&amp;J906&amp;K906</f>
        <v>A0525:(株)ところざわ未来電力(参考値)事業者全体</v>
      </c>
      <c r="S906" s="544">
        <f t="shared" ref="S906:S969" si="44">HLOOKUP($S$8,$L$8:$P$2000,ROW()-7,FALSE)</f>
        <v>1E-4</v>
      </c>
    </row>
    <row r="907" spans="2:19">
      <c r="B907" s="146"/>
      <c r="C907" s="146"/>
      <c r="D907" s="543" t="str">
        <f t="shared" si="42"/>
        <v/>
      </c>
      <c r="I907" s="146" t="s">
        <v>1347</v>
      </c>
      <c r="J907" s="146" t="s">
        <v>1857</v>
      </c>
      <c r="K907" s="544"/>
      <c r="L907" s="544">
        <v>4.1899999999999999E-4</v>
      </c>
      <c r="M907" s="544">
        <v>4.1899999999999999E-4</v>
      </c>
      <c r="N907" s="544">
        <v>4.1899999999999999E-4</v>
      </c>
      <c r="O907" s="544">
        <v>4.1899999999999999E-4</v>
      </c>
      <c r="P907" s="544">
        <v>4.1899999999999999E-4</v>
      </c>
      <c r="R907" s="543" t="str">
        <f t="shared" si="43"/>
        <v>A0526:朝日ガスエナジー(株)</v>
      </c>
      <c r="S907" s="544">
        <f t="shared" si="44"/>
        <v>4.1899999999999999E-4</v>
      </c>
    </row>
    <row r="908" spans="2:19">
      <c r="B908" s="146"/>
      <c r="C908" s="146"/>
      <c r="D908" s="543" t="str">
        <f t="shared" si="42"/>
        <v/>
      </c>
      <c r="I908" s="146" t="s">
        <v>1348</v>
      </c>
      <c r="J908" s="146" t="s">
        <v>1858</v>
      </c>
      <c r="K908" s="544" t="s">
        <v>710</v>
      </c>
      <c r="L908" s="544">
        <v>0</v>
      </c>
      <c r="M908" s="544">
        <v>0</v>
      </c>
      <c r="N908" s="544">
        <v>0</v>
      </c>
      <c r="O908" s="544">
        <v>0</v>
      </c>
      <c r="P908" s="544">
        <v>0</v>
      </c>
      <c r="R908" s="543" t="str">
        <f t="shared" si="43"/>
        <v>A0528:(株)エネファントメニューA</v>
      </c>
      <c r="S908" s="544">
        <f t="shared" si="44"/>
        <v>0</v>
      </c>
    </row>
    <row r="909" spans="2:19">
      <c r="B909" s="146"/>
      <c r="C909" s="146"/>
      <c r="D909" s="543" t="str">
        <f t="shared" si="42"/>
        <v/>
      </c>
      <c r="I909" s="146" t="s">
        <v>1348</v>
      </c>
      <c r="J909" s="146" t="s">
        <v>1858</v>
      </c>
      <c r="K909" s="544" t="s">
        <v>787</v>
      </c>
      <c r="L909" s="544">
        <v>8.7000000000000001E-5</v>
      </c>
      <c r="M909" s="544">
        <v>8.7000000000000001E-5</v>
      </c>
      <c r="N909" s="544">
        <v>8.7000000000000001E-5</v>
      </c>
      <c r="O909" s="544">
        <v>8.7000000000000001E-5</v>
      </c>
      <c r="P909" s="544">
        <v>8.7000000000000001E-5</v>
      </c>
      <c r="R909" s="543" t="str">
        <f t="shared" si="43"/>
        <v>A0528:(株)エネファントメニューB</v>
      </c>
      <c r="S909" s="544">
        <f t="shared" si="44"/>
        <v>8.7000000000000001E-5</v>
      </c>
    </row>
    <row r="910" spans="2:19">
      <c r="B910" s="146"/>
      <c r="C910" s="146"/>
      <c r="D910" s="543" t="str">
        <f t="shared" si="42"/>
        <v/>
      </c>
      <c r="I910" s="146" t="s">
        <v>1348</v>
      </c>
      <c r="J910" s="146" t="s">
        <v>1858</v>
      </c>
      <c r="K910" s="544" t="s">
        <v>788</v>
      </c>
      <c r="L910" s="544">
        <v>3.7300000000000001E-4</v>
      </c>
      <c r="M910" s="544">
        <v>3.7300000000000001E-4</v>
      </c>
      <c r="N910" s="544">
        <v>3.7300000000000001E-4</v>
      </c>
      <c r="O910" s="544">
        <v>3.7300000000000001E-4</v>
      </c>
      <c r="P910" s="544">
        <v>3.7300000000000001E-4</v>
      </c>
      <c r="R910" s="543" t="str">
        <f t="shared" si="43"/>
        <v>A0528:(株)エネファントメニューC</v>
      </c>
      <c r="S910" s="544">
        <f t="shared" si="44"/>
        <v>3.7300000000000001E-4</v>
      </c>
    </row>
    <row r="911" spans="2:19">
      <c r="B911" s="146"/>
      <c r="C911" s="146"/>
      <c r="D911" s="543" t="str">
        <f t="shared" si="42"/>
        <v/>
      </c>
      <c r="I911" s="146" t="s">
        <v>1348</v>
      </c>
      <c r="J911" s="146" t="s">
        <v>1858</v>
      </c>
      <c r="K911" s="544" t="s">
        <v>2058</v>
      </c>
      <c r="L911" s="544">
        <v>3.7199999999999999E-4</v>
      </c>
      <c r="M911" s="544">
        <v>3.7199999999999999E-4</v>
      </c>
      <c r="N911" s="544">
        <v>3.7199999999999999E-4</v>
      </c>
      <c r="O911" s="544">
        <v>3.7199999999999999E-4</v>
      </c>
      <c r="P911" s="544">
        <v>3.7199999999999999E-4</v>
      </c>
      <c r="R911" s="543" t="str">
        <f t="shared" si="43"/>
        <v>A0528:(株)エネファント(参考値)事業者全体</v>
      </c>
      <c r="S911" s="544">
        <f t="shared" si="44"/>
        <v>3.7199999999999999E-4</v>
      </c>
    </row>
    <row r="912" spans="2:19">
      <c r="B912" s="146"/>
      <c r="C912" s="146"/>
      <c r="D912" s="543" t="str">
        <f t="shared" si="42"/>
        <v/>
      </c>
      <c r="I912" s="146" t="s">
        <v>1349</v>
      </c>
      <c r="J912" s="146" t="s">
        <v>1859</v>
      </c>
      <c r="K912" s="544"/>
      <c r="L912" s="544">
        <v>5.9000000000000003E-4</v>
      </c>
      <c r="M912" s="544">
        <v>5.9000000000000003E-4</v>
      </c>
      <c r="N912" s="544">
        <v>5.9000000000000003E-4</v>
      </c>
      <c r="O912" s="544">
        <v>5.9000000000000003E-4</v>
      </c>
      <c r="P912" s="544">
        <v>5.9000000000000003E-4</v>
      </c>
      <c r="R912" s="543" t="str">
        <f t="shared" si="43"/>
        <v>A0529:(株)エスエナジー</v>
      </c>
      <c r="S912" s="544">
        <f t="shared" si="44"/>
        <v>5.9000000000000003E-4</v>
      </c>
    </row>
    <row r="913" spans="2:19">
      <c r="B913" s="146"/>
      <c r="C913" s="146"/>
      <c r="D913" s="543" t="str">
        <f t="shared" si="42"/>
        <v/>
      </c>
      <c r="I913" s="146" t="s">
        <v>1350</v>
      </c>
      <c r="J913" s="146" t="s">
        <v>1860</v>
      </c>
      <c r="K913" s="544"/>
      <c r="L913" s="544">
        <v>4.2400000000000001E-4</v>
      </c>
      <c r="M913" s="544">
        <v>4.2400000000000001E-4</v>
      </c>
      <c r="N913" s="544">
        <v>4.2400000000000001E-4</v>
      </c>
      <c r="O913" s="544">
        <v>4.2400000000000001E-4</v>
      </c>
      <c r="P913" s="544">
        <v>4.2400000000000001E-4</v>
      </c>
      <c r="R913" s="543" t="str">
        <f t="shared" si="43"/>
        <v>A0532:(株)フリクト電力(旧：(株)Mpower)</v>
      </c>
      <c r="S913" s="544">
        <f t="shared" si="44"/>
        <v>4.2400000000000001E-4</v>
      </c>
    </row>
    <row r="914" spans="2:19">
      <c r="B914" s="146"/>
      <c r="C914" s="146"/>
      <c r="D914" s="543" t="str">
        <f t="shared" si="42"/>
        <v/>
      </c>
      <c r="I914" s="146" t="s">
        <v>1351</v>
      </c>
      <c r="J914" s="146" t="s">
        <v>1861</v>
      </c>
      <c r="K914" s="544" t="s">
        <v>710</v>
      </c>
      <c r="L914" s="544">
        <v>0</v>
      </c>
      <c r="M914" s="544">
        <v>0</v>
      </c>
      <c r="N914" s="544">
        <v>0</v>
      </c>
      <c r="O914" s="544">
        <v>0</v>
      </c>
      <c r="P914" s="544">
        <v>0</v>
      </c>
      <c r="R914" s="543" t="str">
        <f t="shared" si="43"/>
        <v>A0533:秩父新電力(株)メニューA</v>
      </c>
      <c r="S914" s="544">
        <f t="shared" si="44"/>
        <v>0</v>
      </c>
    </row>
    <row r="915" spans="2:19">
      <c r="B915" s="146"/>
      <c r="C915" s="146"/>
      <c r="D915" s="543" t="str">
        <f t="shared" si="42"/>
        <v/>
      </c>
      <c r="I915" s="146" t="s">
        <v>1351</v>
      </c>
      <c r="J915" s="146" t="s">
        <v>1861</v>
      </c>
      <c r="K915" s="544" t="s">
        <v>787</v>
      </c>
      <c r="L915" s="544">
        <v>2.99E-4</v>
      </c>
      <c r="M915" s="544">
        <v>2.99E-4</v>
      </c>
      <c r="N915" s="544">
        <v>2.99E-4</v>
      </c>
      <c r="O915" s="544">
        <v>2.99E-4</v>
      </c>
      <c r="P915" s="544">
        <v>2.99E-4</v>
      </c>
      <c r="R915" s="543" t="str">
        <f t="shared" si="43"/>
        <v>A0533:秩父新電力(株)メニューB</v>
      </c>
      <c r="S915" s="544">
        <f t="shared" si="44"/>
        <v>2.99E-4</v>
      </c>
    </row>
    <row r="916" spans="2:19">
      <c r="B916" s="146"/>
      <c r="C916" s="146"/>
      <c r="D916" s="543" t="str">
        <f t="shared" si="42"/>
        <v/>
      </c>
      <c r="I916" s="146" t="s">
        <v>1351</v>
      </c>
      <c r="J916" s="146" t="s">
        <v>1861</v>
      </c>
      <c r="K916" s="544" t="s">
        <v>788</v>
      </c>
      <c r="L916" s="544">
        <v>7.0100000000000002E-4</v>
      </c>
      <c r="M916" s="544">
        <v>7.0100000000000002E-4</v>
      </c>
      <c r="N916" s="544">
        <v>7.0100000000000002E-4</v>
      </c>
      <c r="O916" s="544">
        <v>7.0100000000000002E-4</v>
      </c>
      <c r="P916" s="544">
        <v>7.0100000000000002E-4</v>
      </c>
      <c r="R916" s="543" t="str">
        <f t="shared" si="43"/>
        <v>A0533:秩父新電力(株)メニューC</v>
      </c>
      <c r="S916" s="544">
        <f t="shared" si="44"/>
        <v>7.0100000000000002E-4</v>
      </c>
    </row>
    <row r="917" spans="2:19">
      <c r="B917" s="146"/>
      <c r="C917" s="146"/>
      <c r="D917" s="543" t="str">
        <f t="shared" si="42"/>
        <v/>
      </c>
      <c r="I917" s="146" t="s">
        <v>1351</v>
      </c>
      <c r="J917" s="146" t="s">
        <v>1861</v>
      </c>
      <c r="K917" s="544" t="s">
        <v>2058</v>
      </c>
      <c r="L917" s="544">
        <v>4.5199999999999998E-4</v>
      </c>
      <c r="M917" s="544">
        <v>4.5199999999999998E-4</v>
      </c>
      <c r="N917" s="544">
        <v>4.5199999999999998E-4</v>
      </c>
      <c r="O917" s="544">
        <v>4.5199999999999998E-4</v>
      </c>
      <c r="P917" s="544">
        <v>4.5199999999999998E-4</v>
      </c>
      <c r="R917" s="543" t="str">
        <f t="shared" si="43"/>
        <v>A0533:秩父新電力(株)(参考値)事業者全体</v>
      </c>
      <c r="S917" s="544">
        <f t="shared" si="44"/>
        <v>4.5199999999999998E-4</v>
      </c>
    </row>
    <row r="918" spans="2:19">
      <c r="B918" s="146"/>
      <c r="C918" s="146"/>
      <c r="D918" s="543" t="str">
        <f t="shared" si="42"/>
        <v/>
      </c>
      <c r="I918" s="146" t="s">
        <v>1352</v>
      </c>
      <c r="J918" s="146" t="s">
        <v>1862</v>
      </c>
      <c r="K918" s="544" t="s">
        <v>710</v>
      </c>
      <c r="L918" s="544">
        <v>4.35E-4</v>
      </c>
      <c r="M918" s="544">
        <v>4.35E-4</v>
      </c>
      <c r="N918" s="544">
        <v>4.35E-4</v>
      </c>
      <c r="O918" s="544">
        <v>4.35E-4</v>
      </c>
      <c r="P918" s="544">
        <v>4.35E-4</v>
      </c>
      <c r="R918" s="543" t="str">
        <f t="shared" si="43"/>
        <v>A0534:みよしエナジー(株)メニューA</v>
      </c>
      <c r="S918" s="544">
        <f t="shared" si="44"/>
        <v>4.35E-4</v>
      </c>
    </row>
    <row r="919" spans="2:19">
      <c r="B919" s="146"/>
      <c r="C919" s="146"/>
      <c r="D919" s="543" t="str">
        <f t="shared" si="42"/>
        <v/>
      </c>
      <c r="I919" s="146" t="s">
        <v>1352</v>
      </c>
      <c r="J919" s="146" t="s">
        <v>1862</v>
      </c>
      <c r="K919" s="544" t="s">
        <v>787</v>
      </c>
      <c r="L919" s="544">
        <v>5.5800000000000001E-4</v>
      </c>
      <c r="M919" s="544">
        <v>5.5800000000000001E-4</v>
      </c>
      <c r="N919" s="544">
        <v>5.5800000000000001E-4</v>
      </c>
      <c r="O919" s="544">
        <v>5.5800000000000001E-4</v>
      </c>
      <c r="P919" s="544">
        <v>5.5800000000000001E-4</v>
      </c>
      <c r="R919" s="543" t="str">
        <f t="shared" si="43"/>
        <v>A0534:みよしエナジー(株)メニューB</v>
      </c>
      <c r="S919" s="544">
        <f t="shared" si="44"/>
        <v>5.5800000000000001E-4</v>
      </c>
    </row>
    <row r="920" spans="2:19">
      <c r="B920" s="146"/>
      <c r="C920" s="146"/>
      <c r="D920" s="543" t="str">
        <f t="shared" si="42"/>
        <v/>
      </c>
      <c r="I920" s="146" t="s">
        <v>1352</v>
      </c>
      <c r="J920" s="146" t="s">
        <v>1862</v>
      </c>
      <c r="K920" s="544" t="s">
        <v>2058</v>
      </c>
      <c r="L920" s="544">
        <v>5.1000000000000004E-4</v>
      </c>
      <c r="M920" s="544">
        <v>5.1000000000000004E-4</v>
      </c>
      <c r="N920" s="544">
        <v>5.1000000000000004E-4</v>
      </c>
      <c r="O920" s="544">
        <v>5.1000000000000004E-4</v>
      </c>
      <c r="P920" s="544">
        <v>5.1000000000000004E-4</v>
      </c>
      <c r="R920" s="543" t="str">
        <f t="shared" si="43"/>
        <v>A0534:みよしエナジー(株)(参考値)事業者全体</v>
      </c>
      <c r="S920" s="544">
        <f t="shared" si="44"/>
        <v>5.1000000000000004E-4</v>
      </c>
    </row>
    <row r="921" spans="2:19">
      <c r="B921" s="146"/>
      <c r="C921" s="146"/>
      <c r="D921" s="543" t="str">
        <f t="shared" si="42"/>
        <v/>
      </c>
      <c r="I921" s="146" t="s">
        <v>1353</v>
      </c>
      <c r="J921" s="146" t="s">
        <v>1863</v>
      </c>
      <c r="K921" s="544"/>
      <c r="L921" s="544">
        <v>6.3400000000000001E-4</v>
      </c>
      <c r="M921" s="544">
        <v>6.3400000000000001E-4</v>
      </c>
      <c r="N921" s="544">
        <v>6.3400000000000001E-4</v>
      </c>
      <c r="O921" s="544">
        <v>6.3400000000000001E-4</v>
      </c>
      <c r="P921" s="544">
        <v>6.3400000000000001E-4</v>
      </c>
      <c r="R921" s="543" t="str">
        <f t="shared" si="43"/>
        <v>A0538:綿半パートナーズ(株)</v>
      </c>
      <c r="S921" s="544">
        <f t="shared" si="44"/>
        <v>6.3400000000000001E-4</v>
      </c>
    </row>
    <row r="922" spans="2:19">
      <c r="B922" s="146"/>
      <c r="C922" s="146"/>
      <c r="D922" s="543" t="str">
        <f t="shared" si="42"/>
        <v/>
      </c>
      <c r="I922" s="146" t="s">
        <v>1354</v>
      </c>
      <c r="J922" s="146" t="s">
        <v>1864</v>
      </c>
      <c r="K922" s="544"/>
      <c r="L922" s="544">
        <v>4.1100000000000002E-4</v>
      </c>
      <c r="M922" s="544">
        <v>4.1100000000000002E-4</v>
      </c>
      <c r="N922" s="544">
        <v>4.1100000000000002E-4</v>
      </c>
      <c r="O922" s="544">
        <v>4.1100000000000002E-4</v>
      </c>
      <c r="P922" s="544">
        <v>4.1100000000000002E-4</v>
      </c>
      <c r="R922" s="543" t="str">
        <f t="shared" si="43"/>
        <v>A0539:(株)karch</v>
      </c>
      <c r="S922" s="544">
        <f t="shared" si="44"/>
        <v>4.1100000000000002E-4</v>
      </c>
    </row>
    <row r="923" spans="2:19">
      <c r="B923" s="146"/>
      <c r="C923" s="146"/>
      <c r="D923" s="543" t="str">
        <f t="shared" si="42"/>
        <v/>
      </c>
      <c r="I923" s="146" t="s">
        <v>1355</v>
      </c>
      <c r="J923" s="146" t="s">
        <v>1865</v>
      </c>
      <c r="K923" s="544"/>
      <c r="L923" s="544">
        <v>5.4799999999999998E-4</v>
      </c>
      <c r="M923" s="544">
        <v>5.4799999999999998E-4</v>
      </c>
      <c r="N923" s="544">
        <v>5.4799999999999998E-4</v>
      </c>
      <c r="O923" s="544">
        <v>5.4799999999999998E-4</v>
      </c>
      <c r="P923" s="544">
        <v>5.4799999999999998E-4</v>
      </c>
      <c r="R923" s="543" t="str">
        <f t="shared" si="43"/>
        <v>A0543:(株)かみでん里山公社</v>
      </c>
      <c r="S923" s="544">
        <f t="shared" si="44"/>
        <v>5.4799999999999998E-4</v>
      </c>
    </row>
    <row r="924" spans="2:19">
      <c r="B924" s="146"/>
      <c r="C924" s="146"/>
      <c r="D924" s="543" t="str">
        <f t="shared" si="42"/>
        <v/>
      </c>
      <c r="I924" s="146" t="s">
        <v>1356</v>
      </c>
      <c r="J924" s="146" t="s">
        <v>1866</v>
      </c>
      <c r="K924" s="544" t="s">
        <v>710</v>
      </c>
      <c r="L924" s="544">
        <v>5.9000000000000003E-4</v>
      </c>
      <c r="M924" s="544">
        <v>5.9000000000000003E-4</v>
      </c>
      <c r="N924" s="544">
        <v>5.9000000000000003E-4</v>
      </c>
      <c r="O924" s="544">
        <v>5.9000000000000003E-4</v>
      </c>
      <c r="P924" s="544">
        <v>5.9000000000000003E-4</v>
      </c>
      <c r="R924" s="543" t="str">
        <f t="shared" si="43"/>
        <v>A0546:(株)三郷ひまわりエナジーメニューA</v>
      </c>
      <c r="S924" s="544">
        <f t="shared" si="44"/>
        <v>5.9000000000000003E-4</v>
      </c>
    </row>
    <row r="925" spans="2:19">
      <c r="B925" s="146"/>
      <c r="C925" s="146"/>
      <c r="D925" s="543" t="str">
        <f t="shared" si="42"/>
        <v/>
      </c>
      <c r="I925" s="146" t="s">
        <v>1356</v>
      </c>
      <c r="J925" s="146" t="s">
        <v>1866</v>
      </c>
      <c r="K925" s="544" t="s">
        <v>2058</v>
      </c>
      <c r="L925" s="544">
        <v>5.9000000000000003E-4</v>
      </c>
      <c r="M925" s="544">
        <v>5.9000000000000003E-4</v>
      </c>
      <c r="N925" s="544">
        <v>5.9000000000000003E-4</v>
      </c>
      <c r="O925" s="544">
        <v>5.9000000000000003E-4</v>
      </c>
      <c r="P925" s="544">
        <v>5.9000000000000003E-4</v>
      </c>
      <c r="R925" s="543" t="str">
        <f t="shared" si="43"/>
        <v>A0546:(株)三郷ひまわりエナジー(参考値)事業者全体</v>
      </c>
      <c r="S925" s="544">
        <f t="shared" si="44"/>
        <v>5.9000000000000003E-4</v>
      </c>
    </row>
    <row r="926" spans="2:19">
      <c r="B926" s="146"/>
      <c r="C926" s="146"/>
      <c r="D926" s="543" t="str">
        <f t="shared" si="42"/>
        <v/>
      </c>
      <c r="I926" s="146" t="s">
        <v>1357</v>
      </c>
      <c r="J926" s="146" t="s">
        <v>1867</v>
      </c>
      <c r="K926" s="544"/>
      <c r="L926" s="544">
        <v>5.8399999999999999E-4</v>
      </c>
      <c r="M926" s="544">
        <v>5.8399999999999999E-4</v>
      </c>
      <c r="N926" s="544">
        <v>5.8399999999999999E-4</v>
      </c>
      <c r="O926" s="544">
        <v>5.8399999999999999E-4</v>
      </c>
      <c r="P926" s="544">
        <v>5.8399999999999999E-4</v>
      </c>
      <c r="R926" s="543" t="str">
        <f t="shared" si="43"/>
        <v>A0547:(株)球磨村森電力</v>
      </c>
      <c r="S926" s="544">
        <f t="shared" si="44"/>
        <v>5.8399999999999999E-4</v>
      </c>
    </row>
    <row r="927" spans="2:19">
      <c r="B927" s="146"/>
      <c r="C927" s="146"/>
      <c r="D927" s="543" t="str">
        <f t="shared" si="42"/>
        <v/>
      </c>
      <c r="I927" s="146" t="s">
        <v>1358</v>
      </c>
      <c r="J927" s="146" t="s">
        <v>1868</v>
      </c>
      <c r="K927" s="544"/>
      <c r="L927" s="544">
        <v>5.9199999999999997E-4</v>
      </c>
      <c r="M927" s="544">
        <v>5.9199999999999997E-4</v>
      </c>
      <c r="N927" s="544">
        <v>5.9199999999999997E-4</v>
      </c>
      <c r="O927" s="544">
        <v>5.9199999999999997E-4</v>
      </c>
      <c r="P927" s="544">
        <v>5.9199999999999997E-4</v>
      </c>
      <c r="R927" s="543" t="str">
        <f t="shared" si="43"/>
        <v>A0549:くこくエネルギー(株)</v>
      </c>
      <c r="S927" s="544">
        <f t="shared" si="44"/>
        <v>5.9199999999999997E-4</v>
      </c>
    </row>
    <row r="928" spans="2:19">
      <c r="B928" s="146"/>
      <c r="C928" s="146"/>
      <c r="D928" s="543" t="str">
        <f t="shared" si="42"/>
        <v/>
      </c>
      <c r="I928" s="146" t="s">
        <v>1359</v>
      </c>
      <c r="J928" s="146" t="s">
        <v>1869</v>
      </c>
      <c r="K928" s="544"/>
      <c r="L928" s="544">
        <v>4.2400000000000001E-4</v>
      </c>
      <c r="M928" s="544">
        <v>4.2400000000000001E-4</v>
      </c>
      <c r="N928" s="544">
        <v>4.2400000000000001E-4</v>
      </c>
      <c r="O928" s="544">
        <v>4.2400000000000001E-4</v>
      </c>
      <c r="P928" s="544">
        <v>4.2400000000000001E-4</v>
      </c>
      <c r="R928" s="543" t="str">
        <f t="shared" si="43"/>
        <v>A0550:(株)エコログ</v>
      </c>
      <c r="S928" s="544">
        <f t="shared" si="44"/>
        <v>4.2400000000000001E-4</v>
      </c>
    </row>
    <row r="929" spans="2:19">
      <c r="B929" s="146"/>
      <c r="C929" s="146"/>
      <c r="D929" s="543" t="str">
        <f t="shared" si="42"/>
        <v/>
      </c>
      <c r="I929" s="146" t="s">
        <v>1360</v>
      </c>
      <c r="J929" s="146" t="s">
        <v>1870</v>
      </c>
      <c r="K929" s="544" t="s">
        <v>710</v>
      </c>
      <c r="L929" s="544">
        <v>0</v>
      </c>
      <c r="M929" s="544">
        <v>0</v>
      </c>
      <c r="N929" s="544">
        <v>0</v>
      </c>
      <c r="O929" s="544">
        <v>0</v>
      </c>
      <c r="P929" s="544">
        <v>0</v>
      </c>
      <c r="R929" s="543" t="str">
        <f t="shared" si="43"/>
        <v>A0551:飯田まちづくり電力(株)メニューA</v>
      </c>
      <c r="S929" s="544">
        <f t="shared" si="44"/>
        <v>0</v>
      </c>
    </row>
    <row r="930" spans="2:19">
      <c r="B930" s="146"/>
      <c r="C930" s="146"/>
      <c r="D930" s="543" t="str">
        <f t="shared" si="42"/>
        <v/>
      </c>
      <c r="I930" s="146" t="s">
        <v>1360</v>
      </c>
      <c r="J930" s="146" t="s">
        <v>1870</v>
      </c>
      <c r="K930" s="544" t="s">
        <v>787</v>
      </c>
      <c r="L930" s="544">
        <v>4.2700000000000002E-4</v>
      </c>
      <c r="M930" s="544">
        <v>4.2700000000000002E-4</v>
      </c>
      <c r="N930" s="544">
        <v>4.2700000000000002E-4</v>
      </c>
      <c r="O930" s="544">
        <v>4.2700000000000002E-4</v>
      </c>
      <c r="P930" s="544">
        <v>4.2700000000000002E-4</v>
      </c>
      <c r="R930" s="543" t="str">
        <f t="shared" si="43"/>
        <v>A0551:飯田まちづくり電力(株)メニューB</v>
      </c>
      <c r="S930" s="544">
        <f t="shared" si="44"/>
        <v>4.2700000000000002E-4</v>
      </c>
    </row>
    <row r="931" spans="2:19">
      <c r="B931" s="146"/>
      <c r="C931" s="146"/>
      <c r="D931" s="543" t="str">
        <f t="shared" si="42"/>
        <v/>
      </c>
      <c r="I931" s="146" t="s">
        <v>1360</v>
      </c>
      <c r="J931" s="146" t="s">
        <v>1870</v>
      </c>
      <c r="K931" s="544" t="s">
        <v>788</v>
      </c>
      <c r="L931" s="544">
        <v>3.7599999999999998E-4</v>
      </c>
      <c r="M931" s="544">
        <v>3.7599999999999998E-4</v>
      </c>
      <c r="N931" s="544">
        <v>3.7599999999999998E-4</v>
      </c>
      <c r="O931" s="544">
        <v>3.7599999999999998E-4</v>
      </c>
      <c r="P931" s="544">
        <v>3.7599999999999998E-4</v>
      </c>
      <c r="R931" s="543" t="str">
        <f t="shared" si="43"/>
        <v>A0551:飯田まちづくり電力(株)メニューC</v>
      </c>
      <c r="S931" s="544">
        <f t="shared" si="44"/>
        <v>3.7599999999999998E-4</v>
      </c>
    </row>
    <row r="932" spans="2:19">
      <c r="B932" s="146"/>
      <c r="C932" s="146"/>
      <c r="D932" s="543" t="str">
        <f t="shared" si="42"/>
        <v/>
      </c>
      <c r="I932" s="146" t="s">
        <v>1360</v>
      </c>
      <c r="J932" s="146" t="s">
        <v>1870</v>
      </c>
      <c r="K932" s="544" t="s">
        <v>974</v>
      </c>
      <c r="L932" s="544">
        <v>2.9999999999999997E-4</v>
      </c>
      <c r="M932" s="544">
        <v>2.9999999999999997E-4</v>
      </c>
      <c r="N932" s="544">
        <v>2.9999999999999997E-4</v>
      </c>
      <c r="O932" s="544">
        <v>2.9999999999999997E-4</v>
      </c>
      <c r="P932" s="544">
        <v>2.9999999999999997E-4</v>
      </c>
      <c r="R932" s="543" t="str">
        <f t="shared" si="43"/>
        <v>A0551:飯田まちづくり電力(株)メニューD</v>
      </c>
      <c r="S932" s="544">
        <f t="shared" si="44"/>
        <v>2.9999999999999997E-4</v>
      </c>
    </row>
    <row r="933" spans="2:19">
      <c r="B933" s="146"/>
      <c r="C933" s="146"/>
      <c r="D933" s="543" t="str">
        <f t="shared" si="42"/>
        <v/>
      </c>
      <c r="I933" s="146" t="s">
        <v>1360</v>
      </c>
      <c r="J933" s="146" t="s">
        <v>1870</v>
      </c>
      <c r="K933" s="544" t="s">
        <v>2058</v>
      </c>
      <c r="L933" s="544">
        <v>3.0200000000000002E-4</v>
      </c>
      <c r="M933" s="544">
        <v>3.0200000000000002E-4</v>
      </c>
      <c r="N933" s="544">
        <v>3.0200000000000002E-4</v>
      </c>
      <c r="O933" s="544">
        <v>3.0200000000000002E-4</v>
      </c>
      <c r="P933" s="544">
        <v>3.0200000000000002E-4</v>
      </c>
      <c r="R933" s="543" t="str">
        <f t="shared" si="43"/>
        <v>A0551:飯田まちづくり電力(株)(参考値)事業者全体</v>
      </c>
      <c r="S933" s="544">
        <f t="shared" si="44"/>
        <v>3.0200000000000002E-4</v>
      </c>
    </row>
    <row r="934" spans="2:19">
      <c r="B934" s="146"/>
      <c r="C934" s="146"/>
      <c r="D934" s="543" t="str">
        <f t="shared" si="42"/>
        <v/>
      </c>
      <c r="I934" s="146" t="s">
        <v>1361</v>
      </c>
      <c r="J934" s="146" t="s">
        <v>1871</v>
      </c>
      <c r="K934" s="544"/>
      <c r="L934" s="544">
        <v>4.1899999999999999E-4</v>
      </c>
      <c r="M934" s="544">
        <v>4.1899999999999999E-4</v>
      </c>
      <c r="N934" s="544">
        <v>4.1899999999999999E-4</v>
      </c>
      <c r="O934" s="544">
        <v>4.1899999999999999E-4</v>
      </c>
      <c r="P934" s="544">
        <v>4.1899999999999999E-4</v>
      </c>
      <c r="R934" s="543" t="str">
        <f t="shared" si="43"/>
        <v>A0552:イワタニ長野(株)</v>
      </c>
      <c r="S934" s="544">
        <f t="shared" si="44"/>
        <v>4.1899999999999999E-4</v>
      </c>
    </row>
    <row r="935" spans="2:19">
      <c r="B935" s="146"/>
      <c r="C935" s="146"/>
      <c r="D935" s="543" t="str">
        <f t="shared" si="42"/>
        <v/>
      </c>
      <c r="I935" s="146" t="s">
        <v>1362</v>
      </c>
      <c r="J935" s="146" t="s">
        <v>1872</v>
      </c>
      <c r="K935" s="544" t="s">
        <v>710</v>
      </c>
      <c r="L935" s="544">
        <v>0</v>
      </c>
      <c r="M935" s="544">
        <v>0</v>
      </c>
      <c r="N935" s="544">
        <v>0</v>
      </c>
      <c r="O935" s="544">
        <v>0</v>
      </c>
      <c r="P935" s="544">
        <v>0</v>
      </c>
      <c r="R935" s="543" t="str">
        <f t="shared" si="43"/>
        <v>A0553:シェルジャパン(株)メニューA</v>
      </c>
      <c r="S935" s="544">
        <f t="shared" si="44"/>
        <v>0</v>
      </c>
    </row>
    <row r="936" spans="2:19">
      <c r="B936" s="146"/>
      <c r="C936" s="146"/>
      <c r="D936" s="543" t="str">
        <f t="shared" si="42"/>
        <v/>
      </c>
      <c r="I936" s="146" t="s">
        <v>1362</v>
      </c>
      <c r="J936" s="146" t="s">
        <v>1872</v>
      </c>
      <c r="K936" s="544" t="s">
        <v>787</v>
      </c>
      <c r="L936" s="544">
        <v>2.9999999999999997E-4</v>
      </c>
      <c r="M936" s="544">
        <v>2.9999999999999997E-4</v>
      </c>
      <c r="N936" s="544">
        <v>2.9999999999999997E-4</v>
      </c>
      <c r="O936" s="544">
        <v>2.9999999999999997E-4</v>
      </c>
      <c r="P936" s="544">
        <v>2.9999999999999997E-4</v>
      </c>
      <c r="R936" s="543" t="str">
        <f t="shared" si="43"/>
        <v>A0553:シェルジャパン(株)メニューB</v>
      </c>
      <c r="S936" s="544">
        <f t="shared" si="44"/>
        <v>2.9999999999999997E-4</v>
      </c>
    </row>
    <row r="937" spans="2:19">
      <c r="B937" s="146"/>
      <c r="C937" s="146"/>
      <c r="D937" s="543" t="str">
        <f t="shared" si="42"/>
        <v/>
      </c>
      <c r="I937" s="146" t="s">
        <v>1362</v>
      </c>
      <c r="J937" s="146" t="s">
        <v>1872</v>
      </c>
      <c r="K937" s="544" t="s">
        <v>788</v>
      </c>
      <c r="L937" s="544">
        <v>4.2200000000000001E-4</v>
      </c>
      <c r="M937" s="544">
        <v>4.2200000000000001E-4</v>
      </c>
      <c r="N937" s="544">
        <v>4.2200000000000001E-4</v>
      </c>
      <c r="O937" s="544">
        <v>4.2200000000000001E-4</v>
      </c>
      <c r="P937" s="544">
        <v>4.2200000000000001E-4</v>
      </c>
      <c r="R937" s="543" t="str">
        <f t="shared" si="43"/>
        <v>A0553:シェルジャパン(株)メニューC</v>
      </c>
      <c r="S937" s="544">
        <f t="shared" si="44"/>
        <v>4.2200000000000001E-4</v>
      </c>
    </row>
    <row r="938" spans="2:19">
      <c r="B938" s="146"/>
      <c r="C938" s="146"/>
      <c r="D938" s="543" t="str">
        <f t="shared" si="42"/>
        <v/>
      </c>
      <c r="I938" s="146" t="s">
        <v>1362</v>
      </c>
      <c r="J938" s="146" t="s">
        <v>1872</v>
      </c>
      <c r="K938" s="544" t="s">
        <v>2058</v>
      </c>
      <c r="L938" s="544">
        <v>4.2200000000000001E-4</v>
      </c>
      <c r="M938" s="544">
        <v>4.2200000000000001E-4</v>
      </c>
      <c r="N938" s="544">
        <v>4.2200000000000001E-4</v>
      </c>
      <c r="O938" s="544">
        <v>4.2200000000000001E-4</v>
      </c>
      <c r="P938" s="544">
        <v>4.2200000000000001E-4</v>
      </c>
      <c r="R938" s="543" t="str">
        <f t="shared" si="43"/>
        <v>A0553:シェルジャパン(株)(参考値)事業者全体</v>
      </c>
      <c r="S938" s="544">
        <f t="shared" si="44"/>
        <v>4.2200000000000001E-4</v>
      </c>
    </row>
    <row r="939" spans="2:19">
      <c r="B939" s="146"/>
      <c r="C939" s="146"/>
      <c r="D939" s="543" t="str">
        <f t="shared" si="42"/>
        <v/>
      </c>
      <c r="I939" s="146" t="s">
        <v>1363</v>
      </c>
      <c r="J939" s="146" t="s">
        <v>1873</v>
      </c>
      <c r="K939" s="544"/>
      <c r="L939" s="544">
        <v>4.2200000000000001E-4</v>
      </c>
      <c r="M939" s="544">
        <v>4.2200000000000001E-4</v>
      </c>
      <c r="N939" s="544">
        <v>4.2200000000000001E-4</v>
      </c>
      <c r="O939" s="544">
        <v>4.2200000000000001E-4</v>
      </c>
      <c r="P939" s="544">
        <v>4.2200000000000001E-4</v>
      </c>
      <c r="R939" s="543" t="str">
        <f t="shared" si="43"/>
        <v>A0555:石油資源開発(株)</v>
      </c>
      <c r="S939" s="544">
        <f t="shared" si="44"/>
        <v>4.2200000000000001E-4</v>
      </c>
    </row>
    <row r="940" spans="2:19">
      <c r="B940" s="146"/>
      <c r="C940" s="146"/>
      <c r="D940" s="543" t="str">
        <f t="shared" si="42"/>
        <v/>
      </c>
      <c r="I940" s="146" t="s">
        <v>1364</v>
      </c>
      <c r="J940" s="146" t="s">
        <v>1874</v>
      </c>
      <c r="K940" s="544" t="s">
        <v>710</v>
      </c>
      <c r="L940" s="544">
        <v>0</v>
      </c>
      <c r="M940" s="544">
        <v>0</v>
      </c>
      <c r="N940" s="544">
        <v>0</v>
      </c>
      <c r="O940" s="544">
        <v>0</v>
      </c>
      <c r="P940" s="544">
        <v>0</v>
      </c>
      <c r="R940" s="543" t="str">
        <f t="shared" si="43"/>
        <v>A0556:越後天然ガス(株)メニューA</v>
      </c>
      <c r="S940" s="544">
        <f t="shared" si="44"/>
        <v>0</v>
      </c>
    </row>
    <row r="941" spans="2:19">
      <c r="B941" s="146"/>
      <c r="C941" s="146"/>
      <c r="D941" s="543" t="str">
        <f t="shared" si="42"/>
        <v/>
      </c>
      <c r="I941" s="146" t="s">
        <v>1364</v>
      </c>
      <c r="J941" s="146" t="s">
        <v>1874</v>
      </c>
      <c r="K941" s="544" t="s">
        <v>787</v>
      </c>
      <c r="L941" s="544">
        <v>6.9800000000000005E-4</v>
      </c>
      <c r="M941" s="544">
        <v>6.9800000000000005E-4</v>
      </c>
      <c r="N941" s="544">
        <v>6.9800000000000005E-4</v>
      </c>
      <c r="O941" s="544">
        <v>6.9800000000000005E-4</v>
      </c>
      <c r="P941" s="544">
        <v>6.9800000000000005E-4</v>
      </c>
      <c r="R941" s="543" t="str">
        <f t="shared" si="43"/>
        <v>A0556:越後天然ガス(株)メニューB</v>
      </c>
      <c r="S941" s="544">
        <f t="shared" si="44"/>
        <v>6.9800000000000005E-4</v>
      </c>
    </row>
    <row r="942" spans="2:19">
      <c r="B942" s="146"/>
      <c r="C942" s="146"/>
      <c r="D942" s="543" t="str">
        <f t="shared" si="42"/>
        <v/>
      </c>
      <c r="I942" s="146" t="s">
        <v>1364</v>
      </c>
      <c r="J942" s="146" t="s">
        <v>1874</v>
      </c>
      <c r="K942" s="544" t="s">
        <v>2058</v>
      </c>
      <c r="L942" s="544">
        <v>3.4400000000000001E-4</v>
      </c>
      <c r="M942" s="544">
        <v>3.4400000000000001E-4</v>
      </c>
      <c r="N942" s="544">
        <v>3.4400000000000001E-4</v>
      </c>
      <c r="O942" s="544">
        <v>3.4400000000000001E-4</v>
      </c>
      <c r="P942" s="544">
        <v>3.4400000000000001E-4</v>
      </c>
      <c r="R942" s="543" t="str">
        <f t="shared" si="43"/>
        <v>A0556:越後天然ガス(株)(参考値)事業者全体</v>
      </c>
      <c r="S942" s="544">
        <f t="shared" si="44"/>
        <v>3.4400000000000001E-4</v>
      </c>
    </row>
    <row r="943" spans="2:19">
      <c r="B943" s="146"/>
      <c r="C943" s="146"/>
      <c r="D943" s="543" t="str">
        <f t="shared" si="42"/>
        <v/>
      </c>
      <c r="I943" s="146" t="s">
        <v>1365</v>
      </c>
      <c r="J943" s="146" t="s">
        <v>1875</v>
      </c>
      <c r="K943" s="544"/>
      <c r="L943" s="544">
        <v>3.88E-4</v>
      </c>
      <c r="M943" s="544">
        <v>3.88E-4</v>
      </c>
      <c r="N943" s="544">
        <v>3.88E-4</v>
      </c>
      <c r="O943" s="544">
        <v>3.88E-4</v>
      </c>
      <c r="P943" s="544">
        <v>3.88E-4</v>
      </c>
      <c r="R943" s="543" t="str">
        <f t="shared" si="43"/>
        <v>A0558:坂戸ガス(株)</v>
      </c>
      <c r="S943" s="544">
        <f t="shared" si="44"/>
        <v>3.88E-4</v>
      </c>
    </row>
    <row r="944" spans="2:19">
      <c r="B944" s="146"/>
      <c r="C944" s="146"/>
      <c r="D944" s="543" t="str">
        <f t="shared" si="42"/>
        <v/>
      </c>
      <c r="I944" s="146" t="s">
        <v>1366</v>
      </c>
      <c r="J944" s="146" t="s">
        <v>1876</v>
      </c>
      <c r="K944" s="544"/>
      <c r="L944" s="544">
        <v>5.3999999999999998E-5</v>
      </c>
      <c r="M944" s="544">
        <v>5.3999999999999998E-5</v>
      </c>
      <c r="N944" s="544">
        <v>5.3999999999999998E-5</v>
      </c>
      <c r="O944" s="544">
        <v>5.3999999999999998E-5</v>
      </c>
      <c r="P944" s="544">
        <v>5.3999999999999998E-5</v>
      </c>
      <c r="R944" s="543" t="str">
        <f t="shared" si="43"/>
        <v>A0559:(株)デベロップ</v>
      </c>
      <c r="S944" s="544">
        <f t="shared" si="44"/>
        <v>5.3999999999999998E-5</v>
      </c>
    </row>
    <row r="945" spans="2:19">
      <c r="B945" s="146"/>
      <c r="C945" s="146"/>
      <c r="D945" s="543" t="str">
        <f t="shared" si="42"/>
        <v/>
      </c>
      <c r="I945" s="146" t="s">
        <v>1367</v>
      </c>
      <c r="J945" s="146" t="s">
        <v>1877</v>
      </c>
      <c r="K945" s="544"/>
      <c r="L945" s="544">
        <v>8.1800000000000004E-4</v>
      </c>
      <c r="M945" s="544">
        <v>8.1800000000000004E-4</v>
      </c>
      <c r="N945" s="544">
        <v>8.1800000000000004E-4</v>
      </c>
      <c r="O945" s="544">
        <v>8.1800000000000004E-4</v>
      </c>
      <c r="P945" s="544">
        <v>8.1800000000000004E-4</v>
      </c>
      <c r="R945" s="543" t="str">
        <f t="shared" si="43"/>
        <v>A0560:(株)テレ・マーカー</v>
      </c>
      <c r="S945" s="544">
        <f t="shared" si="44"/>
        <v>8.1800000000000004E-4</v>
      </c>
    </row>
    <row r="946" spans="2:19">
      <c r="B946" s="146"/>
      <c r="C946" s="146"/>
      <c r="D946" s="543" t="str">
        <f t="shared" si="42"/>
        <v/>
      </c>
      <c r="I946" s="146" t="s">
        <v>1368</v>
      </c>
      <c r="J946" s="146" t="s">
        <v>1878</v>
      </c>
      <c r="K946" s="544"/>
      <c r="L946" s="544">
        <v>2.7099999999999997E-4</v>
      </c>
      <c r="M946" s="544">
        <v>2.7099999999999997E-4</v>
      </c>
      <c r="N946" s="544">
        <v>2.7099999999999997E-4</v>
      </c>
      <c r="O946" s="544">
        <v>2.7099999999999997E-4</v>
      </c>
      <c r="P946" s="544">
        <v>2.7099999999999997E-4</v>
      </c>
      <c r="R946" s="543" t="str">
        <f t="shared" si="43"/>
        <v>A0562:MGCエネルギー(株)</v>
      </c>
      <c r="S946" s="544">
        <f t="shared" si="44"/>
        <v>2.7099999999999997E-4</v>
      </c>
    </row>
    <row r="947" spans="2:19">
      <c r="B947" s="146"/>
      <c r="C947" s="146"/>
      <c r="D947" s="543" t="str">
        <f t="shared" si="42"/>
        <v/>
      </c>
      <c r="I947" s="146" t="s">
        <v>1369</v>
      </c>
      <c r="J947" s="146" t="s">
        <v>1879</v>
      </c>
      <c r="K947" s="544"/>
      <c r="L947" s="544">
        <v>4.1399999999999998E-4</v>
      </c>
      <c r="M947" s="544">
        <v>4.1399999999999998E-4</v>
      </c>
      <c r="N947" s="544">
        <v>4.1399999999999998E-4</v>
      </c>
      <c r="O947" s="544">
        <v>4.1399999999999998E-4</v>
      </c>
      <c r="P947" s="544">
        <v>4.1399999999999998E-4</v>
      </c>
      <c r="R947" s="543" t="str">
        <f t="shared" si="43"/>
        <v>A0565:福島フェニックス電力(株)</v>
      </c>
      <c r="S947" s="544">
        <f t="shared" si="44"/>
        <v>4.1399999999999998E-4</v>
      </c>
    </row>
    <row r="948" spans="2:19">
      <c r="B948" s="146"/>
      <c r="C948" s="146"/>
      <c r="D948" s="543" t="str">
        <f t="shared" si="42"/>
        <v/>
      </c>
      <c r="I948" s="146" t="s">
        <v>1370</v>
      </c>
      <c r="J948" s="146" t="s">
        <v>1880</v>
      </c>
      <c r="K948" s="544"/>
      <c r="L948" s="544">
        <v>4.4700000000000002E-4</v>
      </c>
      <c r="M948" s="544">
        <v>4.4700000000000002E-4</v>
      </c>
      <c r="N948" s="544">
        <v>4.4700000000000002E-4</v>
      </c>
      <c r="O948" s="544">
        <v>4.4700000000000002E-4</v>
      </c>
      <c r="P948" s="544">
        <v>4.4700000000000002E-4</v>
      </c>
      <c r="R948" s="543" t="str">
        <f t="shared" si="43"/>
        <v>A0567:(株)美作国電力</v>
      </c>
      <c r="S948" s="544">
        <f t="shared" si="44"/>
        <v>4.4700000000000002E-4</v>
      </c>
    </row>
    <row r="949" spans="2:19">
      <c r="B949" s="146"/>
      <c r="C949" s="146"/>
      <c r="D949" s="543" t="str">
        <f t="shared" si="42"/>
        <v/>
      </c>
      <c r="I949" s="146" t="s">
        <v>1371</v>
      </c>
      <c r="J949" s="146" t="s">
        <v>1881</v>
      </c>
      <c r="K949" s="544"/>
      <c r="L949" s="544">
        <v>4.1899999999999999E-4</v>
      </c>
      <c r="M949" s="544">
        <v>4.1899999999999999E-4</v>
      </c>
      <c r="N949" s="544">
        <v>4.1899999999999999E-4</v>
      </c>
      <c r="O949" s="544">
        <v>4.1899999999999999E-4</v>
      </c>
      <c r="P949" s="544">
        <v>4.1899999999999999E-4</v>
      </c>
      <c r="R949" s="543" t="str">
        <f t="shared" si="43"/>
        <v>A0570:八幡商事(株)</v>
      </c>
      <c r="S949" s="544">
        <f t="shared" si="44"/>
        <v>4.1899999999999999E-4</v>
      </c>
    </row>
    <row r="950" spans="2:19">
      <c r="B950" s="146"/>
      <c r="C950" s="146"/>
      <c r="D950" s="543" t="str">
        <f t="shared" si="42"/>
        <v/>
      </c>
      <c r="I950" s="146" t="s">
        <v>1372</v>
      </c>
      <c r="J950" s="146" t="s">
        <v>1882</v>
      </c>
      <c r="K950" s="544" t="s">
        <v>710</v>
      </c>
      <c r="L950" s="544">
        <v>0</v>
      </c>
      <c r="M950" s="544">
        <v>0</v>
      </c>
      <c r="N950" s="544">
        <v>0</v>
      </c>
      <c r="O950" s="544">
        <v>0</v>
      </c>
      <c r="P950" s="544">
        <v>0</v>
      </c>
      <c r="R950" s="543" t="str">
        <f t="shared" si="43"/>
        <v>A0571:おいでんエネルギー(株)メニューA</v>
      </c>
      <c r="S950" s="544">
        <f t="shared" si="44"/>
        <v>0</v>
      </c>
    </row>
    <row r="951" spans="2:19">
      <c r="B951" s="146"/>
      <c r="C951" s="146"/>
      <c r="D951" s="543" t="str">
        <f t="shared" si="42"/>
        <v/>
      </c>
      <c r="I951" s="146" t="s">
        <v>1372</v>
      </c>
      <c r="J951" s="146" t="s">
        <v>1882</v>
      </c>
      <c r="K951" s="544" t="s">
        <v>787</v>
      </c>
      <c r="L951" s="544">
        <v>0</v>
      </c>
      <c r="M951" s="544">
        <v>0</v>
      </c>
      <c r="N951" s="544">
        <v>0</v>
      </c>
      <c r="O951" s="544">
        <v>0</v>
      </c>
      <c r="P951" s="544">
        <v>0</v>
      </c>
      <c r="R951" s="543" t="str">
        <f t="shared" si="43"/>
        <v>A0571:おいでんエネルギー(株)メニューB</v>
      </c>
      <c r="S951" s="544">
        <f t="shared" si="44"/>
        <v>0</v>
      </c>
    </row>
    <row r="952" spans="2:19">
      <c r="B952" s="146"/>
      <c r="C952" s="146"/>
      <c r="D952" s="543" t="str">
        <f t="shared" si="42"/>
        <v/>
      </c>
      <c r="I952" s="146" t="s">
        <v>1372</v>
      </c>
      <c r="J952" s="146" t="s">
        <v>1882</v>
      </c>
      <c r="K952" s="544" t="s">
        <v>788</v>
      </c>
      <c r="L952" s="544">
        <v>4.2200000000000001E-4</v>
      </c>
      <c r="M952" s="544">
        <v>4.2200000000000001E-4</v>
      </c>
      <c r="N952" s="544">
        <v>4.2200000000000001E-4</v>
      </c>
      <c r="O952" s="544">
        <v>4.2200000000000001E-4</v>
      </c>
      <c r="P952" s="544">
        <v>4.2200000000000001E-4</v>
      </c>
      <c r="R952" s="543" t="str">
        <f t="shared" si="43"/>
        <v>A0571:おいでんエネルギー(株)メニューC</v>
      </c>
      <c r="S952" s="544">
        <f t="shared" si="44"/>
        <v>4.2200000000000001E-4</v>
      </c>
    </row>
    <row r="953" spans="2:19">
      <c r="B953" s="146"/>
      <c r="C953" s="146"/>
      <c r="D953" s="543" t="str">
        <f t="shared" si="42"/>
        <v/>
      </c>
      <c r="I953" s="146" t="s">
        <v>1372</v>
      </c>
      <c r="J953" s="146" t="s">
        <v>1882</v>
      </c>
      <c r="K953" s="544" t="s">
        <v>2058</v>
      </c>
      <c r="L953" s="544">
        <v>2.8E-5</v>
      </c>
      <c r="M953" s="544">
        <v>2.8E-5</v>
      </c>
      <c r="N953" s="544">
        <v>2.8E-5</v>
      </c>
      <c r="O953" s="544">
        <v>2.8E-5</v>
      </c>
      <c r="P953" s="544">
        <v>2.8E-5</v>
      </c>
      <c r="R953" s="543" t="str">
        <f t="shared" si="43"/>
        <v>A0571:おいでんエネルギー(株)(参考値)事業者全体</v>
      </c>
      <c r="S953" s="544">
        <f t="shared" si="44"/>
        <v>2.8E-5</v>
      </c>
    </row>
    <row r="954" spans="2:19">
      <c r="B954" s="146"/>
      <c r="C954" s="146"/>
      <c r="D954" s="543" t="str">
        <f t="shared" si="42"/>
        <v/>
      </c>
      <c r="I954" s="146" t="s">
        <v>1373</v>
      </c>
      <c r="J954" s="146" t="s">
        <v>1883</v>
      </c>
      <c r="K954" s="544"/>
      <c r="L954" s="544">
        <v>6.4300000000000002E-4</v>
      </c>
      <c r="M954" s="544">
        <v>6.4300000000000002E-4</v>
      </c>
      <c r="N954" s="544">
        <v>6.4300000000000002E-4</v>
      </c>
      <c r="O954" s="544">
        <v>6.4300000000000002E-4</v>
      </c>
      <c r="P954" s="544">
        <v>6.4300000000000002E-4</v>
      </c>
      <c r="R954" s="543" t="str">
        <f t="shared" si="43"/>
        <v>A0572:(株)イシオ</v>
      </c>
      <c r="S954" s="544">
        <f t="shared" si="44"/>
        <v>6.4300000000000002E-4</v>
      </c>
    </row>
    <row r="955" spans="2:19">
      <c r="B955" s="146"/>
      <c r="C955" s="146"/>
      <c r="D955" s="543" t="str">
        <f t="shared" si="42"/>
        <v/>
      </c>
      <c r="I955" s="146" t="s">
        <v>1374</v>
      </c>
      <c r="J955" s="146" t="s">
        <v>1884</v>
      </c>
      <c r="K955" s="544" t="s">
        <v>710</v>
      </c>
      <c r="L955" s="544">
        <v>0</v>
      </c>
      <c r="M955" s="544">
        <v>0</v>
      </c>
      <c r="N955" s="544">
        <v>0</v>
      </c>
      <c r="O955" s="544">
        <v>0</v>
      </c>
      <c r="P955" s="544">
        <v>0</v>
      </c>
      <c r="R955" s="543" t="str">
        <f t="shared" si="43"/>
        <v>A0573:北陸電力ビズ・エナジーソリューション(株)メニューA</v>
      </c>
      <c r="S955" s="544">
        <f t="shared" si="44"/>
        <v>0</v>
      </c>
    </row>
    <row r="956" spans="2:19">
      <c r="B956" s="146"/>
      <c r="C956" s="146"/>
      <c r="D956" s="543" t="str">
        <f t="shared" si="42"/>
        <v/>
      </c>
      <c r="I956" s="146" t="s">
        <v>1374</v>
      </c>
      <c r="J956" s="146" t="s">
        <v>1884</v>
      </c>
      <c r="K956" s="544" t="s">
        <v>787</v>
      </c>
      <c r="L956" s="544">
        <v>4.7399999999999997E-4</v>
      </c>
      <c r="M956" s="544">
        <v>4.7399999999999997E-4</v>
      </c>
      <c r="N956" s="544">
        <v>4.7399999999999997E-4</v>
      </c>
      <c r="O956" s="544">
        <v>4.7399999999999997E-4</v>
      </c>
      <c r="P956" s="544">
        <v>4.7399999999999997E-4</v>
      </c>
      <c r="R956" s="543" t="str">
        <f t="shared" si="43"/>
        <v>A0573:北陸電力ビズ・エナジーソリューション(株)メニューB</v>
      </c>
      <c r="S956" s="544">
        <f t="shared" si="44"/>
        <v>4.7399999999999997E-4</v>
      </c>
    </row>
    <row r="957" spans="2:19">
      <c r="B957" s="146"/>
      <c r="C957" s="146"/>
      <c r="D957" s="543" t="str">
        <f t="shared" si="42"/>
        <v/>
      </c>
      <c r="I957" s="146" t="s">
        <v>1374</v>
      </c>
      <c r="J957" s="146" t="s">
        <v>1884</v>
      </c>
      <c r="K957" s="544" t="s">
        <v>2058</v>
      </c>
      <c r="L957" s="544">
        <v>4.6999999999999999E-4</v>
      </c>
      <c r="M957" s="544">
        <v>4.6999999999999999E-4</v>
      </c>
      <c r="N957" s="544">
        <v>4.6999999999999999E-4</v>
      </c>
      <c r="O957" s="544">
        <v>4.6999999999999999E-4</v>
      </c>
      <c r="P957" s="544">
        <v>4.6999999999999999E-4</v>
      </c>
      <c r="R957" s="543" t="str">
        <f t="shared" si="43"/>
        <v>A0573:北陸電力ビズ・エナジーソリューション(株)(参考値)事業者全体</v>
      </c>
      <c r="S957" s="544">
        <f t="shared" si="44"/>
        <v>4.6999999999999999E-4</v>
      </c>
    </row>
    <row r="958" spans="2:19">
      <c r="B958" s="146"/>
      <c r="C958" s="146"/>
      <c r="D958" s="543" t="str">
        <f t="shared" si="42"/>
        <v/>
      </c>
      <c r="I958" s="146" t="s">
        <v>1375</v>
      </c>
      <c r="J958" s="146" t="s">
        <v>1885</v>
      </c>
      <c r="K958" s="544"/>
      <c r="L958" s="544">
        <v>6.1700000000000004E-4</v>
      </c>
      <c r="M958" s="544">
        <v>6.1700000000000004E-4</v>
      </c>
      <c r="N958" s="544">
        <v>6.1700000000000004E-4</v>
      </c>
      <c r="O958" s="544">
        <v>6.1700000000000004E-4</v>
      </c>
      <c r="P958" s="544">
        <v>6.1700000000000004E-4</v>
      </c>
      <c r="R958" s="543" t="str">
        <f t="shared" si="43"/>
        <v>A0574:リニューアブルトレード(株)</v>
      </c>
      <c r="S958" s="544">
        <f t="shared" si="44"/>
        <v>6.1700000000000004E-4</v>
      </c>
    </row>
    <row r="959" spans="2:19">
      <c r="B959" s="146"/>
      <c r="C959" s="146"/>
      <c r="D959" s="543" t="str">
        <f t="shared" si="42"/>
        <v/>
      </c>
      <c r="I959" s="146" t="s">
        <v>1376</v>
      </c>
      <c r="J959" s="146" t="s">
        <v>1886</v>
      </c>
      <c r="K959" s="544" t="s">
        <v>710</v>
      </c>
      <c r="L959" s="544">
        <v>0</v>
      </c>
      <c r="M959" s="544">
        <v>0</v>
      </c>
      <c r="N959" s="544">
        <v>0</v>
      </c>
      <c r="O959" s="544">
        <v>0</v>
      </c>
      <c r="P959" s="544">
        <v>0</v>
      </c>
      <c r="R959" s="543" t="str">
        <f t="shared" si="43"/>
        <v>A0577:ICT伊那みらいでんき(株)(旧:丸紅伊那みらいでんき(株))メニューA</v>
      </c>
      <c r="S959" s="544">
        <f t="shared" si="44"/>
        <v>0</v>
      </c>
    </row>
    <row r="960" spans="2:19">
      <c r="B960" s="146"/>
      <c r="C960" s="146"/>
      <c r="D960" s="543" t="str">
        <f t="shared" si="42"/>
        <v/>
      </c>
      <c r="I960" s="146" t="s">
        <v>1376</v>
      </c>
      <c r="J960" s="146" t="s">
        <v>1886</v>
      </c>
      <c r="K960" s="544" t="s">
        <v>787</v>
      </c>
      <c r="L960" s="544">
        <v>3.6699999999999998E-4</v>
      </c>
      <c r="M960" s="544">
        <v>3.6699999999999998E-4</v>
      </c>
      <c r="N960" s="544">
        <v>3.6699999999999998E-4</v>
      </c>
      <c r="O960" s="544">
        <v>3.6699999999999998E-4</v>
      </c>
      <c r="P960" s="544">
        <v>3.6699999999999998E-4</v>
      </c>
      <c r="R960" s="543" t="str">
        <f t="shared" si="43"/>
        <v>A0577:ICT伊那みらいでんき(株)(旧:丸紅伊那みらいでんき(株))メニューB</v>
      </c>
      <c r="S960" s="544">
        <f t="shared" si="44"/>
        <v>3.6699999999999998E-4</v>
      </c>
    </row>
    <row r="961" spans="2:19">
      <c r="B961" s="146"/>
      <c r="C961" s="146"/>
      <c r="D961" s="543" t="str">
        <f t="shared" si="42"/>
        <v/>
      </c>
      <c r="I961" s="146" t="s">
        <v>1376</v>
      </c>
      <c r="J961" s="146" t="s">
        <v>1886</v>
      </c>
      <c r="K961" s="544" t="s">
        <v>2058</v>
      </c>
      <c r="L961" s="544">
        <v>3.4299999999999999E-4</v>
      </c>
      <c r="M961" s="544">
        <v>3.4299999999999999E-4</v>
      </c>
      <c r="N961" s="544">
        <v>3.4299999999999999E-4</v>
      </c>
      <c r="O961" s="544">
        <v>3.4299999999999999E-4</v>
      </c>
      <c r="P961" s="544">
        <v>3.4299999999999999E-4</v>
      </c>
      <c r="R961" s="543" t="str">
        <f t="shared" si="43"/>
        <v>A0577:ICT伊那みらいでんき(株)(旧:丸紅伊那みらいでんき(株))(参考値)事業者全体</v>
      </c>
      <c r="S961" s="544">
        <f t="shared" si="44"/>
        <v>3.4299999999999999E-4</v>
      </c>
    </row>
    <row r="962" spans="2:19">
      <c r="B962" s="146"/>
      <c r="C962" s="146"/>
      <c r="D962" s="543" t="str">
        <f t="shared" si="42"/>
        <v/>
      </c>
      <c r="I962" s="146" t="s">
        <v>1377</v>
      </c>
      <c r="J962" s="146" t="s">
        <v>1887</v>
      </c>
      <c r="K962" s="544"/>
      <c r="L962" s="544">
        <v>5.1800000000000001E-4</v>
      </c>
      <c r="M962" s="544">
        <v>5.1800000000000001E-4</v>
      </c>
      <c r="N962" s="544">
        <v>5.1800000000000001E-4</v>
      </c>
      <c r="O962" s="544">
        <v>5.1800000000000001E-4</v>
      </c>
      <c r="P962" s="544">
        <v>5.1800000000000001E-4</v>
      </c>
      <c r="R962" s="543" t="str">
        <f t="shared" si="43"/>
        <v>A0578:富士山エナジー(株)</v>
      </c>
      <c r="S962" s="544">
        <f t="shared" si="44"/>
        <v>5.1800000000000001E-4</v>
      </c>
    </row>
    <row r="963" spans="2:19">
      <c r="B963" s="146"/>
      <c r="C963" s="146"/>
      <c r="D963" s="543" t="str">
        <f t="shared" si="42"/>
        <v/>
      </c>
      <c r="I963" s="146" t="s">
        <v>1378</v>
      </c>
      <c r="J963" s="146" t="s">
        <v>1888</v>
      </c>
      <c r="K963" s="544"/>
      <c r="L963" s="544">
        <v>4.1899999999999999E-4</v>
      </c>
      <c r="M963" s="544">
        <v>4.1899999999999999E-4</v>
      </c>
      <c r="N963" s="544">
        <v>4.1899999999999999E-4</v>
      </c>
      <c r="O963" s="544">
        <v>4.1899999999999999E-4</v>
      </c>
      <c r="P963" s="544">
        <v>4.1899999999999999E-4</v>
      </c>
      <c r="R963" s="543" t="str">
        <f t="shared" si="43"/>
        <v>A0581:WSエナジー(株)</v>
      </c>
      <c r="S963" s="544">
        <f t="shared" si="44"/>
        <v>4.1899999999999999E-4</v>
      </c>
    </row>
    <row r="964" spans="2:19">
      <c r="B964" s="146"/>
      <c r="C964" s="146"/>
      <c r="D964" s="543" t="str">
        <f t="shared" si="42"/>
        <v/>
      </c>
      <c r="I964" s="146" t="s">
        <v>1379</v>
      </c>
      <c r="J964" s="146" t="s">
        <v>1889</v>
      </c>
      <c r="K964" s="544" t="s">
        <v>710</v>
      </c>
      <c r="L964" s="544">
        <v>0</v>
      </c>
      <c r="M964" s="544">
        <v>0</v>
      </c>
      <c r="N964" s="544">
        <v>0</v>
      </c>
      <c r="O964" s="544">
        <v>0</v>
      </c>
      <c r="P964" s="544">
        <v>0</v>
      </c>
      <c r="R964" s="543" t="str">
        <f t="shared" si="43"/>
        <v>A0582:TERA Energy(株)メニューA</v>
      </c>
      <c r="S964" s="544">
        <f t="shared" si="44"/>
        <v>0</v>
      </c>
    </row>
    <row r="965" spans="2:19">
      <c r="B965" s="146"/>
      <c r="C965" s="146"/>
      <c r="D965" s="543" t="str">
        <f t="shared" si="42"/>
        <v/>
      </c>
      <c r="I965" s="146" t="s">
        <v>1379</v>
      </c>
      <c r="J965" s="146" t="s">
        <v>1889</v>
      </c>
      <c r="K965" s="544" t="s">
        <v>787</v>
      </c>
      <c r="L965" s="544">
        <v>4.0099999999999999E-4</v>
      </c>
      <c r="M965" s="544">
        <v>4.0099999999999999E-4</v>
      </c>
      <c r="N965" s="544">
        <v>4.0099999999999999E-4</v>
      </c>
      <c r="O965" s="544">
        <v>4.0099999999999999E-4</v>
      </c>
      <c r="P965" s="544">
        <v>4.0099999999999999E-4</v>
      </c>
      <c r="R965" s="543" t="str">
        <f t="shared" si="43"/>
        <v>A0582:TERA Energy(株)メニューB</v>
      </c>
      <c r="S965" s="544">
        <f t="shared" si="44"/>
        <v>4.0099999999999999E-4</v>
      </c>
    </row>
    <row r="966" spans="2:19">
      <c r="B966" s="146"/>
      <c r="C966" s="146"/>
      <c r="D966" s="543" t="str">
        <f t="shared" si="42"/>
        <v/>
      </c>
      <c r="I966" s="146" t="s">
        <v>1379</v>
      </c>
      <c r="J966" s="146" t="s">
        <v>1889</v>
      </c>
      <c r="K966" s="544" t="s">
        <v>2058</v>
      </c>
      <c r="L966" s="544">
        <v>3.97E-4</v>
      </c>
      <c r="M966" s="544">
        <v>3.97E-4</v>
      </c>
      <c r="N966" s="544">
        <v>3.97E-4</v>
      </c>
      <c r="O966" s="544">
        <v>3.97E-4</v>
      </c>
      <c r="P966" s="544">
        <v>3.97E-4</v>
      </c>
      <c r="R966" s="543" t="str">
        <f t="shared" si="43"/>
        <v>A0582:TERA Energy(株)(参考値)事業者全体</v>
      </c>
      <c r="S966" s="544">
        <f t="shared" si="44"/>
        <v>3.97E-4</v>
      </c>
    </row>
    <row r="967" spans="2:19">
      <c r="B967" s="146"/>
      <c r="C967" s="146"/>
      <c r="D967" s="543" t="str">
        <f t="shared" si="42"/>
        <v/>
      </c>
      <c r="I967" s="146" t="s">
        <v>1380</v>
      </c>
      <c r="J967" s="146" t="s">
        <v>1890</v>
      </c>
      <c r="K967" s="544" t="s">
        <v>710</v>
      </c>
      <c r="L967" s="544">
        <v>0</v>
      </c>
      <c r="M967" s="544">
        <v>0</v>
      </c>
      <c r="N967" s="544">
        <v>0</v>
      </c>
      <c r="O967" s="544">
        <v>0</v>
      </c>
      <c r="P967" s="544">
        <v>0</v>
      </c>
      <c r="R967" s="543" t="str">
        <f t="shared" si="43"/>
        <v>A0584:MCPD(株)メニューA</v>
      </c>
      <c r="S967" s="544">
        <f t="shared" si="44"/>
        <v>0</v>
      </c>
    </row>
    <row r="968" spans="2:19">
      <c r="B968" s="146"/>
      <c r="C968" s="146"/>
      <c r="D968" s="543" t="str">
        <f t="shared" si="42"/>
        <v/>
      </c>
      <c r="I968" s="146" t="s">
        <v>1380</v>
      </c>
      <c r="J968" s="146" t="s">
        <v>1890</v>
      </c>
      <c r="K968" s="544" t="s">
        <v>787</v>
      </c>
      <c r="L968" s="544">
        <v>3.3399999999999999E-4</v>
      </c>
      <c r="M968" s="544">
        <v>3.3399999999999999E-4</v>
      </c>
      <c r="N968" s="544">
        <v>3.3399999999999999E-4</v>
      </c>
      <c r="O968" s="544">
        <v>3.3399999999999999E-4</v>
      </c>
      <c r="P968" s="544">
        <v>3.3399999999999999E-4</v>
      </c>
      <c r="R968" s="543" t="str">
        <f t="shared" si="43"/>
        <v>A0584:MCPD(株)メニューB</v>
      </c>
      <c r="S968" s="544">
        <f t="shared" si="44"/>
        <v>3.3399999999999999E-4</v>
      </c>
    </row>
    <row r="969" spans="2:19">
      <c r="B969" s="146"/>
      <c r="C969" s="146"/>
      <c r="D969" s="543" t="str">
        <f t="shared" si="42"/>
        <v/>
      </c>
      <c r="I969" s="146" t="s">
        <v>1380</v>
      </c>
      <c r="J969" s="146" t="s">
        <v>1890</v>
      </c>
      <c r="K969" s="544" t="s">
        <v>2058</v>
      </c>
      <c r="L969" s="544">
        <v>3.0000000000000001E-5</v>
      </c>
      <c r="M969" s="544">
        <v>3.0000000000000001E-5</v>
      </c>
      <c r="N969" s="544">
        <v>3.0000000000000001E-5</v>
      </c>
      <c r="O969" s="544">
        <v>3.0000000000000001E-5</v>
      </c>
      <c r="P969" s="544">
        <v>3.0000000000000001E-5</v>
      </c>
      <c r="R969" s="543" t="str">
        <f t="shared" si="43"/>
        <v>A0584:MCPD(株)(参考値)事業者全体</v>
      </c>
      <c r="S969" s="544">
        <f t="shared" si="44"/>
        <v>3.0000000000000001E-5</v>
      </c>
    </row>
    <row r="970" spans="2:19">
      <c r="B970" s="146"/>
      <c r="C970" s="146"/>
      <c r="D970" s="543" t="str">
        <f t="shared" ref="D970:D1033" si="45">IF(B970="","",B970&amp;":"&amp;C970)</f>
        <v/>
      </c>
      <c r="I970" s="146" t="s">
        <v>1381</v>
      </c>
      <c r="J970" s="146" t="s">
        <v>1891</v>
      </c>
      <c r="K970" s="544"/>
      <c r="L970" s="544">
        <v>5.3700000000000004E-4</v>
      </c>
      <c r="M970" s="544">
        <v>5.3700000000000004E-4</v>
      </c>
      <c r="N970" s="544">
        <v>5.3700000000000004E-4</v>
      </c>
      <c r="O970" s="544">
        <v>5.3700000000000004E-4</v>
      </c>
      <c r="P970" s="544">
        <v>5.3700000000000004E-4</v>
      </c>
      <c r="R970" s="543" t="str">
        <f t="shared" ref="R970:R1033" si="46">I970&amp;":"&amp;J970&amp;K970</f>
        <v>A0586:グリーンシティこばやし(株)</v>
      </c>
      <c r="S970" s="544">
        <f t="shared" ref="S970:S1033" si="47">HLOOKUP($S$8,$L$8:$P$2000,ROW()-7,FALSE)</f>
        <v>5.3700000000000004E-4</v>
      </c>
    </row>
    <row r="971" spans="2:19">
      <c r="B971" s="146"/>
      <c r="C971" s="146"/>
      <c r="D971" s="543" t="str">
        <f t="shared" si="45"/>
        <v/>
      </c>
      <c r="I971" s="146" t="s">
        <v>1382</v>
      </c>
      <c r="J971" s="146" t="s">
        <v>1892</v>
      </c>
      <c r="K971" s="544"/>
      <c r="L971" s="544">
        <v>4.17E-4</v>
      </c>
      <c r="M971" s="544">
        <v>4.17E-4</v>
      </c>
      <c r="N971" s="544">
        <v>4.17E-4</v>
      </c>
      <c r="O971" s="544">
        <v>4.17E-4</v>
      </c>
      <c r="P971" s="544">
        <v>4.17E-4</v>
      </c>
      <c r="R971" s="543" t="str">
        <f t="shared" si="46"/>
        <v>A0587:(株)吉田石油店</v>
      </c>
      <c r="S971" s="544">
        <f t="shared" si="47"/>
        <v>4.17E-4</v>
      </c>
    </row>
    <row r="972" spans="2:19">
      <c r="B972" s="146"/>
      <c r="C972" s="146"/>
      <c r="D972" s="543" t="str">
        <f t="shared" si="45"/>
        <v/>
      </c>
      <c r="I972" s="146" t="s">
        <v>1383</v>
      </c>
      <c r="J972" s="146" t="s">
        <v>1893</v>
      </c>
      <c r="K972" s="544"/>
      <c r="L972" s="544">
        <v>0</v>
      </c>
      <c r="M972" s="544">
        <v>0</v>
      </c>
      <c r="N972" s="544">
        <v>0</v>
      </c>
      <c r="O972" s="544">
        <v>0</v>
      </c>
      <c r="P972" s="544">
        <v>0</v>
      </c>
      <c r="R972" s="543" t="str">
        <f t="shared" si="46"/>
        <v>A0589:スマートエナジー熊本(株)</v>
      </c>
      <c r="S972" s="544">
        <f t="shared" si="47"/>
        <v>0</v>
      </c>
    </row>
    <row r="973" spans="2:19">
      <c r="B973" s="146"/>
      <c r="C973" s="146"/>
      <c r="D973" s="543" t="str">
        <f t="shared" si="45"/>
        <v/>
      </c>
      <c r="I973" s="146" t="s">
        <v>1384</v>
      </c>
      <c r="J973" s="146" t="s">
        <v>1894</v>
      </c>
      <c r="K973" s="544" t="s">
        <v>710</v>
      </c>
      <c r="L973" s="544">
        <v>0</v>
      </c>
      <c r="M973" s="544">
        <v>0</v>
      </c>
      <c r="N973" s="544">
        <v>0</v>
      </c>
      <c r="O973" s="544">
        <v>0</v>
      </c>
      <c r="P973" s="544">
        <v>0</v>
      </c>
      <c r="R973" s="543" t="str">
        <f t="shared" si="46"/>
        <v>A0590:福山未来エナジー(株)メニューA</v>
      </c>
      <c r="S973" s="544">
        <f t="shared" si="47"/>
        <v>0</v>
      </c>
    </row>
    <row r="974" spans="2:19">
      <c r="B974" s="146"/>
      <c r="C974" s="146"/>
      <c r="D974" s="543" t="str">
        <f t="shared" si="45"/>
        <v/>
      </c>
      <c r="I974" s="146" t="s">
        <v>1384</v>
      </c>
      <c r="J974" s="146" t="s">
        <v>1894</v>
      </c>
      <c r="K974" s="544" t="s">
        <v>787</v>
      </c>
      <c r="L974" s="544">
        <v>1.7200000000000001E-4</v>
      </c>
      <c r="M974" s="544">
        <v>1.7200000000000001E-4</v>
      </c>
      <c r="N974" s="544">
        <v>1.7200000000000001E-4</v>
      </c>
      <c r="O974" s="544">
        <v>1.7200000000000001E-4</v>
      </c>
      <c r="P974" s="544">
        <v>1.7200000000000001E-4</v>
      </c>
      <c r="R974" s="543" t="str">
        <f t="shared" si="46"/>
        <v>A0590:福山未来エナジー(株)メニューB</v>
      </c>
      <c r="S974" s="544">
        <f t="shared" si="47"/>
        <v>1.7200000000000001E-4</v>
      </c>
    </row>
    <row r="975" spans="2:19">
      <c r="B975" s="146"/>
      <c r="C975" s="146"/>
      <c r="D975" s="543" t="str">
        <f t="shared" si="45"/>
        <v/>
      </c>
      <c r="I975" s="146" t="s">
        <v>1384</v>
      </c>
      <c r="J975" s="146" t="s">
        <v>1894</v>
      </c>
      <c r="K975" s="544" t="s">
        <v>2058</v>
      </c>
      <c r="L975" s="544">
        <v>1.2999999999999999E-4</v>
      </c>
      <c r="M975" s="544">
        <v>1.2999999999999999E-4</v>
      </c>
      <c r="N975" s="544">
        <v>1.2999999999999999E-4</v>
      </c>
      <c r="O975" s="544">
        <v>1.2999999999999999E-4</v>
      </c>
      <c r="P975" s="544">
        <v>1.2999999999999999E-4</v>
      </c>
      <c r="R975" s="543" t="str">
        <f t="shared" si="46"/>
        <v>A0590:福山未来エナジー(株)(参考値)事業者全体</v>
      </c>
      <c r="S975" s="544">
        <f t="shared" si="47"/>
        <v>1.2999999999999999E-4</v>
      </c>
    </row>
    <row r="976" spans="2:19">
      <c r="B976" s="146"/>
      <c r="C976" s="146"/>
      <c r="D976" s="543" t="str">
        <f t="shared" si="45"/>
        <v/>
      </c>
      <c r="I976" s="146" t="s">
        <v>1385</v>
      </c>
      <c r="J976" s="146" t="s">
        <v>1895</v>
      </c>
      <c r="K976" s="544" t="s">
        <v>710</v>
      </c>
      <c r="L976" s="544">
        <v>0</v>
      </c>
      <c r="M976" s="544">
        <v>0</v>
      </c>
      <c r="N976" s="544">
        <v>0</v>
      </c>
      <c r="O976" s="544">
        <v>0</v>
      </c>
      <c r="P976" s="544">
        <v>0</v>
      </c>
      <c r="R976" s="543" t="str">
        <f t="shared" si="46"/>
        <v>A0596:五島市民電力(株)メニューA</v>
      </c>
      <c r="S976" s="544">
        <f t="shared" si="47"/>
        <v>0</v>
      </c>
    </row>
    <row r="977" spans="2:19">
      <c r="B977" s="146"/>
      <c r="C977" s="146"/>
      <c r="D977" s="543" t="str">
        <f t="shared" si="45"/>
        <v/>
      </c>
      <c r="I977" s="146" t="s">
        <v>1385</v>
      </c>
      <c r="J977" s="146" t="s">
        <v>1895</v>
      </c>
      <c r="K977" s="544" t="s">
        <v>787</v>
      </c>
      <c r="L977" s="544">
        <v>0</v>
      </c>
      <c r="M977" s="544">
        <v>0</v>
      </c>
      <c r="N977" s="544">
        <v>0</v>
      </c>
      <c r="O977" s="544">
        <v>0</v>
      </c>
      <c r="P977" s="544">
        <v>0</v>
      </c>
      <c r="R977" s="543" t="str">
        <f t="shared" si="46"/>
        <v>A0596:五島市民電力(株)メニューB</v>
      </c>
      <c r="S977" s="544">
        <f t="shared" si="47"/>
        <v>0</v>
      </c>
    </row>
    <row r="978" spans="2:19">
      <c r="B978" s="146"/>
      <c r="C978" s="146"/>
      <c r="D978" s="543" t="str">
        <f t="shared" si="45"/>
        <v/>
      </c>
      <c r="I978" s="146" t="s">
        <v>1385</v>
      </c>
      <c r="J978" s="146" t="s">
        <v>1895</v>
      </c>
      <c r="K978" s="544" t="s">
        <v>788</v>
      </c>
      <c r="L978" s="544">
        <v>6.4999999999999997E-4</v>
      </c>
      <c r="M978" s="544">
        <v>6.4999999999999997E-4</v>
      </c>
      <c r="N978" s="544">
        <v>6.4999999999999997E-4</v>
      </c>
      <c r="O978" s="544">
        <v>6.4999999999999997E-4</v>
      </c>
      <c r="P978" s="544">
        <v>6.4999999999999997E-4</v>
      </c>
      <c r="R978" s="543" t="str">
        <f t="shared" si="46"/>
        <v>A0596:五島市民電力(株)メニューC</v>
      </c>
      <c r="S978" s="544">
        <f t="shared" si="47"/>
        <v>6.4999999999999997E-4</v>
      </c>
    </row>
    <row r="979" spans="2:19">
      <c r="B979" s="146"/>
      <c r="C979" s="146"/>
      <c r="D979" s="543" t="str">
        <f t="shared" si="45"/>
        <v/>
      </c>
      <c r="I979" s="146" t="s">
        <v>1385</v>
      </c>
      <c r="J979" s="146" t="s">
        <v>1895</v>
      </c>
      <c r="K979" s="544" t="s">
        <v>2058</v>
      </c>
      <c r="L979" s="544">
        <v>2.6200000000000003E-4</v>
      </c>
      <c r="M979" s="544">
        <v>2.6200000000000003E-4</v>
      </c>
      <c r="N979" s="544">
        <v>2.6200000000000003E-4</v>
      </c>
      <c r="O979" s="544">
        <v>2.6200000000000003E-4</v>
      </c>
      <c r="P979" s="544">
        <v>2.6200000000000003E-4</v>
      </c>
      <c r="R979" s="543" t="str">
        <f t="shared" si="46"/>
        <v>A0596:五島市民電力(株)(参考値)事業者全体</v>
      </c>
      <c r="S979" s="544">
        <f t="shared" si="47"/>
        <v>2.6200000000000003E-4</v>
      </c>
    </row>
    <row r="980" spans="2:19">
      <c r="B980" s="146"/>
      <c r="C980" s="146"/>
      <c r="D980" s="543" t="str">
        <f t="shared" si="45"/>
        <v/>
      </c>
      <c r="I980" s="146" t="s">
        <v>1386</v>
      </c>
      <c r="J980" s="146" t="s">
        <v>1896</v>
      </c>
      <c r="K980" s="544"/>
      <c r="L980" s="544">
        <v>6.1799999999999995E-4</v>
      </c>
      <c r="M980" s="544">
        <v>6.1799999999999995E-4</v>
      </c>
      <c r="N980" s="544">
        <v>6.1799999999999995E-4</v>
      </c>
      <c r="O980" s="544">
        <v>6.1799999999999995E-4</v>
      </c>
      <c r="P980" s="544">
        <v>6.1799999999999995E-4</v>
      </c>
      <c r="R980" s="543" t="str">
        <f t="shared" si="46"/>
        <v>A0598:リストプロパティーズ(株)</v>
      </c>
      <c r="S980" s="544">
        <f t="shared" si="47"/>
        <v>6.1799999999999995E-4</v>
      </c>
    </row>
    <row r="981" spans="2:19">
      <c r="B981" s="146"/>
      <c r="C981" s="146"/>
      <c r="D981" s="543" t="str">
        <f t="shared" si="45"/>
        <v/>
      </c>
      <c r="I981" s="146" t="s">
        <v>1387</v>
      </c>
      <c r="J981" s="146" t="s">
        <v>1897</v>
      </c>
      <c r="K981" s="544"/>
      <c r="L981" s="544">
        <v>4.5399999999999998E-4</v>
      </c>
      <c r="M981" s="544">
        <v>4.5399999999999998E-4</v>
      </c>
      <c r="N981" s="544">
        <v>4.5399999999999998E-4</v>
      </c>
      <c r="O981" s="544">
        <v>4.5399999999999998E-4</v>
      </c>
      <c r="P981" s="544">
        <v>4.5399999999999998E-4</v>
      </c>
      <c r="R981" s="543" t="str">
        <f t="shared" si="46"/>
        <v>A0602:(株)情熱電力</v>
      </c>
      <c r="S981" s="544">
        <f t="shared" si="47"/>
        <v>4.5399999999999998E-4</v>
      </c>
    </row>
    <row r="982" spans="2:19">
      <c r="B982" s="146"/>
      <c r="C982" s="146"/>
      <c r="D982" s="543" t="str">
        <f t="shared" si="45"/>
        <v/>
      </c>
      <c r="I982" s="146" t="s">
        <v>1388</v>
      </c>
      <c r="J982" s="146" t="s">
        <v>1898</v>
      </c>
      <c r="K982" s="544" t="s">
        <v>710</v>
      </c>
      <c r="L982" s="544">
        <v>0</v>
      </c>
      <c r="M982" s="544">
        <v>0</v>
      </c>
      <c r="N982" s="544">
        <v>0</v>
      </c>
      <c r="O982" s="544">
        <v>0</v>
      </c>
      <c r="P982" s="544">
        <v>0</v>
      </c>
      <c r="R982" s="543" t="str">
        <f t="shared" si="46"/>
        <v>A0603:バンプーパワートレーディング合同会社メニューA</v>
      </c>
      <c r="S982" s="544">
        <f t="shared" si="47"/>
        <v>0</v>
      </c>
    </row>
    <row r="983" spans="2:19">
      <c r="B983" s="146"/>
      <c r="C983" s="146"/>
      <c r="D983" s="543" t="str">
        <f t="shared" si="45"/>
        <v/>
      </c>
      <c r="I983" s="146" t="s">
        <v>1388</v>
      </c>
      <c r="J983" s="146" t="s">
        <v>1898</v>
      </c>
      <c r="K983" s="544" t="s">
        <v>787</v>
      </c>
      <c r="L983" s="544">
        <v>1.94E-4</v>
      </c>
      <c r="M983" s="544">
        <v>1.94E-4</v>
      </c>
      <c r="N983" s="544">
        <v>1.94E-4</v>
      </c>
      <c r="O983" s="544">
        <v>1.94E-4</v>
      </c>
      <c r="P983" s="544">
        <v>1.94E-4</v>
      </c>
      <c r="R983" s="543" t="str">
        <f t="shared" si="46"/>
        <v>A0603:バンプーパワートレーディング合同会社メニューB</v>
      </c>
      <c r="S983" s="544">
        <f t="shared" si="47"/>
        <v>1.94E-4</v>
      </c>
    </row>
    <row r="984" spans="2:19">
      <c r="B984" s="146"/>
      <c r="C984" s="146"/>
      <c r="D984" s="543" t="str">
        <f t="shared" si="45"/>
        <v/>
      </c>
      <c r="I984" s="146" t="s">
        <v>1388</v>
      </c>
      <c r="J984" s="146" t="s">
        <v>1898</v>
      </c>
      <c r="K984" s="544" t="s">
        <v>2058</v>
      </c>
      <c r="L984" s="544">
        <v>1.94E-4</v>
      </c>
      <c r="M984" s="544">
        <v>1.94E-4</v>
      </c>
      <c r="N984" s="544">
        <v>1.94E-4</v>
      </c>
      <c r="O984" s="544">
        <v>1.94E-4</v>
      </c>
      <c r="P984" s="544">
        <v>1.94E-4</v>
      </c>
      <c r="R984" s="543" t="str">
        <f t="shared" si="46"/>
        <v>A0603:バンプーパワートレーディング合同会社(参考値)事業者全体</v>
      </c>
      <c r="S984" s="544">
        <f t="shared" si="47"/>
        <v>1.94E-4</v>
      </c>
    </row>
    <row r="985" spans="2:19">
      <c r="B985" s="146"/>
      <c r="C985" s="146"/>
      <c r="D985" s="543" t="str">
        <f t="shared" si="45"/>
        <v/>
      </c>
      <c r="I985" s="146" t="s">
        <v>1389</v>
      </c>
      <c r="J985" s="146" t="s">
        <v>1899</v>
      </c>
      <c r="K985" s="544"/>
      <c r="L985" s="544">
        <v>6.3699999999999998E-4</v>
      </c>
      <c r="M985" s="544">
        <v>6.3699999999999998E-4</v>
      </c>
      <c r="N985" s="544">
        <v>6.3699999999999998E-4</v>
      </c>
      <c r="O985" s="544">
        <v>6.3699999999999998E-4</v>
      </c>
      <c r="P985" s="544">
        <v>6.3699999999999998E-4</v>
      </c>
      <c r="R985" s="543" t="str">
        <f t="shared" si="46"/>
        <v>A0605:(株)センカク</v>
      </c>
      <c r="S985" s="544">
        <f t="shared" si="47"/>
        <v>6.3699999999999998E-4</v>
      </c>
    </row>
    <row r="986" spans="2:19">
      <c r="B986" s="146"/>
      <c r="C986" s="146"/>
      <c r="D986" s="543" t="str">
        <f t="shared" si="45"/>
        <v/>
      </c>
      <c r="I986" s="146" t="s">
        <v>1390</v>
      </c>
      <c r="J986" s="146" t="s">
        <v>1900</v>
      </c>
      <c r="K986" s="544"/>
      <c r="L986" s="544">
        <v>5.0100000000000003E-4</v>
      </c>
      <c r="M986" s="544">
        <v>5.0100000000000003E-4</v>
      </c>
      <c r="N986" s="544">
        <v>5.0100000000000003E-4</v>
      </c>
      <c r="O986" s="544">
        <v>5.0100000000000003E-4</v>
      </c>
      <c r="P986" s="544">
        <v>5.0100000000000003E-4</v>
      </c>
      <c r="R986" s="543" t="str">
        <f t="shared" si="46"/>
        <v>A0609:(株)ミナサポ</v>
      </c>
      <c r="S986" s="544">
        <f t="shared" si="47"/>
        <v>5.0100000000000003E-4</v>
      </c>
    </row>
    <row r="987" spans="2:19">
      <c r="B987" s="146"/>
      <c r="C987" s="146"/>
      <c r="D987" s="543" t="str">
        <f t="shared" si="45"/>
        <v/>
      </c>
      <c r="I987" s="146" t="s">
        <v>1391</v>
      </c>
      <c r="J987" s="146" t="s">
        <v>1901</v>
      </c>
      <c r="K987" s="544"/>
      <c r="L987" s="544">
        <v>4.26E-4</v>
      </c>
      <c r="M987" s="544">
        <v>4.26E-4</v>
      </c>
      <c r="N987" s="544">
        <v>4.26E-4</v>
      </c>
      <c r="O987" s="544">
        <v>4.26E-4</v>
      </c>
      <c r="P987" s="544">
        <v>4.26E-4</v>
      </c>
      <c r="R987" s="543" t="str">
        <f t="shared" si="46"/>
        <v>A0610:唐津電力(株)</v>
      </c>
      <c r="S987" s="544">
        <f t="shared" si="47"/>
        <v>4.26E-4</v>
      </c>
    </row>
    <row r="988" spans="2:19">
      <c r="B988" s="146"/>
      <c r="C988" s="146"/>
      <c r="D988" s="543" t="str">
        <f t="shared" si="45"/>
        <v/>
      </c>
      <c r="I988" s="146" t="s">
        <v>1392</v>
      </c>
      <c r="J988" s="146" t="s">
        <v>1902</v>
      </c>
      <c r="K988" s="544" t="s">
        <v>710</v>
      </c>
      <c r="L988" s="544">
        <v>0</v>
      </c>
      <c r="M988" s="544">
        <v>0</v>
      </c>
      <c r="N988" s="544">
        <v>0</v>
      </c>
      <c r="O988" s="544">
        <v>0</v>
      </c>
      <c r="P988" s="544">
        <v>0</v>
      </c>
      <c r="R988" s="543" t="str">
        <f t="shared" si="46"/>
        <v>A0611:RE100電力(株)メニューA</v>
      </c>
      <c r="S988" s="544">
        <f t="shared" si="47"/>
        <v>0</v>
      </c>
    </row>
    <row r="989" spans="2:19">
      <c r="B989" s="146"/>
      <c r="C989" s="146"/>
      <c r="D989" s="543" t="str">
        <f t="shared" si="45"/>
        <v/>
      </c>
      <c r="I989" s="146" t="s">
        <v>1392</v>
      </c>
      <c r="J989" s="146" t="s">
        <v>1902</v>
      </c>
      <c r="K989" s="544" t="s">
        <v>787</v>
      </c>
      <c r="L989" s="544">
        <v>1.64E-4</v>
      </c>
      <c r="M989" s="544">
        <v>1.64E-4</v>
      </c>
      <c r="N989" s="544">
        <v>1.64E-4</v>
      </c>
      <c r="O989" s="544">
        <v>1.64E-4</v>
      </c>
      <c r="P989" s="544">
        <v>1.64E-4</v>
      </c>
      <c r="R989" s="543" t="str">
        <f t="shared" si="46"/>
        <v>A0611:RE100電力(株)メニューB</v>
      </c>
      <c r="S989" s="544">
        <f t="shared" si="47"/>
        <v>1.64E-4</v>
      </c>
    </row>
    <row r="990" spans="2:19">
      <c r="B990" s="146"/>
      <c r="C990" s="146"/>
      <c r="D990" s="543" t="str">
        <f t="shared" si="45"/>
        <v/>
      </c>
      <c r="I990" s="146" t="s">
        <v>1392</v>
      </c>
      <c r="J990" s="146" t="s">
        <v>1902</v>
      </c>
      <c r="K990" s="544" t="s">
        <v>788</v>
      </c>
      <c r="L990" s="544">
        <v>2.7399999999999999E-4</v>
      </c>
      <c r="M990" s="544">
        <v>2.7399999999999999E-4</v>
      </c>
      <c r="N990" s="544">
        <v>2.7399999999999999E-4</v>
      </c>
      <c r="O990" s="544">
        <v>2.7399999999999999E-4</v>
      </c>
      <c r="P990" s="544">
        <v>2.7399999999999999E-4</v>
      </c>
      <c r="R990" s="543" t="str">
        <f t="shared" si="46"/>
        <v>A0611:RE100電力(株)メニューC</v>
      </c>
      <c r="S990" s="544">
        <f t="shared" si="47"/>
        <v>2.7399999999999999E-4</v>
      </c>
    </row>
    <row r="991" spans="2:19">
      <c r="B991" s="146"/>
      <c r="C991" s="146"/>
      <c r="D991" s="543" t="str">
        <f t="shared" si="45"/>
        <v/>
      </c>
      <c r="I991" s="146" t="s">
        <v>1392</v>
      </c>
      <c r="J991" s="146" t="s">
        <v>1902</v>
      </c>
      <c r="K991" s="544" t="s">
        <v>974</v>
      </c>
      <c r="L991" s="544">
        <v>2.9500000000000001E-4</v>
      </c>
      <c r="M991" s="544">
        <v>2.9500000000000001E-4</v>
      </c>
      <c r="N991" s="544">
        <v>2.9500000000000001E-4</v>
      </c>
      <c r="O991" s="544">
        <v>2.9500000000000001E-4</v>
      </c>
      <c r="P991" s="544">
        <v>2.9500000000000001E-4</v>
      </c>
      <c r="R991" s="543" t="str">
        <f t="shared" si="46"/>
        <v>A0611:RE100電力(株)メニューD</v>
      </c>
      <c r="S991" s="544">
        <f t="shared" si="47"/>
        <v>2.9500000000000001E-4</v>
      </c>
    </row>
    <row r="992" spans="2:19">
      <c r="B992" s="146"/>
      <c r="C992" s="146"/>
      <c r="D992" s="543" t="str">
        <f t="shared" si="45"/>
        <v/>
      </c>
      <c r="I992" s="146" t="s">
        <v>1392</v>
      </c>
      <c r="J992" s="146" t="s">
        <v>1902</v>
      </c>
      <c r="K992" s="544" t="s">
        <v>975</v>
      </c>
      <c r="L992" s="544">
        <v>4.8799999999999999E-4</v>
      </c>
      <c r="M992" s="544">
        <v>4.8799999999999999E-4</v>
      </c>
      <c r="N992" s="544">
        <v>4.8799999999999999E-4</v>
      </c>
      <c r="O992" s="544">
        <v>4.8799999999999999E-4</v>
      </c>
      <c r="P992" s="544">
        <v>4.8799999999999999E-4</v>
      </c>
      <c r="R992" s="543" t="str">
        <f t="shared" si="46"/>
        <v>A0611:RE100電力(株)メニューE</v>
      </c>
      <c r="S992" s="544">
        <f t="shared" si="47"/>
        <v>4.8799999999999999E-4</v>
      </c>
    </row>
    <row r="993" spans="2:19">
      <c r="B993" s="146"/>
      <c r="C993" s="146"/>
      <c r="D993" s="543" t="str">
        <f t="shared" si="45"/>
        <v/>
      </c>
      <c r="I993" s="146" t="s">
        <v>1392</v>
      </c>
      <c r="J993" s="146" t="s">
        <v>1902</v>
      </c>
      <c r="K993" s="544" t="s">
        <v>2058</v>
      </c>
      <c r="L993" s="544">
        <v>3.48E-4</v>
      </c>
      <c r="M993" s="544">
        <v>3.48E-4</v>
      </c>
      <c r="N993" s="544">
        <v>3.48E-4</v>
      </c>
      <c r="O993" s="544">
        <v>3.48E-4</v>
      </c>
      <c r="P993" s="544">
        <v>3.48E-4</v>
      </c>
      <c r="R993" s="543" t="str">
        <f t="shared" si="46"/>
        <v>A0611:RE100電力(株)(参考値)事業者全体</v>
      </c>
      <c r="S993" s="544">
        <f t="shared" si="47"/>
        <v>3.48E-4</v>
      </c>
    </row>
    <row r="994" spans="2:19">
      <c r="B994" s="146"/>
      <c r="C994" s="146"/>
      <c r="D994" s="543" t="str">
        <f t="shared" si="45"/>
        <v/>
      </c>
      <c r="I994" s="146" t="s">
        <v>1393</v>
      </c>
      <c r="J994" s="146" t="s">
        <v>1903</v>
      </c>
      <c r="K994" s="544"/>
      <c r="L994" s="544">
        <v>5.9000000000000003E-4</v>
      </c>
      <c r="M994" s="544">
        <v>5.9000000000000003E-4</v>
      </c>
      <c r="N994" s="544">
        <v>5.9000000000000003E-4</v>
      </c>
      <c r="O994" s="544">
        <v>5.9000000000000003E-4</v>
      </c>
      <c r="P994" s="544">
        <v>5.9000000000000003E-4</v>
      </c>
      <c r="R994" s="543" t="str">
        <f t="shared" si="46"/>
        <v>A0612:日本エネルギーファーム(株)</v>
      </c>
      <c r="S994" s="544">
        <f t="shared" si="47"/>
        <v>5.9000000000000003E-4</v>
      </c>
    </row>
    <row r="995" spans="2:19">
      <c r="B995" s="146"/>
      <c r="C995" s="146"/>
      <c r="D995" s="543" t="str">
        <f t="shared" si="45"/>
        <v/>
      </c>
      <c r="I995" s="146" t="s">
        <v>1394</v>
      </c>
      <c r="J995" s="146" t="s">
        <v>1904</v>
      </c>
      <c r="K995" s="544"/>
      <c r="L995" s="544">
        <v>3.86E-4</v>
      </c>
      <c r="M995" s="544">
        <v>3.86E-4</v>
      </c>
      <c r="N995" s="544">
        <v>3.86E-4</v>
      </c>
      <c r="O995" s="544">
        <v>3.86E-4</v>
      </c>
      <c r="P995" s="544">
        <v>3.86E-4</v>
      </c>
      <c r="R995" s="543" t="str">
        <f t="shared" si="46"/>
        <v>A0615:(株)イーネットワーク</v>
      </c>
      <c r="S995" s="544">
        <f t="shared" si="47"/>
        <v>3.86E-4</v>
      </c>
    </row>
    <row r="996" spans="2:19">
      <c r="B996" s="146"/>
      <c r="C996" s="146"/>
      <c r="D996" s="543" t="str">
        <f t="shared" si="45"/>
        <v/>
      </c>
      <c r="I996" s="146" t="s">
        <v>1395</v>
      </c>
      <c r="J996" s="146" t="s">
        <v>1905</v>
      </c>
      <c r="K996" s="544" t="s">
        <v>710</v>
      </c>
      <c r="L996" s="544">
        <v>0</v>
      </c>
      <c r="M996" s="544">
        <v>0</v>
      </c>
      <c r="N996" s="544">
        <v>0</v>
      </c>
      <c r="O996" s="544">
        <v>0</v>
      </c>
      <c r="P996" s="544">
        <v>0</v>
      </c>
      <c r="R996" s="543" t="str">
        <f t="shared" si="46"/>
        <v>A0617:スマートエコエナジー(株)メニューA</v>
      </c>
      <c r="S996" s="544">
        <f t="shared" si="47"/>
        <v>0</v>
      </c>
    </row>
    <row r="997" spans="2:19">
      <c r="B997" s="146"/>
      <c r="C997" s="146"/>
      <c r="D997" s="543" t="str">
        <f t="shared" si="45"/>
        <v/>
      </c>
      <c r="I997" s="146" t="s">
        <v>1395</v>
      </c>
      <c r="J997" s="146" t="s">
        <v>1905</v>
      </c>
      <c r="K997" s="544" t="s">
        <v>787</v>
      </c>
      <c r="L997" s="544">
        <v>0</v>
      </c>
      <c r="M997" s="544">
        <v>0</v>
      </c>
      <c r="N997" s="544">
        <v>0</v>
      </c>
      <c r="O997" s="544">
        <v>0</v>
      </c>
      <c r="P997" s="544">
        <v>0</v>
      </c>
      <c r="R997" s="543" t="str">
        <f t="shared" si="46"/>
        <v>A0617:スマートエコエナジー(株)メニューB</v>
      </c>
      <c r="S997" s="544">
        <f t="shared" si="47"/>
        <v>0</v>
      </c>
    </row>
    <row r="998" spans="2:19">
      <c r="B998" s="146"/>
      <c r="C998" s="146"/>
      <c r="D998" s="543" t="str">
        <f t="shared" si="45"/>
        <v/>
      </c>
      <c r="I998" s="146" t="s">
        <v>1395</v>
      </c>
      <c r="J998" s="146" t="s">
        <v>1905</v>
      </c>
      <c r="K998" s="544" t="s">
        <v>788</v>
      </c>
      <c r="L998" s="544">
        <v>3.7800000000000003E-4</v>
      </c>
      <c r="M998" s="544">
        <v>3.7800000000000003E-4</v>
      </c>
      <c r="N998" s="544">
        <v>3.7800000000000003E-4</v>
      </c>
      <c r="O998" s="544">
        <v>3.7800000000000003E-4</v>
      </c>
      <c r="P998" s="544">
        <v>3.7800000000000003E-4</v>
      </c>
      <c r="R998" s="543" t="str">
        <f t="shared" si="46"/>
        <v>A0617:スマートエコエナジー(株)メニューC</v>
      </c>
      <c r="S998" s="544">
        <f t="shared" si="47"/>
        <v>3.7800000000000003E-4</v>
      </c>
    </row>
    <row r="999" spans="2:19">
      <c r="B999" s="146"/>
      <c r="C999" s="146"/>
      <c r="D999" s="543" t="str">
        <f t="shared" si="45"/>
        <v/>
      </c>
      <c r="I999" s="146" t="s">
        <v>1395</v>
      </c>
      <c r="J999" s="146" t="s">
        <v>1905</v>
      </c>
      <c r="K999" s="544" t="s">
        <v>974</v>
      </c>
      <c r="L999" s="544">
        <v>3.8699999999999997E-4</v>
      </c>
      <c r="M999" s="544">
        <v>3.8699999999999997E-4</v>
      </c>
      <c r="N999" s="544">
        <v>3.8699999999999997E-4</v>
      </c>
      <c r="O999" s="544">
        <v>3.8699999999999997E-4</v>
      </c>
      <c r="P999" s="544">
        <v>3.8699999999999997E-4</v>
      </c>
      <c r="R999" s="543" t="str">
        <f t="shared" si="46"/>
        <v>A0617:スマートエコエナジー(株)メニューD</v>
      </c>
      <c r="S999" s="544">
        <f t="shared" si="47"/>
        <v>3.8699999999999997E-4</v>
      </c>
    </row>
    <row r="1000" spans="2:19">
      <c r="B1000" s="146"/>
      <c r="C1000" s="146"/>
      <c r="D1000" s="543" t="str">
        <f t="shared" si="45"/>
        <v/>
      </c>
      <c r="I1000" s="146" t="s">
        <v>1395</v>
      </c>
      <c r="J1000" s="146" t="s">
        <v>1905</v>
      </c>
      <c r="K1000" s="544" t="s">
        <v>975</v>
      </c>
      <c r="L1000" s="544">
        <v>3.8699999999999997E-4</v>
      </c>
      <c r="M1000" s="544">
        <v>3.8699999999999997E-4</v>
      </c>
      <c r="N1000" s="544">
        <v>3.8699999999999997E-4</v>
      </c>
      <c r="O1000" s="544">
        <v>3.8699999999999997E-4</v>
      </c>
      <c r="P1000" s="544">
        <v>3.8699999999999997E-4</v>
      </c>
      <c r="R1000" s="543" t="str">
        <f t="shared" si="46"/>
        <v>A0617:スマートエコエナジー(株)メニューE</v>
      </c>
      <c r="S1000" s="544">
        <f t="shared" si="47"/>
        <v>3.8699999999999997E-4</v>
      </c>
    </row>
    <row r="1001" spans="2:19">
      <c r="B1001" s="146"/>
      <c r="C1001" s="146"/>
      <c r="D1001" s="543" t="str">
        <f t="shared" si="45"/>
        <v/>
      </c>
      <c r="I1001" s="146" t="s">
        <v>1395</v>
      </c>
      <c r="J1001" s="146" t="s">
        <v>1905</v>
      </c>
      <c r="K1001" s="544" t="s">
        <v>2059</v>
      </c>
      <c r="L1001" s="544">
        <v>4.0299999999999998E-4</v>
      </c>
      <c r="M1001" s="544">
        <v>4.0299999999999998E-4</v>
      </c>
      <c r="N1001" s="544">
        <v>4.0299999999999998E-4</v>
      </c>
      <c r="O1001" s="544">
        <v>4.0299999999999998E-4</v>
      </c>
      <c r="P1001" s="544">
        <v>4.0299999999999998E-4</v>
      </c>
      <c r="R1001" s="543" t="str">
        <f t="shared" si="46"/>
        <v>A0617:スマートエコエナジー(株)メニューF</v>
      </c>
      <c r="S1001" s="544">
        <f t="shared" si="47"/>
        <v>4.0299999999999998E-4</v>
      </c>
    </row>
    <row r="1002" spans="2:19">
      <c r="B1002" s="146"/>
      <c r="C1002" s="146"/>
      <c r="D1002" s="543" t="str">
        <f t="shared" si="45"/>
        <v/>
      </c>
      <c r="I1002" s="146" t="s">
        <v>1395</v>
      </c>
      <c r="J1002" s="146" t="s">
        <v>1905</v>
      </c>
      <c r="K1002" s="544" t="s">
        <v>2058</v>
      </c>
      <c r="L1002" s="544">
        <v>3.5100000000000002E-4</v>
      </c>
      <c r="M1002" s="544">
        <v>3.5100000000000002E-4</v>
      </c>
      <c r="N1002" s="544">
        <v>3.5100000000000002E-4</v>
      </c>
      <c r="O1002" s="544">
        <v>3.5100000000000002E-4</v>
      </c>
      <c r="P1002" s="544">
        <v>3.5100000000000002E-4</v>
      </c>
      <c r="R1002" s="543" t="str">
        <f t="shared" si="46"/>
        <v>A0617:スマートエコエナジー(株)(参考値)事業者全体</v>
      </c>
      <c r="S1002" s="544">
        <f t="shared" si="47"/>
        <v>3.5100000000000002E-4</v>
      </c>
    </row>
    <row r="1003" spans="2:19">
      <c r="B1003" s="146"/>
      <c r="C1003" s="146"/>
      <c r="D1003" s="543" t="str">
        <f t="shared" si="45"/>
        <v/>
      </c>
      <c r="I1003" s="146" t="s">
        <v>1396</v>
      </c>
      <c r="J1003" s="146" t="s">
        <v>1906</v>
      </c>
      <c r="K1003" s="544"/>
      <c r="L1003" s="544">
        <v>6.29E-4</v>
      </c>
      <c r="M1003" s="544">
        <v>6.29E-4</v>
      </c>
      <c r="N1003" s="544">
        <v>6.29E-4</v>
      </c>
      <c r="O1003" s="544">
        <v>6.29E-4</v>
      </c>
      <c r="P1003" s="544">
        <v>6.29E-4</v>
      </c>
      <c r="R1003" s="543" t="str">
        <f t="shared" si="46"/>
        <v>A0620:(株)LENETS</v>
      </c>
      <c r="S1003" s="544">
        <f t="shared" si="47"/>
        <v>6.29E-4</v>
      </c>
    </row>
    <row r="1004" spans="2:19">
      <c r="B1004" s="146"/>
      <c r="C1004" s="146"/>
      <c r="D1004" s="543" t="str">
        <f t="shared" si="45"/>
        <v/>
      </c>
      <c r="I1004" s="146" t="s">
        <v>1397</v>
      </c>
      <c r="J1004" s="146" t="s">
        <v>1907</v>
      </c>
      <c r="K1004" s="544"/>
      <c r="L1004" s="544">
        <v>1.6100000000000001E-4</v>
      </c>
      <c r="M1004" s="544">
        <v>1.6100000000000001E-4</v>
      </c>
      <c r="N1004" s="544">
        <v>1.6100000000000001E-4</v>
      </c>
      <c r="O1004" s="544">
        <v>1.6100000000000001E-4</v>
      </c>
      <c r="P1004" s="544">
        <v>1.6100000000000001E-4</v>
      </c>
      <c r="R1004" s="543" t="str">
        <f t="shared" si="46"/>
        <v>A0622:アイエスジー(株)</v>
      </c>
      <c r="S1004" s="544">
        <f t="shared" si="47"/>
        <v>1.6100000000000001E-4</v>
      </c>
    </row>
    <row r="1005" spans="2:19">
      <c r="B1005" s="146"/>
      <c r="C1005" s="146"/>
      <c r="D1005" s="543" t="str">
        <f t="shared" si="45"/>
        <v/>
      </c>
      <c r="I1005" s="146" t="s">
        <v>1398</v>
      </c>
      <c r="J1005" s="146" t="s">
        <v>1908</v>
      </c>
      <c r="K1005" s="544" t="s">
        <v>710</v>
      </c>
      <c r="L1005" s="544">
        <v>0</v>
      </c>
      <c r="M1005" s="544">
        <v>0</v>
      </c>
      <c r="N1005" s="544">
        <v>0</v>
      </c>
      <c r="O1005" s="544">
        <v>0</v>
      </c>
      <c r="P1005" s="544">
        <v>0</v>
      </c>
      <c r="R1005" s="543" t="str">
        <f t="shared" si="46"/>
        <v>A0624:(株)エネクルメニューA</v>
      </c>
      <c r="S1005" s="544">
        <f t="shared" si="47"/>
        <v>0</v>
      </c>
    </row>
    <row r="1006" spans="2:19">
      <c r="B1006" s="146"/>
      <c r="C1006" s="146"/>
      <c r="D1006" s="543" t="str">
        <f t="shared" si="45"/>
        <v/>
      </c>
      <c r="I1006" s="146" t="s">
        <v>1398</v>
      </c>
      <c r="J1006" s="146" t="s">
        <v>1908</v>
      </c>
      <c r="K1006" s="544" t="s">
        <v>787</v>
      </c>
      <c r="L1006" s="544">
        <v>4.2000000000000002E-4</v>
      </c>
      <c r="M1006" s="544">
        <v>4.2000000000000002E-4</v>
      </c>
      <c r="N1006" s="544">
        <v>4.2000000000000002E-4</v>
      </c>
      <c r="O1006" s="544">
        <v>4.2000000000000002E-4</v>
      </c>
      <c r="P1006" s="544">
        <v>4.2000000000000002E-4</v>
      </c>
      <c r="R1006" s="543" t="str">
        <f t="shared" si="46"/>
        <v>A0624:(株)エネクルメニューB</v>
      </c>
      <c r="S1006" s="544">
        <f t="shared" si="47"/>
        <v>4.2000000000000002E-4</v>
      </c>
    </row>
    <row r="1007" spans="2:19">
      <c r="B1007" s="146"/>
      <c r="C1007" s="146"/>
      <c r="D1007" s="543" t="str">
        <f t="shared" si="45"/>
        <v/>
      </c>
      <c r="I1007" s="146" t="s">
        <v>1398</v>
      </c>
      <c r="J1007" s="146" t="s">
        <v>1908</v>
      </c>
      <c r="K1007" s="544" t="s">
        <v>2058</v>
      </c>
      <c r="L1007" s="544">
        <v>4.17E-4</v>
      </c>
      <c r="M1007" s="544">
        <v>4.17E-4</v>
      </c>
      <c r="N1007" s="544">
        <v>4.17E-4</v>
      </c>
      <c r="O1007" s="544">
        <v>4.17E-4</v>
      </c>
      <c r="P1007" s="544">
        <v>4.17E-4</v>
      </c>
      <c r="R1007" s="543" t="str">
        <f t="shared" si="46"/>
        <v>A0624:(株)エネクル(参考値)事業者全体</v>
      </c>
      <c r="S1007" s="544">
        <f t="shared" si="47"/>
        <v>4.17E-4</v>
      </c>
    </row>
    <row r="1008" spans="2:19">
      <c r="B1008" s="146"/>
      <c r="C1008" s="146"/>
      <c r="D1008" s="543" t="str">
        <f t="shared" si="45"/>
        <v/>
      </c>
      <c r="I1008" s="146" t="s">
        <v>1399</v>
      </c>
      <c r="J1008" s="146" t="s">
        <v>1909</v>
      </c>
      <c r="K1008" s="544"/>
      <c r="L1008" s="544">
        <v>8.0800000000000002E-4</v>
      </c>
      <c r="M1008" s="544">
        <v>8.0800000000000002E-4</v>
      </c>
      <c r="N1008" s="544">
        <v>8.0800000000000002E-4</v>
      </c>
      <c r="O1008" s="544">
        <v>8.0800000000000002E-4</v>
      </c>
      <c r="P1008" s="544">
        <v>8.0800000000000002E-4</v>
      </c>
      <c r="R1008" s="543" t="str">
        <f t="shared" si="46"/>
        <v>A0627:フィンテックラボ協同組合</v>
      </c>
      <c r="S1008" s="544">
        <f t="shared" si="47"/>
        <v>8.0800000000000002E-4</v>
      </c>
    </row>
    <row r="1009" spans="2:19">
      <c r="B1009" s="146"/>
      <c r="C1009" s="146"/>
      <c r="D1009" s="543" t="str">
        <f t="shared" si="45"/>
        <v/>
      </c>
      <c r="I1009" s="146" t="s">
        <v>1400</v>
      </c>
      <c r="J1009" s="146" t="s">
        <v>1910</v>
      </c>
      <c r="K1009" s="544"/>
      <c r="L1009" s="544">
        <v>5.9000000000000003E-4</v>
      </c>
      <c r="M1009" s="544">
        <v>5.9000000000000003E-4</v>
      </c>
      <c r="N1009" s="544">
        <v>5.9000000000000003E-4</v>
      </c>
      <c r="O1009" s="544">
        <v>5.9000000000000003E-4</v>
      </c>
      <c r="P1009" s="544">
        <v>5.9000000000000003E-4</v>
      </c>
      <c r="R1009" s="543" t="str">
        <f t="shared" si="46"/>
        <v>A0629:新電力新潟(株)</v>
      </c>
      <c r="S1009" s="544">
        <f t="shared" si="47"/>
        <v>5.9000000000000003E-4</v>
      </c>
    </row>
    <row r="1010" spans="2:19">
      <c r="B1010" s="146"/>
      <c r="C1010" s="146"/>
      <c r="D1010" s="543" t="str">
        <f t="shared" si="45"/>
        <v/>
      </c>
      <c r="I1010" s="146" t="s">
        <v>1401</v>
      </c>
      <c r="J1010" s="146" t="s">
        <v>1911</v>
      </c>
      <c r="K1010" s="544" t="s">
        <v>710</v>
      </c>
      <c r="L1010" s="544">
        <v>0</v>
      </c>
      <c r="M1010" s="544">
        <v>0</v>
      </c>
      <c r="N1010" s="544">
        <v>0</v>
      </c>
      <c r="O1010" s="544">
        <v>0</v>
      </c>
      <c r="P1010" s="544">
        <v>0</v>
      </c>
      <c r="R1010" s="543" t="str">
        <f t="shared" si="46"/>
        <v>A0630:(株)タケエイでんきメニューA</v>
      </c>
      <c r="S1010" s="544">
        <f t="shared" si="47"/>
        <v>0</v>
      </c>
    </row>
    <row r="1011" spans="2:19">
      <c r="B1011" s="146"/>
      <c r="C1011" s="146"/>
      <c r="D1011" s="543" t="str">
        <f t="shared" si="45"/>
        <v/>
      </c>
      <c r="I1011" s="146" t="s">
        <v>1401</v>
      </c>
      <c r="J1011" s="146" t="s">
        <v>1911</v>
      </c>
      <c r="K1011" s="544" t="s">
        <v>787</v>
      </c>
      <c r="L1011" s="544">
        <v>0</v>
      </c>
      <c r="M1011" s="544">
        <v>0</v>
      </c>
      <c r="N1011" s="544">
        <v>0</v>
      </c>
      <c r="O1011" s="544">
        <v>0</v>
      </c>
      <c r="P1011" s="544">
        <v>0</v>
      </c>
      <c r="R1011" s="543" t="str">
        <f t="shared" si="46"/>
        <v>A0630:(株)タケエイでんきメニューB</v>
      </c>
      <c r="S1011" s="544">
        <f t="shared" si="47"/>
        <v>0</v>
      </c>
    </row>
    <row r="1012" spans="2:19">
      <c r="B1012" s="146"/>
      <c r="C1012" s="146"/>
      <c r="D1012" s="543" t="str">
        <f t="shared" si="45"/>
        <v/>
      </c>
      <c r="I1012" s="146" t="s">
        <v>1401</v>
      </c>
      <c r="J1012" s="146" t="s">
        <v>1911</v>
      </c>
      <c r="K1012" s="544" t="s">
        <v>788</v>
      </c>
      <c r="L1012" s="544">
        <v>3.2000000000000003E-4</v>
      </c>
      <c r="M1012" s="544">
        <v>3.2000000000000003E-4</v>
      </c>
      <c r="N1012" s="544">
        <v>3.2000000000000003E-4</v>
      </c>
      <c r="O1012" s="544">
        <v>3.2000000000000003E-4</v>
      </c>
      <c r="P1012" s="544">
        <v>3.2000000000000003E-4</v>
      </c>
      <c r="R1012" s="543" t="str">
        <f t="shared" si="46"/>
        <v>A0630:(株)タケエイでんきメニューC</v>
      </c>
      <c r="S1012" s="544">
        <f t="shared" si="47"/>
        <v>3.2000000000000003E-4</v>
      </c>
    </row>
    <row r="1013" spans="2:19">
      <c r="B1013" s="146"/>
      <c r="C1013" s="146"/>
      <c r="D1013" s="543" t="str">
        <f t="shared" si="45"/>
        <v/>
      </c>
      <c r="I1013" s="146" t="s">
        <v>1401</v>
      </c>
      <c r="J1013" s="146" t="s">
        <v>1911</v>
      </c>
      <c r="K1013" s="544" t="s">
        <v>2058</v>
      </c>
      <c r="L1013" s="544">
        <v>6.6000000000000005E-5</v>
      </c>
      <c r="M1013" s="544">
        <v>6.6000000000000005E-5</v>
      </c>
      <c r="N1013" s="544">
        <v>6.6000000000000005E-5</v>
      </c>
      <c r="O1013" s="544">
        <v>6.6000000000000005E-5</v>
      </c>
      <c r="P1013" s="544">
        <v>6.6000000000000005E-5</v>
      </c>
      <c r="R1013" s="543" t="str">
        <f t="shared" si="46"/>
        <v>A0630:(株)タケエイでんき(参考値)事業者全体</v>
      </c>
      <c r="S1013" s="544">
        <f t="shared" si="47"/>
        <v>6.6000000000000005E-5</v>
      </c>
    </row>
    <row r="1014" spans="2:19">
      <c r="B1014" s="146"/>
      <c r="C1014" s="146"/>
      <c r="D1014" s="543" t="str">
        <f t="shared" si="45"/>
        <v/>
      </c>
      <c r="I1014" s="146" t="s">
        <v>1402</v>
      </c>
      <c r="J1014" s="146" t="s">
        <v>1912</v>
      </c>
      <c r="K1014" s="544" t="s">
        <v>710</v>
      </c>
      <c r="L1014" s="544">
        <v>3.8699999999999997E-4</v>
      </c>
      <c r="M1014" s="544">
        <v>3.8699999999999997E-4</v>
      </c>
      <c r="N1014" s="544">
        <v>3.8699999999999997E-4</v>
      </c>
      <c r="O1014" s="544">
        <v>3.8699999999999997E-4</v>
      </c>
      <c r="P1014" s="544">
        <v>3.8699999999999997E-4</v>
      </c>
      <c r="R1014" s="543" t="str">
        <f t="shared" si="46"/>
        <v>A0631:気仙沼グリーンエナジー(株)メニューA</v>
      </c>
      <c r="S1014" s="544">
        <f t="shared" si="47"/>
        <v>3.8699999999999997E-4</v>
      </c>
    </row>
    <row r="1015" spans="2:19">
      <c r="B1015" s="146"/>
      <c r="C1015" s="146"/>
      <c r="D1015" s="543" t="str">
        <f t="shared" si="45"/>
        <v/>
      </c>
      <c r="I1015" s="146" t="s">
        <v>1402</v>
      </c>
      <c r="J1015" s="146" t="s">
        <v>1912</v>
      </c>
      <c r="K1015" s="544" t="s">
        <v>787</v>
      </c>
      <c r="L1015" s="544">
        <v>4.0900000000000002E-4</v>
      </c>
      <c r="M1015" s="544">
        <v>4.0900000000000002E-4</v>
      </c>
      <c r="N1015" s="544">
        <v>4.0900000000000002E-4</v>
      </c>
      <c r="O1015" s="544">
        <v>4.0900000000000002E-4</v>
      </c>
      <c r="P1015" s="544">
        <v>4.0900000000000002E-4</v>
      </c>
      <c r="R1015" s="543" t="str">
        <f t="shared" si="46"/>
        <v>A0631:気仙沼グリーンエナジー(株)メニューB</v>
      </c>
      <c r="S1015" s="544">
        <f t="shared" si="47"/>
        <v>4.0900000000000002E-4</v>
      </c>
    </row>
    <row r="1016" spans="2:19">
      <c r="B1016" s="146"/>
      <c r="C1016" s="146"/>
      <c r="D1016" s="543" t="str">
        <f t="shared" si="45"/>
        <v/>
      </c>
      <c r="I1016" s="146" t="s">
        <v>1402</v>
      </c>
      <c r="J1016" s="146" t="s">
        <v>1912</v>
      </c>
      <c r="K1016" s="544" t="s">
        <v>2058</v>
      </c>
      <c r="L1016" s="544">
        <v>4.0299999999999998E-4</v>
      </c>
      <c r="M1016" s="544">
        <v>4.0299999999999998E-4</v>
      </c>
      <c r="N1016" s="544">
        <v>4.0299999999999998E-4</v>
      </c>
      <c r="O1016" s="544">
        <v>4.0299999999999998E-4</v>
      </c>
      <c r="P1016" s="544">
        <v>4.0299999999999998E-4</v>
      </c>
      <c r="R1016" s="543" t="str">
        <f t="shared" si="46"/>
        <v>A0631:気仙沼グリーンエナジー(株)(参考値)事業者全体</v>
      </c>
      <c r="S1016" s="544">
        <f t="shared" si="47"/>
        <v>4.0299999999999998E-4</v>
      </c>
    </row>
    <row r="1017" spans="2:19">
      <c r="B1017" s="146"/>
      <c r="C1017" s="146"/>
      <c r="D1017" s="543" t="str">
        <f t="shared" si="45"/>
        <v/>
      </c>
      <c r="I1017" s="146" t="s">
        <v>1403</v>
      </c>
      <c r="J1017" s="146" t="s">
        <v>1913</v>
      </c>
      <c r="K1017" s="544" t="s">
        <v>710</v>
      </c>
      <c r="L1017" s="544">
        <v>0</v>
      </c>
      <c r="M1017" s="544">
        <v>0</v>
      </c>
      <c r="N1017" s="544">
        <v>0</v>
      </c>
      <c r="O1017" s="544">
        <v>0</v>
      </c>
      <c r="P1017" s="544">
        <v>0</v>
      </c>
      <c r="R1017" s="543" t="str">
        <f t="shared" si="46"/>
        <v>A0632:(株)ユーラスグリーンエナジーメニューA</v>
      </c>
      <c r="S1017" s="544">
        <f t="shared" si="47"/>
        <v>0</v>
      </c>
    </row>
    <row r="1018" spans="2:19">
      <c r="B1018" s="146"/>
      <c r="C1018" s="146"/>
      <c r="D1018" s="543" t="str">
        <f t="shared" si="45"/>
        <v/>
      </c>
      <c r="I1018" s="146" t="s">
        <v>1403</v>
      </c>
      <c r="J1018" s="146" t="s">
        <v>1913</v>
      </c>
      <c r="K1018" s="544" t="s">
        <v>787</v>
      </c>
      <c r="L1018" s="544">
        <v>6.7500000000000004E-4</v>
      </c>
      <c r="M1018" s="544">
        <v>6.7500000000000004E-4</v>
      </c>
      <c r="N1018" s="544">
        <v>6.7500000000000004E-4</v>
      </c>
      <c r="O1018" s="544">
        <v>6.7500000000000004E-4</v>
      </c>
      <c r="P1018" s="544">
        <v>6.7500000000000004E-4</v>
      </c>
      <c r="R1018" s="543" t="str">
        <f t="shared" si="46"/>
        <v>A0632:(株)ユーラスグリーンエナジーメニューB</v>
      </c>
      <c r="S1018" s="544">
        <f t="shared" si="47"/>
        <v>6.7500000000000004E-4</v>
      </c>
    </row>
    <row r="1019" spans="2:19">
      <c r="B1019" s="146"/>
      <c r="C1019" s="146"/>
      <c r="D1019" s="543" t="str">
        <f t="shared" si="45"/>
        <v/>
      </c>
      <c r="I1019" s="146" t="s">
        <v>1403</v>
      </c>
      <c r="J1019" s="146" t="s">
        <v>1913</v>
      </c>
      <c r="K1019" s="544" t="s">
        <v>2058</v>
      </c>
      <c r="L1019" s="544">
        <v>3.1999999999999999E-5</v>
      </c>
      <c r="M1019" s="544">
        <v>3.1999999999999999E-5</v>
      </c>
      <c r="N1019" s="544">
        <v>3.1999999999999999E-5</v>
      </c>
      <c r="O1019" s="544">
        <v>3.1999999999999999E-5</v>
      </c>
      <c r="P1019" s="544">
        <v>3.1999999999999999E-5</v>
      </c>
      <c r="R1019" s="543" t="str">
        <f t="shared" si="46"/>
        <v>A0632:(株)ユーラスグリーンエナジー(参考値)事業者全体</v>
      </c>
      <c r="S1019" s="544">
        <f t="shared" si="47"/>
        <v>3.1999999999999999E-5</v>
      </c>
    </row>
    <row r="1020" spans="2:19">
      <c r="B1020" s="146"/>
      <c r="C1020" s="146"/>
      <c r="D1020" s="543" t="str">
        <f t="shared" si="45"/>
        <v/>
      </c>
      <c r="I1020" s="146" t="s">
        <v>1404</v>
      </c>
      <c r="J1020" s="146" t="s">
        <v>1914</v>
      </c>
      <c r="K1020" s="544"/>
      <c r="L1020" s="544">
        <v>4.1899999999999999E-4</v>
      </c>
      <c r="M1020" s="544">
        <v>4.1899999999999999E-4</v>
      </c>
      <c r="N1020" s="544">
        <v>4.1899999999999999E-4</v>
      </c>
      <c r="O1020" s="544">
        <v>4.1899999999999999E-4</v>
      </c>
      <c r="P1020" s="544">
        <v>4.1899999999999999E-4</v>
      </c>
      <c r="R1020" s="543" t="str">
        <f t="shared" si="46"/>
        <v>A0639:酒田天然瓦斯(株)</v>
      </c>
      <c r="S1020" s="544">
        <f t="shared" si="47"/>
        <v>4.1899999999999999E-4</v>
      </c>
    </row>
    <row r="1021" spans="2:19">
      <c r="B1021" s="146"/>
      <c r="C1021" s="146"/>
      <c r="D1021" s="543" t="str">
        <f t="shared" si="45"/>
        <v/>
      </c>
      <c r="I1021" s="146" t="s">
        <v>1405</v>
      </c>
      <c r="J1021" s="146" t="s">
        <v>1915</v>
      </c>
      <c r="K1021" s="544"/>
      <c r="L1021" s="544">
        <v>6.4400000000000004E-4</v>
      </c>
      <c r="M1021" s="544">
        <v>6.4400000000000004E-4</v>
      </c>
      <c r="N1021" s="544">
        <v>6.4400000000000004E-4</v>
      </c>
      <c r="O1021" s="544">
        <v>6.4400000000000004E-4</v>
      </c>
      <c r="P1021" s="544">
        <v>6.4400000000000004E-4</v>
      </c>
      <c r="R1021" s="543" t="str">
        <f t="shared" si="46"/>
        <v>A0640:東亜ガス(株)</v>
      </c>
      <c r="S1021" s="544">
        <f t="shared" si="47"/>
        <v>6.4400000000000004E-4</v>
      </c>
    </row>
    <row r="1022" spans="2:19">
      <c r="B1022" s="146"/>
      <c r="C1022" s="146"/>
      <c r="D1022" s="543" t="str">
        <f t="shared" si="45"/>
        <v/>
      </c>
      <c r="I1022" s="146" t="s">
        <v>1406</v>
      </c>
      <c r="J1022" s="146" t="s">
        <v>1916</v>
      </c>
      <c r="K1022" s="544" t="s">
        <v>710</v>
      </c>
      <c r="L1022" s="544">
        <v>0</v>
      </c>
      <c r="M1022" s="544">
        <v>0</v>
      </c>
      <c r="N1022" s="544">
        <v>0</v>
      </c>
      <c r="O1022" s="544">
        <v>0</v>
      </c>
      <c r="P1022" s="544">
        <v>0</v>
      </c>
      <c r="R1022" s="543" t="str">
        <f t="shared" si="46"/>
        <v>A0641:(株)三河の山里コミュニティパワーメニューA</v>
      </c>
      <c r="S1022" s="544">
        <f t="shared" si="47"/>
        <v>0</v>
      </c>
    </row>
    <row r="1023" spans="2:19">
      <c r="B1023" s="146"/>
      <c r="C1023" s="146"/>
      <c r="D1023" s="543" t="str">
        <f t="shared" si="45"/>
        <v/>
      </c>
      <c r="I1023" s="146" t="s">
        <v>1406</v>
      </c>
      <c r="J1023" s="146" t="s">
        <v>1916</v>
      </c>
      <c r="K1023" s="544" t="s">
        <v>787</v>
      </c>
      <c r="L1023" s="544">
        <v>4.2200000000000001E-4</v>
      </c>
      <c r="M1023" s="544">
        <v>4.2200000000000001E-4</v>
      </c>
      <c r="N1023" s="544">
        <v>4.2200000000000001E-4</v>
      </c>
      <c r="O1023" s="544">
        <v>4.2200000000000001E-4</v>
      </c>
      <c r="P1023" s="544">
        <v>4.2200000000000001E-4</v>
      </c>
      <c r="R1023" s="543" t="str">
        <f t="shared" si="46"/>
        <v>A0641:(株)三河の山里コミュニティパワーメニューB</v>
      </c>
      <c r="S1023" s="544">
        <f t="shared" si="47"/>
        <v>4.2200000000000001E-4</v>
      </c>
    </row>
    <row r="1024" spans="2:19">
      <c r="B1024" s="146"/>
      <c r="C1024" s="146"/>
      <c r="D1024" s="543" t="str">
        <f t="shared" si="45"/>
        <v/>
      </c>
      <c r="I1024" s="146" t="s">
        <v>1406</v>
      </c>
      <c r="J1024" s="146" t="s">
        <v>1916</v>
      </c>
      <c r="K1024" s="544" t="s">
        <v>2058</v>
      </c>
      <c r="L1024" s="544">
        <v>7.7999999999999999E-5</v>
      </c>
      <c r="M1024" s="544">
        <v>7.7999999999999999E-5</v>
      </c>
      <c r="N1024" s="544">
        <v>7.7999999999999999E-5</v>
      </c>
      <c r="O1024" s="544">
        <v>7.7999999999999999E-5</v>
      </c>
      <c r="P1024" s="544">
        <v>7.7999999999999999E-5</v>
      </c>
      <c r="R1024" s="543" t="str">
        <f t="shared" si="46"/>
        <v>A0641:(株)三河の山里コミュニティパワー(参考値)事業者全体</v>
      </c>
      <c r="S1024" s="544">
        <f t="shared" si="47"/>
        <v>7.7999999999999999E-5</v>
      </c>
    </row>
    <row r="1025" spans="2:19">
      <c r="B1025" s="146"/>
      <c r="C1025" s="146"/>
      <c r="D1025" s="543" t="str">
        <f t="shared" si="45"/>
        <v/>
      </c>
      <c r="I1025" s="146" t="s">
        <v>1407</v>
      </c>
      <c r="J1025" s="146" t="s">
        <v>1917</v>
      </c>
      <c r="K1025" s="544" t="s">
        <v>710</v>
      </c>
      <c r="L1025" s="544">
        <v>0</v>
      </c>
      <c r="M1025" s="544">
        <v>0</v>
      </c>
      <c r="N1025" s="544">
        <v>0</v>
      </c>
      <c r="O1025" s="544">
        <v>0</v>
      </c>
      <c r="P1025" s="544">
        <v>0</v>
      </c>
      <c r="R1025" s="543" t="str">
        <f t="shared" si="46"/>
        <v>A0642:新潟スワンエナジー(株)メニューA</v>
      </c>
      <c r="S1025" s="544">
        <f t="shared" si="47"/>
        <v>0</v>
      </c>
    </row>
    <row r="1026" spans="2:19">
      <c r="B1026" s="146"/>
      <c r="C1026" s="146"/>
      <c r="D1026" s="543" t="str">
        <f t="shared" si="45"/>
        <v/>
      </c>
      <c r="I1026" s="146" t="s">
        <v>1407</v>
      </c>
      <c r="J1026" s="146" t="s">
        <v>1917</v>
      </c>
      <c r="K1026" s="544" t="s">
        <v>787</v>
      </c>
      <c r="L1026" s="544">
        <v>2.6600000000000001E-4</v>
      </c>
      <c r="M1026" s="544">
        <v>2.6600000000000001E-4</v>
      </c>
      <c r="N1026" s="544">
        <v>2.6600000000000001E-4</v>
      </c>
      <c r="O1026" s="544">
        <v>2.6600000000000001E-4</v>
      </c>
      <c r="P1026" s="544">
        <v>2.6600000000000001E-4</v>
      </c>
      <c r="R1026" s="543" t="str">
        <f t="shared" si="46"/>
        <v>A0642:新潟スワンエナジー(株)メニューB</v>
      </c>
      <c r="S1026" s="544">
        <f t="shared" si="47"/>
        <v>2.6600000000000001E-4</v>
      </c>
    </row>
    <row r="1027" spans="2:19">
      <c r="B1027" s="146"/>
      <c r="C1027" s="146"/>
      <c r="D1027" s="543" t="str">
        <f t="shared" si="45"/>
        <v/>
      </c>
      <c r="I1027" s="146" t="s">
        <v>1407</v>
      </c>
      <c r="J1027" s="146" t="s">
        <v>1917</v>
      </c>
      <c r="K1027" s="544" t="s">
        <v>788</v>
      </c>
      <c r="L1027" s="544">
        <v>1.3799999999999999E-4</v>
      </c>
      <c r="M1027" s="544">
        <v>1.3799999999999999E-4</v>
      </c>
      <c r="N1027" s="544">
        <v>1.3799999999999999E-4</v>
      </c>
      <c r="O1027" s="544">
        <v>1.3799999999999999E-4</v>
      </c>
      <c r="P1027" s="544">
        <v>1.3799999999999999E-4</v>
      </c>
      <c r="R1027" s="543" t="str">
        <f t="shared" si="46"/>
        <v>A0642:新潟スワンエナジー(株)メニューC</v>
      </c>
      <c r="S1027" s="544">
        <f t="shared" si="47"/>
        <v>1.3799999999999999E-4</v>
      </c>
    </row>
    <row r="1028" spans="2:19">
      <c r="B1028" s="146"/>
      <c r="C1028" s="146"/>
      <c r="D1028" s="543" t="str">
        <f t="shared" si="45"/>
        <v/>
      </c>
      <c r="I1028" s="146" t="s">
        <v>1407</v>
      </c>
      <c r="J1028" s="146" t="s">
        <v>1917</v>
      </c>
      <c r="K1028" s="544" t="s">
        <v>974</v>
      </c>
      <c r="L1028" s="544">
        <v>2.8800000000000001E-4</v>
      </c>
      <c r="M1028" s="544">
        <v>2.8800000000000001E-4</v>
      </c>
      <c r="N1028" s="544">
        <v>2.8800000000000001E-4</v>
      </c>
      <c r="O1028" s="544">
        <v>2.8800000000000001E-4</v>
      </c>
      <c r="P1028" s="544">
        <v>2.8800000000000001E-4</v>
      </c>
      <c r="R1028" s="543" t="str">
        <f t="shared" si="46"/>
        <v>A0642:新潟スワンエナジー(株)メニューD</v>
      </c>
      <c r="S1028" s="544">
        <f t="shared" si="47"/>
        <v>2.8800000000000001E-4</v>
      </c>
    </row>
    <row r="1029" spans="2:19">
      <c r="B1029" s="146"/>
      <c r="C1029" s="146"/>
      <c r="D1029" s="543" t="str">
        <f t="shared" si="45"/>
        <v/>
      </c>
      <c r="I1029" s="146" t="s">
        <v>1407</v>
      </c>
      <c r="J1029" s="146" t="s">
        <v>1917</v>
      </c>
      <c r="K1029" s="544" t="s">
        <v>2058</v>
      </c>
      <c r="L1029" s="544">
        <v>2.0000000000000001E-4</v>
      </c>
      <c r="M1029" s="544">
        <v>2.0000000000000001E-4</v>
      </c>
      <c r="N1029" s="544">
        <v>2.0000000000000001E-4</v>
      </c>
      <c r="O1029" s="544">
        <v>2.0000000000000001E-4</v>
      </c>
      <c r="P1029" s="544">
        <v>2.0000000000000001E-4</v>
      </c>
      <c r="R1029" s="543" t="str">
        <f t="shared" si="46"/>
        <v>A0642:新潟スワンエナジー(株)(参考値)事業者全体</v>
      </c>
      <c r="S1029" s="544">
        <f t="shared" si="47"/>
        <v>2.0000000000000001E-4</v>
      </c>
    </row>
    <row r="1030" spans="2:19">
      <c r="B1030" s="146"/>
      <c r="C1030" s="146"/>
      <c r="D1030" s="543" t="str">
        <f t="shared" si="45"/>
        <v/>
      </c>
      <c r="I1030" s="146" t="s">
        <v>1408</v>
      </c>
      <c r="J1030" s="146" t="s">
        <v>1918</v>
      </c>
      <c r="K1030" s="544"/>
      <c r="L1030" s="544">
        <v>2.4600000000000002E-4</v>
      </c>
      <c r="M1030" s="544">
        <v>2.4600000000000002E-4</v>
      </c>
      <c r="N1030" s="544">
        <v>2.4600000000000002E-4</v>
      </c>
      <c r="O1030" s="544">
        <v>2.4600000000000002E-4</v>
      </c>
      <c r="P1030" s="544">
        <v>2.4600000000000002E-4</v>
      </c>
      <c r="R1030" s="543" t="str">
        <f t="shared" si="46"/>
        <v>A0644:グリーンピープルズパワー(株)</v>
      </c>
      <c r="S1030" s="544">
        <f t="shared" si="47"/>
        <v>2.4600000000000002E-4</v>
      </c>
    </row>
    <row r="1031" spans="2:19">
      <c r="B1031" s="146"/>
      <c r="C1031" s="146"/>
      <c r="D1031" s="543" t="str">
        <f t="shared" si="45"/>
        <v/>
      </c>
      <c r="I1031" s="146" t="s">
        <v>1409</v>
      </c>
      <c r="J1031" s="146" t="s">
        <v>1919</v>
      </c>
      <c r="K1031" s="544"/>
      <c r="L1031" s="544">
        <v>2.05E-4</v>
      </c>
      <c r="M1031" s="544">
        <v>2.05E-4</v>
      </c>
      <c r="N1031" s="544">
        <v>2.05E-4</v>
      </c>
      <c r="O1031" s="544">
        <v>2.05E-4</v>
      </c>
      <c r="P1031" s="544">
        <v>2.05E-4</v>
      </c>
      <c r="R1031" s="543" t="str">
        <f t="shared" si="46"/>
        <v>A0648:(株)マルイファシリティーズ</v>
      </c>
      <c r="S1031" s="544">
        <f t="shared" si="47"/>
        <v>2.05E-4</v>
      </c>
    </row>
    <row r="1032" spans="2:19">
      <c r="B1032" s="146"/>
      <c r="C1032" s="146"/>
      <c r="D1032" s="543" t="str">
        <f t="shared" si="45"/>
        <v/>
      </c>
      <c r="I1032" s="146" t="s">
        <v>1410</v>
      </c>
      <c r="J1032" s="146" t="s">
        <v>1920</v>
      </c>
      <c r="K1032" s="544"/>
      <c r="L1032" s="544">
        <v>4.6099999999999998E-4</v>
      </c>
      <c r="M1032" s="544">
        <v>4.6099999999999998E-4</v>
      </c>
      <c r="N1032" s="544">
        <v>4.6099999999999998E-4</v>
      </c>
      <c r="O1032" s="544">
        <v>4.6099999999999998E-4</v>
      </c>
      <c r="P1032" s="544">
        <v>4.6099999999999998E-4</v>
      </c>
      <c r="R1032" s="543" t="str">
        <f t="shared" si="46"/>
        <v>A0649:(株)デンケン</v>
      </c>
      <c r="S1032" s="544">
        <f t="shared" si="47"/>
        <v>4.6099999999999998E-4</v>
      </c>
    </row>
    <row r="1033" spans="2:19">
      <c r="B1033" s="146"/>
      <c r="C1033" s="146"/>
      <c r="D1033" s="543" t="str">
        <f t="shared" si="45"/>
        <v/>
      </c>
      <c r="I1033" s="146" t="s">
        <v>1411</v>
      </c>
      <c r="J1033" s="146" t="s">
        <v>1921</v>
      </c>
      <c r="K1033" s="544" t="s">
        <v>710</v>
      </c>
      <c r="L1033" s="544">
        <v>0</v>
      </c>
      <c r="M1033" s="544">
        <v>0</v>
      </c>
      <c r="N1033" s="544">
        <v>0</v>
      </c>
      <c r="O1033" s="544">
        <v>0</v>
      </c>
      <c r="P1033" s="544">
        <v>0</v>
      </c>
      <c r="R1033" s="543" t="str">
        <f t="shared" si="46"/>
        <v>A0650:(株)東名メニューA</v>
      </c>
      <c r="S1033" s="544">
        <f t="shared" si="47"/>
        <v>0</v>
      </c>
    </row>
    <row r="1034" spans="2:19">
      <c r="B1034" s="146"/>
      <c r="C1034" s="146"/>
      <c r="D1034" s="543" t="str">
        <f t="shared" ref="D1034:D1097" si="48">IF(B1034="","",B1034&amp;":"&amp;C1034)</f>
        <v/>
      </c>
      <c r="I1034" s="146" t="s">
        <v>1411</v>
      </c>
      <c r="J1034" s="146" t="s">
        <v>1921</v>
      </c>
      <c r="K1034" s="544" t="s">
        <v>787</v>
      </c>
      <c r="L1034" s="544">
        <v>9.1E-4</v>
      </c>
      <c r="M1034" s="544">
        <v>9.1E-4</v>
      </c>
      <c r="N1034" s="544">
        <v>9.1E-4</v>
      </c>
      <c r="O1034" s="544">
        <v>9.1E-4</v>
      </c>
      <c r="P1034" s="544">
        <v>9.1E-4</v>
      </c>
      <c r="R1034" s="543" t="str">
        <f t="shared" ref="R1034:R1092" si="49">I1034&amp;":"&amp;J1034&amp;K1034</f>
        <v>A0650:(株)東名メニューB</v>
      </c>
      <c r="S1034" s="544">
        <f t="shared" ref="S1034:S1097" si="50">HLOOKUP($S$8,$L$8:$P$2000,ROW()-7,FALSE)</f>
        <v>9.1E-4</v>
      </c>
    </row>
    <row r="1035" spans="2:19">
      <c r="B1035" s="146"/>
      <c r="C1035" s="146"/>
      <c r="D1035" s="543" t="str">
        <f t="shared" si="48"/>
        <v/>
      </c>
      <c r="I1035" s="146" t="s">
        <v>1411</v>
      </c>
      <c r="J1035" s="146" t="s">
        <v>1921</v>
      </c>
      <c r="K1035" s="544" t="s">
        <v>2058</v>
      </c>
      <c r="L1035" s="544">
        <v>3.7100000000000002E-4</v>
      </c>
      <c r="M1035" s="544">
        <v>3.7100000000000002E-4</v>
      </c>
      <c r="N1035" s="544">
        <v>3.7100000000000002E-4</v>
      </c>
      <c r="O1035" s="544">
        <v>3.7100000000000002E-4</v>
      </c>
      <c r="P1035" s="544">
        <v>3.7100000000000002E-4</v>
      </c>
      <c r="R1035" s="543" t="str">
        <f t="shared" si="49"/>
        <v>A0650:(株)東名(参考値)事業者全体</v>
      </c>
      <c r="S1035" s="544">
        <f t="shared" si="50"/>
        <v>3.7100000000000002E-4</v>
      </c>
    </row>
    <row r="1036" spans="2:19">
      <c r="B1036" s="146"/>
      <c r="C1036" s="146"/>
      <c r="D1036" s="543" t="str">
        <f t="shared" si="48"/>
        <v/>
      </c>
      <c r="I1036" s="146" t="s">
        <v>1412</v>
      </c>
      <c r="J1036" s="146" t="s">
        <v>1922</v>
      </c>
      <c r="K1036" s="544" t="s">
        <v>710</v>
      </c>
      <c r="L1036" s="544">
        <v>0</v>
      </c>
      <c r="M1036" s="544">
        <v>0</v>
      </c>
      <c r="N1036" s="544">
        <v>0</v>
      </c>
      <c r="O1036" s="544">
        <v>0</v>
      </c>
      <c r="P1036" s="544">
        <v>0</v>
      </c>
      <c r="R1036" s="543" t="str">
        <f t="shared" si="49"/>
        <v>A0653:NTTアノードエナジー(株)メニューA</v>
      </c>
      <c r="S1036" s="544">
        <f t="shared" si="50"/>
        <v>0</v>
      </c>
    </row>
    <row r="1037" spans="2:19">
      <c r="B1037" s="146"/>
      <c r="C1037" s="146"/>
      <c r="D1037" s="543" t="str">
        <f t="shared" si="48"/>
        <v/>
      </c>
      <c r="I1037" s="146" t="s">
        <v>1412</v>
      </c>
      <c r="J1037" s="146" t="s">
        <v>1922</v>
      </c>
      <c r="K1037" s="544" t="s">
        <v>787</v>
      </c>
      <c r="L1037" s="544">
        <v>9.19E-4</v>
      </c>
      <c r="M1037" s="544">
        <v>9.19E-4</v>
      </c>
      <c r="N1037" s="544">
        <v>9.19E-4</v>
      </c>
      <c r="O1037" s="544">
        <v>9.19E-4</v>
      </c>
      <c r="P1037" s="544">
        <v>9.19E-4</v>
      </c>
      <c r="R1037" s="543" t="str">
        <f t="shared" si="49"/>
        <v>A0653:NTTアノードエナジー(株)メニューB</v>
      </c>
      <c r="S1037" s="544">
        <f t="shared" si="50"/>
        <v>9.19E-4</v>
      </c>
    </row>
    <row r="1038" spans="2:19">
      <c r="B1038" s="146"/>
      <c r="C1038" s="146"/>
      <c r="D1038" s="543" t="str">
        <f t="shared" si="48"/>
        <v/>
      </c>
      <c r="I1038" s="146" t="s">
        <v>1412</v>
      </c>
      <c r="J1038" s="146" t="s">
        <v>1922</v>
      </c>
      <c r="K1038" s="544" t="s">
        <v>2058</v>
      </c>
      <c r="L1038" s="544">
        <v>2.2800000000000001E-4</v>
      </c>
      <c r="M1038" s="544">
        <v>2.2800000000000001E-4</v>
      </c>
      <c r="N1038" s="544">
        <v>2.2800000000000001E-4</v>
      </c>
      <c r="O1038" s="544">
        <v>2.2800000000000001E-4</v>
      </c>
      <c r="P1038" s="544">
        <v>2.2800000000000001E-4</v>
      </c>
      <c r="R1038" s="543" t="str">
        <f t="shared" si="49"/>
        <v>A0653:NTTアノードエナジー(株)(参考値)事業者全体</v>
      </c>
      <c r="S1038" s="544">
        <f t="shared" si="50"/>
        <v>2.2800000000000001E-4</v>
      </c>
    </row>
    <row r="1039" spans="2:19">
      <c r="B1039" s="146"/>
      <c r="C1039" s="146"/>
      <c r="D1039" s="543" t="str">
        <f t="shared" si="48"/>
        <v/>
      </c>
      <c r="I1039" s="146" t="s">
        <v>1413</v>
      </c>
      <c r="J1039" s="146" t="s">
        <v>1923</v>
      </c>
      <c r="K1039" s="544"/>
      <c r="L1039" s="544">
        <v>8.4599999999999996E-4</v>
      </c>
      <c r="M1039" s="544">
        <v>8.4599999999999996E-4</v>
      </c>
      <c r="N1039" s="544">
        <v>8.4599999999999996E-4</v>
      </c>
      <c r="O1039" s="544">
        <v>8.4599999999999996E-4</v>
      </c>
      <c r="P1039" s="544">
        <v>8.4599999999999996E-4</v>
      </c>
      <c r="R1039" s="543" t="str">
        <f t="shared" si="49"/>
        <v>A0654:スマート電気(株)</v>
      </c>
      <c r="S1039" s="544">
        <f t="shared" si="50"/>
        <v>8.4599999999999996E-4</v>
      </c>
    </row>
    <row r="1040" spans="2:19">
      <c r="B1040" s="146"/>
      <c r="C1040" s="146"/>
      <c r="D1040" s="543" t="str">
        <f t="shared" si="48"/>
        <v/>
      </c>
      <c r="I1040" s="146" t="s">
        <v>1414</v>
      </c>
      <c r="J1040" s="146" t="s">
        <v>1924</v>
      </c>
      <c r="K1040" s="544"/>
      <c r="L1040" s="544">
        <v>5.2800000000000004E-4</v>
      </c>
      <c r="M1040" s="544">
        <v>5.2800000000000004E-4</v>
      </c>
      <c r="N1040" s="544">
        <v>5.2800000000000004E-4</v>
      </c>
      <c r="O1040" s="544">
        <v>5.2800000000000004E-4</v>
      </c>
      <c r="P1040" s="544">
        <v>5.2800000000000004E-4</v>
      </c>
      <c r="R1040" s="543" t="str">
        <f t="shared" si="49"/>
        <v>A0655:(株)唐津パワーホールディングス</v>
      </c>
      <c r="S1040" s="544">
        <f t="shared" si="50"/>
        <v>5.2800000000000004E-4</v>
      </c>
    </row>
    <row r="1041" spans="2:19">
      <c r="B1041" s="146"/>
      <c r="C1041" s="146"/>
      <c r="D1041" s="543" t="str">
        <f t="shared" si="48"/>
        <v/>
      </c>
      <c r="I1041" s="146" t="s">
        <v>1415</v>
      </c>
      <c r="J1041" s="146" t="s">
        <v>1925</v>
      </c>
      <c r="K1041" s="544" t="s">
        <v>710</v>
      </c>
      <c r="L1041" s="544">
        <v>0</v>
      </c>
      <c r="M1041" s="544">
        <v>0</v>
      </c>
      <c r="N1041" s="544">
        <v>0</v>
      </c>
      <c r="O1041" s="544">
        <v>0</v>
      </c>
      <c r="P1041" s="544">
        <v>0</v>
      </c>
      <c r="R1041" s="543" t="str">
        <f t="shared" si="49"/>
        <v>A0656:(株)クリーンエネルギー総合研究所メニューA</v>
      </c>
      <c r="S1041" s="544">
        <f t="shared" si="50"/>
        <v>0</v>
      </c>
    </row>
    <row r="1042" spans="2:19">
      <c r="B1042" s="146"/>
      <c r="C1042" s="146"/>
      <c r="D1042" s="543" t="str">
        <f t="shared" si="48"/>
        <v/>
      </c>
      <c r="I1042" s="146" t="s">
        <v>1415</v>
      </c>
      <c r="J1042" s="146" t="s">
        <v>1925</v>
      </c>
      <c r="K1042" s="544" t="s">
        <v>787</v>
      </c>
      <c r="L1042" s="544">
        <v>3.4000000000000002E-4</v>
      </c>
      <c r="M1042" s="544">
        <v>3.4000000000000002E-4</v>
      </c>
      <c r="N1042" s="544">
        <v>3.4000000000000002E-4</v>
      </c>
      <c r="O1042" s="544">
        <v>3.4000000000000002E-4</v>
      </c>
      <c r="P1042" s="544">
        <v>3.4000000000000002E-4</v>
      </c>
      <c r="R1042" s="543" t="str">
        <f t="shared" si="49"/>
        <v>A0656:(株)クリーンエネルギー総合研究所メニューB</v>
      </c>
      <c r="S1042" s="544">
        <f t="shared" si="50"/>
        <v>3.4000000000000002E-4</v>
      </c>
    </row>
    <row r="1043" spans="2:19">
      <c r="B1043" s="146"/>
      <c r="C1043" s="146"/>
      <c r="D1043" s="543" t="str">
        <f t="shared" si="48"/>
        <v/>
      </c>
      <c r="I1043" s="146" t="s">
        <v>1415</v>
      </c>
      <c r="J1043" s="146" t="s">
        <v>1925</v>
      </c>
      <c r="K1043" s="544" t="s">
        <v>788</v>
      </c>
      <c r="L1043" s="544">
        <v>2.9599999999999998E-4</v>
      </c>
      <c r="M1043" s="544">
        <v>2.9599999999999998E-4</v>
      </c>
      <c r="N1043" s="544">
        <v>2.9599999999999998E-4</v>
      </c>
      <c r="O1043" s="544">
        <v>2.9599999999999998E-4</v>
      </c>
      <c r="P1043" s="544">
        <v>2.9599999999999998E-4</v>
      </c>
      <c r="R1043" s="543" t="str">
        <f t="shared" si="49"/>
        <v>A0656:(株)クリーンエネルギー総合研究所メニューC</v>
      </c>
      <c r="S1043" s="544">
        <f t="shared" si="50"/>
        <v>2.9599999999999998E-4</v>
      </c>
    </row>
    <row r="1044" spans="2:19">
      <c r="B1044" s="146"/>
      <c r="C1044" s="146"/>
      <c r="D1044" s="543" t="str">
        <f t="shared" si="48"/>
        <v/>
      </c>
      <c r="I1044" s="146" t="s">
        <v>1415</v>
      </c>
      <c r="J1044" s="146" t="s">
        <v>1925</v>
      </c>
      <c r="K1044" s="544" t="s">
        <v>974</v>
      </c>
      <c r="L1044" s="544">
        <v>4.2400000000000001E-4</v>
      </c>
      <c r="M1044" s="544">
        <v>4.2400000000000001E-4</v>
      </c>
      <c r="N1044" s="544">
        <v>4.2400000000000001E-4</v>
      </c>
      <c r="O1044" s="544">
        <v>4.2400000000000001E-4</v>
      </c>
      <c r="P1044" s="544">
        <v>4.2400000000000001E-4</v>
      </c>
      <c r="R1044" s="543" t="str">
        <f t="shared" si="49"/>
        <v>A0656:(株)クリーンエネルギー総合研究所メニューD</v>
      </c>
      <c r="S1044" s="544">
        <f t="shared" si="50"/>
        <v>4.2400000000000001E-4</v>
      </c>
    </row>
    <row r="1045" spans="2:19">
      <c r="B1045" s="146"/>
      <c r="C1045" s="146"/>
      <c r="D1045" s="543" t="str">
        <f t="shared" si="48"/>
        <v/>
      </c>
      <c r="I1045" s="146" t="s">
        <v>1415</v>
      </c>
      <c r="J1045" s="146" t="s">
        <v>1925</v>
      </c>
      <c r="K1045" s="544" t="s">
        <v>2058</v>
      </c>
      <c r="L1045" s="544">
        <v>3.1E-4</v>
      </c>
      <c r="M1045" s="544">
        <v>3.1E-4</v>
      </c>
      <c r="N1045" s="544">
        <v>3.1E-4</v>
      </c>
      <c r="O1045" s="544">
        <v>3.1E-4</v>
      </c>
      <c r="P1045" s="544">
        <v>3.1E-4</v>
      </c>
      <c r="R1045" s="543" t="str">
        <f t="shared" si="49"/>
        <v>A0656:(株)クリーンエネルギー総合研究所(参考値)事業者全体</v>
      </c>
      <c r="S1045" s="544">
        <f t="shared" si="50"/>
        <v>3.1E-4</v>
      </c>
    </row>
    <row r="1046" spans="2:19">
      <c r="B1046" s="146"/>
      <c r="C1046" s="146"/>
      <c r="D1046" s="543" t="str">
        <f t="shared" si="48"/>
        <v/>
      </c>
      <c r="I1046" s="146" t="s">
        <v>1416</v>
      </c>
      <c r="J1046" s="146" t="s">
        <v>1926</v>
      </c>
      <c r="K1046" s="544"/>
      <c r="L1046" s="544">
        <v>1.9900000000000001E-4</v>
      </c>
      <c r="M1046" s="544">
        <v>1.9900000000000001E-4</v>
      </c>
      <c r="N1046" s="544">
        <v>1.9900000000000001E-4</v>
      </c>
      <c r="O1046" s="544">
        <v>1.9900000000000001E-4</v>
      </c>
      <c r="P1046" s="544">
        <v>1.9900000000000001E-4</v>
      </c>
      <c r="R1046" s="543" t="str">
        <f t="shared" si="49"/>
        <v>A0659:(株)かづのパワー</v>
      </c>
      <c r="S1046" s="544">
        <f t="shared" si="50"/>
        <v>1.9900000000000001E-4</v>
      </c>
    </row>
    <row r="1047" spans="2:19">
      <c r="B1047" s="146"/>
      <c r="C1047" s="146"/>
      <c r="D1047" s="543" t="str">
        <f t="shared" si="48"/>
        <v/>
      </c>
      <c r="I1047" s="146" t="s">
        <v>1417</v>
      </c>
      <c r="J1047" s="146" t="s">
        <v>1927</v>
      </c>
      <c r="K1047" s="544" t="s">
        <v>710</v>
      </c>
      <c r="L1047" s="544">
        <v>0</v>
      </c>
      <c r="M1047" s="544">
        <v>0</v>
      </c>
      <c r="N1047" s="544">
        <v>0</v>
      </c>
      <c r="O1047" s="544">
        <v>0</v>
      </c>
      <c r="P1047" s="544">
        <v>0</v>
      </c>
      <c r="R1047" s="543" t="str">
        <f t="shared" si="49"/>
        <v>A0660:UNIVERGY(株)メニューA</v>
      </c>
      <c r="S1047" s="544">
        <f t="shared" si="50"/>
        <v>0</v>
      </c>
    </row>
    <row r="1048" spans="2:19">
      <c r="B1048" s="146"/>
      <c r="C1048" s="146"/>
      <c r="D1048" s="543" t="str">
        <f t="shared" si="48"/>
        <v/>
      </c>
      <c r="I1048" s="146" t="s">
        <v>1417</v>
      </c>
      <c r="J1048" s="146" t="s">
        <v>1927</v>
      </c>
      <c r="K1048" s="544" t="s">
        <v>787</v>
      </c>
      <c r="L1048" s="544">
        <v>5.8399999999999999E-4</v>
      </c>
      <c r="M1048" s="544">
        <v>5.8399999999999999E-4</v>
      </c>
      <c r="N1048" s="544">
        <v>5.8399999999999999E-4</v>
      </c>
      <c r="O1048" s="544">
        <v>5.8399999999999999E-4</v>
      </c>
      <c r="P1048" s="544">
        <v>5.8399999999999999E-4</v>
      </c>
      <c r="R1048" s="543" t="str">
        <f t="shared" si="49"/>
        <v>A0660:UNIVERGY(株)メニューB</v>
      </c>
      <c r="S1048" s="544">
        <f t="shared" si="50"/>
        <v>5.8399999999999999E-4</v>
      </c>
    </row>
    <row r="1049" spans="2:19">
      <c r="B1049" s="146"/>
      <c r="C1049" s="146"/>
      <c r="D1049" s="543" t="str">
        <f t="shared" si="48"/>
        <v/>
      </c>
      <c r="I1049" s="146" t="s">
        <v>1417</v>
      </c>
      <c r="J1049" s="146" t="s">
        <v>1927</v>
      </c>
      <c r="K1049" s="544" t="s">
        <v>2058</v>
      </c>
      <c r="L1049" s="544">
        <v>5.8299999999999997E-4</v>
      </c>
      <c r="M1049" s="544">
        <v>5.8299999999999997E-4</v>
      </c>
      <c r="N1049" s="544">
        <v>5.8299999999999997E-4</v>
      </c>
      <c r="O1049" s="544">
        <v>5.8299999999999997E-4</v>
      </c>
      <c r="P1049" s="544">
        <v>5.8299999999999997E-4</v>
      </c>
      <c r="R1049" s="543" t="str">
        <f t="shared" si="49"/>
        <v>A0660:UNIVERGY(株)(参考値)事業者全体</v>
      </c>
      <c r="S1049" s="544">
        <f t="shared" si="50"/>
        <v>5.8299999999999997E-4</v>
      </c>
    </row>
    <row r="1050" spans="2:19">
      <c r="B1050" s="146"/>
      <c r="C1050" s="146"/>
      <c r="D1050" s="543" t="str">
        <f t="shared" si="48"/>
        <v/>
      </c>
      <c r="I1050" s="146" t="s">
        <v>1418</v>
      </c>
      <c r="J1050" s="146" t="s">
        <v>1928</v>
      </c>
      <c r="K1050" s="544" t="s">
        <v>710</v>
      </c>
      <c r="L1050" s="544">
        <v>0</v>
      </c>
      <c r="M1050" s="544">
        <v>0</v>
      </c>
      <c r="N1050" s="544">
        <v>0</v>
      </c>
      <c r="O1050" s="544">
        <v>0</v>
      </c>
      <c r="P1050" s="544">
        <v>0</v>
      </c>
      <c r="R1050" s="543" t="str">
        <f t="shared" si="49"/>
        <v>A0664:デジタルグリッド(株)メニューA</v>
      </c>
      <c r="S1050" s="544">
        <f t="shared" si="50"/>
        <v>0</v>
      </c>
    </row>
    <row r="1051" spans="2:19">
      <c r="B1051" s="146"/>
      <c r="C1051" s="146"/>
      <c r="D1051" s="543" t="str">
        <f t="shared" si="48"/>
        <v/>
      </c>
      <c r="I1051" s="146" t="s">
        <v>1418</v>
      </c>
      <c r="J1051" s="146" t="s">
        <v>1928</v>
      </c>
      <c r="K1051" s="544" t="s">
        <v>787</v>
      </c>
      <c r="L1051" s="544">
        <v>2.12E-4</v>
      </c>
      <c r="M1051" s="544">
        <v>2.12E-4</v>
      </c>
      <c r="N1051" s="544">
        <v>2.12E-4</v>
      </c>
      <c r="O1051" s="544">
        <v>2.12E-4</v>
      </c>
      <c r="P1051" s="544">
        <v>2.12E-4</v>
      </c>
      <c r="R1051" s="543" t="str">
        <f t="shared" si="49"/>
        <v>A0664:デジタルグリッド(株)メニューB</v>
      </c>
      <c r="S1051" s="544">
        <f t="shared" si="50"/>
        <v>2.12E-4</v>
      </c>
    </row>
    <row r="1052" spans="2:19">
      <c r="B1052" s="146"/>
      <c r="C1052" s="146"/>
      <c r="D1052" s="543" t="str">
        <f t="shared" si="48"/>
        <v/>
      </c>
      <c r="I1052" s="146" t="s">
        <v>1418</v>
      </c>
      <c r="J1052" s="146" t="s">
        <v>1928</v>
      </c>
      <c r="K1052" s="544" t="s">
        <v>788</v>
      </c>
      <c r="L1052" s="544">
        <v>3.1799999999999998E-4</v>
      </c>
      <c r="M1052" s="544">
        <v>3.1799999999999998E-4</v>
      </c>
      <c r="N1052" s="544">
        <v>3.1799999999999998E-4</v>
      </c>
      <c r="O1052" s="544">
        <v>3.1799999999999998E-4</v>
      </c>
      <c r="P1052" s="544">
        <v>3.1799999999999998E-4</v>
      </c>
      <c r="R1052" s="543" t="str">
        <f t="shared" si="49"/>
        <v>A0664:デジタルグリッド(株)メニューC</v>
      </c>
      <c r="S1052" s="544">
        <f t="shared" si="50"/>
        <v>3.1799999999999998E-4</v>
      </c>
    </row>
    <row r="1053" spans="2:19">
      <c r="B1053" s="146"/>
      <c r="C1053" s="146"/>
      <c r="D1053" s="543" t="str">
        <f t="shared" si="48"/>
        <v/>
      </c>
      <c r="I1053" s="146" t="s">
        <v>1418</v>
      </c>
      <c r="J1053" s="146" t="s">
        <v>1928</v>
      </c>
      <c r="K1053" s="544" t="s">
        <v>974</v>
      </c>
      <c r="L1053" s="544">
        <v>3.39E-4</v>
      </c>
      <c r="M1053" s="544">
        <v>3.39E-4</v>
      </c>
      <c r="N1053" s="544">
        <v>3.39E-4</v>
      </c>
      <c r="O1053" s="544">
        <v>3.39E-4</v>
      </c>
      <c r="P1053" s="544">
        <v>3.39E-4</v>
      </c>
      <c r="R1053" s="543" t="str">
        <f t="shared" si="49"/>
        <v>A0664:デジタルグリッド(株)メニューD</v>
      </c>
      <c r="S1053" s="544">
        <f t="shared" si="50"/>
        <v>3.39E-4</v>
      </c>
    </row>
    <row r="1054" spans="2:19">
      <c r="B1054" s="146"/>
      <c r="C1054" s="146"/>
      <c r="D1054" s="543" t="str">
        <f t="shared" si="48"/>
        <v/>
      </c>
      <c r="I1054" s="146" t="s">
        <v>1418</v>
      </c>
      <c r="J1054" s="146" t="s">
        <v>1928</v>
      </c>
      <c r="K1054" s="544" t="s">
        <v>975</v>
      </c>
      <c r="L1054" s="544">
        <v>3.3700000000000001E-4</v>
      </c>
      <c r="M1054" s="544">
        <v>3.3700000000000001E-4</v>
      </c>
      <c r="N1054" s="544">
        <v>3.3700000000000001E-4</v>
      </c>
      <c r="O1054" s="544">
        <v>3.3700000000000001E-4</v>
      </c>
      <c r="P1054" s="544">
        <v>3.3700000000000001E-4</v>
      </c>
      <c r="R1054" s="543" t="str">
        <f t="shared" si="49"/>
        <v>A0664:デジタルグリッド(株)メニューE</v>
      </c>
      <c r="S1054" s="544">
        <f t="shared" si="50"/>
        <v>3.3700000000000001E-4</v>
      </c>
    </row>
    <row r="1055" spans="2:19">
      <c r="B1055" s="146"/>
      <c r="C1055" s="146"/>
      <c r="D1055" s="543" t="str">
        <f t="shared" si="48"/>
        <v/>
      </c>
      <c r="I1055" s="146" t="s">
        <v>1418</v>
      </c>
      <c r="J1055" s="146" t="s">
        <v>1928</v>
      </c>
      <c r="K1055" s="544" t="s">
        <v>2059</v>
      </c>
      <c r="L1055" s="544">
        <v>3.5500000000000001E-4</v>
      </c>
      <c r="M1055" s="544">
        <v>3.5500000000000001E-4</v>
      </c>
      <c r="N1055" s="544">
        <v>3.5500000000000001E-4</v>
      </c>
      <c r="O1055" s="544">
        <v>3.5500000000000001E-4</v>
      </c>
      <c r="P1055" s="544">
        <v>3.5500000000000001E-4</v>
      </c>
      <c r="R1055" s="543" t="str">
        <f t="shared" si="49"/>
        <v>A0664:デジタルグリッド(株)メニューF</v>
      </c>
      <c r="S1055" s="544">
        <f t="shared" si="50"/>
        <v>3.5500000000000001E-4</v>
      </c>
    </row>
    <row r="1056" spans="2:19">
      <c r="B1056" s="146"/>
      <c r="C1056" s="146"/>
      <c r="D1056" s="543" t="str">
        <f t="shared" si="48"/>
        <v/>
      </c>
      <c r="I1056" s="146" t="s">
        <v>1418</v>
      </c>
      <c r="J1056" s="146" t="s">
        <v>1928</v>
      </c>
      <c r="K1056" s="544" t="s">
        <v>2060</v>
      </c>
      <c r="L1056" s="544">
        <v>6.11E-4</v>
      </c>
      <c r="M1056" s="544">
        <v>6.11E-4</v>
      </c>
      <c r="N1056" s="544">
        <v>6.11E-4</v>
      </c>
      <c r="O1056" s="544">
        <v>6.11E-4</v>
      </c>
      <c r="P1056" s="544">
        <v>6.11E-4</v>
      </c>
      <c r="R1056" s="543" t="str">
        <f t="shared" si="49"/>
        <v>A0664:デジタルグリッド(株)メニューG</v>
      </c>
      <c r="S1056" s="544">
        <f t="shared" si="50"/>
        <v>6.11E-4</v>
      </c>
    </row>
    <row r="1057" spans="2:19">
      <c r="B1057" s="146"/>
      <c r="C1057" s="146"/>
      <c r="D1057" s="543" t="str">
        <f t="shared" si="48"/>
        <v/>
      </c>
      <c r="I1057" s="146" t="s">
        <v>1418</v>
      </c>
      <c r="J1057" s="146" t="s">
        <v>1928</v>
      </c>
      <c r="K1057" s="544" t="s">
        <v>2058</v>
      </c>
      <c r="L1057" s="544">
        <v>5.1199999999999998E-4</v>
      </c>
      <c r="M1057" s="544">
        <v>5.1199999999999998E-4</v>
      </c>
      <c r="N1057" s="544">
        <v>5.1199999999999998E-4</v>
      </c>
      <c r="O1057" s="544">
        <v>5.1199999999999998E-4</v>
      </c>
      <c r="P1057" s="544">
        <v>5.1199999999999998E-4</v>
      </c>
      <c r="R1057" s="543" t="str">
        <f t="shared" si="49"/>
        <v>A0664:デジタルグリッド(株)(参考値)事業者全体</v>
      </c>
      <c r="S1057" s="544">
        <f t="shared" si="50"/>
        <v>5.1199999999999998E-4</v>
      </c>
    </row>
    <row r="1058" spans="2:19">
      <c r="B1058" s="146"/>
      <c r="C1058" s="146"/>
      <c r="D1058" s="543" t="str">
        <f t="shared" si="48"/>
        <v/>
      </c>
      <c r="I1058" s="146" t="s">
        <v>1419</v>
      </c>
      <c r="J1058" s="146" t="s">
        <v>1929</v>
      </c>
      <c r="K1058" s="544" t="s">
        <v>710</v>
      </c>
      <c r="L1058" s="544">
        <v>0</v>
      </c>
      <c r="M1058" s="544">
        <v>0</v>
      </c>
      <c r="N1058" s="544">
        <v>0</v>
      </c>
      <c r="O1058" s="544">
        <v>0</v>
      </c>
      <c r="P1058" s="544">
        <v>0</v>
      </c>
      <c r="R1058" s="543" t="str">
        <f t="shared" si="49"/>
        <v>A0666:(株)西九州させぼパワーズメニューA</v>
      </c>
      <c r="S1058" s="544">
        <f t="shared" si="50"/>
        <v>0</v>
      </c>
    </row>
    <row r="1059" spans="2:19">
      <c r="B1059" s="146"/>
      <c r="C1059" s="146"/>
      <c r="D1059" s="543" t="str">
        <f t="shared" si="48"/>
        <v/>
      </c>
      <c r="I1059" s="146" t="s">
        <v>1419</v>
      </c>
      <c r="J1059" s="146" t="s">
        <v>1929</v>
      </c>
      <c r="K1059" s="544" t="s">
        <v>787</v>
      </c>
      <c r="L1059" s="544">
        <v>3.9300000000000001E-4</v>
      </c>
      <c r="M1059" s="544">
        <v>3.9300000000000001E-4</v>
      </c>
      <c r="N1059" s="544">
        <v>3.9300000000000001E-4</v>
      </c>
      <c r="O1059" s="544">
        <v>3.9300000000000001E-4</v>
      </c>
      <c r="P1059" s="544">
        <v>3.9300000000000001E-4</v>
      </c>
      <c r="R1059" s="543" t="str">
        <f t="shared" si="49"/>
        <v>A0666:(株)西九州させぼパワーズメニューB</v>
      </c>
      <c r="S1059" s="544">
        <f t="shared" si="50"/>
        <v>3.9300000000000001E-4</v>
      </c>
    </row>
    <row r="1060" spans="2:19">
      <c r="B1060" s="146"/>
      <c r="C1060" s="146"/>
      <c r="D1060" s="543" t="str">
        <f t="shared" si="48"/>
        <v/>
      </c>
      <c r="I1060" s="146" t="s">
        <v>1419</v>
      </c>
      <c r="J1060" s="146" t="s">
        <v>1929</v>
      </c>
      <c r="K1060" s="544" t="s">
        <v>788</v>
      </c>
      <c r="L1060" s="544">
        <v>5.3300000000000005E-4</v>
      </c>
      <c r="M1060" s="544">
        <v>5.3300000000000005E-4</v>
      </c>
      <c r="N1060" s="544">
        <v>5.3300000000000005E-4</v>
      </c>
      <c r="O1060" s="544">
        <v>5.3300000000000005E-4</v>
      </c>
      <c r="P1060" s="544">
        <v>5.3300000000000005E-4</v>
      </c>
      <c r="R1060" s="543" t="str">
        <f t="shared" si="49"/>
        <v>A0666:(株)西九州させぼパワーズメニューC</v>
      </c>
      <c r="S1060" s="544">
        <f t="shared" si="50"/>
        <v>5.3300000000000005E-4</v>
      </c>
    </row>
    <row r="1061" spans="2:19">
      <c r="B1061" s="146"/>
      <c r="C1061" s="146"/>
      <c r="D1061" s="543" t="str">
        <f t="shared" si="48"/>
        <v/>
      </c>
      <c r="I1061" s="146" t="s">
        <v>1419</v>
      </c>
      <c r="J1061" s="146" t="s">
        <v>1929</v>
      </c>
      <c r="K1061" s="544" t="s">
        <v>2058</v>
      </c>
      <c r="L1061" s="544">
        <v>5.1199999999999998E-4</v>
      </c>
      <c r="M1061" s="544">
        <v>5.1199999999999998E-4</v>
      </c>
      <c r="N1061" s="544">
        <v>5.1199999999999998E-4</v>
      </c>
      <c r="O1061" s="544">
        <v>5.1199999999999998E-4</v>
      </c>
      <c r="P1061" s="544">
        <v>5.1199999999999998E-4</v>
      </c>
      <c r="R1061" s="543" t="str">
        <f t="shared" si="49"/>
        <v>A0666:(株)西九州させぼパワーズ(参考値)事業者全体</v>
      </c>
      <c r="S1061" s="544">
        <f t="shared" si="50"/>
        <v>5.1199999999999998E-4</v>
      </c>
    </row>
    <row r="1062" spans="2:19">
      <c r="B1062" s="146"/>
      <c r="C1062" s="146"/>
      <c r="D1062" s="543" t="str">
        <f t="shared" si="48"/>
        <v/>
      </c>
      <c r="I1062" s="146" t="s">
        <v>1420</v>
      </c>
      <c r="J1062" s="146" t="s">
        <v>1930</v>
      </c>
      <c r="K1062" s="544" t="s">
        <v>710</v>
      </c>
      <c r="L1062" s="544">
        <v>0</v>
      </c>
      <c r="M1062" s="544">
        <v>0</v>
      </c>
      <c r="N1062" s="544">
        <v>0</v>
      </c>
      <c r="O1062" s="544">
        <v>0</v>
      </c>
      <c r="P1062" s="544">
        <v>0</v>
      </c>
      <c r="R1062" s="543" t="str">
        <f t="shared" si="49"/>
        <v>A0667:たんたんエナジー(株)メニューA</v>
      </c>
      <c r="S1062" s="544">
        <f t="shared" si="50"/>
        <v>0</v>
      </c>
    </row>
    <row r="1063" spans="2:19">
      <c r="B1063" s="146"/>
      <c r="C1063" s="146"/>
      <c r="D1063" s="543" t="str">
        <f t="shared" si="48"/>
        <v/>
      </c>
      <c r="I1063" s="146" t="s">
        <v>1420</v>
      </c>
      <c r="J1063" s="146" t="s">
        <v>1930</v>
      </c>
      <c r="K1063" s="544" t="s">
        <v>787</v>
      </c>
      <c r="L1063" s="544">
        <v>2.4600000000000002E-4</v>
      </c>
      <c r="M1063" s="544">
        <v>2.4600000000000002E-4</v>
      </c>
      <c r="N1063" s="544">
        <v>2.4600000000000002E-4</v>
      </c>
      <c r="O1063" s="544">
        <v>2.4600000000000002E-4</v>
      </c>
      <c r="P1063" s="544">
        <v>2.4600000000000002E-4</v>
      </c>
      <c r="R1063" s="543" t="str">
        <f t="shared" si="49"/>
        <v>A0667:たんたんエナジー(株)メニューB</v>
      </c>
      <c r="S1063" s="544">
        <f t="shared" si="50"/>
        <v>2.4600000000000002E-4</v>
      </c>
    </row>
    <row r="1064" spans="2:19">
      <c r="B1064" s="146"/>
      <c r="C1064" s="146"/>
      <c r="D1064" s="543" t="str">
        <f t="shared" si="48"/>
        <v/>
      </c>
      <c r="I1064" s="146" t="s">
        <v>1420</v>
      </c>
      <c r="J1064" s="146" t="s">
        <v>1930</v>
      </c>
      <c r="K1064" s="544" t="s">
        <v>2058</v>
      </c>
      <c r="L1064" s="544">
        <v>0</v>
      </c>
      <c r="M1064" s="544">
        <v>0</v>
      </c>
      <c r="N1064" s="544">
        <v>0</v>
      </c>
      <c r="O1064" s="544">
        <v>0</v>
      </c>
      <c r="P1064" s="544">
        <v>0</v>
      </c>
      <c r="R1064" s="543" t="str">
        <f t="shared" si="49"/>
        <v>A0667:たんたんエナジー(株)(参考値)事業者全体</v>
      </c>
      <c r="S1064" s="544">
        <f t="shared" si="50"/>
        <v>0</v>
      </c>
    </row>
    <row r="1065" spans="2:19">
      <c r="B1065" s="146"/>
      <c r="C1065" s="146"/>
      <c r="D1065" s="543" t="str">
        <f t="shared" si="48"/>
        <v/>
      </c>
      <c r="I1065" s="146" t="s">
        <v>1421</v>
      </c>
      <c r="J1065" s="146" t="s">
        <v>1931</v>
      </c>
      <c r="K1065" s="544" t="s">
        <v>710</v>
      </c>
      <c r="L1065" s="544">
        <v>0</v>
      </c>
      <c r="M1065" s="544">
        <v>0</v>
      </c>
      <c r="N1065" s="544">
        <v>0</v>
      </c>
      <c r="O1065" s="544">
        <v>0</v>
      </c>
      <c r="P1065" s="544">
        <v>0</v>
      </c>
      <c r="R1065" s="543" t="str">
        <f t="shared" si="49"/>
        <v>A0668:(株)能勢・豊能まちづくりメニューA</v>
      </c>
      <c r="S1065" s="544">
        <f t="shared" si="50"/>
        <v>0</v>
      </c>
    </row>
    <row r="1066" spans="2:19">
      <c r="B1066" s="146"/>
      <c r="C1066" s="146"/>
      <c r="D1066" s="543" t="str">
        <f t="shared" si="48"/>
        <v/>
      </c>
      <c r="I1066" s="146" t="s">
        <v>1421</v>
      </c>
      <c r="J1066" s="146" t="s">
        <v>1931</v>
      </c>
      <c r="K1066" s="544" t="s">
        <v>787</v>
      </c>
      <c r="L1066" s="544">
        <v>0</v>
      </c>
      <c r="M1066" s="544">
        <v>0</v>
      </c>
      <c r="N1066" s="544">
        <v>0</v>
      </c>
      <c r="O1066" s="544">
        <v>0</v>
      </c>
      <c r="P1066" s="544">
        <v>0</v>
      </c>
      <c r="R1066" s="543" t="str">
        <f t="shared" si="49"/>
        <v>A0668:(株)能勢・豊能まちづくりメニューB</v>
      </c>
      <c r="S1066" s="544">
        <f t="shared" si="50"/>
        <v>0</v>
      </c>
    </row>
    <row r="1067" spans="2:19">
      <c r="B1067" s="146"/>
      <c r="C1067" s="146"/>
      <c r="D1067" s="543" t="str">
        <f t="shared" si="48"/>
        <v/>
      </c>
      <c r="I1067" s="146" t="s">
        <v>1421</v>
      </c>
      <c r="J1067" s="146" t="s">
        <v>1931</v>
      </c>
      <c r="K1067" s="544" t="s">
        <v>2058</v>
      </c>
      <c r="L1067" s="544">
        <v>0</v>
      </c>
      <c r="M1067" s="544">
        <v>0</v>
      </c>
      <c r="N1067" s="544">
        <v>0</v>
      </c>
      <c r="O1067" s="544">
        <v>0</v>
      </c>
      <c r="P1067" s="544">
        <v>0</v>
      </c>
      <c r="R1067" s="543" t="str">
        <f t="shared" si="49"/>
        <v>A0668:(株)能勢・豊能まちづくり(参考値)事業者全体</v>
      </c>
      <c r="S1067" s="544">
        <f t="shared" si="50"/>
        <v>0</v>
      </c>
    </row>
    <row r="1068" spans="2:19">
      <c r="B1068" s="146"/>
      <c r="C1068" s="146"/>
      <c r="D1068" s="543" t="str">
        <f t="shared" si="48"/>
        <v/>
      </c>
      <c r="I1068" s="146" t="s">
        <v>1422</v>
      </c>
      <c r="J1068" s="146" t="s">
        <v>1932</v>
      </c>
      <c r="K1068" s="544"/>
      <c r="L1068" s="544">
        <v>6.3500000000000004E-4</v>
      </c>
      <c r="M1068" s="544">
        <v>6.3500000000000004E-4</v>
      </c>
      <c r="N1068" s="544">
        <v>6.3500000000000004E-4</v>
      </c>
      <c r="O1068" s="544">
        <v>6.3500000000000004E-4</v>
      </c>
      <c r="P1068" s="544">
        <v>6.3500000000000004E-4</v>
      </c>
      <c r="R1068" s="543" t="str">
        <f t="shared" si="49"/>
        <v>A0670:(株)再エネ思考電力</v>
      </c>
      <c r="S1068" s="544">
        <f t="shared" si="50"/>
        <v>6.3500000000000004E-4</v>
      </c>
    </row>
    <row r="1069" spans="2:19">
      <c r="B1069" s="146"/>
      <c r="C1069" s="146"/>
      <c r="D1069" s="543" t="str">
        <f t="shared" si="48"/>
        <v/>
      </c>
      <c r="I1069" s="146" t="s">
        <v>1423</v>
      </c>
      <c r="J1069" s="146" t="s">
        <v>1933</v>
      </c>
      <c r="K1069" s="544"/>
      <c r="L1069" s="544">
        <v>6.3199999999999997E-4</v>
      </c>
      <c r="M1069" s="544">
        <v>6.3199999999999997E-4</v>
      </c>
      <c r="N1069" s="544">
        <v>6.3199999999999997E-4</v>
      </c>
      <c r="O1069" s="544">
        <v>6.3199999999999997E-4</v>
      </c>
      <c r="P1069" s="544">
        <v>6.3199999999999997E-4</v>
      </c>
      <c r="R1069" s="543" t="str">
        <f t="shared" si="49"/>
        <v>A0671:(株)スマート</v>
      </c>
      <c r="S1069" s="544">
        <f t="shared" si="50"/>
        <v>6.3199999999999997E-4</v>
      </c>
    </row>
    <row r="1070" spans="2:19">
      <c r="B1070" s="146"/>
      <c r="C1070" s="146"/>
      <c r="D1070" s="543" t="str">
        <f t="shared" si="48"/>
        <v/>
      </c>
      <c r="I1070" s="146" t="s">
        <v>1424</v>
      </c>
      <c r="J1070" s="146" t="s">
        <v>1934</v>
      </c>
      <c r="K1070" s="544"/>
      <c r="L1070" s="544">
        <v>6.4400000000000004E-4</v>
      </c>
      <c r="M1070" s="544">
        <v>6.4400000000000004E-4</v>
      </c>
      <c r="N1070" s="544">
        <v>6.4400000000000004E-4</v>
      </c>
      <c r="O1070" s="544">
        <v>6.4400000000000004E-4</v>
      </c>
      <c r="P1070" s="544">
        <v>6.4400000000000004E-4</v>
      </c>
      <c r="R1070" s="543" t="str">
        <f t="shared" si="49"/>
        <v>A0673:(株)ジャパネットサービスイノベーション</v>
      </c>
      <c r="S1070" s="544">
        <f t="shared" si="50"/>
        <v>6.4400000000000004E-4</v>
      </c>
    </row>
    <row r="1071" spans="2:19">
      <c r="B1071" s="146"/>
      <c r="C1071" s="146"/>
      <c r="D1071" s="543" t="str">
        <f t="shared" si="48"/>
        <v/>
      </c>
      <c r="I1071" s="146" t="s">
        <v>1425</v>
      </c>
      <c r="J1071" s="146" t="s">
        <v>1935</v>
      </c>
      <c r="K1071" s="544"/>
      <c r="L1071" s="544">
        <v>7.2599999999999997E-4</v>
      </c>
      <c r="M1071" s="544">
        <v>7.2599999999999997E-4</v>
      </c>
      <c r="N1071" s="544">
        <v>7.2599999999999997E-4</v>
      </c>
      <c r="O1071" s="544">
        <v>7.2599999999999997E-4</v>
      </c>
      <c r="P1071" s="544">
        <v>7.2599999999999997E-4</v>
      </c>
      <c r="R1071" s="543" t="str">
        <f t="shared" si="49"/>
        <v>A0676:KBN(株)</v>
      </c>
      <c r="S1071" s="544">
        <f t="shared" si="50"/>
        <v>7.2599999999999997E-4</v>
      </c>
    </row>
    <row r="1072" spans="2:19">
      <c r="B1072" s="146"/>
      <c r="C1072" s="146"/>
      <c r="D1072" s="543" t="str">
        <f t="shared" si="48"/>
        <v/>
      </c>
      <c r="I1072" s="146" t="s">
        <v>1426</v>
      </c>
      <c r="J1072" s="146" t="s">
        <v>1936</v>
      </c>
      <c r="K1072" s="544" t="s">
        <v>710</v>
      </c>
      <c r="L1072" s="544">
        <v>0</v>
      </c>
      <c r="M1072" s="544">
        <v>0</v>
      </c>
      <c r="N1072" s="544">
        <v>0</v>
      </c>
      <c r="O1072" s="544">
        <v>0</v>
      </c>
      <c r="P1072" s="544">
        <v>0</v>
      </c>
      <c r="R1072" s="543" t="str">
        <f t="shared" si="49"/>
        <v>A0677:(株)しおさい電力メニューA</v>
      </c>
      <c r="S1072" s="544">
        <f t="shared" si="50"/>
        <v>0</v>
      </c>
    </row>
    <row r="1073" spans="2:19">
      <c r="B1073" s="146"/>
      <c r="C1073" s="146"/>
      <c r="D1073" s="543" t="str">
        <f t="shared" si="48"/>
        <v/>
      </c>
      <c r="I1073" s="146" t="s">
        <v>1426</v>
      </c>
      <c r="J1073" s="146" t="s">
        <v>1936</v>
      </c>
      <c r="K1073" s="544" t="s">
        <v>787</v>
      </c>
      <c r="L1073" s="544">
        <v>0</v>
      </c>
      <c r="M1073" s="544">
        <v>0</v>
      </c>
      <c r="N1073" s="544">
        <v>0</v>
      </c>
      <c r="O1073" s="544">
        <v>0</v>
      </c>
      <c r="P1073" s="544">
        <v>0</v>
      </c>
      <c r="R1073" s="543" t="str">
        <f t="shared" si="49"/>
        <v>A0677:(株)しおさい電力メニューB</v>
      </c>
      <c r="S1073" s="544">
        <f t="shared" si="50"/>
        <v>0</v>
      </c>
    </row>
    <row r="1074" spans="2:19">
      <c r="B1074" s="146"/>
      <c r="C1074" s="146"/>
      <c r="D1074" s="543" t="str">
        <f t="shared" si="48"/>
        <v/>
      </c>
      <c r="I1074" s="146" t="s">
        <v>1426</v>
      </c>
      <c r="J1074" s="146" t="s">
        <v>1936</v>
      </c>
      <c r="K1074" s="544" t="s">
        <v>788</v>
      </c>
      <c r="L1074" s="544">
        <v>4.1800000000000002E-4</v>
      </c>
      <c r="M1074" s="544">
        <v>4.1800000000000002E-4</v>
      </c>
      <c r="N1074" s="544">
        <v>4.1800000000000002E-4</v>
      </c>
      <c r="O1074" s="544">
        <v>4.1800000000000002E-4</v>
      </c>
      <c r="P1074" s="544">
        <v>4.1800000000000002E-4</v>
      </c>
      <c r="R1074" s="543" t="str">
        <f t="shared" si="49"/>
        <v>A0677:(株)しおさい電力メニューC</v>
      </c>
      <c r="S1074" s="544">
        <f t="shared" si="50"/>
        <v>4.1800000000000002E-4</v>
      </c>
    </row>
    <row r="1075" spans="2:19">
      <c r="B1075" s="146"/>
      <c r="C1075" s="146"/>
      <c r="D1075" s="543" t="str">
        <f t="shared" si="48"/>
        <v/>
      </c>
      <c r="I1075" s="146" t="s">
        <v>1426</v>
      </c>
      <c r="J1075" s="146" t="s">
        <v>1936</v>
      </c>
      <c r="K1075" s="544" t="s">
        <v>2058</v>
      </c>
      <c r="L1075" s="544">
        <v>3.6699999999999998E-4</v>
      </c>
      <c r="M1075" s="544">
        <v>3.6699999999999998E-4</v>
      </c>
      <c r="N1075" s="544">
        <v>3.6699999999999998E-4</v>
      </c>
      <c r="O1075" s="544">
        <v>3.6699999999999998E-4</v>
      </c>
      <c r="P1075" s="544">
        <v>3.6699999999999998E-4</v>
      </c>
      <c r="R1075" s="543" t="str">
        <f t="shared" si="49"/>
        <v>A0677:(株)しおさい電力(参考値)事業者全体</v>
      </c>
      <c r="S1075" s="544">
        <f t="shared" si="50"/>
        <v>3.6699999999999998E-4</v>
      </c>
    </row>
    <row r="1076" spans="2:19">
      <c r="B1076" s="146"/>
      <c r="C1076" s="146"/>
      <c r="D1076" s="543" t="str">
        <f t="shared" si="48"/>
        <v/>
      </c>
      <c r="I1076" s="146" t="s">
        <v>1427</v>
      </c>
      <c r="J1076" s="146" t="s">
        <v>1937</v>
      </c>
      <c r="K1076" s="544" t="s">
        <v>710</v>
      </c>
      <c r="L1076" s="544">
        <v>0</v>
      </c>
      <c r="M1076" s="544">
        <v>0</v>
      </c>
      <c r="N1076" s="544">
        <v>0</v>
      </c>
      <c r="O1076" s="544">
        <v>0</v>
      </c>
      <c r="P1076" s="544">
        <v>0</v>
      </c>
      <c r="R1076" s="543" t="str">
        <f t="shared" si="49"/>
        <v>A0680:会津エナジー(株)メニューA</v>
      </c>
      <c r="S1076" s="544">
        <f t="shared" si="50"/>
        <v>0</v>
      </c>
    </row>
    <row r="1077" spans="2:19">
      <c r="B1077" s="146"/>
      <c r="C1077" s="146"/>
      <c r="D1077" s="543" t="str">
        <f t="shared" si="48"/>
        <v/>
      </c>
      <c r="I1077" s="146" t="s">
        <v>1427</v>
      </c>
      <c r="J1077" s="146" t="s">
        <v>1937</v>
      </c>
      <c r="K1077" s="544" t="s">
        <v>787</v>
      </c>
      <c r="L1077" s="544">
        <v>0</v>
      </c>
      <c r="M1077" s="544">
        <v>0</v>
      </c>
      <c r="N1077" s="544">
        <v>0</v>
      </c>
      <c r="O1077" s="544">
        <v>0</v>
      </c>
      <c r="P1077" s="544">
        <v>0</v>
      </c>
      <c r="R1077" s="543" t="str">
        <f t="shared" si="49"/>
        <v>A0680:会津エナジー(株)メニューB</v>
      </c>
      <c r="S1077" s="544">
        <f t="shared" si="50"/>
        <v>0</v>
      </c>
    </row>
    <row r="1078" spans="2:19">
      <c r="B1078" s="146"/>
      <c r="C1078" s="146"/>
      <c r="D1078" s="543" t="str">
        <f t="shared" si="48"/>
        <v/>
      </c>
      <c r="I1078" s="146" t="s">
        <v>1427</v>
      </c>
      <c r="J1078" s="146" t="s">
        <v>1937</v>
      </c>
      <c r="K1078" s="544" t="s">
        <v>788</v>
      </c>
      <c r="L1078" s="544">
        <v>0</v>
      </c>
      <c r="M1078" s="544">
        <v>0</v>
      </c>
      <c r="N1078" s="544">
        <v>0</v>
      </c>
      <c r="O1078" s="544">
        <v>0</v>
      </c>
      <c r="P1078" s="544">
        <v>0</v>
      </c>
      <c r="R1078" s="543" t="str">
        <f t="shared" si="49"/>
        <v>A0680:会津エナジー(株)メニューC</v>
      </c>
      <c r="S1078" s="544">
        <f t="shared" si="50"/>
        <v>0</v>
      </c>
    </row>
    <row r="1079" spans="2:19">
      <c r="B1079" s="146"/>
      <c r="C1079" s="146"/>
      <c r="D1079" s="543" t="str">
        <f t="shared" si="48"/>
        <v/>
      </c>
      <c r="I1079" s="146" t="s">
        <v>1427</v>
      </c>
      <c r="J1079" s="146" t="s">
        <v>1937</v>
      </c>
      <c r="K1079" s="544" t="s">
        <v>974</v>
      </c>
      <c r="L1079" s="544">
        <v>0</v>
      </c>
      <c r="M1079" s="544">
        <v>0</v>
      </c>
      <c r="N1079" s="544">
        <v>0</v>
      </c>
      <c r="O1079" s="544">
        <v>0</v>
      </c>
      <c r="P1079" s="544">
        <v>0</v>
      </c>
      <c r="R1079" s="543" t="str">
        <f t="shared" si="49"/>
        <v>A0680:会津エナジー(株)メニューD</v>
      </c>
      <c r="S1079" s="544">
        <f t="shared" si="50"/>
        <v>0</v>
      </c>
    </row>
    <row r="1080" spans="2:19">
      <c r="B1080" s="146"/>
      <c r="C1080" s="146"/>
      <c r="D1080" s="543" t="str">
        <f t="shared" si="48"/>
        <v/>
      </c>
      <c r="I1080" s="146" t="s">
        <v>1427</v>
      </c>
      <c r="J1080" s="146" t="s">
        <v>1937</v>
      </c>
      <c r="K1080" s="544" t="s">
        <v>975</v>
      </c>
      <c r="L1080" s="544">
        <v>0</v>
      </c>
      <c r="M1080" s="544">
        <v>0</v>
      </c>
      <c r="N1080" s="544">
        <v>0</v>
      </c>
      <c r="O1080" s="544">
        <v>0</v>
      </c>
      <c r="P1080" s="544">
        <v>0</v>
      </c>
      <c r="R1080" s="543" t="str">
        <f t="shared" si="49"/>
        <v>A0680:会津エナジー(株)メニューE</v>
      </c>
      <c r="S1080" s="544">
        <f t="shared" si="50"/>
        <v>0</v>
      </c>
    </row>
    <row r="1081" spans="2:19">
      <c r="B1081" s="146"/>
      <c r="C1081" s="146"/>
      <c r="D1081" s="543" t="str">
        <f t="shared" si="48"/>
        <v/>
      </c>
      <c r="I1081" s="146" t="s">
        <v>1427</v>
      </c>
      <c r="J1081" s="146" t="s">
        <v>1937</v>
      </c>
      <c r="K1081" s="544" t="s">
        <v>2059</v>
      </c>
      <c r="L1081" s="544">
        <v>0</v>
      </c>
      <c r="M1081" s="544">
        <v>0</v>
      </c>
      <c r="N1081" s="544">
        <v>0</v>
      </c>
      <c r="O1081" s="544">
        <v>0</v>
      </c>
      <c r="P1081" s="544">
        <v>0</v>
      </c>
      <c r="R1081" s="543" t="str">
        <f t="shared" si="49"/>
        <v>A0680:会津エナジー(株)メニューF</v>
      </c>
      <c r="S1081" s="544">
        <f t="shared" si="50"/>
        <v>0</v>
      </c>
    </row>
    <row r="1082" spans="2:19">
      <c r="B1082" s="146"/>
      <c r="C1082" s="146"/>
      <c r="D1082" s="543" t="str">
        <f t="shared" si="48"/>
        <v/>
      </c>
      <c r="I1082" s="146" t="s">
        <v>1427</v>
      </c>
      <c r="J1082" s="146" t="s">
        <v>1937</v>
      </c>
      <c r="K1082" s="544" t="s">
        <v>2060</v>
      </c>
      <c r="L1082" s="544">
        <v>0</v>
      </c>
      <c r="M1082" s="544">
        <v>0</v>
      </c>
      <c r="N1082" s="544">
        <v>0</v>
      </c>
      <c r="O1082" s="544">
        <v>0</v>
      </c>
      <c r="P1082" s="544">
        <v>0</v>
      </c>
      <c r="R1082" s="543" t="str">
        <f t="shared" si="49"/>
        <v>A0680:会津エナジー(株)メニューG</v>
      </c>
      <c r="S1082" s="544">
        <f t="shared" si="50"/>
        <v>0</v>
      </c>
    </row>
    <row r="1083" spans="2:19">
      <c r="B1083" s="146"/>
      <c r="C1083" s="146"/>
      <c r="D1083" s="543" t="str">
        <f t="shared" si="48"/>
        <v/>
      </c>
      <c r="I1083" s="146" t="s">
        <v>1427</v>
      </c>
      <c r="J1083" s="146" t="s">
        <v>1937</v>
      </c>
      <c r="K1083" s="544" t="s">
        <v>2061</v>
      </c>
      <c r="L1083" s="544">
        <v>0</v>
      </c>
      <c r="M1083" s="544">
        <v>0</v>
      </c>
      <c r="N1083" s="544">
        <v>0</v>
      </c>
      <c r="O1083" s="544">
        <v>0</v>
      </c>
      <c r="P1083" s="544">
        <v>0</v>
      </c>
      <c r="R1083" s="543" t="str">
        <f t="shared" si="49"/>
        <v>A0680:会津エナジー(株)メニューH</v>
      </c>
      <c r="S1083" s="544">
        <f t="shared" si="50"/>
        <v>0</v>
      </c>
    </row>
    <row r="1084" spans="2:19">
      <c r="B1084" s="146"/>
      <c r="C1084" s="146"/>
      <c r="D1084" s="543" t="str">
        <f t="shared" si="48"/>
        <v/>
      </c>
      <c r="I1084" s="146" t="s">
        <v>1427</v>
      </c>
      <c r="J1084" s="146" t="s">
        <v>1937</v>
      </c>
      <c r="K1084" s="544" t="s">
        <v>2062</v>
      </c>
      <c r="L1084" s="544">
        <v>0</v>
      </c>
      <c r="M1084" s="544">
        <v>0</v>
      </c>
      <c r="N1084" s="544">
        <v>0</v>
      </c>
      <c r="O1084" s="544">
        <v>0</v>
      </c>
      <c r="P1084" s="544">
        <v>0</v>
      </c>
      <c r="R1084" s="543" t="str">
        <f t="shared" si="49"/>
        <v>A0680:会津エナジー(株)メニューI</v>
      </c>
      <c r="S1084" s="544">
        <f t="shared" si="50"/>
        <v>0</v>
      </c>
    </row>
    <row r="1085" spans="2:19">
      <c r="B1085" s="146"/>
      <c r="C1085" s="146"/>
      <c r="D1085" s="543" t="str">
        <f t="shared" si="48"/>
        <v/>
      </c>
      <c r="I1085" s="146" t="s">
        <v>1427</v>
      </c>
      <c r="J1085" s="146" t="s">
        <v>1937</v>
      </c>
      <c r="K1085" s="544" t="s">
        <v>2063</v>
      </c>
      <c r="L1085" s="544">
        <v>0</v>
      </c>
      <c r="M1085" s="544">
        <v>0</v>
      </c>
      <c r="N1085" s="544">
        <v>0</v>
      </c>
      <c r="O1085" s="544">
        <v>0</v>
      </c>
      <c r="P1085" s="544">
        <v>0</v>
      </c>
      <c r="R1085" s="543" t="str">
        <f t="shared" si="49"/>
        <v>A0680:会津エナジー(株)メニューJ</v>
      </c>
      <c r="S1085" s="544">
        <f t="shared" si="50"/>
        <v>0</v>
      </c>
    </row>
    <row r="1086" spans="2:19">
      <c r="B1086" s="146"/>
      <c r="C1086" s="146"/>
      <c r="D1086" s="543" t="str">
        <f t="shared" si="48"/>
        <v/>
      </c>
      <c r="I1086" s="146" t="s">
        <v>1427</v>
      </c>
      <c r="J1086" s="146" t="s">
        <v>1937</v>
      </c>
      <c r="K1086" s="544" t="s">
        <v>2064</v>
      </c>
      <c r="L1086" s="544">
        <v>0</v>
      </c>
      <c r="M1086" s="544">
        <v>0</v>
      </c>
      <c r="N1086" s="544">
        <v>0</v>
      </c>
      <c r="O1086" s="544">
        <v>0</v>
      </c>
      <c r="P1086" s="544">
        <v>0</v>
      </c>
      <c r="R1086" s="543" t="str">
        <f t="shared" si="49"/>
        <v>A0680:会津エナジー(株)メニューK</v>
      </c>
      <c r="S1086" s="544">
        <f t="shared" si="50"/>
        <v>0</v>
      </c>
    </row>
    <row r="1087" spans="2:19">
      <c r="B1087" s="146"/>
      <c r="C1087" s="146"/>
      <c r="D1087" s="543" t="str">
        <f t="shared" si="48"/>
        <v/>
      </c>
      <c r="I1087" s="146" t="s">
        <v>1427</v>
      </c>
      <c r="J1087" s="146" t="s">
        <v>1937</v>
      </c>
      <c r="K1087" s="544" t="s">
        <v>2065</v>
      </c>
      <c r="L1087" s="544">
        <v>4.2200000000000001E-4</v>
      </c>
      <c r="M1087" s="544">
        <v>4.2200000000000001E-4</v>
      </c>
      <c r="N1087" s="544">
        <v>4.2200000000000001E-4</v>
      </c>
      <c r="O1087" s="544">
        <v>4.2200000000000001E-4</v>
      </c>
      <c r="P1087" s="544">
        <v>4.2200000000000001E-4</v>
      </c>
      <c r="R1087" s="543" t="str">
        <f t="shared" si="49"/>
        <v>A0680:会津エナジー(株)メニューL</v>
      </c>
      <c r="S1087" s="544">
        <f t="shared" si="50"/>
        <v>4.2200000000000001E-4</v>
      </c>
    </row>
    <row r="1088" spans="2:19">
      <c r="B1088" s="146"/>
      <c r="C1088" s="146"/>
      <c r="D1088" s="543" t="str">
        <f t="shared" si="48"/>
        <v/>
      </c>
      <c r="I1088" s="146" t="s">
        <v>1427</v>
      </c>
      <c r="J1088" s="146" t="s">
        <v>1937</v>
      </c>
      <c r="K1088" s="544" t="s">
        <v>2058</v>
      </c>
      <c r="L1088" s="544">
        <v>1.0000000000000001E-5</v>
      </c>
      <c r="M1088" s="544">
        <v>1.0000000000000001E-5</v>
      </c>
      <c r="N1088" s="544">
        <v>1.0000000000000001E-5</v>
      </c>
      <c r="O1088" s="544">
        <v>1.0000000000000001E-5</v>
      </c>
      <c r="P1088" s="544">
        <v>1.0000000000000001E-5</v>
      </c>
      <c r="R1088" s="543" t="str">
        <f t="shared" si="49"/>
        <v>A0680:会津エナジー(株)(参考値)事業者全体</v>
      </c>
      <c r="S1088" s="544">
        <f t="shared" si="50"/>
        <v>1.0000000000000001E-5</v>
      </c>
    </row>
    <row r="1089" spans="2:19">
      <c r="B1089" s="146"/>
      <c r="C1089" s="146"/>
      <c r="D1089" s="543" t="str">
        <f t="shared" si="48"/>
        <v/>
      </c>
      <c r="I1089" s="146" t="s">
        <v>1428</v>
      </c>
      <c r="J1089" s="146" t="s">
        <v>1938</v>
      </c>
      <c r="K1089" s="544" t="s">
        <v>710</v>
      </c>
      <c r="L1089" s="544">
        <v>0</v>
      </c>
      <c r="M1089" s="544">
        <v>0</v>
      </c>
      <c r="N1089" s="544">
        <v>0</v>
      </c>
      <c r="O1089" s="544">
        <v>0</v>
      </c>
      <c r="P1089" s="544">
        <v>0</v>
      </c>
      <c r="R1089" s="543" t="str">
        <f t="shared" si="49"/>
        <v>A0681:うべ未来エネルギー(株)メニューA</v>
      </c>
      <c r="S1089" s="544">
        <f t="shared" si="50"/>
        <v>0</v>
      </c>
    </row>
    <row r="1090" spans="2:19">
      <c r="B1090" s="146"/>
      <c r="C1090" s="146"/>
      <c r="D1090" s="543" t="str">
        <f t="shared" si="48"/>
        <v/>
      </c>
      <c r="I1090" s="146" t="s">
        <v>1428</v>
      </c>
      <c r="J1090" s="146" t="s">
        <v>1938</v>
      </c>
      <c r="K1090" s="544" t="s">
        <v>787</v>
      </c>
      <c r="L1090" s="544">
        <v>5.5599999999999996E-4</v>
      </c>
      <c r="M1090" s="544">
        <v>5.5599999999999996E-4</v>
      </c>
      <c r="N1090" s="544">
        <v>5.5599999999999996E-4</v>
      </c>
      <c r="O1090" s="544">
        <v>5.5599999999999996E-4</v>
      </c>
      <c r="P1090" s="544">
        <v>5.5599999999999996E-4</v>
      </c>
      <c r="R1090" s="543" t="str">
        <f t="shared" si="49"/>
        <v>A0681:うべ未来エネルギー(株)メニューB</v>
      </c>
      <c r="S1090" s="544">
        <f t="shared" si="50"/>
        <v>5.5599999999999996E-4</v>
      </c>
    </row>
    <row r="1091" spans="2:19">
      <c r="B1091" s="146"/>
      <c r="C1091" s="146"/>
      <c r="D1091" s="543" t="str">
        <f t="shared" si="48"/>
        <v/>
      </c>
      <c r="I1091" s="146" t="s">
        <v>1428</v>
      </c>
      <c r="J1091" s="146" t="s">
        <v>1938</v>
      </c>
      <c r="K1091" s="544" t="s">
        <v>2058</v>
      </c>
      <c r="L1091" s="544">
        <v>5.5000000000000003E-4</v>
      </c>
      <c r="M1091" s="544">
        <v>5.5000000000000003E-4</v>
      </c>
      <c r="N1091" s="544">
        <v>5.5000000000000003E-4</v>
      </c>
      <c r="O1091" s="544">
        <v>5.5000000000000003E-4</v>
      </c>
      <c r="P1091" s="544">
        <v>5.5000000000000003E-4</v>
      </c>
      <c r="R1091" s="543" t="str">
        <f t="shared" si="49"/>
        <v>A0681:うべ未来エネルギー(株)(参考値)事業者全体</v>
      </c>
      <c r="S1091" s="544">
        <f t="shared" si="50"/>
        <v>5.5000000000000003E-4</v>
      </c>
    </row>
    <row r="1092" spans="2:19">
      <c r="B1092" s="146"/>
      <c r="C1092" s="146"/>
      <c r="D1092" s="543" t="str">
        <f t="shared" si="48"/>
        <v/>
      </c>
      <c r="I1092" s="146" t="s">
        <v>1429</v>
      </c>
      <c r="J1092" s="146" t="s">
        <v>1939</v>
      </c>
      <c r="K1092" s="544"/>
      <c r="L1092" s="544">
        <v>4.9600000000000002E-4</v>
      </c>
      <c r="M1092" s="544">
        <v>4.9600000000000002E-4</v>
      </c>
      <c r="N1092" s="544">
        <v>4.9600000000000002E-4</v>
      </c>
      <c r="O1092" s="544">
        <v>4.9600000000000002E-4</v>
      </c>
      <c r="P1092" s="544">
        <v>4.9600000000000002E-4</v>
      </c>
      <c r="R1092" s="543" t="str">
        <f t="shared" si="49"/>
        <v>A0683:永井自動車工業(株)</v>
      </c>
      <c r="S1092" s="544">
        <f t="shared" si="50"/>
        <v>4.9600000000000002E-4</v>
      </c>
    </row>
    <row r="1093" spans="2:19">
      <c r="B1093" s="146"/>
      <c r="C1093" s="146"/>
      <c r="D1093" s="543" t="str">
        <f t="shared" si="48"/>
        <v/>
      </c>
      <c r="I1093" s="146" t="s">
        <v>1430</v>
      </c>
      <c r="J1093" s="146" t="s">
        <v>1940</v>
      </c>
      <c r="K1093" s="146"/>
      <c r="L1093" s="146">
        <v>5.44E-4</v>
      </c>
      <c r="M1093" s="544">
        <v>5.44E-4</v>
      </c>
      <c r="N1093" s="544">
        <v>5.44E-4</v>
      </c>
      <c r="O1093" s="544">
        <v>5.44E-4</v>
      </c>
      <c r="P1093" s="544">
        <v>5.44E-4</v>
      </c>
      <c r="R1093" s="543" t="str">
        <f t="shared" ref="R1093:R1156" si="51">I1093&amp;":"&amp;J1093&amp;K1093</f>
        <v>A0685:陸前高田しみんエネルギー(株)</v>
      </c>
      <c r="S1093" s="544">
        <f t="shared" si="50"/>
        <v>5.44E-4</v>
      </c>
    </row>
    <row r="1094" spans="2:19">
      <c r="B1094" s="146"/>
      <c r="C1094" s="146"/>
      <c r="D1094" s="543" t="str">
        <f t="shared" si="48"/>
        <v/>
      </c>
      <c r="I1094" s="146" t="s">
        <v>1431</v>
      </c>
      <c r="J1094" s="146" t="s">
        <v>1941</v>
      </c>
      <c r="K1094" s="146"/>
      <c r="L1094" s="146">
        <v>5.5400000000000002E-4</v>
      </c>
      <c r="M1094" s="544">
        <v>5.5400000000000002E-4</v>
      </c>
      <c r="N1094" s="544">
        <v>5.5400000000000002E-4</v>
      </c>
      <c r="O1094" s="544">
        <v>5.5400000000000002E-4</v>
      </c>
      <c r="P1094" s="544">
        <v>5.5400000000000002E-4</v>
      </c>
      <c r="R1094" s="543" t="str">
        <f t="shared" si="51"/>
        <v>A0687:(株)チャームドライフ</v>
      </c>
      <c r="S1094" s="544">
        <f t="shared" si="50"/>
        <v>5.5400000000000002E-4</v>
      </c>
    </row>
    <row r="1095" spans="2:19">
      <c r="B1095" s="146"/>
      <c r="C1095" s="146"/>
      <c r="D1095" s="543" t="str">
        <f t="shared" si="48"/>
        <v/>
      </c>
      <c r="I1095" s="146" t="s">
        <v>1432</v>
      </c>
      <c r="J1095" s="146" t="s">
        <v>1942</v>
      </c>
      <c r="K1095" s="146" t="s">
        <v>710</v>
      </c>
      <c r="L1095" s="146">
        <v>2.3E-5</v>
      </c>
      <c r="M1095" s="544">
        <v>2.3E-5</v>
      </c>
      <c r="N1095" s="544">
        <v>2.3E-5</v>
      </c>
      <c r="O1095" s="544">
        <v>2.3E-5</v>
      </c>
      <c r="P1095" s="544">
        <v>2.3E-5</v>
      </c>
      <c r="R1095" s="543" t="str">
        <f t="shared" si="51"/>
        <v>A0689:スターティア(株)メニューA</v>
      </c>
      <c r="S1095" s="544">
        <f t="shared" si="50"/>
        <v>2.3E-5</v>
      </c>
    </row>
    <row r="1096" spans="2:19">
      <c r="B1096" s="146"/>
      <c r="C1096" s="146"/>
      <c r="D1096" s="543" t="str">
        <f t="shared" si="48"/>
        <v/>
      </c>
      <c r="I1096" s="146" t="s">
        <v>1432</v>
      </c>
      <c r="J1096" s="146" t="s">
        <v>1942</v>
      </c>
      <c r="K1096" s="146" t="s">
        <v>787</v>
      </c>
      <c r="L1096" s="146">
        <v>6.6100000000000002E-4</v>
      </c>
      <c r="M1096" s="544">
        <v>6.6100000000000002E-4</v>
      </c>
      <c r="N1096" s="544">
        <v>6.6100000000000002E-4</v>
      </c>
      <c r="O1096" s="544">
        <v>6.6100000000000002E-4</v>
      </c>
      <c r="P1096" s="544">
        <v>6.6100000000000002E-4</v>
      </c>
      <c r="R1096" s="543" t="str">
        <f t="shared" si="51"/>
        <v>A0689:スターティア(株)メニューB</v>
      </c>
      <c r="S1096" s="544">
        <f t="shared" si="50"/>
        <v>6.6100000000000002E-4</v>
      </c>
    </row>
    <row r="1097" spans="2:19">
      <c r="B1097" s="146"/>
      <c r="C1097" s="146"/>
      <c r="D1097" s="543" t="str">
        <f t="shared" si="48"/>
        <v/>
      </c>
      <c r="I1097" s="146" t="s">
        <v>1432</v>
      </c>
      <c r="J1097" s="146" t="s">
        <v>1942</v>
      </c>
      <c r="K1097" s="146" t="s">
        <v>2058</v>
      </c>
      <c r="L1097" s="146">
        <v>6.6E-4</v>
      </c>
      <c r="M1097" s="544">
        <v>6.6E-4</v>
      </c>
      <c r="N1097" s="544">
        <v>6.6E-4</v>
      </c>
      <c r="O1097" s="544">
        <v>6.6E-4</v>
      </c>
      <c r="P1097" s="544">
        <v>6.6E-4</v>
      </c>
      <c r="R1097" s="543" t="str">
        <f t="shared" si="51"/>
        <v>A0689:スターティア(株)(参考値)事業者全体</v>
      </c>
      <c r="S1097" s="544">
        <f t="shared" si="50"/>
        <v>6.6E-4</v>
      </c>
    </row>
    <row r="1098" spans="2:19">
      <c r="B1098" s="146"/>
      <c r="C1098" s="146"/>
      <c r="D1098" s="543" t="str">
        <f t="shared" ref="D1098:D1161" si="52">IF(B1098="","",B1098&amp;":"&amp;C1098)</f>
        <v/>
      </c>
      <c r="I1098" s="146" t="s">
        <v>1433</v>
      </c>
      <c r="J1098" s="146" t="s">
        <v>1943</v>
      </c>
      <c r="K1098" s="146"/>
      <c r="L1098" s="146">
        <v>3.68E-4</v>
      </c>
      <c r="M1098" s="544">
        <v>3.68E-4</v>
      </c>
      <c r="N1098" s="544">
        <v>3.68E-4</v>
      </c>
      <c r="O1098" s="544">
        <v>3.68E-4</v>
      </c>
      <c r="P1098" s="544">
        <v>3.68E-4</v>
      </c>
      <c r="R1098" s="543" t="str">
        <f t="shared" si="51"/>
        <v>A0690:東広島スマートエネルギー(株)</v>
      </c>
      <c r="S1098" s="544">
        <f t="shared" ref="S1098:S1161" si="53">HLOOKUP($S$8,$L$8:$P$2000,ROW()-7,FALSE)</f>
        <v>3.68E-4</v>
      </c>
    </row>
    <row r="1099" spans="2:19">
      <c r="B1099" s="146"/>
      <c r="C1099" s="146"/>
      <c r="D1099" s="543" t="str">
        <f t="shared" si="52"/>
        <v/>
      </c>
      <c r="I1099" s="146" t="s">
        <v>1434</v>
      </c>
      <c r="J1099" s="146" t="s">
        <v>1944</v>
      </c>
      <c r="K1099" s="146" t="s">
        <v>710</v>
      </c>
      <c r="L1099" s="146">
        <v>3.5199999999999999E-4</v>
      </c>
      <c r="M1099" s="544">
        <v>3.5199999999999999E-4</v>
      </c>
      <c r="N1099" s="544">
        <v>3.5199999999999999E-4</v>
      </c>
      <c r="O1099" s="544">
        <v>3.5199999999999999E-4</v>
      </c>
      <c r="P1099" s="544">
        <v>3.5199999999999999E-4</v>
      </c>
      <c r="R1099" s="543" t="str">
        <f t="shared" si="51"/>
        <v>A0692:旭化成(株)メニューA</v>
      </c>
      <c r="S1099" s="544">
        <f t="shared" si="53"/>
        <v>3.5199999999999999E-4</v>
      </c>
    </row>
    <row r="1100" spans="2:19">
      <c r="B1100" s="146"/>
      <c r="C1100" s="146"/>
      <c r="D1100" s="543" t="str">
        <f t="shared" si="52"/>
        <v/>
      </c>
      <c r="I1100" s="146" t="s">
        <v>1434</v>
      </c>
      <c r="J1100" s="146" t="s">
        <v>1944</v>
      </c>
      <c r="K1100" s="146" t="s">
        <v>787</v>
      </c>
      <c r="L1100" s="146">
        <v>5.9900000000000003E-4</v>
      </c>
      <c r="M1100" s="544">
        <v>5.9900000000000003E-4</v>
      </c>
      <c r="N1100" s="544">
        <v>5.9900000000000003E-4</v>
      </c>
      <c r="O1100" s="544">
        <v>5.9900000000000003E-4</v>
      </c>
      <c r="P1100" s="544">
        <v>5.9900000000000003E-4</v>
      </c>
      <c r="R1100" s="543" t="str">
        <f t="shared" si="51"/>
        <v>A0692:旭化成(株)メニューB</v>
      </c>
      <c r="S1100" s="544">
        <f t="shared" si="53"/>
        <v>5.9900000000000003E-4</v>
      </c>
    </row>
    <row r="1101" spans="2:19">
      <c r="B1101" s="146"/>
      <c r="C1101" s="146"/>
      <c r="D1101" s="543" t="str">
        <f t="shared" si="52"/>
        <v/>
      </c>
      <c r="I1101" s="146" t="s">
        <v>1434</v>
      </c>
      <c r="J1101" s="146" t="s">
        <v>1944</v>
      </c>
      <c r="K1101" s="146" t="s">
        <v>788</v>
      </c>
      <c r="L1101" s="146">
        <v>3.77E-4</v>
      </c>
      <c r="M1101" s="544">
        <v>3.77E-4</v>
      </c>
      <c r="N1101" s="544">
        <v>3.77E-4</v>
      </c>
      <c r="O1101" s="544">
        <v>3.77E-4</v>
      </c>
      <c r="P1101" s="544">
        <v>3.77E-4</v>
      </c>
      <c r="R1101" s="543" t="str">
        <f t="shared" si="51"/>
        <v>A0692:旭化成(株)メニューC</v>
      </c>
      <c r="S1101" s="544">
        <f t="shared" si="53"/>
        <v>3.77E-4</v>
      </c>
    </row>
    <row r="1102" spans="2:19">
      <c r="B1102" s="146"/>
      <c r="C1102" s="146"/>
      <c r="D1102" s="543" t="str">
        <f t="shared" si="52"/>
        <v/>
      </c>
      <c r="I1102" s="146" t="s">
        <v>1434</v>
      </c>
      <c r="J1102" s="146" t="s">
        <v>1944</v>
      </c>
      <c r="K1102" s="146" t="s">
        <v>974</v>
      </c>
      <c r="L1102" s="146">
        <v>3.5399999999999999E-4</v>
      </c>
      <c r="M1102" s="544">
        <v>3.5399999999999999E-4</v>
      </c>
      <c r="N1102" s="544">
        <v>3.5399999999999999E-4</v>
      </c>
      <c r="O1102" s="544">
        <v>3.5399999999999999E-4</v>
      </c>
      <c r="P1102" s="544">
        <v>3.5399999999999999E-4</v>
      </c>
      <c r="R1102" s="543" t="str">
        <f t="shared" si="51"/>
        <v>A0692:旭化成(株)メニューD</v>
      </c>
      <c r="S1102" s="544">
        <f t="shared" si="53"/>
        <v>3.5399999999999999E-4</v>
      </c>
    </row>
    <row r="1103" spans="2:19">
      <c r="B1103" s="146"/>
      <c r="C1103" s="146"/>
      <c r="D1103" s="543" t="str">
        <f t="shared" si="52"/>
        <v/>
      </c>
      <c r="I1103" s="146" t="s">
        <v>1434</v>
      </c>
      <c r="J1103" s="146" t="s">
        <v>1944</v>
      </c>
      <c r="K1103" s="146" t="s">
        <v>975</v>
      </c>
      <c r="L1103" s="146">
        <v>3.6000000000000002E-4</v>
      </c>
      <c r="M1103" s="544">
        <v>3.6000000000000002E-4</v>
      </c>
      <c r="N1103" s="544">
        <v>3.6000000000000002E-4</v>
      </c>
      <c r="O1103" s="544">
        <v>3.6000000000000002E-4</v>
      </c>
      <c r="P1103" s="544">
        <v>3.6000000000000002E-4</v>
      </c>
      <c r="R1103" s="543" t="str">
        <f t="shared" si="51"/>
        <v>A0692:旭化成(株)メニューE</v>
      </c>
      <c r="S1103" s="544">
        <f t="shared" si="53"/>
        <v>3.6000000000000002E-4</v>
      </c>
    </row>
    <row r="1104" spans="2:19">
      <c r="B1104" s="146"/>
      <c r="C1104" s="146"/>
      <c r="D1104" s="543" t="str">
        <f t="shared" si="52"/>
        <v/>
      </c>
      <c r="I1104" s="146" t="s">
        <v>1434</v>
      </c>
      <c r="J1104" s="146" t="s">
        <v>1944</v>
      </c>
      <c r="K1104" s="146" t="s">
        <v>2059</v>
      </c>
      <c r="L1104" s="146">
        <v>0</v>
      </c>
      <c r="M1104" s="544">
        <v>0</v>
      </c>
      <c r="N1104" s="544">
        <v>0</v>
      </c>
      <c r="O1104" s="544">
        <v>0</v>
      </c>
      <c r="P1104" s="544">
        <v>0</v>
      </c>
      <c r="R1104" s="543" t="str">
        <f t="shared" si="51"/>
        <v>A0692:旭化成(株)メニューF</v>
      </c>
      <c r="S1104" s="544">
        <f t="shared" si="53"/>
        <v>0</v>
      </c>
    </row>
    <row r="1105" spans="2:19">
      <c r="B1105" s="146"/>
      <c r="C1105" s="146"/>
      <c r="D1105" s="543" t="str">
        <f t="shared" si="52"/>
        <v/>
      </c>
      <c r="I1105" s="146" t="s">
        <v>1434</v>
      </c>
      <c r="J1105" s="146" t="s">
        <v>1944</v>
      </c>
      <c r="K1105" s="146" t="s">
        <v>2060</v>
      </c>
      <c r="L1105" s="146">
        <v>0</v>
      </c>
      <c r="M1105" s="544">
        <v>0</v>
      </c>
      <c r="N1105" s="544">
        <v>0</v>
      </c>
      <c r="O1105" s="544">
        <v>0</v>
      </c>
      <c r="P1105" s="544">
        <v>0</v>
      </c>
      <c r="R1105" s="543" t="str">
        <f t="shared" si="51"/>
        <v>A0692:旭化成(株)メニューG</v>
      </c>
      <c r="S1105" s="544">
        <f t="shared" si="53"/>
        <v>0</v>
      </c>
    </row>
    <row r="1106" spans="2:19">
      <c r="B1106" s="146"/>
      <c r="C1106" s="146"/>
      <c r="D1106" s="543" t="str">
        <f t="shared" si="52"/>
        <v/>
      </c>
      <c r="I1106" s="146" t="s">
        <v>1434</v>
      </c>
      <c r="J1106" s="146" t="s">
        <v>1944</v>
      </c>
      <c r="K1106" s="146" t="s">
        <v>2058</v>
      </c>
      <c r="L1106" s="146">
        <v>4.3199999999999998E-4</v>
      </c>
      <c r="M1106" s="544">
        <v>4.3199999999999998E-4</v>
      </c>
      <c r="N1106" s="544">
        <v>4.3199999999999998E-4</v>
      </c>
      <c r="O1106" s="544">
        <v>4.3199999999999998E-4</v>
      </c>
      <c r="P1106" s="544">
        <v>4.3199999999999998E-4</v>
      </c>
      <c r="R1106" s="543" t="str">
        <f t="shared" si="51"/>
        <v>A0692:旭化成(株)(参考値)事業者全体</v>
      </c>
      <c r="S1106" s="544">
        <f t="shared" si="53"/>
        <v>4.3199999999999998E-4</v>
      </c>
    </row>
    <row r="1107" spans="2:19">
      <c r="B1107" s="146"/>
      <c r="C1107" s="146"/>
      <c r="D1107" s="543" t="str">
        <f t="shared" si="52"/>
        <v/>
      </c>
      <c r="I1107" s="146" t="s">
        <v>1435</v>
      </c>
      <c r="J1107" s="146" t="s">
        <v>1945</v>
      </c>
      <c r="K1107" s="146"/>
      <c r="L1107" s="146">
        <v>4.2900000000000002E-4</v>
      </c>
      <c r="M1107" s="544">
        <v>4.2900000000000002E-4</v>
      </c>
      <c r="N1107" s="544">
        <v>4.2900000000000002E-4</v>
      </c>
      <c r="O1107" s="544">
        <v>4.2900000000000002E-4</v>
      </c>
      <c r="P1107" s="544">
        <v>4.2900000000000002E-4</v>
      </c>
      <c r="R1107" s="543" t="str">
        <f t="shared" si="51"/>
        <v>A0693:京和ガス(株)</v>
      </c>
      <c r="S1107" s="544">
        <f t="shared" si="53"/>
        <v>4.2900000000000002E-4</v>
      </c>
    </row>
    <row r="1108" spans="2:19">
      <c r="B1108" s="146"/>
      <c r="C1108" s="146"/>
      <c r="D1108" s="543" t="str">
        <f t="shared" si="52"/>
        <v/>
      </c>
      <c r="I1108" s="146" t="s">
        <v>1436</v>
      </c>
      <c r="J1108" s="146" t="s">
        <v>1946</v>
      </c>
      <c r="K1108" s="146"/>
      <c r="L1108" s="146">
        <v>4.57E-4</v>
      </c>
      <c r="M1108" s="544">
        <v>4.57E-4</v>
      </c>
      <c r="N1108" s="544">
        <v>4.57E-4</v>
      </c>
      <c r="O1108" s="544">
        <v>4.57E-4</v>
      </c>
      <c r="P1108" s="544">
        <v>4.57E-4</v>
      </c>
      <c r="R1108" s="543" t="str">
        <f t="shared" si="51"/>
        <v>A0695:KMパワー(株)</v>
      </c>
      <c r="S1108" s="544">
        <f t="shared" si="53"/>
        <v>4.57E-4</v>
      </c>
    </row>
    <row r="1109" spans="2:19">
      <c r="B1109" s="146"/>
      <c r="C1109" s="146"/>
      <c r="D1109" s="543" t="str">
        <f t="shared" si="52"/>
        <v/>
      </c>
      <c r="I1109" s="146" t="s">
        <v>1437</v>
      </c>
      <c r="J1109" s="146" t="s">
        <v>1947</v>
      </c>
      <c r="K1109" s="146"/>
      <c r="L1109" s="146">
        <v>6.2699999999999995E-4</v>
      </c>
      <c r="M1109" s="544">
        <v>6.2699999999999995E-4</v>
      </c>
      <c r="N1109" s="544">
        <v>6.2699999999999995E-4</v>
      </c>
      <c r="O1109" s="544">
        <v>6.2699999999999995E-4</v>
      </c>
      <c r="P1109" s="544">
        <v>6.2699999999999995E-4</v>
      </c>
      <c r="R1109" s="543" t="str">
        <f t="shared" si="51"/>
        <v>A0696:(株)Okazaki</v>
      </c>
      <c r="S1109" s="544">
        <f t="shared" si="53"/>
        <v>6.2699999999999995E-4</v>
      </c>
    </row>
    <row r="1110" spans="2:19">
      <c r="B1110" s="146"/>
      <c r="C1110" s="146"/>
      <c r="D1110" s="543" t="str">
        <f t="shared" si="52"/>
        <v/>
      </c>
      <c r="I1110" s="146" t="s">
        <v>1438</v>
      </c>
      <c r="J1110" s="146" t="s">
        <v>1948</v>
      </c>
      <c r="K1110" s="146" t="s">
        <v>710</v>
      </c>
      <c r="L1110" s="146">
        <v>0</v>
      </c>
      <c r="M1110" s="544">
        <v>0</v>
      </c>
      <c r="N1110" s="544">
        <v>0</v>
      </c>
      <c r="O1110" s="544">
        <v>0</v>
      </c>
      <c r="P1110" s="544">
        <v>0</v>
      </c>
      <c r="R1110" s="543" t="str">
        <f t="shared" si="51"/>
        <v>A0698:(株)エフオンメニューA</v>
      </c>
      <c r="S1110" s="544">
        <f t="shared" si="53"/>
        <v>0</v>
      </c>
    </row>
    <row r="1111" spans="2:19">
      <c r="B1111" s="146"/>
      <c r="C1111" s="146"/>
      <c r="D1111" s="543" t="str">
        <f t="shared" si="52"/>
        <v/>
      </c>
      <c r="I1111" s="146" t="s">
        <v>1438</v>
      </c>
      <c r="J1111" s="146" t="s">
        <v>1948</v>
      </c>
      <c r="K1111" s="146" t="s">
        <v>787</v>
      </c>
      <c r="L1111" s="146">
        <v>1.74E-4</v>
      </c>
      <c r="M1111" s="544">
        <v>1.74E-4</v>
      </c>
      <c r="N1111" s="544">
        <v>1.74E-4</v>
      </c>
      <c r="O1111" s="544">
        <v>1.74E-4</v>
      </c>
      <c r="P1111" s="544">
        <v>1.74E-4</v>
      </c>
      <c r="R1111" s="543" t="str">
        <f t="shared" si="51"/>
        <v>A0698:(株)エフオンメニューB</v>
      </c>
      <c r="S1111" s="544">
        <f t="shared" si="53"/>
        <v>1.74E-4</v>
      </c>
    </row>
    <row r="1112" spans="2:19">
      <c r="B1112" s="146"/>
      <c r="C1112" s="146"/>
      <c r="D1112" s="543" t="str">
        <f t="shared" si="52"/>
        <v/>
      </c>
      <c r="I1112" s="146" t="s">
        <v>1438</v>
      </c>
      <c r="J1112" s="146" t="s">
        <v>1948</v>
      </c>
      <c r="K1112" s="146" t="s">
        <v>788</v>
      </c>
      <c r="L1112" s="146">
        <v>2.6200000000000003E-4</v>
      </c>
      <c r="M1112" s="544">
        <v>2.6200000000000003E-4</v>
      </c>
      <c r="N1112" s="544">
        <v>2.6200000000000003E-4</v>
      </c>
      <c r="O1112" s="544">
        <v>2.6200000000000003E-4</v>
      </c>
      <c r="P1112" s="544">
        <v>2.6200000000000003E-4</v>
      </c>
      <c r="R1112" s="543" t="str">
        <f t="shared" si="51"/>
        <v>A0698:(株)エフオンメニューC</v>
      </c>
      <c r="S1112" s="544">
        <f t="shared" si="53"/>
        <v>2.6200000000000003E-4</v>
      </c>
    </row>
    <row r="1113" spans="2:19">
      <c r="B1113" s="146"/>
      <c r="C1113" s="146"/>
      <c r="D1113" s="543" t="str">
        <f t="shared" si="52"/>
        <v/>
      </c>
      <c r="I1113" s="146" t="s">
        <v>1438</v>
      </c>
      <c r="J1113" s="146" t="s">
        <v>1948</v>
      </c>
      <c r="K1113" s="146" t="s">
        <v>974</v>
      </c>
      <c r="L1113" s="146">
        <v>3.48E-4</v>
      </c>
      <c r="M1113" s="544">
        <v>3.48E-4</v>
      </c>
      <c r="N1113" s="544">
        <v>3.48E-4</v>
      </c>
      <c r="O1113" s="544">
        <v>3.48E-4</v>
      </c>
      <c r="P1113" s="544">
        <v>3.48E-4</v>
      </c>
      <c r="R1113" s="543" t="str">
        <f t="shared" si="51"/>
        <v>A0698:(株)エフオンメニューD</v>
      </c>
      <c r="S1113" s="544">
        <f t="shared" si="53"/>
        <v>3.48E-4</v>
      </c>
    </row>
    <row r="1114" spans="2:19">
      <c r="B1114" s="146"/>
      <c r="C1114" s="146"/>
      <c r="D1114" s="543" t="str">
        <f t="shared" si="52"/>
        <v/>
      </c>
      <c r="I1114" s="146" t="s">
        <v>1438</v>
      </c>
      <c r="J1114" s="146" t="s">
        <v>1948</v>
      </c>
      <c r="K1114" s="146" t="s">
        <v>2058</v>
      </c>
      <c r="L1114" s="146">
        <v>1.01E-4</v>
      </c>
      <c r="M1114" s="544">
        <v>1.01E-4</v>
      </c>
      <c r="N1114" s="544">
        <v>1.01E-4</v>
      </c>
      <c r="O1114" s="544">
        <v>1.01E-4</v>
      </c>
      <c r="P1114" s="544">
        <v>1.01E-4</v>
      </c>
      <c r="R1114" s="543" t="str">
        <f t="shared" si="51"/>
        <v>A0698:(株)エフオン(参考値)事業者全体</v>
      </c>
      <c r="S1114" s="544">
        <f t="shared" si="53"/>
        <v>1.01E-4</v>
      </c>
    </row>
    <row r="1115" spans="2:19">
      <c r="B1115" s="146"/>
      <c r="C1115" s="146"/>
      <c r="D1115" s="543" t="str">
        <f t="shared" si="52"/>
        <v/>
      </c>
      <c r="I1115" s="146" t="s">
        <v>1439</v>
      </c>
      <c r="J1115" s="146" t="s">
        <v>1949</v>
      </c>
      <c r="K1115" s="146"/>
      <c r="L1115" s="146">
        <v>3.2000000000000003E-4</v>
      </c>
      <c r="M1115" s="544">
        <v>3.2000000000000003E-4</v>
      </c>
      <c r="N1115" s="544">
        <v>3.2000000000000003E-4</v>
      </c>
      <c r="O1115" s="544">
        <v>3.2000000000000003E-4</v>
      </c>
      <c r="P1115" s="544">
        <v>3.2000000000000003E-4</v>
      </c>
      <c r="R1115" s="543" t="str">
        <f t="shared" si="51"/>
        <v>A0699:(株)岡崎さくら電力</v>
      </c>
      <c r="S1115" s="544">
        <f t="shared" si="53"/>
        <v>3.2000000000000003E-4</v>
      </c>
    </row>
    <row r="1116" spans="2:19">
      <c r="B1116" s="146"/>
      <c r="C1116" s="146"/>
      <c r="D1116" s="543" t="str">
        <f t="shared" si="52"/>
        <v/>
      </c>
      <c r="I1116" s="146" t="s">
        <v>1440</v>
      </c>
      <c r="J1116" s="146" t="s">
        <v>1950</v>
      </c>
      <c r="K1116" s="146"/>
      <c r="L1116" s="146">
        <v>4.2499999999999998E-4</v>
      </c>
      <c r="M1116" s="544">
        <v>4.2499999999999998E-4</v>
      </c>
      <c r="N1116" s="544">
        <v>4.2499999999999998E-4</v>
      </c>
      <c r="O1116" s="544">
        <v>4.2499999999999998E-4</v>
      </c>
      <c r="P1116" s="544">
        <v>4.2499999999999998E-4</v>
      </c>
      <c r="R1116" s="543" t="str">
        <f t="shared" si="51"/>
        <v>A0702:旭マルヰ(株)(旧：旭マルヰガス(株))</v>
      </c>
      <c r="S1116" s="544">
        <f t="shared" si="53"/>
        <v>4.2499999999999998E-4</v>
      </c>
    </row>
    <row r="1117" spans="2:19">
      <c r="B1117" s="146"/>
      <c r="C1117" s="146"/>
      <c r="D1117" s="543" t="str">
        <f t="shared" si="52"/>
        <v/>
      </c>
      <c r="I1117" s="146" t="s">
        <v>1441</v>
      </c>
      <c r="J1117" s="146" t="s">
        <v>1951</v>
      </c>
      <c r="K1117" s="146"/>
      <c r="L1117" s="146">
        <v>0</v>
      </c>
      <c r="M1117" s="544">
        <v>0</v>
      </c>
      <c r="N1117" s="544">
        <v>0</v>
      </c>
      <c r="O1117" s="544">
        <v>0</v>
      </c>
      <c r="P1117" s="544">
        <v>0</v>
      </c>
      <c r="R1117" s="543" t="str">
        <f t="shared" si="51"/>
        <v>A0703:ENEOSリニューアブル・エナジー・ソリューションズ(株)(旧：JREトレーディング(株))</v>
      </c>
      <c r="S1117" s="544">
        <f t="shared" si="53"/>
        <v>0</v>
      </c>
    </row>
    <row r="1118" spans="2:19">
      <c r="B1118" s="146"/>
      <c r="C1118" s="146"/>
      <c r="D1118" s="543" t="str">
        <f t="shared" si="52"/>
        <v/>
      </c>
      <c r="I1118" s="146" t="s">
        <v>1442</v>
      </c>
      <c r="J1118" s="146" t="s">
        <v>1952</v>
      </c>
      <c r="K1118" s="146"/>
      <c r="L1118" s="146">
        <v>3.86E-4</v>
      </c>
      <c r="M1118" s="544">
        <v>3.86E-4</v>
      </c>
      <c r="N1118" s="544">
        <v>3.86E-4</v>
      </c>
      <c r="O1118" s="544">
        <v>3.86E-4</v>
      </c>
      <c r="P1118" s="544">
        <v>3.86E-4</v>
      </c>
      <c r="R1118" s="543" t="str">
        <f t="shared" si="51"/>
        <v>A0704:Castleton Commodities Japan合同会社</v>
      </c>
      <c r="S1118" s="544">
        <f t="shared" si="53"/>
        <v>3.86E-4</v>
      </c>
    </row>
    <row r="1119" spans="2:19">
      <c r="B1119" s="146"/>
      <c r="C1119" s="146"/>
      <c r="D1119" s="543" t="str">
        <f t="shared" si="52"/>
        <v/>
      </c>
      <c r="I1119" s="146" t="s">
        <v>1443</v>
      </c>
      <c r="J1119" s="146" t="s">
        <v>1953</v>
      </c>
      <c r="K1119" s="146"/>
      <c r="L1119" s="146">
        <v>2.04E-4</v>
      </c>
      <c r="M1119" s="544">
        <v>2.04E-4</v>
      </c>
      <c r="N1119" s="544">
        <v>2.04E-4</v>
      </c>
      <c r="O1119" s="544">
        <v>2.04E-4</v>
      </c>
      <c r="P1119" s="544">
        <v>2.04E-4</v>
      </c>
      <c r="R1119" s="543" t="str">
        <f t="shared" si="51"/>
        <v>A0705:神戸電力(株)</v>
      </c>
      <c r="S1119" s="544">
        <f t="shared" si="53"/>
        <v>2.04E-4</v>
      </c>
    </row>
    <row r="1120" spans="2:19">
      <c r="B1120" s="146"/>
      <c r="C1120" s="146"/>
      <c r="D1120" s="543" t="str">
        <f t="shared" si="52"/>
        <v/>
      </c>
      <c r="I1120" s="146" t="s">
        <v>1444</v>
      </c>
      <c r="J1120" s="146" t="s">
        <v>1954</v>
      </c>
      <c r="K1120" s="146"/>
      <c r="L1120" s="146">
        <v>4.2200000000000001E-4</v>
      </c>
      <c r="M1120" s="544">
        <v>4.2200000000000001E-4</v>
      </c>
      <c r="N1120" s="544">
        <v>4.2200000000000001E-4</v>
      </c>
      <c r="O1120" s="544">
        <v>4.2200000000000001E-4</v>
      </c>
      <c r="P1120" s="544">
        <v>4.2200000000000001E-4</v>
      </c>
      <c r="R1120" s="543" t="str">
        <f t="shared" si="51"/>
        <v>A0707:Valhall合同会社</v>
      </c>
      <c r="S1120" s="544">
        <f t="shared" si="53"/>
        <v>4.2200000000000001E-4</v>
      </c>
    </row>
    <row r="1121" spans="2:19">
      <c r="B1121" s="146"/>
      <c r="C1121" s="146"/>
      <c r="D1121" s="543" t="str">
        <f t="shared" si="52"/>
        <v/>
      </c>
      <c r="I1121" s="146" t="s">
        <v>1445</v>
      </c>
      <c r="J1121" s="146" t="s">
        <v>1955</v>
      </c>
      <c r="K1121" s="146"/>
      <c r="L1121" s="146">
        <v>5.6099999999999998E-4</v>
      </c>
      <c r="M1121" s="544">
        <v>5.6099999999999998E-4</v>
      </c>
      <c r="N1121" s="544">
        <v>5.6099999999999998E-4</v>
      </c>
      <c r="O1121" s="544">
        <v>5.6099999999999998E-4</v>
      </c>
      <c r="P1121" s="544">
        <v>5.6099999999999998E-4</v>
      </c>
      <c r="R1121" s="543" t="str">
        <f t="shared" si="51"/>
        <v>A0708:エア・ウォーター・ライフソリューション(株)</v>
      </c>
      <c r="S1121" s="544">
        <f t="shared" si="53"/>
        <v>5.6099999999999998E-4</v>
      </c>
    </row>
    <row r="1122" spans="2:19">
      <c r="B1122" s="146"/>
      <c r="C1122" s="146"/>
      <c r="D1122" s="543" t="str">
        <f t="shared" si="52"/>
        <v/>
      </c>
      <c r="I1122" s="146" t="s">
        <v>1446</v>
      </c>
      <c r="J1122" s="146" t="s">
        <v>1956</v>
      </c>
      <c r="K1122" s="146" t="s">
        <v>710</v>
      </c>
      <c r="L1122" s="146">
        <v>3.4499999999999998E-4</v>
      </c>
      <c r="M1122" s="544">
        <v>3.4499999999999998E-4</v>
      </c>
      <c r="N1122" s="544">
        <v>3.4499999999999998E-4</v>
      </c>
      <c r="O1122" s="544">
        <v>3.4499999999999998E-4</v>
      </c>
      <c r="P1122" s="544">
        <v>3.4499999999999998E-4</v>
      </c>
      <c r="R1122" s="543" t="str">
        <f t="shared" si="51"/>
        <v>A0709:生活協同組合ひろしまメニューA</v>
      </c>
      <c r="S1122" s="544">
        <f t="shared" si="53"/>
        <v>3.4499999999999998E-4</v>
      </c>
    </row>
    <row r="1123" spans="2:19">
      <c r="B1123" s="146"/>
      <c r="C1123" s="146"/>
      <c r="D1123" s="543" t="str">
        <f t="shared" si="52"/>
        <v/>
      </c>
      <c r="I1123" s="146" t="s">
        <v>1446</v>
      </c>
      <c r="J1123" s="146" t="s">
        <v>1956</v>
      </c>
      <c r="K1123" s="146" t="s">
        <v>787</v>
      </c>
      <c r="L1123" s="146">
        <v>2.7099999999999997E-4</v>
      </c>
      <c r="M1123" s="544">
        <v>2.7099999999999997E-4</v>
      </c>
      <c r="N1123" s="544">
        <v>2.7099999999999997E-4</v>
      </c>
      <c r="O1123" s="544">
        <v>2.7099999999999997E-4</v>
      </c>
      <c r="P1123" s="544">
        <v>2.7099999999999997E-4</v>
      </c>
      <c r="R1123" s="543" t="str">
        <f t="shared" si="51"/>
        <v>A0709:生活協同組合ひろしまメニューB</v>
      </c>
      <c r="S1123" s="544">
        <f t="shared" si="53"/>
        <v>2.7099999999999997E-4</v>
      </c>
    </row>
    <row r="1124" spans="2:19">
      <c r="B1124" s="146"/>
      <c r="C1124" s="146"/>
      <c r="D1124" s="543" t="str">
        <f t="shared" si="52"/>
        <v/>
      </c>
      <c r="I1124" s="146" t="s">
        <v>1446</v>
      </c>
      <c r="J1124" s="146" t="s">
        <v>1956</v>
      </c>
      <c r="K1124" s="146" t="s">
        <v>2058</v>
      </c>
      <c r="L1124" s="146">
        <v>2.72E-4</v>
      </c>
      <c r="M1124" s="544">
        <v>2.72E-4</v>
      </c>
      <c r="N1124" s="544">
        <v>2.72E-4</v>
      </c>
      <c r="O1124" s="544">
        <v>2.72E-4</v>
      </c>
      <c r="P1124" s="544">
        <v>2.72E-4</v>
      </c>
      <c r="R1124" s="543" t="str">
        <f t="shared" si="51"/>
        <v>A0709:生活協同組合ひろしま(参考値)事業者全体</v>
      </c>
      <c r="S1124" s="544">
        <f t="shared" si="53"/>
        <v>2.72E-4</v>
      </c>
    </row>
    <row r="1125" spans="2:19">
      <c r="B1125" s="146"/>
      <c r="C1125" s="146"/>
      <c r="D1125" s="543" t="str">
        <f t="shared" si="52"/>
        <v/>
      </c>
      <c r="I1125" s="146" t="s">
        <v>1447</v>
      </c>
      <c r="J1125" s="146" t="s">
        <v>1957</v>
      </c>
      <c r="K1125" s="146"/>
      <c r="L1125" s="146">
        <v>6.3299999999999999E-4</v>
      </c>
      <c r="M1125" s="544">
        <v>6.3299999999999999E-4</v>
      </c>
      <c r="N1125" s="544">
        <v>6.3299999999999999E-4</v>
      </c>
      <c r="O1125" s="544">
        <v>6.3299999999999999E-4</v>
      </c>
      <c r="P1125" s="544">
        <v>6.3299999999999999E-4</v>
      </c>
      <c r="R1125" s="543" t="str">
        <f t="shared" si="51"/>
        <v>A0711:(株)RenoLabo</v>
      </c>
      <c r="S1125" s="544">
        <f t="shared" si="53"/>
        <v>6.3299999999999999E-4</v>
      </c>
    </row>
    <row r="1126" spans="2:19">
      <c r="B1126" s="146"/>
      <c r="C1126" s="146"/>
      <c r="D1126" s="543" t="str">
        <f t="shared" si="52"/>
        <v/>
      </c>
      <c r="I1126" s="146" t="s">
        <v>1448</v>
      </c>
      <c r="J1126" s="146" t="s">
        <v>1958</v>
      </c>
      <c r="K1126" s="146"/>
      <c r="L1126" s="146">
        <v>1.07E-4</v>
      </c>
      <c r="M1126" s="544">
        <v>1.07E-4</v>
      </c>
      <c r="N1126" s="544">
        <v>1.07E-4</v>
      </c>
      <c r="O1126" s="544">
        <v>1.07E-4</v>
      </c>
      <c r="P1126" s="544">
        <v>1.07E-4</v>
      </c>
      <c r="R1126" s="543" t="str">
        <f t="shared" si="51"/>
        <v>A0712:アークエルテクノロジーズ(株)</v>
      </c>
      <c r="S1126" s="544">
        <f t="shared" si="53"/>
        <v>1.07E-4</v>
      </c>
    </row>
    <row r="1127" spans="2:19">
      <c r="B1127" s="146"/>
      <c r="C1127" s="146"/>
      <c r="D1127" s="543" t="str">
        <f t="shared" si="52"/>
        <v/>
      </c>
      <c r="I1127" s="146" t="s">
        <v>1449</v>
      </c>
      <c r="J1127" s="146" t="s">
        <v>1959</v>
      </c>
      <c r="K1127" s="146"/>
      <c r="L1127" s="146">
        <v>6.0400000000000004E-4</v>
      </c>
      <c r="M1127" s="544">
        <v>6.0400000000000004E-4</v>
      </c>
      <c r="N1127" s="544">
        <v>6.0400000000000004E-4</v>
      </c>
      <c r="O1127" s="544">
        <v>6.0400000000000004E-4</v>
      </c>
      <c r="P1127" s="544">
        <v>6.0400000000000004E-4</v>
      </c>
      <c r="R1127" s="543" t="str">
        <f t="shared" si="51"/>
        <v>A0714:エルメック(株)</v>
      </c>
      <c r="S1127" s="544">
        <f t="shared" si="53"/>
        <v>6.0400000000000004E-4</v>
      </c>
    </row>
    <row r="1128" spans="2:19">
      <c r="B1128" s="146"/>
      <c r="C1128" s="146"/>
      <c r="D1128" s="543" t="str">
        <f t="shared" si="52"/>
        <v/>
      </c>
      <c r="I1128" s="146" t="s">
        <v>1450</v>
      </c>
      <c r="J1128" s="146" t="s">
        <v>1960</v>
      </c>
      <c r="K1128" s="146"/>
      <c r="L1128" s="146">
        <v>4.4099999999999999E-4</v>
      </c>
      <c r="M1128" s="544">
        <v>4.4099999999999999E-4</v>
      </c>
      <c r="N1128" s="544">
        <v>4.4099999999999999E-4</v>
      </c>
      <c r="O1128" s="544">
        <v>4.4099999999999999E-4</v>
      </c>
      <c r="P1128" s="544">
        <v>4.4099999999999999E-4</v>
      </c>
      <c r="R1128" s="543" t="str">
        <f t="shared" si="51"/>
        <v>A0715:(株)オズエナジー</v>
      </c>
      <c r="S1128" s="544">
        <f t="shared" si="53"/>
        <v>4.4099999999999999E-4</v>
      </c>
    </row>
    <row r="1129" spans="2:19">
      <c r="B1129" s="146"/>
      <c r="C1129" s="146"/>
      <c r="D1129" s="543" t="str">
        <f t="shared" si="52"/>
        <v/>
      </c>
      <c r="I1129" s="146" t="s">
        <v>1451</v>
      </c>
      <c r="J1129" s="146" t="s">
        <v>1961</v>
      </c>
      <c r="K1129" s="146"/>
      <c r="L1129" s="146">
        <v>4.2700000000000002E-4</v>
      </c>
      <c r="M1129" s="544">
        <v>4.2700000000000002E-4</v>
      </c>
      <c r="N1129" s="544">
        <v>4.2700000000000002E-4</v>
      </c>
      <c r="O1129" s="544">
        <v>4.2700000000000002E-4</v>
      </c>
      <c r="P1129" s="544">
        <v>4.2700000000000002E-4</v>
      </c>
      <c r="R1129" s="543" t="str">
        <f t="shared" si="51"/>
        <v>A0716:レモンガス(株)</v>
      </c>
      <c r="S1129" s="544">
        <f t="shared" si="53"/>
        <v>4.2700000000000002E-4</v>
      </c>
    </row>
    <row r="1130" spans="2:19">
      <c r="B1130" s="146"/>
      <c r="C1130" s="146"/>
      <c r="D1130" s="543" t="str">
        <f t="shared" si="52"/>
        <v/>
      </c>
      <c r="I1130" s="146" t="s">
        <v>1452</v>
      </c>
      <c r="J1130" s="146" t="s">
        <v>1962</v>
      </c>
      <c r="K1130" s="146"/>
      <c r="L1130" s="146">
        <v>3.0600000000000001E-4</v>
      </c>
      <c r="M1130" s="544">
        <v>3.0600000000000001E-4</v>
      </c>
      <c r="N1130" s="544">
        <v>3.0600000000000001E-4</v>
      </c>
      <c r="O1130" s="544">
        <v>3.0600000000000001E-4</v>
      </c>
      <c r="P1130" s="544">
        <v>3.0600000000000001E-4</v>
      </c>
      <c r="R1130" s="543" t="str">
        <f t="shared" si="51"/>
        <v>A0718:(株)日本海水</v>
      </c>
      <c r="S1130" s="544">
        <f t="shared" si="53"/>
        <v>3.0600000000000001E-4</v>
      </c>
    </row>
    <row r="1131" spans="2:19">
      <c r="B1131" s="146"/>
      <c r="C1131" s="146"/>
      <c r="D1131" s="543" t="str">
        <f t="shared" si="52"/>
        <v/>
      </c>
      <c r="I1131" s="146" t="s">
        <v>1453</v>
      </c>
      <c r="J1131" s="146" t="s">
        <v>1963</v>
      </c>
      <c r="K1131" s="146" t="s">
        <v>710</v>
      </c>
      <c r="L1131" s="146">
        <v>0</v>
      </c>
      <c r="M1131" s="544">
        <v>0</v>
      </c>
      <c r="N1131" s="544">
        <v>0</v>
      </c>
      <c r="O1131" s="544">
        <v>0</v>
      </c>
      <c r="P1131" s="544">
        <v>0</v>
      </c>
      <c r="R1131" s="543" t="str">
        <f t="shared" si="51"/>
        <v>A0720:しろくま電力(株)メニューA</v>
      </c>
      <c r="S1131" s="544">
        <f t="shared" si="53"/>
        <v>0</v>
      </c>
    </row>
    <row r="1132" spans="2:19">
      <c r="B1132" s="146"/>
      <c r="C1132" s="146"/>
      <c r="D1132" s="543" t="str">
        <f t="shared" si="52"/>
        <v/>
      </c>
      <c r="I1132" s="146" t="s">
        <v>1453</v>
      </c>
      <c r="J1132" s="146" t="s">
        <v>1963</v>
      </c>
      <c r="K1132" s="146" t="s">
        <v>787</v>
      </c>
      <c r="L1132" s="146">
        <v>3.9899999999999999E-4</v>
      </c>
      <c r="M1132" s="544">
        <v>3.9899999999999999E-4</v>
      </c>
      <c r="N1132" s="544">
        <v>3.9899999999999999E-4</v>
      </c>
      <c r="O1132" s="544">
        <v>3.9899999999999999E-4</v>
      </c>
      <c r="P1132" s="544">
        <v>3.9899999999999999E-4</v>
      </c>
      <c r="R1132" s="543" t="str">
        <f t="shared" si="51"/>
        <v>A0720:しろくま電力(株)メニューB</v>
      </c>
      <c r="S1132" s="544">
        <f t="shared" si="53"/>
        <v>3.9899999999999999E-4</v>
      </c>
    </row>
    <row r="1133" spans="2:19">
      <c r="B1133" s="146"/>
      <c r="C1133" s="146"/>
      <c r="D1133" s="543" t="str">
        <f t="shared" si="52"/>
        <v/>
      </c>
      <c r="I1133" s="146" t="s">
        <v>1453</v>
      </c>
      <c r="J1133" s="146" t="s">
        <v>1963</v>
      </c>
      <c r="K1133" s="146" t="s">
        <v>788</v>
      </c>
      <c r="L1133" s="146">
        <v>5.3200000000000003E-4</v>
      </c>
      <c r="M1133" s="544">
        <v>5.3200000000000003E-4</v>
      </c>
      <c r="N1133" s="544">
        <v>5.3200000000000003E-4</v>
      </c>
      <c r="O1133" s="544">
        <v>5.3200000000000003E-4</v>
      </c>
      <c r="P1133" s="544">
        <v>5.3200000000000003E-4</v>
      </c>
      <c r="R1133" s="543" t="str">
        <f t="shared" si="51"/>
        <v>A0720:しろくま電力(株)メニューC</v>
      </c>
      <c r="S1133" s="544">
        <f t="shared" si="53"/>
        <v>5.3200000000000003E-4</v>
      </c>
    </row>
    <row r="1134" spans="2:19">
      <c r="B1134" s="146"/>
      <c r="C1134" s="146"/>
      <c r="D1134" s="543" t="str">
        <f t="shared" si="52"/>
        <v/>
      </c>
      <c r="I1134" s="146" t="s">
        <v>1453</v>
      </c>
      <c r="J1134" s="146" t="s">
        <v>1963</v>
      </c>
      <c r="K1134" s="146" t="s">
        <v>2058</v>
      </c>
      <c r="L1134" s="146">
        <v>1.5699999999999999E-4</v>
      </c>
      <c r="M1134" s="544">
        <v>1.5699999999999999E-4</v>
      </c>
      <c r="N1134" s="544">
        <v>1.5699999999999999E-4</v>
      </c>
      <c r="O1134" s="544">
        <v>1.5699999999999999E-4</v>
      </c>
      <c r="P1134" s="544">
        <v>1.5699999999999999E-4</v>
      </c>
      <c r="R1134" s="543" t="str">
        <f t="shared" si="51"/>
        <v>A0720:しろくま電力(株)(参考値)事業者全体</v>
      </c>
      <c r="S1134" s="544">
        <f t="shared" si="53"/>
        <v>1.5699999999999999E-4</v>
      </c>
    </row>
    <row r="1135" spans="2:19">
      <c r="B1135" s="146"/>
      <c r="C1135" s="146"/>
      <c r="D1135" s="543" t="str">
        <f t="shared" si="52"/>
        <v/>
      </c>
      <c r="I1135" s="146" t="s">
        <v>1454</v>
      </c>
      <c r="J1135" s="146" t="s">
        <v>1964</v>
      </c>
      <c r="K1135" s="146"/>
      <c r="L1135" s="146">
        <v>4.8899999999999996E-4</v>
      </c>
      <c r="M1135" s="544">
        <v>4.8899999999999996E-4</v>
      </c>
      <c r="N1135" s="544">
        <v>4.8899999999999996E-4</v>
      </c>
      <c r="O1135" s="544">
        <v>4.8899999999999996E-4</v>
      </c>
      <c r="P1135" s="544">
        <v>4.8899999999999996E-4</v>
      </c>
      <c r="R1135" s="543" t="str">
        <f t="shared" si="51"/>
        <v>A0721:中小企業支援(株)</v>
      </c>
      <c r="S1135" s="544">
        <f t="shared" si="53"/>
        <v>4.8899999999999996E-4</v>
      </c>
    </row>
    <row r="1136" spans="2:19">
      <c r="B1136" s="146"/>
      <c r="C1136" s="146"/>
      <c r="D1136" s="543" t="str">
        <f t="shared" si="52"/>
        <v/>
      </c>
      <c r="I1136" s="146" t="s">
        <v>1455</v>
      </c>
      <c r="J1136" s="146" t="s">
        <v>1965</v>
      </c>
      <c r="K1136" s="146"/>
      <c r="L1136" s="146">
        <v>6.1799999999999995E-4</v>
      </c>
      <c r="M1136" s="544">
        <v>6.1799999999999995E-4</v>
      </c>
      <c r="N1136" s="544">
        <v>6.1799999999999995E-4</v>
      </c>
      <c r="O1136" s="544">
        <v>6.1799999999999995E-4</v>
      </c>
      <c r="P1136" s="544">
        <v>6.1799999999999995E-4</v>
      </c>
      <c r="R1136" s="543" t="str">
        <f t="shared" si="51"/>
        <v>A0722:サントラベラーズサービス有限会社</v>
      </c>
      <c r="S1136" s="544">
        <f t="shared" si="53"/>
        <v>6.1799999999999995E-4</v>
      </c>
    </row>
    <row r="1137" spans="2:19">
      <c r="B1137" s="146"/>
      <c r="C1137" s="146"/>
      <c r="D1137" s="543" t="str">
        <f t="shared" si="52"/>
        <v/>
      </c>
      <c r="I1137" s="146" t="s">
        <v>1456</v>
      </c>
      <c r="J1137" s="146" t="s">
        <v>1966</v>
      </c>
      <c r="K1137" s="146"/>
      <c r="L1137" s="146">
        <v>3.8299999999999999E-4</v>
      </c>
      <c r="M1137" s="544">
        <v>3.8299999999999999E-4</v>
      </c>
      <c r="N1137" s="544">
        <v>3.8299999999999999E-4</v>
      </c>
      <c r="O1137" s="544">
        <v>3.8299999999999999E-4</v>
      </c>
      <c r="P1137" s="544">
        <v>3.8299999999999999E-4</v>
      </c>
      <c r="R1137" s="543" t="str">
        <f t="shared" si="51"/>
        <v>A0726:八千代エンジニヤリング(株)</v>
      </c>
      <c r="S1137" s="544">
        <f t="shared" si="53"/>
        <v>3.8299999999999999E-4</v>
      </c>
    </row>
    <row r="1138" spans="2:19">
      <c r="B1138" s="146"/>
      <c r="C1138" s="146"/>
      <c r="D1138" s="543" t="str">
        <f t="shared" si="52"/>
        <v/>
      </c>
      <c r="I1138" s="146" t="s">
        <v>1457</v>
      </c>
      <c r="J1138" s="146" t="s">
        <v>1967</v>
      </c>
      <c r="K1138" s="146" t="s">
        <v>710</v>
      </c>
      <c r="L1138" s="146">
        <v>0</v>
      </c>
      <c r="M1138" s="544">
        <v>0</v>
      </c>
      <c r="N1138" s="544">
        <v>0</v>
      </c>
      <c r="O1138" s="544">
        <v>0</v>
      </c>
      <c r="P1138" s="544">
        <v>0</v>
      </c>
      <c r="R1138" s="543" t="str">
        <f t="shared" si="51"/>
        <v>A0729:神楽電力(株)メニューA</v>
      </c>
      <c r="S1138" s="544">
        <f t="shared" si="53"/>
        <v>0</v>
      </c>
    </row>
    <row r="1139" spans="2:19">
      <c r="B1139" s="146"/>
      <c r="C1139" s="146"/>
      <c r="D1139" s="543" t="str">
        <f t="shared" si="52"/>
        <v/>
      </c>
      <c r="I1139" s="146" t="s">
        <v>1457</v>
      </c>
      <c r="J1139" s="146" t="s">
        <v>1967</v>
      </c>
      <c r="K1139" s="146" t="s">
        <v>787</v>
      </c>
      <c r="L1139" s="146">
        <v>0</v>
      </c>
      <c r="M1139" s="544">
        <v>0</v>
      </c>
      <c r="N1139" s="544">
        <v>0</v>
      </c>
      <c r="O1139" s="544">
        <v>0</v>
      </c>
      <c r="P1139" s="544">
        <v>0</v>
      </c>
      <c r="R1139" s="543" t="str">
        <f t="shared" si="51"/>
        <v>A0729:神楽電力(株)メニューB</v>
      </c>
      <c r="S1139" s="544">
        <f t="shared" si="53"/>
        <v>0</v>
      </c>
    </row>
    <row r="1140" spans="2:19">
      <c r="B1140" s="146"/>
      <c r="C1140" s="146"/>
      <c r="D1140" s="543" t="str">
        <f t="shared" si="52"/>
        <v/>
      </c>
      <c r="I1140" s="146" t="s">
        <v>1457</v>
      </c>
      <c r="J1140" s="146" t="s">
        <v>1967</v>
      </c>
      <c r="K1140" s="146" t="s">
        <v>788</v>
      </c>
      <c r="L1140" s="146">
        <v>5.9400000000000002E-4</v>
      </c>
      <c r="M1140" s="544">
        <v>5.9400000000000002E-4</v>
      </c>
      <c r="N1140" s="544">
        <v>5.9400000000000002E-4</v>
      </c>
      <c r="O1140" s="544">
        <v>5.9400000000000002E-4</v>
      </c>
      <c r="P1140" s="544">
        <v>5.9400000000000002E-4</v>
      </c>
      <c r="R1140" s="543" t="str">
        <f t="shared" si="51"/>
        <v>A0729:神楽電力(株)メニューC</v>
      </c>
      <c r="S1140" s="544">
        <f t="shared" si="53"/>
        <v>5.9400000000000002E-4</v>
      </c>
    </row>
    <row r="1141" spans="2:19">
      <c r="B1141" s="146"/>
      <c r="C1141" s="146"/>
      <c r="D1141" s="543" t="str">
        <f t="shared" si="52"/>
        <v/>
      </c>
      <c r="I1141" s="146" t="s">
        <v>1457</v>
      </c>
      <c r="J1141" s="146" t="s">
        <v>1967</v>
      </c>
      <c r="K1141" s="146" t="s">
        <v>2058</v>
      </c>
      <c r="L1141" s="146">
        <v>2.0799999999999999E-4</v>
      </c>
      <c r="M1141" s="544">
        <v>2.0799999999999999E-4</v>
      </c>
      <c r="N1141" s="544">
        <v>2.0799999999999999E-4</v>
      </c>
      <c r="O1141" s="544">
        <v>2.0799999999999999E-4</v>
      </c>
      <c r="P1141" s="544">
        <v>2.0799999999999999E-4</v>
      </c>
      <c r="R1141" s="543" t="str">
        <f t="shared" si="51"/>
        <v>A0729:神楽電力(株)(参考値)事業者全体</v>
      </c>
      <c r="S1141" s="544">
        <f t="shared" si="53"/>
        <v>2.0799999999999999E-4</v>
      </c>
    </row>
    <row r="1142" spans="2:19">
      <c r="B1142" s="146"/>
      <c r="C1142" s="146"/>
      <c r="D1142" s="543" t="str">
        <f t="shared" si="52"/>
        <v/>
      </c>
      <c r="I1142" s="146" t="s">
        <v>1458</v>
      </c>
      <c r="J1142" s="146" t="s">
        <v>1968</v>
      </c>
      <c r="K1142" s="146"/>
      <c r="L1142" s="146">
        <v>4.3300000000000001E-4</v>
      </c>
      <c r="M1142" s="544">
        <v>4.3300000000000001E-4</v>
      </c>
      <c r="N1142" s="544">
        <v>4.3300000000000001E-4</v>
      </c>
      <c r="O1142" s="544">
        <v>4.3300000000000001E-4</v>
      </c>
      <c r="P1142" s="544">
        <v>4.3300000000000001E-4</v>
      </c>
      <c r="R1142" s="543" t="str">
        <f t="shared" si="51"/>
        <v>A0730:ゆきぐに新電力(株)</v>
      </c>
      <c r="S1142" s="544">
        <f t="shared" si="53"/>
        <v>4.3300000000000001E-4</v>
      </c>
    </row>
    <row r="1143" spans="2:19">
      <c r="B1143" s="146"/>
      <c r="C1143" s="146"/>
      <c r="D1143" s="543" t="str">
        <f t="shared" si="52"/>
        <v/>
      </c>
      <c r="I1143" s="146" t="s">
        <v>1459</v>
      </c>
      <c r="J1143" s="146" t="s">
        <v>1969</v>
      </c>
      <c r="K1143" s="146"/>
      <c r="L1143" s="146">
        <v>3.0000000000000001E-6</v>
      </c>
      <c r="M1143" s="544">
        <v>3.0000000000000001E-6</v>
      </c>
      <c r="N1143" s="544">
        <v>3.0000000000000001E-6</v>
      </c>
      <c r="O1143" s="544">
        <v>3.0000000000000001E-6</v>
      </c>
      <c r="P1143" s="544">
        <v>3.0000000000000001E-6</v>
      </c>
      <c r="R1143" s="543" t="str">
        <f t="shared" si="51"/>
        <v>A0732:(株)ながさきサステナエナジー</v>
      </c>
      <c r="S1143" s="544">
        <f t="shared" si="53"/>
        <v>3.0000000000000001E-6</v>
      </c>
    </row>
    <row r="1144" spans="2:19">
      <c r="B1144" s="146"/>
      <c r="C1144" s="146"/>
      <c r="D1144" s="543" t="str">
        <f t="shared" si="52"/>
        <v/>
      </c>
      <c r="I1144" s="146" t="s">
        <v>1460</v>
      </c>
      <c r="J1144" s="146" t="s">
        <v>1970</v>
      </c>
      <c r="K1144" s="146"/>
      <c r="L1144" s="146">
        <v>3.6299999999999999E-4</v>
      </c>
      <c r="M1144" s="544">
        <v>3.6299999999999999E-4</v>
      </c>
      <c r="N1144" s="544">
        <v>3.6299999999999999E-4</v>
      </c>
      <c r="O1144" s="544">
        <v>3.6299999999999999E-4</v>
      </c>
      <c r="P1144" s="544">
        <v>3.6299999999999999E-4</v>
      </c>
      <c r="R1144" s="543" t="str">
        <f t="shared" si="51"/>
        <v>A0733:葛尾創生電力(株)</v>
      </c>
      <c r="S1144" s="544">
        <f t="shared" si="53"/>
        <v>3.6299999999999999E-4</v>
      </c>
    </row>
    <row r="1145" spans="2:19">
      <c r="B1145" s="146"/>
      <c r="C1145" s="146"/>
      <c r="D1145" s="543" t="str">
        <f t="shared" si="52"/>
        <v/>
      </c>
      <c r="I1145" s="146" t="s">
        <v>1461</v>
      </c>
      <c r="J1145" s="146" t="s">
        <v>1971</v>
      </c>
      <c r="K1145" s="146" t="s">
        <v>710</v>
      </c>
      <c r="L1145" s="146">
        <v>0</v>
      </c>
      <c r="M1145" s="544">
        <v>0</v>
      </c>
      <c r="N1145" s="544">
        <v>0</v>
      </c>
      <c r="O1145" s="544">
        <v>0</v>
      </c>
      <c r="P1145" s="544">
        <v>0</v>
      </c>
      <c r="R1145" s="543" t="str">
        <f t="shared" si="51"/>
        <v>A0737:(株)EFでんき(旧：(株)ライフエナジー)メニューA</v>
      </c>
      <c r="S1145" s="544">
        <f t="shared" si="53"/>
        <v>0</v>
      </c>
    </row>
    <row r="1146" spans="2:19">
      <c r="B1146" s="146"/>
      <c r="C1146" s="146"/>
      <c r="D1146" s="543" t="str">
        <f t="shared" si="52"/>
        <v/>
      </c>
      <c r="I1146" s="146" t="s">
        <v>1461</v>
      </c>
      <c r="J1146" s="146" t="s">
        <v>1971</v>
      </c>
      <c r="K1146" s="146" t="s">
        <v>787</v>
      </c>
      <c r="L1146" s="146">
        <v>1.2400000000000001E-4</v>
      </c>
      <c r="M1146" s="544">
        <v>1.2400000000000001E-4</v>
      </c>
      <c r="N1146" s="544">
        <v>1.2400000000000001E-4</v>
      </c>
      <c r="O1146" s="544">
        <v>1.2400000000000001E-4</v>
      </c>
      <c r="P1146" s="544">
        <v>1.2400000000000001E-4</v>
      </c>
      <c r="R1146" s="543" t="str">
        <f t="shared" si="51"/>
        <v>A0737:(株)EFでんき(旧：(株)ライフエナジー)メニューB</v>
      </c>
      <c r="S1146" s="544">
        <f t="shared" si="53"/>
        <v>1.2400000000000001E-4</v>
      </c>
    </row>
    <row r="1147" spans="2:19">
      <c r="B1147" s="146"/>
      <c r="C1147" s="146"/>
      <c r="D1147" s="543" t="str">
        <f t="shared" si="52"/>
        <v/>
      </c>
      <c r="I1147" s="146" t="s">
        <v>1461</v>
      </c>
      <c r="J1147" s="146" t="s">
        <v>1971</v>
      </c>
      <c r="K1147" s="146" t="s">
        <v>788</v>
      </c>
      <c r="L1147" s="146">
        <v>0</v>
      </c>
      <c r="M1147" s="544">
        <v>0</v>
      </c>
      <c r="N1147" s="544">
        <v>0</v>
      </c>
      <c r="O1147" s="544">
        <v>0</v>
      </c>
      <c r="P1147" s="544">
        <v>0</v>
      </c>
      <c r="R1147" s="543" t="str">
        <f t="shared" si="51"/>
        <v>A0737:(株)EFでんき(旧：(株)ライフエナジー)メニューC</v>
      </c>
      <c r="S1147" s="544">
        <f t="shared" si="53"/>
        <v>0</v>
      </c>
    </row>
    <row r="1148" spans="2:19">
      <c r="B1148" s="146"/>
      <c r="C1148" s="146"/>
      <c r="D1148" s="543" t="str">
        <f t="shared" si="52"/>
        <v/>
      </c>
      <c r="I1148" s="146" t="s">
        <v>1461</v>
      </c>
      <c r="J1148" s="146" t="s">
        <v>1971</v>
      </c>
      <c r="K1148" s="146" t="s">
        <v>2058</v>
      </c>
      <c r="L1148" s="146">
        <v>0</v>
      </c>
      <c r="M1148" s="544">
        <v>0</v>
      </c>
      <c r="N1148" s="544">
        <v>0</v>
      </c>
      <c r="O1148" s="544">
        <v>0</v>
      </c>
      <c r="P1148" s="544">
        <v>0</v>
      </c>
      <c r="R1148" s="543" t="str">
        <f t="shared" si="51"/>
        <v>A0737:(株)EFでんき(旧：(株)ライフエナジー)(参考値)事業者全体</v>
      </c>
      <c r="S1148" s="544">
        <f t="shared" si="53"/>
        <v>0</v>
      </c>
    </row>
    <row r="1149" spans="2:19">
      <c r="B1149" s="146"/>
      <c r="C1149" s="146"/>
      <c r="D1149" s="543" t="str">
        <f t="shared" si="52"/>
        <v/>
      </c>
      <c r="I1149" s="146" t="s">
        <v>1462</v>
      </c>
      <c r="J1149" s="146" t="s">
        <v>1972</v>
      </c>
      <c r="K1149" s="146"/>
      <c r="L1149" s="146">
        <v>4.2999999999999999E-4</v>
      </c>
      <c r="M1149" s="544">
        <v>4.2999999999999999E-4</v>
      </c>
      <c r="N1149" s="544">
        <v>4.2999999999999999E-4</v>
      </c>
      <c r="O1149" s="544">
        <v>4.2999999999999999E-4</v>
      </c>
      <c r="P1149" s="544">
        <v>4.2999999999999999E-4</v>
      </c>
      <c r="R1149" s="543" t="str">
        <f t="shared" si="51"/>
        <v>A0738:(株)グルーヴエナジー</v>
      </c>
      <c r="S1149" s="544">
        <f t="shared" si="53"/>
        <v>4.2999999999999999E-4</v>
      </c>
    </row>
    <row r="1150" spans="2:19">
      <c r="B1150" s="146"/>
      <c r="C1150" s="146"/>
      <c r="D1150" s="543" t="str">
        <f t="shared" si="52"/>
        <v/>
      </c>
      <c r="I1150" s="146" t="s">
        <v>1463</v>
      </c>
      <c r="J1150" s="146" t="s">
        <v>1973</v>
      </c>
      <c r="K1150" s="146"/>
      <c r="L1150" s="146">
        <v>5.1199999999999998E-4</v>
      </c>
      <c r="M1150" s="544">
        <v>5.1199999999999998E-4</v>
      </c>
      <c r="N1150" s="544">
        <v>5.1199999999999998E-4</v>
      </c>
      <c r="O1150" s="544">
        <v>5.1199999999999998E-4</v>
      </c>
      <c r="P1150" s="544">
        <v>5.1199999999999998E-4</v>
      </c>
      <c r="R1150" s="543" t="str">
        <f t="shared" si="51"/>
        <v>A0739:高知ニューエナジー(株)</v>
      </c>
      <c r="S1150" s="544">
        <f t="shared" si="53"/>
        <v>5.1199999999999998E-4</v>
      </c>
    </row>
    <row r="1151" spans="2:19">
      <c r="B1151" s="146"/>
      <c r="C1151" s="146"/>
      <c r="D1151" s="543" t="str">
        <f t="shared" si="52"/>
        <v/>
      </c>
      <c r="I1151" s="146" t="s">
        <v>1464</v>
      </c>
      <c r="J1151" s="146" t="s">
        <v>1974</v>
      </c>
      <c r="K1151" s="146"/>
      <c r="L1151" s="146">
        <v>4.64E-4</v>
      </c>
      <c r="M1151" s="544">
        <v>4.64E-4</v>
      </c>
      <c r="N1151" s="544">
        <v>4.64E-4</v>
      </c>
      <c r="O1151" s="544">
        <v>4.64E-4</v>
      </c>
      <c r="P1151" s="544">
        <v>4.64E-4</v>
      </c>
      <c r="R1151" s="543" t="str">
        <f t="shared" si="51"/>
        <v>A0740:もみじ電力(株)</v>
      </c>
      <c r="S1151" s="544">
        <f t="shared" si="53"/>
        <v>4.64E-4</v>
      </c>
    </row>
    <row r="1152" spans="2:19">
      <c r="B1152" s="146"/>
      <c r="C1152" s="146"/>
      <c r="D1152" s="543" t="str">
        <f t="shared" si="52"/>
        <v/>
      </c>
      <c r="I1152" s="146" t="s">
        <v>1465</v>
      </c>
      <c r="J1152" s="146" t="s">
        <v>1975</v>
      </c>
      <c r="K1152" s="146"/>
      <c r="L1152" s="146">
        <v>5.1199999999999998E-4</v>
      </c>
      <c r="M1152" s="544">
        <v>5.1199999999999998E-4</v>
      </c>
      <c r="N1152" s="544">
        <v>5.1199999999999998E-4</v>
      </c>
      <c r="O1152" s="544">
        <v>5.1199999999999998E-4</v>
      </c>
      <c r="P1152" s="544">
        <v>5.1199999999999998E-4</v>
      </c>
      <c r="R1152" s="543" t="str">
        <f t="shared" si="51"/>
        <v>A0742:(株)縁人</v>
      </c>
      <c r="S1152" s="544">
        <f t="shared" si="53"/>
        <v>5.1199999999999998E-4</v>
      </c>
    </row>
    <row r="1153" spans="2:19">
      <c r="B1153" s="146"/>
      <c r="C1153" s="146"/>
      <c r="D1153" s="543" t="str">
        <f t="shared" si="52"/>
        <v/>
      </c>
      <c r="I1153" s="146" t="s">
        <v>1466</v>
      </c>
      <c r="J1153" s="146" t="s">
        <v>1976</v>
      </c>
      <c r="K1153" s="146"/>
      <c r="L1153" s="146">
        <v>4.55E-4</v>
      </c>
      <c r="M1153" s="544">
        <v>4.55E-4</v>
      </c>
      <c r="N1153" s="544">
        <v>4.55E-4</v>
      </c>
      <c r="O1153" s="544">
        <v>4.55E-4</v>
      </c>
      <c r="P1153" s="544">
        <v>4.55E-4</v>
      </c>
      <c r="R1153" s="543" t="str">
        <f t="shared" si="51"/>
        <v>A0743:T＆Tエナジー(株)</v>
      </c>
      <c r="S1153" s="544">
        <f t="shared" si="53"/>
        <v>4.55E-4</v>
      </c>
    </row>
    <row r="1154" spans="2:19">
      <c r="B1154" s="146"/>
      <c r="C1154" s="146"/>
      <c r="D1154" s="543" t="str">
        <f t="shared" si="52"/>
        <v/>
      </c>
      <c r="I1154" s="146" t="s">
        <v>1467</v>
      </c>
      <c r="J1154" s="146" t="s">
        <v>1977</v>
      </c>
      <c r="K1154" s="146" t="s">
        <v>710</v>
      </c>
      <c r="L1154" s="146">
        <v>0</v>
      </c>
      <c r="M1154" s="544">
        <v>0</v>
      </c>
      <c r="N1154" s="544">
        <v>0</v>
      </c>
      <c r="O1154" s="544">
        <v>0</v>
      </c>
      <c r="P1154" s="544">
        <v>0</v>
      </c>
      <c r="R1154" s="543" t="str">
        <f t="shared" si="51"/>
        <v>A0744:(株)ルークメニューA</v>
      </c>
      <c r="S1154" s="544">
        <f t="shared" si="53"/>
        <v>0</v>
      </c>
    </row>
    <row r="1155" spans="2:19">
      <c r="B1155" s="146"/>
      <c r="C1155" s="146"/>
      <c r="D1155" s="543" t="str">
        <f t="shared" si="52"/>
        <v/>
      </c>
      <c r="I1155" s="146" t="s">
        <v>1467</v>
      </c>
      <c r="J1155" s="146" t="s">
        <v>1977</v>
      </c>
      <c r="K1155" s="146" t="s">
        <v>787</v>
      </c>
      <c r="L1155" s="146">
        <v>4.2999999999999999E-4</v>
      </c>
      <c r="M1155" s="544">
        <v>4.2999999999999999E-4</v>
      </c>
      <c r="N1155" s="544">
        <v>4.2999999999999999E-4</v>
      </c>
      <c r="O1155" s="544">
        <v>4.2999999999999999E-4</v>
      </c>
      <c r="P1155" s="544">
        <v>4.2999999999999999E-4</v>
      </c>
      <c r="R1155" s="543" t="str">
        <f t="shared" si="51"/>
        <v>A0744:(株)ルークメニューB</v>
      </c>
      <c r="S1155" s="544">
        <f t="shared" si="53"/>
        <v>4.2999999999999999E-4</v>
      </c>
    </row>
    <row r="1156" spans="2:19">
      <c r="B1156" s="146"/>
      <c r="C1156" s="146"/>
      <c r="D1156" s="543" t="str">
        <f t="shared" si="52"/>
        <v/>
      </c>
      <c r="I1156" s="146" t="s">
        <v>1467</v>
      </c>
      <c r="J1156" s="146" t="s">
        <v>1977</v>
      </c>
      <c r="K1156" s="146" t="s">
        <v>2058</v>
      </c>
      <c r="L1156" s="146">
        <v>4.0900000000000002E-4</v>
      </c>
      <c r="M1156" s="544">
        <v>4.0900000000000002E-4</v>
      </c>
      <c r="N1156" s="544">
        <v>4.0900000000000002E-4</v>
      </c>
      <c r="O1156" s="544">
        <v>4.0900000000000002E-4</v>
      </c>
      <c r="P1156" s="544">
        <v>4.0900000000000002E-4</v>
      </c>
      <c r="R1156" s="543" t="str">
        <f t="shared" si="51"/>
        <v>A0744:(株)ルーク(参考値)事業者全体</v>
      </c>
      <c r="S1156" s="544">
        <f t="shared" si="53"/>
        <v>4.0900000000000002E-4</v>
      </c>
    </row>
    <row r="1157" spans="2:19">
      <c r="B1157" s="146"/>
      <c r="C1157" s="146"/>
      <c r="D1157" s="543" t="str">
        <f t="shared" si="52"/>
        <v/>
      </c>
      <c r="I1157" s="146" t="s">
        <v>1468</v>
      </c>
      <c r="J1157" s="146" t="s">
        <v>1978</v>
      </c>
      <c r="K1157" s="146"/>
      <c r="L1157" s="146">
        <v>0</v>
      </c>
      <c r="M1157" s="544">
        <v>0</v>
      </c>
      <c r="N1157" s="544">
        <v>0</v>
      </c>
      <c r="O1157" s="544">
        <v>0</v>
      </c>
      <c r="P1157" s="544">
        <v>0</v>
      </c>
      <c r="R1157" s="543" t="str">
        <f t="shared" ref="R1157:R1220" si="54">I1157&amp;":"&amp;J1157&amp;K1157</f>
        <v>A0746:かけがわ報徳パワー(株)</v>
      </c>
      <c r="S1157" s="544">
        <f t="shared" si="53"/>
        <v>0</v>
      </c>
    </row>
    <row r="1158" spans="2:19">
      <c r="B1158" s="146"/>
      <c r="C1158" s="146"/>
      <c r="D1158" s="543" t="str">
        <f t="shared" si="52"/>
        <v/>
      </c>
      <c r="I1158" s="146" t="s">
        <v>1469</v>
      </c>
      <c r="J1158" s="146" t="s">
        <v>1979</v>
      </c>
      <c r="K1158" s="146"/>
      <c r="L1158" s="146">
        <v>6.2100000000000002E-4</v>
      </c>
      <c r="M1158" s="544">
        <v>6.2100000000000002E-4</v>
      </c>
      <c r="N1158" s="544">
        <v>6.2100000000000002E-4</v>
      </c>
      <c r="O1158" s="544">
        <v>6.2100000000000002E-4</v>
      </c>
      <c r="P1158" s="544">
        <v>6.2100000000000002E-4</v>
      </c>
      <c r="R1158" s="543" t="str">
        <f t="shared" si="54"/>
        <v>A0747:SustainableEnergy(株)</v>
      </c>
      <c r="S1158" s="544">
        <f t="shared" si="53"/>
        <v>6.2100000000000002E-4</v>
      </c>
    </row>
    <row r="1159" spans="2:19">
      <c r="B1159" s="146"/>
      <c r="C1159" s="146"/>
      <c r="D1159" s="543" t="str">
        <f t="shared" si="52"/>
        <v/>
      </c>
      <c r="I1159" s="146" t="s">
        <v>1470</v>
      </c>
      <c r="J1159" s="146" t="s">
        <v>1980</v>
      </c>
      <c r="K1159" s="146"/>
      <c r="L1159" s="146">
        <v>2.4600000000000002E-4</v>
      </c>
      <c r="M1159" s="544">
        <v>2.4600000000000002E-4</v>
      </c>
      <c r="N1159" s="544">
        <v>2.4600000000000002E-4</v>
      </c>
      <c r="O1159" s="544">
        <v>2.4600000000000002E-4</v>
      </c>
      <c r="P1159" s="544">
        <v>2.4600000000000002E-4</v>
      </c>
      <c r="R1159" s="543" t="str">
        <f t="shared" si="54"/>
        <v>A0748:穂の国とよはし電力(株)</v>
      </c>
      <c r="S1159" s="544">
        <f t="shared" si="53"/>
        <v>2.4600000000000002E-4</v>
      </c>
    </row>
    <row r="1160" spans="2:19">
      <c r="B1160" s="146"/>
      <c r="C1160" s="146"/>
      <c r="D1160" s="543" t="str">
        <f t="shared" si="52"/>
        <v/>
      </c>
      <c r="I1160" s="146" t="s">
        <v>1471</v>
      </c>
      <c r="J1160" s="146" t="s">
        <v>1981</v>
      </c>
      <c r="K1160" s="146"/>
      <c r="L1160" s="146">
        <v>5.6499999999999996E-4</v>
      </c>
      <c r="M1160" s="544">
        <v>5.6499999999999996E-4</v>
      </c>
      <c r="N1160" s="544">
        <v>5.6499999999999996E-4</v>
      </c>
      <c r="O1160" s="544">
        <v>5.6499999999999996E-4</v>
      </c>
      <c r="P1160" s="544">
        <v>5.6499999999999996E-4</v>
      </c>
      <c r="R1160" s="543" t="str">
        <f t="shared" si="54"/>
        <v>A0752:イワタニセントラル北海道(株)</v>
      </c>
      <c r="S1160" s="544">
        <f t="shared" si="53"/>
        <v>5.6499999999999996E-4</v>
      </c>
    </row>
    <row r="1161" spans="2:19">
      <c r="B1161" s="146"/>
      <c r="C1161" s="146"/>
      <c r="D1161" s="543" t="str">
        <f t="shared" si="52"/>
        <v/>
      </c>
      <c r="I1161" s="146" t="s">
        <v>1472</v>
      </c>
      <c r="J1161" s="146" t="s">
        <v>1982</v>
      </c>
      <c r="K1161" s="146" t="s">
        <v>710</v>
      </c>
      <c r="L1161" s="146">
        <v>2.63E-4</v>
      </c>
      <c r="M1161" s="544">
        <v>2.63E-4</v>
      </c>
      <c r="N1161" s="544">
        <v>2.63E-4</v>
      </c>
      <c r="O1161" s="544">
        <v>2.63E-4</v>
      </c>
      <c r="P1161" s="544">
        <v>2.63E-4</v>
      </c>
      <c r="R1161" s="543" t="str">
        <f t="shared" si="54"/>
        <v>A0753:ホームタウンエナジー(株)メニューA</v>
      </c>
      <c r="S1161" s="544">
        <f t="shared" si="53"/>
        <v>2.63E-4</v>
      </c>
    </row>
    <row r="1162" spans="2:19">
      <c r="B1162" s="146"/>
      <c r="C1162" s="146"/>
      <c r="D1162" s="543" t="str">
        <f t="shared" ref="D1162:D1225" si="55">IF(B1162="","",B1162&amp;":"&amp;C1162)</f>
        <v/>
      </c>
      <c r="I1162" s="146" t="s">
        <v>1472</v>
      </c>
      <c r="J1162" s="146" t="s">
        <v>1982</v>
      </c>
      <c r="K1162" s="146" t="s">
        <v>787</v>
      </c>
      <c r="L1162" s="146">
        <v>5.7899999999999998E-4</v>
      </c>
      <c r="M1162" s="544">
        <v>5.7899999999999998E-4</v>
      </c>
      <c r="N1162" s="544">
        <v>5.7899999999999998E-4</v>
      </c>
      <c r="O1162" s="544">
        <v>5.7899999999999998E-4</v>
      </c>
      <c r="P1162" s="544">
        <v>5.7899999999999998E-4</v>
      </c>
      <c r="R1162" s="543" t="str">
        <f t="shared" si="54"/>
        <v>A0753:ホームタウンエナジー(株)メニューB</v>
      </c>
      <c r="S1162" s="544">
        <f t="shared" ref="S1162:S1225" si="56">HLOOKUP($S$8,$L$8:$P$2000,ROW()-7,FALSE)</f>
        <v>5.7899999999999998E-4</v>
      </c>
    </row>
    <row r="1163" spans="2:19">
      <c r="B1163" s="146"/>
      <c r="C1163" s="146"/>
      <c r="D1163" s="543" t="str">
        <f t="shared" si="55"/>
        <v/>
      </c>
      <c r="I1163" s="146" t="s">
        <v>1472</v>
      </c>
      <c r="J1163" s="146" t="s">
        <v>1982</v>
      </c>
      <c r="K1163" s="146" t="s">
        <v>2058</v>
      </c>
      <c r="L1163" s="146">
        <v>5.4600000000000004E-4</v>
      </c>
      <c r="M1163" s="544">
        <v>5.4600000000000004E-4</v>
      </c>
      <c r="N1163" s="544">
        <v>5.4600000000000004E-4</v>
      </c>
      <c r="O1163" s="544">
        <v>5.4600000000000004E-4</v>
      </c>
      <c r="P1163" s="544">
        <v>5.4600000000000004E-4</v>
      </c>
      <c r="R1163" s="543" t="str">
        <f t="shared" si="54"/>
        <v>A0753:ホームタウンエナジー(株)(参考値)事業者全体</v>
      </c>
      <c r="S1163" s="544">
        <f t="shared" si="56"/>
        <v>5.4600000000000004E-4</v>
      </c>
    </row>
    <row r="1164" spans="2:19">
      <c r="B1164" s="146"/>
      <c r="C1164" s="146"/>
      <c r="D1164" s="543" t="str">
        <f t="shared" si="55"/>
        <v/>
      </c>
      <c r="I1164" s="146" t="s">
        <v>1473</v>
      </c>
      <c r="J1164" s="146" t="s">
        <v>1983</v>
      </c>
      <c r="K1164" s="146"/>
      <c r="L1164" s="146">
        <v>6.6200000000000005E-4</v>
      </c>
      <c r="M1164" s="544">
        <v>6.6200000000000005E-4</v>
      </c>
      <c r="N1164" s="544">
        <v>6.6200000000000005E-4</v>
      </c>
      <c r="O1164" s="544">
        <v>6.6200000000000005E-4</v>
      </c>
      <c r="P1164" s="544">
        <v>6.6200000000000005E-4</v>
      </c>
      <c r="R1164" s="543" t="str">
        <f t="shared" si="54"/>
        <v>A0754:(株)彩の国でんき</v>
      </c>
      <c r="S1164" s="544">
        <f t="shared" si="56"/>
        <v>6.6200000000000005E-4</v>
      </c>
    </row>
    <row r="1165" spans="2:19">
      <c r="B1165" s="146"/>
      <c r="C1165" s="146"/>
      <c r="D1165" s="543" t="str">
        <f t="shared" si="55"/>
        <v/>
      </c>
      <c r="I1165" s="146" t="s">
        <v>1474</v>
      </c>
      <c r="J1165" s="146" t="s">
        <v>1984</v>
      </c>
      <c r="K1165" s="146"/>
      <c r="L1165" s="146">
        <v>5.8299999999999997E-4</v>
      </c>
      <c r="M1165" s="544">
        <v>5.8299999999999997E-4</v>
      </c>
      <c r="N1165" s="544">
        <v>5.8299999999999997E-4</v>
      </c>
      <c r="O1165" s="544">
        <v>5.8299999999999997E-4</v>
      </c>
      <c r="P1165" s="544">
        <v>5.8299999999999997E-4</v>
      </c>
      <c r="R1165" s="543" t="str">
        <f t="shared" si="54"/>
        <v>A0758:(株)みやきエネルギー</v>
      </c>
      <c r="S1165" s="544">
        <f t="shared" si="56"/>
        <v>5.8299999999999997E-4</v>
      </c>
    </row>
    <row r="1166" spans="2:19">
      <c r="B1166" s="146"/>
      <c r="C1166" s="146"/>
      <c r="D1166" s="543" t="str">
        <f t="shared" si="55"/>
        <v/>
      </c>
      <c r="I1166" s="146" t="s">
        <v>1475</v>
      </c>
      <c r="J1166" s="146" t="s">
        <v>1985</v>
      </c>
      <c r="K1166" s="146"/>
      <c r="L1166" s="146">
        <v>5.5400000000000002E-4</v>
      </c>
      <c r="M1166" s="544">
        <v>5.5400000000000002E-4</v>
      </c>
      <c r="N1166" s="544">
        <v>5.5400000000000002E-4</v>
      </c>
      <c r="O1166" s="544">
        <v>5.5400000000000002E-4</v>
      </c>
      <c r="P1166" s="544">
        <v>5.5400000000000002E-4</v>
      </c>
      <c r="R1166" s="543" t="str">
        <f t="shared" si="54"/>
        <v>A0759:(株)クリーンベンチャー21</v>
      </c>
      <c r="S1166" s="544">
        <f t="shared" si="56"/>
        <v>5.5400000000000002E-4</v>
      </c>
    </row>
    <row r="1167" spans="2:19">
      <c r="B1167" s="146"/>
      <c r="C1167" s="146"/>
      <c r="D1167" s="543" t="str">
        <f t="shared" si="55"/>
        <v/>
      </c>
      <c r="I1167" s="146" t="s">
        <v>1476</v>
      </c>
      <c r="J1167" s="146" t="s">
        <v>1986</v>
      </c>
      <c r="K1167" s="146"/>
      <c r="L1167" s="146">
        <v>6.0300000000000002E-4</v>
      </c>
      <c r="M1167" s="544">
        <v>6.0300000000000002E-4</v>
      </c>
      <c r="N1167" s="544">
        <v>6.0300000000000002E-4</v>
      </c>
      <c r="O1167" s="544">
        <v>6.0300000000000002E-4</v>
      </c>
      <c r="P1167" s="544">
        <v>6.0300000000000002E-4</v>
      </c>
      <c r="R1167" s="543" t="str">
        <f t="shared" si="54"/>
        <v>A0760:三河商事(株)</v>
      </c>
      <c r="S1167" s="544">
        <f t="shared" si="56"/>
        <v>6.0300000000000002E-4</v>
      </c>
    </row>
    <row r="1168" spans="2:19">
      <c r="B1168" s="146"/>
      <c r="C1168" s="146"/>
      <c r="D1168" s="543" t="str">
        <f t="shared" si="55"/>
        <v/>
      </c>
      <c r="I1168" s="146" t="s">
        <v>1477</v>
      </c>
      <c r="J1168" s="146" t="s">
        <v>1987</v>
      </c>
      <c r="K1168" s="146"/>
      <c r="L1168" s="146">
        <v>5.8100000000000003E-4</v>
      </c>
      <c r="M1168" s="544">
        <v>5.8100000000000003E-4</v>
      </c>
      <c r="N1168" s="544">
        <v>5.8100000000000003E-4</v>
      </c>
      <c r="O1168" s="544">
        <v>5.8100000000000003E-4</v>
      </c>
      <c r="P1168" s="544">
        <v>5.8100000000000003E-4</v>
      </c>
      <c r="R1168" s="543" t="str">
        <f t="shared" si="54"/>
        <v>A0764:沖縄新エネ開発(株)</v>
      </c>
      <c r="S1168" s="544">
        <f t="shared" si="56"/>
        <v>5.8100000000000003E-4</v>
      </c>
    </row>
    <row r="1169" spans="2:19">
      <c r="B1169" s="146"/>
      <c r="C1169" s="146"/>
      <c r="D1169" s="543" t="str">
        <f t="shared" si="55"/>
        <v/>
      </c>
      <c r="I1169" s="146" t="s">
        <v>1478</v>
      </c>
      <c r="J1169" s="146" t="s">
        <v>1988</v>
      </c>
      <c r="K1169" s="146"/>
      <c r="L1169" s="146">
        <v>4.0099999999999999E-4</v>
      </c>
      <c r="M1169" s="544">
        <v>4.0099999999999999E-4</v>
      </c>
      <c r="N1169" s="544">
        <v>4.0099999999999999E-4</v>
      </c>
      <c r="O1169" s="544">
        <v>4.0099999999999999E-4</v>
      </c>
      <c r="P1169" s="544">
        <v>4.0099999999999999E-4</v>
      </c>
      <c r="R1169" s="543" t="str">
        <f t="shared" si="54"/>
        <v>A0770:(株)ほくだん</v>
      </c>
      <c r="S1169" s="544">
        <f t="shared" si="56"/>
        <v>4.0099999999999999E-4</v>
      </c>
    </row>
    <row r="1170" spans="2:19">
      <c r="B1170" s="146"/>
      <c r="C1170" s="146"/>
      <c r="D1170" s="543" t="str">
        <f t="shared" si="55"/>
        <v/>
      </c>
      <c r="I1170" s="146" t="s">
        <v>1479</v>
      </c>
      <c r="J1170" s="146" t="s">
        <v>1989</v>
      </c>
      <c r="K1170" s="146"/>
      <c r="L1170" s="146">
        <v>4.06E-4</v>
      </c>
      <c r="M1170" s="544">
        <v>4.06E-4</v>
      </c>
      <c r="N1170" s="544">
        <v>4.06E-4</v>
      </c>
      <c r="O1170" s="544">
        <v>4.06E-4</v>
      </c>
      <c r="P1170" s="544">
        <v>4.06E-4</v>
      </c>
      <c r="R1170" s="543" t="str">
        <f t="shared" si="54"/>
        <v>A0772:(株)エスコ</v>
      </c>
      <c r="S1170" s="544">
        <f t="shared" si="56"/>
        <v>4.06E-4</v>
      </c>
    </row>
    <row r="1171" spans="2:19">
      <c r="B1171" s="146"/>
      <c r="C1171" s="146"/>
      <c r="D1171" s="543" t="str">
        <f t="shared" si="55"/>
        <v/>
      </c>
      <c r="I1171" s="146" t="s">
        <v>1480</v>
      </c>
      <c r="J1171" s="146" t="s">
        <v>1990</v>
      </c>
      <c r="K1171" s="146"/>
      <c r="L1171" s="146">
        <v>3.88E-4</v>
      </c>
      <c r="M1171" s="544">
        <v>3.88E-4</v>
      </c>
      <c r="N1171" s="544">
        <v>3.88E-4</v>
      </c>
      <c r="O1171" s="544">
        <v>3.88E-4</v>
      </c>
      <c r="P1171" s="544">
        <v>3.88E-4</v>
      </c>
      <c r="R1171" s="543" t="str">
        <f t="shared" si="54"/>
        <v>A0773:(株)Qvou</v>
      </c>
      <c r="S1171" s="544">
        <f t="shared" si="56"/>
        <v>3.88E-4</v>
      </c>
    </row>
    <row r="1172" spans="2:19">
      <c r="B1172" s="146"/>
      <c r="C1172" s="146"/>
      <c r="D1172" s="543" t="str">
        <f t="shared" si="55"/>
        <v/>
      </c>
      <c r="I1172" s="146" t="s">
        <v>1481</v>
      </c>
      <c r="J1172" s="146" t="s">
        <v>1991</v>
      </c>
      <c r="K1172" s="146" t="s">
        <v>710</v>
      </c>
      <c r="L1172" s="146">
        <v>0</v>
      </c>
      <c r="M1172" s="544">
        <v>0</v>
      </c>
      <c r="N1172" s="544">
        <v>0</v>
      </c>
      <c r="O1172" s="544">
        <v>0</v>
      </c>
      <c r="P1172" s="544">
        <v>0</v>
      </c>
      <c r="R1172" s="543" t="str">
        <f t="shared" si="54"/>
        <v>A0777:住友商事(株)メニューA</v>
      </c>
      <c r="S1172" s="544">
        <f t="shared" si="56"/>
        <v>0</v>
      </c>
    </row>
    <row r="1173" spans="2:19">
      <c r="B1173" s="146"/>
      <c r="C1173" s="146"/>
      <c r="D1173" s="543" t="str">
        <f t="shared" si="55"/>
        <v/>
      </c>
      <c r="I1173" s="146" t="s">
        <v>1481</v>
      </c>
      <c r="J1173" s="146" t="s">
        <v>1991</v>
      </c>
      <c r="K1173" s="146" t="s">
        <v>787</v>
      </c>
      <c r="L1173" s="146">
        <v>3.77E-4</v>
      </c>
      <c r="M1173" s="544">
        <v>3.77E-4</v>
      </c>
      <c r="N1173" s="544">
        <v>3.77E-4</v>
      </c>
      <c r="O1173" s="544">
        <v>3.77E-4</v>
      </c>
      <c r="P1173" s="544">
        <v>3.77E-4</v>
      </c>
      <c r="R1173" s="543" t="str">
        <f t="shared" si="54"/>
        <v>A0777:住友商事(株)メニューB</v>
      </c>
      <c r="S1173" s="544">
        <f t="shared" si="56"/>
        <v>3.77E-4</v>
      </c>
    </row>
    <row r="1174" spans="2:19">
      <c r="B1174" s="146"/>
      <c r="C1174" s="146"/>
      <c r="D1174" s="543" t="str">
        <f t="shared" si="55"/>
        <v/>
      </c>
      <c r="I1174" s="146" t="s">
        <v>1481</v>
      </c>
      <c r="J1174" s="146" t="s">
        <v>1991</v>
      </c>
      <c r="K1174" s="146" t="s">
        <v>2058</v>
      </c>
      <c r="L1174" s="146">
        <v>3.6999999999999999E-4</v>
      </c>
      <c r="M1174" s="544">
        <v>3.6999999999999999E-4</v>
      </c>
      <c r="N1174" s="544">
        <v>3.6999999999999999E-4</v>
      </c>
      <c r="O1174" s="544">
        <v>3.6999999999999999E-4</v>
      </c>
      <c r="P1174" s="544">
        <v>3.6999999999999999E-4</v>
      </c>
      <c r="R1174" s="543" t="str">
        <f t="shared" si="54"/>
        <v>A0777:住友商事(株)(参考値)事業者全体</v>
      </c>
      <c r="S1174" s="544">
        <f t="shared" si="56"/>
        <v>3.6999999999999999E-4</v>
      </c>
    </row>
    <row r="1175" spans="2:19">
      <c r="B1175" s="146"/>
      <c r="C1175" s="146"/>
      <c r="D1175" s="543" t="str">
        <f t="shared" si="55"/>
        <v/>
      </c>
      <c r="I1175" s="146" t="s">
        <v>1482</v>
      </c>
      <c r="J1175" s="146" t="s">
        <v>1992</v>
      </c>
      <c r="K1175" s="146"/>
      <c r="L1175" s="146">
        <v>6.2699999999999995E-4</v>
      </c>
      <c r="M1175" s="544">
        <v>6.2699999999999995E-4</v>
      </c>
      <c r="N1175" s="544">
        <v>6.2699999999999995E-4</v>
      </c>
      <c r="O1175" s="544">
        <v>6.2699999999999995E-4</v>
      </c>
      <c r="P1175" s="544">
        <v>6.2699999999999995E-4</v>
      </c>
      <c r="R1175" s="543" t="str">
        <f t="shared" si="54"/>
        <v>A0781:(株)丸の内電力</v>
      </c>
      <c r="S1175" s="544">
        <f t="shared" si="56"/>
        <v>6.2699999999999995E-4</v>
      </c>
    </row>
    <row r="1176" spans="2:19">
      <c r="B1176" s="146"/>
      <c r="C1176" s="146"/>
      <c r="D1176" s="543" t="str">
        <f t="shared" si="55"/>
        <v/>
      </c>
      <c r="I1176" s="146" t="s">
        <v>1483</v>
      </c>
      <c r="J1176" s="146" t="s">
        <v>1993</v>
      </c>
      <c r="K1176" s="146"/>
      <c r="L1176" s="146">
        <v>4.6799999999999999E-4</v>
      </c>
      <c r="M1176" s="544">
        <v>4.6799999999999999E-4</v>
      </c>
      <c r="N1176" s="544">
        <v>4.6799999999999999E-4</v>
      </c>
      <c r="O1176" s="544">
        <v>4.6799999999999999E-4</v>
      </c>
      <c r="P1176" s="544">
        <v>4.6799999999999999E-4</v>
      </c>
      <c r="R1176" s="543" t="str">
        <f t="shared" si="54"/>
        <v>A0783:(株)中京電力</v>
      </c>
      <c r="S1176" s="544">
        <f t="shared" si="56"/>
        <v>4.6799999999999999E-4</v>
      </c>
    </row>
    <row r="1177" spans="2:19">
      <c r="B1177" s="146"/>
      <c r="C1177" s="146"/>
      <c r="D1177" s="543" t="str">
        <f t="shared" si="55"/>
        <v/>
      </c>
      <c r="I1177" s="146" t="s">
        <v>1484</v>
      </c>
      <c r="J1177" s="146" t="s">
        <v>1994</v>
      </c>
      <c r="K1177" s="146"/>
      <c r="L1177" s="146">
        <v>4.7600000000000002E-4</v>
      </c>
      <c r="M1177" s="544">
        <v>4.7600000000000002E-4</v>
      </c>
      <c r="N1177" s="544">
        <v>4.7600000000000002E-4</v>
      </c>
      <c r="O1177" s="544">
        <v>4.7600000000000002E-4</v>
      </c>
      <c r="P1177" s="544">
        <v>4.7600000000000002E-4</v>
      </c>
      <c r="R1177" s="543" t="str">
        <f t="shared" si="54"/>
        <v>A0785:(株)クオリティプラス</v>
      </c>
      <c r="S1177" s="544">
        <f t="shared" si="56"/>
        <v>4.7600000000000002E-4</v>
      </c>
    </row>
    <row r="1178" spans="2:19">
      <c r="B1178" s="146"/>
      <c r="C1178" s="146"/>
      <c r="D1178" s="543" t="str">
        <f t="shared" si="55"/>
        <v/>
      </c>
      <c r="I1178" s="146" t="s">
        <v>1485</v>
      </c>
      <c r="J1178" s="146" t="s">
        <v>1995</v>
      </c>
      <c r="K1178" s="146" t="s">
        <v>710</v>
      </c>
      <c r="L1178" s="146">
        <v>4.0999999999999999E-4</v>
      </c>
      <c r="M1178" s="544">
        <v>4.0999999999999999E-4</v>
      </c>
      <c r="N1178" s="544">
        <v>4.0999999999999999E-4</v>
      </c>
      <c r="O1178" s="544">
        <v>4.0999999999999999E-4</v>
      </c>
      <c r="P1178" s="544">
        <v>4.0999999999999999E-4</v>
      </c>
      <c r="R1178" s="543" t="str">
        <f t="shared" si="54"/>
        <v>A0786:Y.W.C.(株)メニューA</v>
      </c>
      <c r="S1178" s="544">
        <f t="shared" si="56"/>
        <v>4.0999999999999999E-4</v>
      </c>
    </row>
    <row r="1179" spans="2:19">
      <c r="B1179" s="146"/>
      <c r="C1179" s="146"/>
      <c r="D1179" s="543" t="str">
        <f t="shared" si="55"/>
        <v/>
      </c>
      <c r="I1179" s="146" t="s">
        <v>1485</v>
      </c>
      <c r="J1179" s="146" t="s">
        <v>1995</v>
      </c>
      <c r="K1179" s="146" t="s">
        <v>787</v>
      </c>
      <c r="L1179" s="146">
        <v>4.2499999999999998E-4</v>
      </c>
      <c r="M1179" s="544">
        <v>4.2499999999999998E-4</v>
      </c>
      <c r="N1179" s="544">
        <v>4.2499999999999998E-4</v>
      </c>
      <c r="O1179" s="544">
        <v>4.2499999999999998E-4</v>
      </c>
      <c r="P1179" s="544">
        <v>4.2499999999999998E-4</v>
      </c>
      <c r="R1179" s="543" t="str">
        <f t="shared" si="54"/>
        <v>A0786:Y.W.C.(株)メニューB</v>
      </c>
      <c r="S1179" s="544">
        <f t="shared" si="56"/>
        <v>4.2499999999999998E-4</v>
      </c>
    </row>
    <row r="1180" spans="2:19">
      <c r="B1180" s="146"/>
      <c r="C1180" s="146"/>
      <c r="D1180" s="543" t="str">
        <f t="shared" si="55"/>
        <v/>
      </c>
      <c r="I1180" s="146" t="s">
        <v>1485</v>
      </c>
      <c r="J1180" s="146" t="s">
        <v>1995</v>
      </c>
      <c r="K1180" s="146" t="s">
        <v>2058</v>
      </c>
      <c r="L1180" s="146">
        <v>4.2099999999999999E-4</v>
      </c>
      <c r="M1180" s="544">
        <v>4.2099999999999999E-4</v>
      </c>
      <c r="N1180" s="544">
        <v>4.2099999999999999E-4</v>
      </c>
      <c r="O1180" s="544">
        <v>4.2099999999999999E-4</v>
      </c>
      <c r="P1180" s="544">
        <v>4.2099999999999999E-4</v>
      </c>
      <c r="R1180" s="543" t="str">
        <f t="shared" si="54"/>
        <v>A0786:Y.W.C.(株)(参考値)事業者全体</v>
      </c>
      <c r="S1180" s="544">
        <f t="shared" si="56"/>
        <v>4.2099999999999999E-4</v>
      </c>
    </row>
    <row r="1181" spans="2:19">
      <c r="B1181" s="146"/>
      <c r="C1181" s="146"/>
      <c r="D1181" s="543" t="str">
        <f t="shared" si="55"/>
        <v/>
      </c>
      <c r="I1181" s="146" t="s">
        <v>1486</v>
      </c>
      <c r="J1181" s="146" t="s">
        <v>1996</v>
      </c>
      <c r="K1181" s="146"/>
      <c r="L1181" s="146">
        <v>6.2299999999999996E-4</v>
      </c>
      <c r="M1181" s="544">
        <v>6.2299999999999996E-4</v>
      </c>
      <c r="N1181" s="544">
        <v>6.2299999999999996E-4</v>
      </c>
      <c r="O1181" s="544">
        <v>6.2299999999999996E-4</v>
      </c>
      <c r="P1181" s="544">
        <v>6.2299999999999996E-4</v>
      </c>
      <c r="R1181" s="543" t="str">
        <f t="shared" si="54"/>
        <v>A0792:(株)MTエナジー</v>
      </c>
      <c r="S1181" s="544">
        <f t="shared" si="56"/>
        <v>6.2299999999999996E-4</v>
      </c>
    </row>
    <row r="1182" spans="2:19">
      <c r="B1182" s="146"/>
      <c r="C1182" s="146"/>
      <c r="D1182" s="543" t="str">
        <f t="shared" si="55"/>
        <v/>
      </c>
      <c r="I1182" s="146" t="s">
        <v>1487</v>
      </c>
      <c r="J1182" s="146" t="s">
        <v>1997</v>
      </c>
      <c r="K1182" s="146" t="s">
        <v>710</v>
      </c>
      <c r="L1182" s="146">
        <v>0</v>
      </c>
      <c r="M1182" s="544">
        <v>0</v>
      </c>
      <c r="N1182" s="544">
        <v>0</v>
      </c>
      <c r="O1182" s="544">
        <v>0</v>
      </c>
      <c r="P1182" s="544">
        <v>0</v>
      </c>
      <c r="R1182" s="543" t="str">
        <f t="shared" si="54"/>
        <v>A0793:TGオクトパスエナジー(株)メニューA</v>
      </c>
      <c r="S1182" s="544">
        <f t="shared" si="56"/>
        <v>0</v>
      </c>
    </row>
    <row r="1183" spans="2:19">
      <c r="B1183" s="146"/>
      <c r="C1183" s="146"/>
      <c r="D1183" s="543" t="str">
        <f t="shared" si="55"/>
        <v/>
      </c>
      <c r="I1183" s="146" t="s">
        <v>1487</v>
      </c>
      <c r="J1183" s="146" t="s">
        <v>1997</v>
      </c>
      <c r="K1183" s="146" t="s">
        <v>787</v>
      </c>
      <c r="L1183" s="146">
        <v>2.9999999999999997E-4</v>
      </c>
      <c r="M1183" s="544">
        <v>2.9999999999999997E-4</v>
      </c>
      <c r="N1183" s="544">
        <v>2.9999999999999997E-4</v>
      </c>
      <c r="O1183" s="544">
        <v>2.9999999999999997E-4</v>
      </c>
      <c r="P1183" s="544">
        <v>2.9999999999999997E-4</v>
      </c>
      <c r="R1183" s="543" t="str">
        <f t="shared" si="54"/>
        <v>A0793:TGオクトパスエナジー(株)メニューB</v>
      </c>
      <c r="S1183" s="544">
        <f t="shared" si="56"/>
        <v>2.9999999999999997E-4</v>
      </c>
    </row>
    <row r="1184" spans="2:19">
      <c r="B1184" s="146"/>
      <c r="C1184" s="146"/>
      <c r="D1184" s="543" t="str">
        <f t="shared" si="55"/>
        <v/>
      </c>
      <c r="I1184" s="146" t="s">
        <v>1487</v>
      </c>
      <c r="J1184" s="146" t="s">
        <v>1997</v>
      </c>
      <c r="K1184" s="146" t="s">
        <v>2058</v>
      </c>
      <c r="L1184" s="146">
        <v>4.6E-5</v>
      </c>
      <c r="M1184" s="544">
        <v>4.6E-5</v>
      </c>
      <c r="N1184" s="544">
        <v>4.6E-5</v>
      </c>
      <c r="O1184" s="544">
        <v>4.6E-5</v>
      </c>
      <c r="P1184" s="544">
        <v>4.6E-5</v>
      </c>
      <c r="R1184" s="543" t="str">
        <f t="shared" si="54"/>
        <v>A0793:TGオクトパスエナジー(株)(参考値)事業者全体</v>
      </c>
      <c r="S1184" s="544">
        <f t="shared" si="56"/>
        <v>4.6E-5</v>
      </c>
    </row>
    <row r="1185" spans="2:19">
      <c r="B1185" s="146"/>
      <c r="C1185" s="146"/>
      <c r="D1185" s="543" t="str">
        <f t="shared" si="55"/>
        <v/>
      </c>
      <c r="I1185" s="146" t="s">
        <v>1488</v>
      </c>
      <c r="J1185" s="146" t="s">
        <v>1998</v>
      </c>
      <c r="K1185" s="146" t="s">
        <v>710</v>
      </c>
      <c r="L1185" s="146">
        <v>0</v>
      </c>
      <c r="M1185" s="544">
        <v>0</v>
      </c>
      <c r="N1185" s="544">
        <v>0</v>
      </c>
      <c r="O1185" s="544">
        <v>0</v>
      </c>
      <c r="P1185" s="544">
        <v>0</v>
      </c>
      <c r="R1185" s="543" t="str">
        <f t="shared" si="54"/>
        <v>A0796:東北電力フロンティア(株)メニューA</v>
      </c>
      <c r="S1185" s="544">
        <f t="shared" si="56"/>
        <v>0</v>
      </c>
    </row>
    <row r="1186" spans="2:19">
      <c r="B1186" s="146"/>
      <c r="C1186" s="146"/>
      <c r="D1186" s="543" t="str">
        <f t="shared" si="55"/>
        <v/>
      </c>
      <c r="I1186" s="146" t="s">
        <v>1488</v>
      </c>
      <c r="J1186" s="146" t="s">
        <v>1998</v>
      </c>
      <c r="K1186" s="146" t="s">
        <v>787</v>
      </c>
      <c r="L1186" s="146">
        <v>5.2899999999999996E-4</v>
      </c>
      <c r="M1186" s="544">
        <v>5.2899999999999996E-4</v>
      </c>
      <c r="N1186" s="544">
        <v>5.2899999999999996E-4</v>
      </c>
      <c r="O1186" s="544">
        <v>5.2899999999999996E-4</v>
      </c>
      <c r="P1186" s="544">
        <v>5.2899999999999996E-4</v>
      </c>
      <c r="R1186" s="543" t="str">
        <f t="shared" si="54"/>
        <v>A0796:東北電力フロンティア(株)メニューB</v>
      </c>
      <c r="S1186" s="544">
        <f t="shared" si="56"/>
        <v>5.2899999999999996E-4</v>
      </c>
    </row>
    <row r="1187" spans="2:19">
      <c r="B1187" s="146"/>
      <c r="C1187" s="146"/>
      <c r="D1187" s="543" t="str">
        <f t="shared" si="55"/>
        <v/>
      </c>
      <c r="I1187" s="146" t="s">
        <v>1488</v>
      </c>
      <c r="J1187" s="146" t="s">
        <v>1998</v>
      </c>
      <c r="K1187" s="146" t="s">
        <v>2058</v>
      </c>
      <c r="L1187" s="146">
        <v>5.2700000000000002E-4</v>
      </c>
      <c r="M1187" s="544">
        <v>5.2700000000000002E-4</v>
      </c>
      <c r="N1187" s="544">
        <v>5.2700000000000002E-4</v>
      </c>
      <c r="O1187" s="544">
        <v>5.2700000000000002E-4</v>
      </c>
      <c r="P1187" s="544">
        <v>5.2700000000000002E-4</v>
      </c>
      <c r="R1187" s="543" t="str">
        <f t="shared" si="54"/>
        <v>A0796:東北電力フロンティア(株)(参考値)事業者全体</v>
      </c>
      <c r="S1187" s="544">
        <f t="shared" si="56"/>
        <v>5.2700000000000002E-4</v>
      </c>
    </row>
    <row r="1188" spans="2:19">
      <c r="B1188" s="146"/>
      <c r="C1188" s="146"/>
      <c r="D1188" s="543" t="str">
        <f t="shared" si="55"/>
        <v/>
      </c>
      <c r="I1188" s="146" t="s">
        <v>1489</v>
      </c>
      <c r="J1188" s="146" t="s">
        <v>1999</v>
      </c>
      <c r="K1188" s="146"/>
      <c r="L1188" s="146">
        <v>4.3300000000000001E-4</v>
      </c>
      <c r="M1188" s="544">
        <v>4.3300000000000001E-4</v>
      </c>
      <c r="N1188" s="544">
        <v>4.3300000000000001E-4</v>
      </c>
      <c r="O1188" s="544">
        <v>4.3300000000000001E-4</v>
      </c>
      <c r="P1188" s="544">
        <v>4.3300000000000001E-4</v>
      </c>
      <c r="R1188" s="543" t="str">
        <f t="shared" si="54"/>
        <v>A0798:(株)ファラデー</v>
      </c>
      <c r="S1188" s="544">
        <f t="shared" si="56"/>
        <v>4.3300000000000001E-4</v>
      </c>
    </row>
    <row r="1189" spans="2:19">
      <c r="B1189" s="146"/>
      <c r="C1189" s="146"/>
      <c r="D1189" s="543" t="str">
        <f t="shared" si="55"/>
        <v/>
      </c>
      <c r="I1189" s="146" t="s">
        <v>1490</v>
      </c>
      <c r="J1189" s="146" t="s">
        <v>2000</v>
      </c>
      <c r="K1189" s="146"/>
      <c r="L1189" s="146">
        <v>0</v>
      </c>
      <c r="M1189" s="544">
        <v>0</v>
      </c>
      <c r="N1189" s="544">
        <v>0</v>
      </c>
      <c r="O1189" s="544">
        <v>0</v>
      </c>
      <c r="P1189" s="544">
        <v>0</v>
      </c>
      <c r="R1189" s="543" t="str">
        <f t="shared" si="54"/>
        <v>A0799:三菱HCキャピタルエナジー(株)</v>
      </c>
      <c r="S1189" s="544">
        <f t="shared" si="56"/>
        <v>0</v>
      </c>
    </row>
    <row r="1190" spans="2:19">
      <c r="B1190" s="146"/>
      <c r="C1190" s="146"/>
      <c r="D1190" s="543" t="str">
        <f t="shared" si="55"/>
        <v/>
      </c>
      <c r="I1190" s="146" t="s">
        <v>1491</v>
      </c>
      <c r="J1190" s="146" t="s">
        <v>2001</v>
      </c>
      <c r="K1190" s="146"/>
      <c r="L1190" s="146">
        <v>6.3199999999999997E-4</v>
      </c>
      <c r="M1190" s="544">
        <v>6.3199999999999997E-4</v>
      </c>
      <c r="N1190" s="544">
        <v>6.3199999999999997E-4</v>
      </c>
      <c r="O1190" s="544">
        <v>6.3199999999999997E-4</v>
      </c>
      <c r="P1190" s="544">
        <v>6.3199999999999997E-4</v>
      </c>
      <c r="R1190" s="543" t="str">
        <f t="shared" si="54"/>
        <v>A0800:(株)Meisin</v>
      </c>
      <c r="S1190" s="544">
        <f t="shared" si="56"/>
        <v>6.3199999999999997E-4</v>
      </c>
    </row>
    <row r="1191" spans="2:19">
      <c r="B1191" s="146"/>
      <c r="C1191" s="146"/>
      <c r="D1191" s="543" t="str">
        <f t="shared" si="55"/>
        <v/>
      </c>
      <c r="I1191" s="146" t="s">
        <v>1492</v>
      </c>
      <c r="J1191" s="146" t="s">
        <v>2002</v>
      </c>
      <c r="K1191" s="146"/>
      <c r="L1191" s="146">
        <v>3.9999999999999998E-6</v>
      </c>
      <c r="M1191" s="544">
        <v>3.9999999999999998E-6</v>
      </c>
      <c r="N1191" s="544">
        <v>3.9999999999999998E-6</v>
      </c>
      <c r="O1191" s="544">
        <v>3.9999999999999998E-6</v>
      </c>
      <c r="P1191" s="544">
        <v>3.9999999999999998E-6</v>
      </c>
      <c r="R1191" s="543" t="str">
        <f t="shared" si="54"/>
        <v>A0802:大塚ビジネスサポート(株)</v>
      </c>
      <c r="S1191" s="544">
        <f t="shared" si="56"/>
        <v>3.9999999999999998E-6</v>
      </c>
    </row>
    <row r="1192" spans="2:19">
      <c r="B1192" s="146"/>
      <c r="C1192" s="146"/>
      <c r="D1192" s="543" t="str">
        <f t="shared" si="55"/>
        <v/>
      </c>
      <c r="I1192" s="146" t="s">
        <v>1493</v>
      </c>
      <c r="J1192" s="146" t="s">
        <v>2003</v>
      </c>
      <c r="K1192" s="146"/>
      <c r="L1192" s="146">
        <v>7.1199999999999996E-4</v>
      </c>
      <c r="M1192" s="544">
        <v>7.1199999999999996E-4</v>
      </c>
      <c r="N1192" s="544">
        <v>7.1199999999999996E-4</v>
      </c>
      <c r="O1192" s="544">
        <v>7.1199999999999996E-4</v>
      </c>
      <c r="P1192" s="544">
        <v>7.1199999999999996E-4</v>
      </c>
      <c r="R1192" s="543" t="str">
        <f t="shared" si="54"/>
        <v>A0803:出雲ケーブルビジョン(株)</v>
      </c>
      <c r="S1192" s="544">
        <f t="shared" si="56"/>
        <v>7.1199999999999996E-4</v>
      </c>
    </row>
    <row r="1193" spans="2:19">
      <c r="B1193" s="146"/>
      <c r="C1193" s="146"/>
      <c r="D1193" s="543" t="str">
        <f t="shared" si="55"/>
        <v/>
      </c>
      <c r="I1193" s="146" t="s">
        <v>1494</v>
      </c>
      <c r="J1193" s="146" t="s">
        <v>2004</v>
      </c>
      <c r="K1193" s="146"/>
      <c r="L1193" s="146">
        <v>9.8999999999999994E-5</v>
      </c>
      <c r="M1193" s="544">
        <v>9.8999999999999994E-5</v>
      </c>
      <c r="N1193" s="544">
        <v>9.8999999999999994E-5</v>
      </c>
      <c r="O1193" s="544">
        <v>9.8999999999999994E-5</v>
      </c>
      <c r="P1193" s="544">
        <v>9.8999999999999994E-5</v>
      </c>
      <c r="R1193" s="543" t="str">
        <f t="shared" si="54"/>
        <v>A0806:いずも縁結び電力(株)</v>
      </c>
      <c r="S1193" s="544">
        <f t="shared" si="56"/>
        <v>9.8999999999999994E-5</v>
      </c>
    </row>
    <row r="1194" spans="2:19">
      <c r="B1194" s="146"/>
      <c r="C1194" s="146"/>
      <c r="D1194" s="543" t="str">
        <f t="shared" si="55"/>
        <v/>
      </c>
      <c r="I1194" s="146" t="s">
        <v>1495</v>
      </c>
      <c r="J1194" s="146" t="s">
        <v>2005</v>
      </c>
      <c r="K1194" s="146" t="s">
        <v>710</v>
      </c>
      <c r="L1194" s="146">
        <v>2.6600000000000001E-4</v>
      </c>
      <c r="M1194" s="544">
        <v>2.6600000000000001E-4</v>
      </c>
      <c r="N1194" s="544">
        <v>2.6600000000000001E-4</v>
      </c>
      <c r="O1194" s="544">
        <v>2.6600000000000001E-4</v>
      </c>
      <c r="P1194" s="544">
        <v>2.6600000000000001E-4</v>
      </c>
      <c r="R1194" s="543" t="str">
        <f t="shared" si="54"/>
        <v>A0807:恵那電力(株)メニューA</v>
      </c>
      <c r="S1194" s="544">
        <f t="shared" si="56"/>
        <v>2.6600000000000001E-4</v>
      </c>
    </row>
    <row r="1195" spans="2:19">
      <c r="B1195" s="146"/>
      <c r="C1195" s="146"/>
      <c r="D1195" s="543" t="str">
        <f t="shared" si="55"/>
        <v/>
      </c>
      <c r="I1195" s="146" t="s">
        <v>1495</v>
      </c>
      <c r="J1195" s="146" t="s">
        <v>2005</v>
      </c>
      <c r="K1195" s="146" t="s">
        <v>787</v>
      </c>
      <c r="L1195" s="146">
        <v>3.4499999999999998E-4</v>
      </c>
      <c r="M1195" s="544">
        <v>3.4499999999999998E-4</v>
      </c>
      <c r="N1195" s="544">
        <v>3.4499999999999998E-4</v>
      </c>
      <c r="O1195" s="544">
        <v>3.4499999999999998E-4</v>
      </c>
      <c r="P1195" s="544">
        <v>3.4499999999999998E-4</v>
      </c>
      <c r="R1195" s="543" t="str">
        <f t="shared" si="54"/>
        <v>A0807:恵那電力(株)メニューB</v>
      </c>
      <c r="S1195" s="544">
        <f t="shared" si="56"/>
        <v>3.4499999999999998E-4</v>
      </c>
    </row>
    <row r="1196" spans="2:19">
      <c r="B1196" s="146"/>
      <c r="C1196" s="146"/>
      <c r="D1196" s="543" t="str">
        <f t="shared" si="55"/>
        <v/>
      </c>
      <c r="I1196" s="146" t="s">
        <v>1495</v>
      </c>
      <c r="J1196" s="146" t="s">
        <v>2005</v>
      </c>
      <c r="K1196" s="146" t="s">
        <v>2058</v>
      </c>
      <c r="L1196" s="146">
        <v>3.3599999999999998E-4</v>
      </c>
      <c r="M1196" s="544">
        <v>3.3599999999999998E-4</v>
      </c>
      <c r="N1196" s="544">
        <v>3.3599999999999998E-4</v>
      </c>
      <c r="O1196" s="544">
        <v>3.3599999999999998E-4</v>
      </c>
      <c r="P1196" s="544">
        <v>3.3599999999999998E-4</v>
      </c>
      <c r="R1196" s="543" t="str">
        <f t="shared" si="54"/>
        <v>A0807:恵那電力(株)(参考値)事業者全体</v>
      </c>
      <c r="S1196" s="544">
        <f t="shared" si="56"/>
        <v>3.3599999999999998E-4</v>
      </c>
    </row>
    <row r="1197" spans="2:19">
      <c r="B1197" s="146"/>
      <c r="C1197" s="146"/>
      <c r="D1197" s="543" t="str">
        <f t="shared" si="55"/>
        <v/>
      </c>
      <c r="I1197" s="146" t="s">
        <v>1496</v>
      </c>
      <c r="J1197" s="146" t="s">
        <v>2006</v>
      </c>
      <c r="K1197" s="146" t="s">
        <v>710</v>
      </c>
      <c r="L1197" s="146">
        <v>0</v>
      </c>
      <c r="M1197" s="544">
        <v>0</v>
      </c>
      <c r="N1197" s="544">
        <v>0</v>
      </c>
      <c r="O1197" s="544">
        <v>0</v>
      </c>
      <c r="P1197" s="544">
        <v>0</v>
      </c>
      <c r="R1197" s="543" t="str">
        <f t="shared" si="54"/>
        <v>A0808:宇都宮ライトパワー(株)メニューA</v>
      </c>
      <c r="S1197" s="544">
        <f t="shared" si="56"/>
        <v>0</v>
      </c>
    </row>
    <row r="1198" spans="2:19">
      <c r="B1198" s="146"/>
      <c r="C1198" s="146"/>
      <c r="D1198" s="543" t="str">
        <f t="shared" si="55"/>
        <v/>
      </c>
      <c r="I1198" s="146" t="s">
        <v>1496</v>
      </c>
      <c r="J1198" s="146" t="s">
        <v>2006</v>
      </c>
      <c r="K1198" s="146" t="s">
        <v>787</v>
      </c>
      <c r="L1198" s="146">
        <v>3.6099999999999999E-4</v>
      </c>
      <c r="M1198" s="544">
        <v>3.6099999999999999E-4</v>
      </c>
      <c r="N1198" s="544">
        <v>3.6099999999999999E-4</v>
      </c>
      <c r="O1198" s="544">
        <v>3.6099999999999999E-4</v>
      </c>
      <c r="P1198" s="544">
        <v>3.6099999999999999E-4</v>
      </c>
      <c r="R1198" s="543" t="str">
        <f t="shared" si="54"/>
        <v>A0808:宇都宮ライトパワー(株)メニューB</v>
      </c>
      <c r="S1198" s="544">
        <f t="shared" si="56"/>
        <v>3.6099999999999999E-4</v>
      </c>
    </row>
    <row r="1199" spans="2:19">
      <c r="B1199" s="146"/>
      <c r="C1199" s="146"/>
      <c r="D1199" s="543" t="str">
        <f t="shared" si="55"/>
        <v/>
      </c>
      <c r="I1199" s="146" t="s">
        <v>1496</v>
      </c>
      <c r="J1199" s="146" t="s">
        <v>2006</v>
      </c>
      <c r="K1199" s="146" t="s">
        <v>2058</v>
      </c>
      <c r="L1199" s="146">
        <v>3.1100000000000002E-4</v>
      </c>
      <c r="M1199" s="544">
        <v>3.1100000000000002E-4</v>
      </c>
      <c r="N1199" s="544">
        <v>3.1100000000000002E-4</v>
      </c>
      <c r="O1199" s="544">
        <v>3.1100000000000002E-4</v>
      </c>
      <c r="P1199" s="544">
        <v>3.1100000000000002E-4</v>
      </c>
      <c r="R1199" s="543" t="str">
        <f t="shared" si="54"/>
        <v>A0808:宇都宮ライトパワー(株)(参考値)事業者全体</v>
      </c>
      <c r="S1199" s="544">
        <f t="shared" si="56"/>
        <v>3.1100000000000002E-4</v>
      </c>
    </row>
    <row r="1200" spans="2:19">
      <c r="B1200" s="146"/>
      <c r="C1200" s="146"/>
      <c r="D1200" s="543" t="str">
        <f t="shared" si="55"/>
        <v/>
      </c>
      <c r="I1200" s="146" t="s">
        <v>1497</v>
      </c>
      <c r="J1200" s="146" t="s">
        <v>2007</v>
      </c>
      <c r="K1200" s="146"/>
      <c r="L1200" s="146">
        <v>4.75E-4</v>
      </c>
      <c r="M1200" s="544">
        <v>4.75E-4</v>
      </c>
      <c r="N1200" s="544">
        <v>4.75E-4</v>
      </c>
      <c r="O1200" s="544">
        <v>4.75E-4</v>
      </c>
      <c r="P1200" s="544">
        <v>4.75E-4</v>
      </c>
      <c r="R1200" s="543" t="str">
        <f t="shared" si="54"/>
        <v>A0809:帯広電力(株)</v>
      </c>
      <c r="S1200" s="544">
        <f t="shared" si="56"/>
        <v>4.75E-4</v>
      </c>
    </row>
    <row r="1201" spans="2:19">
      <c r="B1201" s="146"/>
      <c r="C1201" s="146"/>
      <c r="D1201" s="543" t="str">
        <f t="shared" si="55"/>
        <v/>
      </c>
      <c r="I1201" s="146" t="s">
        <v>1498</v>
      </c>
      <c r="J1201" s="146" t="s">
        <v>2008</v>
      </c>
      <c r="K1201" s="146"/>
      <c r="L1201" s="146">
        <v>4.73E-4</v>
      </c>
      <c r="M1201" s="544">
        <v>4.73E-4</v>
      </c>
      <c r="N1201" s="544">
        <v>4.73E-4</v>
      </c>
      <c r="O1201" s="544">
        <v>4.73E-4</v>
      </c>
      <c r="P1201" s="544">
        <v>4.73E-4</v>
      </c>
      <c r="R1201" s="543" t="str">
        <f t="shared" si="54"/>
        <v>A0810:フジ物産(株)</v>
      </c>
      <c r="S1201" s="544">
        <f t="shared" si="56"/>
        <v>4.73E-4</v>
      </c>
    </row>
    <row r="1202" spans="2:19">
      <c r="B1202" s="146"/>
      <c r="C1202" s="146"/>
      <c r="D1202" s="543" t="str">
        <f t="shared" si="55"/>
        <v/>
      </c>
      <c r="I1202" s="146" t="s">
        <v>1499</v>
      </c>
      <c r="J1202" s="146" t="s">
        <v>2009</v>
      </c>
      <c r="K1202" s="146" t="s">
        <v>710</v>
      </c>
      <c r="L1202" s="146">
        <v>0</v>
      </c>
      <c r="M1202" s="544">
        <v>0</v>
      </c>
      <c r="N1202" s="544">
        <v>0</v>
      </c>
      <c r="O1202" s="544">
        <v>0</v>
      </c>
      <c r="P1202" s="544">
        <v>0</v>
      </c>
      <c r="R1202" s="543" t="str">
        <f t="shared" si="54"/>
        <v>A0812:金沢エナジー(株)メニューA</v>
      </c>
      <c r="S1202" s="544">
        <f t="shared" si="56"/>
        <v>0</v>
      </c>
    </row>
    <row r="1203" spans="2:19">
      <c r="B1203" s="146"/>
      <c r="C1203" s="146"/>
      <c r="D1203" s="543" t="str">
        <f t="shared" si="55"/>
        <v/>
      </c>
      <c r="I1203" s="146" t="s">
        <v>1499</v>
      </c>
      <c r="J1203" s="146" t="s">
        <v>2009</v>
      </c>
      <c r="K1203" s="146" t="s">
        <v>787</v>
      </c>
      <c r="L1203" s="146">
        <v>3.88E-4</v>
      </c>
      <c r="M1203" s="544">
        <v>3.88E-4</v>
      </c>
      <c r="N1203" s="544">
        <v>3.88E-4</v>
      </c>
      <c r="O1203" s="544">
        <v>3.88E-4</v>
      </c>
      <c r="P1203" s="544">
        <v>3.88E-4</v>
      </c>
      <c r="R1203" s="543" t="str">
        <f t="shared" si="54"/>
        <v>A0812:金沢エナジー(株)メニューB</v>
      </c>
      <c r="S1203" s="544">
        <f t="shared" si="56"/>
        <v>3.88E-4</v>
      </c>
    </row>
    <row r="1204" spans="2:19">
      <c r="B1204" s="146"/>
      <c r="C1204" s="146"/>
      <c r="D1204" s="543" t="str">
        <f t="shared" si="55"/>
        <v/>
      </c>
      <c r="I1204" s="146" t="s">
        <v>1499</v>
      </c>
      <c r="J1204" s="146" t="s">
        <v>2009</v>
      </c>
      <c r="K1204" s="146" t="s">
        <v>2058</v>
      </c>
      <c r="L1204" s="146">
        <v>3.3100000000000002E-4</v>
      </c>
      <c r="M1204" s="544">
        <v>3.3100000000000002E-4</v>
      </c>
      <c r="N1204" s="544">
        <v>3.3100000000000002E-4</v>
      </c>
      <c r="O1204" s="544">
        <v>3.3100000000000002E-4</v>
      </c>
      <c r="P1204" s="544">
        <v>3.3100000000000002E-4</v>
      </c>
      <c r="R1204" s="543" t="str">
        <f t="shared" si="54"/>
        <v>A0812:金沢エナジー(株)(参考値)事業者全体</v>
      </c>
      <c r="S1204" s="544">
        <f t="shared" si="56"/>
        <v>3.3100000000000002E-4</v>
      </c>
    </row>
    <row r="1205" spans="2:19">
      <c r="B1205" s="146"/>
      <c r="C1205" s="146"/>
      <c r="D1205" s="543" t="str">
        <f t="shared" si="55"/>
        <v/>
      </c>
      <c r="I1205" s="146" t="s">
        <v>1500</v>
      </c>
      <c r="J1205" s="146" t="s">
        <v>2010</v>
      </c>
      <c r="K1205" s="146"/>
      <c r="L1205" s="146">
        <v>4.4299999999999998E-4</v>
      </c>
      <c r="M1205" s="544">
        <v>4.4299999999999998E-4</v>
      </c>
      <c r="N1205" s="544">
        <v>4.4299999999999998E-4</v>
      </c>
      <c r="O1205" s="544">
        <v>4.4299999999999998E-4</v>
      </c>
      <c r="P1205" s="544">
        <v>4.4299999999999998E-4</v>
      </c>
      <c r="R1205" s="543" t="str">
        <f t="shared" si="54"/>
        <v>A0817:(株)なんとエナジー</v>
      </c>
      <c r="S1205" s="544">
        <f t="shared" si="56"/>
        <v>4.4299999999999998E-4</v>
      </c>
    </row>
    <row r="1206" spans="2:19">
      <c r="B1206" s="146"/>
      <c r="C1206" s="146"/>
      <c r="D1206" s="543" t="str">
        <f t="shared" si="55"/>
        <v/>
      </c>
      <c r="I1206" s="146" t="s">
        <v>1501</v>
      </c>
      <c r="J1206" s="146" t="s">
        <v>2011</v>
      </c>
      <c r="K1206" s="146"/>
      <c r="L1206" s="146">
        <v>0</v>
      </c>
      <c r="M1206" s="544">
        <v>0</v>
      </c>
      <c r="N1206" s="544">
        <v>0</v>
      </c>
      <c r="O1206" s="544">
        <v>0</v>
      </c>
      <c r="P1206" s="544">
        <v>0</v>
      </c>
      <c r="R1206" s="543" t="str">
        <f t="shared" si="54"/>
        <v>A0819:(株)ボーダレス・ジャパン</v>
      </c>
      <c r="S1206" s="544">
        <f t="shared" si="56"/>
        <v>0</v>
      </c>
    </row>
    <row r="1207" spans="2:19">
      <c r="B1207" s="146"/>
      <c r="C1207" s="146"/>
      <c r="D1207" s="543" t="str">
        <f t="shared" si="55"/>
        <v/>
      </c>
      <c r="I1207" s="146" t="s">
        <v>1502</v>
      </c>
      <c r="J1207" s="146" t="s">
        <v>2012</v>
      </c>
      <c r="K1207" s="146" t="s">
        <v>710</v>
      </c>
      <c r="L1207" s="146">
        <v>0</v>
      </c>
      <c r="M1207" s="544">
        <v>0</v>
      </c>
      <c r="N1207" s="544">
        <v>0</v>
      </c>
      <c r="O1207" s="544">
        <v>0</v>
      </c>
      <c r="P1207" s="544">
        <v>0</v>
      </c>
      <c r="R1207" s="543" t="str">
        <f t="shared" si="54"/>
        <v>A0820:(株)ワットメニューA</v>
      </c>
      <c r="S1207" s="544">
        <f t="shared" si="56"/>
        <v>0</v>
      </c>
    </row>
    <row r="1208" spans="2:19">
      <c r="B1208" s="146"/>
      <c r="C1208" s="146"/>
      <c r="D1208" s="543" t="str">
        <f t="shared" si="55"/>
        <v/>
      </c>
      <c r="I1208" s="146" t="s">
        <v>1502</v>
      </c>
      <c r="J1208" s="146" t="s">
        <v>2012</v>
      </c>
      <c r="K1208" s="146" t="s">
        <v>787</v>
      </c>
      <c r="L1208" s="146">
        <v>0</v>
      </c>
      <c r="M1208" s="544">
        <v>0</v>
      </c>
      <c r="N1208" s="544">
        <v>0</v>
      </c>
      <c r="O1208" s="544">
        <v>0</v>
      </c>
      <c r="P1208" s="544">
        <v>0</v>
      </c>
      <c r="R1208" s="543" t="str">
        <f t="shared" si="54"/>
        <v>A0820:(株)ワットメニューB</v>
      </c>
      <c r="S1208" s="544">
        <f t="shared" si="56"/>
        <v>0</v>
      </c>
    </row>
    <row r="1209" spans="2:19">
      <c r="B1209" s="146"/>
      <c r="C1209" s="146"/>
      <c r="D1209" s="543" t="str">
        <f t="shared" si="55"/>
        <v/>
      </c>
      <c r="I1209" s="146" t="s">
        <v>1502</v>
      </c>
      <c r="J1209" s="146" t="s">
        <v>2012</v>
      </c>
      <c r="K1209" s="146" t="s">
        <v>2058</v>
      </c>
      <c r="L1209" s="146">
        <v>0</v>
      </c>
      <c r="M1209" s="544">
        <v>0</v>
      </c>
      <c r="N1209" s="544">
        <v>0</v>
      </c>
      <c r="O1209" s="544">
        <v>0</v>
      </c>
      <c r="P1209" s="544">
        <v>0</v>
      </c>
      <c r="R1209" s="543" t="str">
        <f t="shared" si="54"/>
        <v>A0820:(株)ワット(参考値)事業者全体</v>
      </c>
      <c r="S1209" s="544">
        <f t="shared" si="56"/>
        <v>0</v>
      </c>
    </row>
    <row r="1210" spans="2:19">
      <c r="B1210" s="146"/>
      <c r="C1210" s="146"/>
      <c r="D1210" s="543" t="str">
        <f t="shared" si="55"/>
        <v/>
      </c>
      <c r="I1210" s="146" t="s">
        <v>1503</v>
      </c>
      <c r="J1210" s="146" t="s">
        <v>2013</v>
      </c>
      <c r="K1210" s="146"/>
      <c r="L1210" s="146">
        <v>5.7399999999999997E-4</v>
      </c>
      <c r="M1210" s="544">
        <v>5.7399999999999997E-4</v>
      </c>
      <c r="N1210" s="544">
        <v>5.7399999999999997E-4</v>
      </c>
      <c r="O1210" s="544">
        <v>5.7399999999999997E-4</v>
      </c>
      <c r="P1210" s="544">
        <v>5.7399999999999997E-4</v>
      </c>
      <c r="R1210" s="543" t="str">
        <f t="shared" si="54"/>
        <v>A0821:ジケイ・スペース(株)</v>
      </c>
      <c r="S1210" s="544">
        <f t="shared" si="56"/>
        <v>5.7399999999999997E-4</v>
      </c>
    </row>
    <row r="1211" spans="2:19">
      <c r="B1211" s="146"/>
      <c r="C1211" s="146"/>
      <c r="D1211" s="543" t="str">
        <f t="shared" si="55"/>
        <v/>
      </c>
      <c r="I1211" s="146" t="s">
        <v>1504</v>
      </c>
      <c r="J1211" s="146" t="s">
        <v>2014</v>
      </c>
      <c r="K1211" s="146" t="s">
        <v>710</v>
      </c>
      <c r="L1211" s="146">
        <v>0</v>
      </c>
      <c r="M1211" s="544">
        <v>0</v>
      </c>
      <c r="N1211" s="544">
        <v>0</v>
      </c>
      <c r="O1211" s="544">
        <v>0</v>
      </c>
      <c r="P1211" s="544">
        <v>0</v>
      </c>
      <c r="R1211" s="543" t="str">
        <f t="shared" si="54"/>
        <v>A0822:広島ガス(株)メニューA</v>
      </c>
      <c r="S1211" s="544">
        <f t="shared" si="56"/>
        <v>0</v>
      </c>
    </row>
    <row r="1212" spans="2:19">
      <c r="B1212" s="146"/>
      <c r="C1212" s="146"/>
      <c r="D1212" s="543" t="str">
        <f t="shared" si="55"/>
        <v/>
      </c>
      <c r="I1212" s="146" t="s">
        <v>1504</v>
      </c>
      <c r="J1212" s="146" t="s">
        <v>2014</v>
      </c>
      <c r="K1212" s="146" t="s">
        <v>787</v>
      </c>
      <c r="L1212" s="146">
        <v>4.6200000000000001E-4</v>
      </c>
      <c r="M1212" s="544">
        <v>4.6200000000000001E-4</v>
      </c>
      <c r="N1212" s="544">
        <v>4.6200000000000001E-4</v>
      </c>
      <c r="O1212" s="544">
        <v>4.6200000000000001E-4</v>
      </c>
      <c r="P1212" s="544">
        <v>4.6200000000000001E-4</v>
      </c>
      <c r="R1212" s="543" t="str">
        <f t="shared" si="54"/>
        <v>A0822:広島ガス(株)メニューB</v>
      </c>
      <c r="S1212" s="544">
        <f t="shared" si="56"/>
        <v>4.6200000000000001E-4</v>
      </c>
    </row>
    <row r="1213" spans="2:19">
      <c r="B1213" s="146"/>
      <c r="C1213" s="146"/>
      <c r="D1213" s="543" t="str">
        <f t="shared" si="55"/>
        <v/>
      </c>
      <c r="I1213" s="146" t="s">
        <v>1504</v>
      </c>
      <c r="J1213" s="146" t="s">
        <v>2014</v>
      </c>
      <c r="K1213" s="146" t="s">
        <v>2058</v>
      </c>
      <c r="L1213" s="146">
        <v>0</v>
      </c>
      <c r="M1213" s="544">
        <v>0</v>
      </c>
      <c r="N1213" s="544">
        <v>0</v>
      </c>
      <c r="O1213" s="544">
        <v>0</v>
      </c>
      <c r="P1213" s="544">
        <v>0</v>
      </c>
      <c r="R1213" s="543" t="str">
        <f t="shared" si="54"/>
        <v>A0822:広島ガス(株)(参考値)事業者全体</v>
      </c>
      <c r="S1213" s="544">
        <f t="shared" si="56"/>
        <v>0</v>
      </c>
    </row>
    <row r="1214" spans="2:19">
      <c r="B1214" s="146"/>
      <c r="C1214" s="146"/>
      <c r="D1214" s="543" t="str">
        <f t="shared" si="55"/>
        <v/>
      </c>
      <c r="I1214" s="146" t="s">
        <v>1505</v>
      </c>
      <c r="J1214" s="146" t="s">
        <v>2015</v>
      </c>
      <c r="K1214" s="146"/>
      <c r="L1214" s="146">
        <v>6.38E-4</v>
      </c>
      <c r="M1214" s="544">
        <v>6.38E-4</v>
      </c>
      <c r="N1214" s="544">
        <v>6.38E-4</v>
      </c>
      <c r="O1214" s="544">
        <v>6.38E-4</v>
      </c>
      <c r="P1214" s="544">
        <v>6.38E-4</v>
      </c>
      <c r="R1214" s="543" t="str">
        <f t="shared" si="54"/>
        <v>A0824:(株)IQg</v>
      </c>
      <c r="S1214" s="544">
        <f t="shared" si="56"/>
        <v>6.38E-4</v>
      </c>
    </row>
    <row r="1215" spans="2:19">
      <c r="B1215" s="146"/>
      <c r="C1215" s="146"/>
      <c r="D1215" s="543" t="str">
        <f t="shared" si="55"/>
        <v/>
      </c>
      <c r="I1215" s="146" t="s">
        <v>1506</v>
      </c>
      <c r="J1215" s="146" t="s">
        <v>2016</v>
      </c>
      <c r="K1215" s="146"/>
      <c r="L1215" s="146">
        <v>4.7600000000000002E-4</v>
      </c>
      <c r="M1215" s="544">
        <v>4.7600000000000002E-4</v>
      </c>
      <c r="N1215" s="544">
        <v>4.7600000000000002E-4</v>
      </c>
      <c r="O1215" s="544">
        <v>4.7600000000000002E-4</v>
      </c>
      <c r="P1215" s="544">
        <v>4.7600000000000002E-4</v>
      </c>
      <c r="R1215" s="543" t="str">
        <f t="shared" si="54"/>
        <v>A0825:最適でんき(株)（旧：エナジーサプライ(株)）</v>
      </c>
      <c r="S1215" s="544">
        <f t="shared" si="56"/>
        <v>4.7600000000000002E-4</v>
      </c>
    </row>
    <row r="1216" spans="2:19">
      <c r="B1216" s="146"/>
      <c r="C1216" s="146"/>
      <c r="D1216" s="543" t="str">
        <f t="shared" si="55"/>
        <v/>
      </c>
      <c r="I1216" s="146" t="s">
        <v>1507</v>
      </c>
      <c r="J1216" s="146" t="s">
        <v>2017</v>
      </c>
      <c r="K1216" s="146" t="s">
        <v>710</v>
      </c>
      <c r="L1216" s="146">
        <v>0</v>
      </c>
      <c r="M1216" s="544">
        <v>0</v>
      </c>
      <c r="N1216" s="544">
        <v>0</v>
      </c>
      <c r="O1216" s="544">
        <v>0</v>
      </c>
      <c r="P1216" s="544">
        <v>0</v>
      </c>
      <c r="R1216" s="543" t="str">
        <f t="shared" si="54"/>
        <v>A0826:(株)FPSメニューA</v>
      </c>
      <c r="S1216" s="544">
        <f t="shared" si="56"/>
        <v>0</v>
      </c>
    </row>
    <row r="1217" spans="2:19">
      <c r="B1217" s="146"/>
      <c r="C1217" s="146"/>
      <c r="D1217" s="543" t="str">
        <f t="shared" si="55"/>
        <v/>
      </c>
      <c r="I1217" s="146" t="s">
        <v>1507</v>
      </c>
      <c r="J1217" s="146" t="s">
        <v>2017</v>
      </c>
      <c r="K1217" s="146" t="s">
        <v>787</v>
      </c>
      <c r="L1217" s="146">
        <v>0</v>
      </c>
      <c r="M1217" s="544">
        <v>0</v>
      </c>
      <c r="N1217" s="544">
        <v>0</v>
      </c>
      <c r="O1217" s="544">
        <v>0</v>
      </c>
      <c r="P1217" s="544">
        <v>0</v>
      </c>
      <c r="R1217" s="543" t="str">
        <f t="shared" si="54"/>
        <v>A0826:(株)FPSメニューB</v>
      </c>
      <c r="S1217" s="544">
        <f t="shared" si="56"/>
        <v>0</v>
      </c>
    </row>
    <row r="1218" spans="2:19">
      <c r="B1218" s="146"/>
      <c r="C1218" s="146"/>
      <c r="D1218" s="543" t="str">
        <f t="shared" si="55"/>
        <v/>
      </c>
      <c r="I1218" s="146" t="s">
        <v>1507</v>
      </c>
      <c r="J1218" s="146" t="s">
        <v>2017</v>
      </c>
      <c r="K1218" s="146" t="s">
        <v>788</v>
      </c>
      <c r="L1218" s="146">
        <v>1.6699999999999999E-4</v>
      </c>
      <c r="M1218" s="544">
        <v>1.6699999999999999E-4</v>
      </c>
      <c r="N1218" s="544">
        <v>1.6699999999999999E-4</v>
      </c>
      <c r="O1218" s="544">
        <v>1.6699999999999999E-4</v>
      </c>
      <c r="P1218" s="544">
        <v>1.6699999999999999E-4</v>
      </c>
      <c r="R1218" s="543" t="str">
        <f t="shared" si="54"/>
        <v>A0826:(株)FPSメニューC</v>
      </c>
      <c r="S1218" s="544">
        <f t="shared" si="56"/>
        <v>1.6699999999999999E-4</v>
      </c>
    </row>
    <row r="1219" spans="2:19">
      <c r="B1219" s="146"/>
      <c r="C1219" s="146"/>
      <c r="D1219" s="543" t="str">
        <f t="shared" si="55"/>
        <v/>
      </c>
      <c r="I1219" s="146" t="s">
        <v>1507</v>
      </c>
      <c r="J1219" s="146" t="s">
        <v>2017</v>
      </c>
      <c r="K1219" s="146" t="s">
        <v>974</v>
      </c>
      <c r="L1219" s="146">
        <v>2.13E-4</v>
      </c>
      <c r="M1219" s="544">
        <v>2.13E-4</v>
      </c>
      <c r="N1219" s="544">
        <v>2.13E-4</v>
      </c>
      <c r="O1219" s="544">
        <v>2.13E-4</v>
      </c>
      <c r="P1219" s="544">
        <v>2.13E-4</v>
      </c>
      <c r="R1219" s="543" t="str">
        <f t="shared" si="54"/>
        <v>A0826:(株)FPSメニューD</v>
      </c>
      <c r="S1219" s="544">
        <f t="shared" si="56"/>
        <v>2.13E-4</v>
      </c>
    </row>
    <row r="1220" spans="2:19">
      <c r="B1220" s="146"/>
      <c r="C1220" s="146"/>
      <c r="D1220" s="543" t="str">
        <f t="shared" si="55"/>
        <v/>
      </c>
      <c r="I1220" s="146" t="s">
        <v>1507</v>
      </c>
      <c r="J1220" s="146" t="s">
        <v>2017</v>
      </c>
      <c r="K1220" s="146" t="s">
        <v>975</v>
      </c>
      <c r="L1220" s="146">
        <v>3.0499999999999999E-4</v>
      </c>
      <c r="M1220" s="544">
        <v>3.0499999999999999E-4</v>
      </c>
      <c r="N1220" s="544">
        <v>3.0499999999999999E-4</v>
      </c>
      <c r="O1220" s="544">
        <v>3.0499999999999999E-4</v>
      </c>
      <c r="P1220" s="544">
        <v>3.0499999999999999E-4</v>
      </c>
      <c r="R1220" s="543" t="str">
        <f t="shared" si="54"/>
        <v>A0826:(株)FPSメニューE</v>
      </c>
      <c r="S1220" s="544">
        <f t="shared" si="56"/>
        <v>3.0499999999999999E-4</v>
      </c>
    </row>
    <row r="1221" spans="2:19">
      <c r="B1221" s="146"/>
      <c r="C1221" s="146"/>
      <c r="D1221" s="543" t="str">
        <f t="shared" si="55"/>
        <v/>
      </c>
      <c r="I1221" s="146" t="s">
        <v>1507</v>
      </c>
      <c r="J1221" s="146" t="s">
        <v>2017</v>
      </c>
      <c r="K1221" s="146" t="s">
        <v>2059</v>
      </c>
      <c r="L1221" s="146">
        <v>3.97E-4</v>
      </c>
      <c r="M1221" s="544">
        <v>3.97E-4</v>
      </c>
      <c r="N1221" s="544">
        <v>3.97E-4</v>
      </c>
      <c r="O1221" s="544">
        <v>3.97E-4</v>
      </c>
      <c r="P1221" s="544">
        <v>3.97E-4</v>
      </c>
      <c r="R1221" s="543" t="str">
        <f t="shared" ref="R1221:R1284" si="57">I1221&amp;":"&amp;J1221&amp;K1221</f>
        <v>A0826:(株)FPSメニューF</v>
      </c>
      <c r="S1221" s="544">
        <f t="shared" si="56"/>
        <v>3.97E-4</v>
      </c>
    </row>
    <row r="1222" spans="2:19">
      <c r="B1222" s="146"/>
      <c r="C1222" s="146"/>
      <c r="D1222" s="543" t="str">
        <f t="shared" si="55"/>
        <v/>
      </c>
      <c r="I1222" s="146" t="s">
        <v>1507</v>
      </c>
      <c r="J1222" s="146" t="s">
        <v>2017</v>
      </c>
      <c r="K1222" s="146" t="s">
        <v>2060</v>
      </c>
      <c r="L1222" s="146">
        <v>4.57E-4</v>
      </c>
      <c r="M1222" s="544">
        <v>4.57E-4</v>
      </c>
      <c r="N1222" s="544">
        <v>4.57E-4</v>
      </c>
      <c r="O1222" s="544">
        <v>4.57E-4</v>
      </c>
      <c r="P1222" s="544">
        <v>4.57E-4</v>
      </c>
      <c r="R1222" s="543" t="str">
        <f t="shared" si="57"/>
        <v>A0826:(株)FPSメニューG</v>
      </c>
      <c r="S1222" s="544">
        <f t="shared" si="56"/>
        <v>4.57E-4</v>
      </c>
    </row>
    <row r="1223" spans="2:19">
      <c r="B1223" s="146"/>
      <c r="C1223" s="146"/>
      <c r="D1223" s="543" t="str">
        <f t="shared" si="55"/>
        <v/>
      </c>
      <c r="I1223" s="146" t="s">
        <v>1507</v>
      </c>
      <c r="J1223" s="146" t="s">
        <v>2017</v>
      </c>
      <c r="K1223" s="146" t="s">
        <v>2058</v>
      </c>
      <c r="L1223" s="146">
        <v>4.2499999999999998E-4</v>
      </c>
      <c r="M1223" s="544">
        <v>4.2499999999999998E-4</v>
      </c>
      <c r="N1223" s="544">
        <v>4.2499999999999998E-4</v>
      </c>
      <c r="O1223" s="544">
        <v>4.2499999999999998E-4</v>
      </c>
      <c r="P1223" s="544">
        <v>4.2499999999999998E-4</v>
      </c>
      <c r="R1223" s="543" t="str">
        <f t="shared" si="57"/>
        <v>A0826:(株)FPS(参考値)事業者全体</v>
      </c>
      <c r="S1223" s="544">
        <f t="shared" si="56"/>
        <v>4.2499999999999998E-4</v>
      </c>
    </row>
    <row r="1224" spans="2:19">
      <c r="B1224" s="146"/>
      <c r="C1224" s="146"/>
      <c r="D1224" s="543" t="str">
        <f t="shared" si="55"/>
        <v/>
      </c>
      <c r="I1224" s="146" t="s">
        <v>1508</v>
      </c>
      <c r="J1224" s="146" t="s">
        <v>2018</v>
      </c>
      <c r="K1224" s="146"/>
      <c r="L1224" s="146">
        <v>5.7399999999999997E-4</v>
      </c>
      <c r="M1224" s="544">
        <v>5.7399999999999997E-4</v>
      </c>
      <c r="N1224" s="544">
        <v>5.7399999999999997E-4</v>
      </c>
      <c r="O1224" s="544">
        <v>5.7399999999999997E-4</v>
      </c>
      <c r="P1224" s="544">
        <v>5.7399999999999997E-4</v>
      </c>
      <c r="R1224" s="543" t="str">
        <f t="shared" si="57"/>
        <v>A0827:大熊るるるん電力(株)</v>
      </c>
      <c r="S1224" s="544">
        <f t="shared" si="56"/>
        <v>5.7399999999999997E-4</v>
      </c>
    </row>
    <row r="1225" spans="2:19">
      <c r="B1225" s="146"/>
      <c r="C1225" s="146"/>
      <c r="D1225" s="543" t="str">
        <f t="shared" si="55"/>
        <v/>
      </c>
      <c r="I1225" s="146" t="s">
        <v>1509</v>
      </c>
      <c r="J1225" s="146" t="s">
        <v>2019</v>
      </c>
      <c r="K1225" s="146" t="s">
        <v>710</v>
      </c>
      <c r="L1225" s="146">
        <v>5.3899999999999998E-4</v>
      </c>
      <c r="M1225" s="544">
        <v>5.3899999999999998E-4</v>
      </c>
      <c r="N1225" s="544">
        <v>5.3899999999999998E-4</v>
      </c>
      <c r="O1225" s="544">
        <v>5.3899999999999998E-4</v>
      </c>
      <c r="P1225" s="544">
        <v>5.3899999999999998E-4</v>
      </c>
      <c r="R1225" s="543" t="str">
        <f t="shared" si="57"/>
        <v>A0829:(株)レックスメニューA</v>
      </c>
      <c r="S1225" s="544">
        <f t="shared" si="56"/>
        <v>5.3899999999999998E-4</v>
      </c>
    </row>
    <row r="1226" spans="2:19">
      <c r="B1226" s="146"/>
      <c r="C1226" s="146"/>
      <c r="D1226" s="543" t="str">
        <f t="shared" ref="D1226:D1289" si="58">IF(B1226="","",B1226&amp;":"&amp;C1226)</f>
        <v/>
      </c>
      <c r="I1226" s="146" t="s">
        <v>1509</v>
      </c>
      <c r="J1226" s="146" t="s">
        <v>2019</v>
      </c>
      <c r="K1226" s="146" t="s">
        <v>2058</v>
      </c>
      <c r="L1226" s="146">
        <v>5.4699999999999996E-4</v>
      </c>
      <c r="M1226" s="544">
        <v>5.4699999999999996E-4</v>
      </c>
      <c r="N1226" s="544">
        <v>5.4699999999999996E-4</v>
      </c>
      <c r="O1226" s="544">
        <v>5.4699999999999996E-4</v>
      </c>
      <c r="P1226" s="544">
        <v>5.4699999999999996E-4</v>
      </c>
      <c r="R1226" s="543" t="str">
        <f t="shared" si="57"/>
        <v>A0829:(株)レックス(参考値)事業者全体</v>
      </c>
      <c r="S1226" s="544">
        <f t="shared" ref="S1226:S1289" si="59">HLOOKUP($S$8,$L$8:$P$2000,ROW()-7,FALSE)</f>
        <v>5.4699999999999996E-4</v>
      </c>
    </row>
    <row r="1227" spans="2:19">
      <c r="B1227" s="146"/>
      <c r="C1227" s="146"/>
      <c r="D1227" s="543" t="str">
        <f t="shared" si="58"/>
        <v/>
      </c>
      <c r="I1227" s="146" t="s">
        <v>1510</v>
      </c>
      <c r="J1227" s="146" t="s">
        <v>2020</v>
      </c>
      <c r="K1227" s="146" t="s">
        <v>710</v>
      </c>
      <c r="L1227" s="146">
        <v>0</v>
      </c>
      <c r="M1227" s="544">
        <v>0</v>
      </c>
      <c r="N1227" s="544">
        <v>0</v>
      </c>
      <c r="O1227" s="544">
        <v>0</v>
      </c>
      <c r="P1227" s="544">
        <v>0</v>
      </c>
      <c r="R1227" s="543" t="str">
        <f t="shared" si="57"/>
        <v>A0831:おきたま新電力(株)メニューA</v>
      </c>
      <c r="S1227" s="544">
        <f t="shared" si="59"/>
        <v>0</v>
      </c>
    </row>
    <row r="1228" spans="2:19">
      <c r="B1228" s="146"/>
      <c r="C1228" s="146"/>
      <c r="D1228" s="543" t="str">
        <f t="shared" si="58"/>
        <v/>
      </c>
      <c r="I1228" s="146" t="s">
        <v>1510</v>
      </c>
      <c r="J1228" s="146" t="s">
        <v>2020</v>
      </c>
      <c r="K1228" s="146" t="s">
        <v>787</v>
      </c>
      <c r="L1228" s="146">
        <v>5.9800000000000001E-4</v>
      </c>
      <c r="M1228" s="544">
        <v>5.9800000000000001E-4</v>
      </c>
      <c r="N1228" s="544">
        <v>5.9800000000000001E-4</v>
      </c>
      <c r="O1228" s="544">
        <v>5.9800000000000001E-4</v>
      </c>
      <c r="P1228" s="544">
        <v>5.9800000000000001E-4</v>
      </c>
      <c r="R1228" s="543" t="str">
        <f t="shared" si="57"/>
        <v>A0831:おきたま新電力(株)メニューB</v>
      </c>
      <c r="S1228" s="544">
        <f t="shared" si="59"/>
        <v>5.9800000000000001E-4</v>
      </c>
    </row>
    <row r="1229" spans="2:19">
      <c r="B1229" s="146"/>
      <c r="C1229" s="146"/>
      <c r="D1229" s="543" t="str">
        <f t="shared" si="58"/>
        <v/>
      </c>
      <c r="I1229" s="146" t="s">
        <v>1510</v>
      </c>
      <c r="J1229" s="146" t="s">
        <v>2020</v>
      </c>
      <c r="K1229" s="146" t="s">
        <v>2058</v>
      </c>
      <c r="L1229" s="146">
        <v>5.1800000000000001E-4</v>
      </c>
      <c r="M1229" s="544">
        <v>5.1800000000000001E-4</v>
      </c>
      <c r="N1229" s="544">
        <v>5.1800000000000001E-4</v>
      </c>
      <c r="O1229" s="544">
        <v>5.1800000000000001E-4</v>
      </c>
      <c r="P1229" s="544">
        <v>5.1800000000000001E-4</v>
      </c>
      <c r="R1229" s="543" t="str">
        <f t="shared" si="57"/>
        <v>A0831:おきたま新電力(株)(参考値)事業者全体</v>
      </c>
      <c r="S1229" s="544">
        <f t="shared" si="59"/>
        <v>5.1800000000000001E-4</v>
      </c>
    </row>
    <row r="1230" spans="2:19">
      <c r="B1230" s="146"/>
      <c r="C1230" s="146"/>
      <c r="D1230" s="543" t="str">
        <f t="shared" si="58"/>
        <v/>
      </c>
      <c r="I1230" s="146" t="s">
        <v>1511</v>
      </c>
      <c r="J1230" s="146" t="s">
        <v>2021</v>
      </c>
      <c r="K1230" s="146"/>
      <c r="L1230" s="146">
        <v>4.8899999999999996E-4</v>
      </c>
      <c r="M1230" s="544">
        <v>4.8899999999999996E-4</v>
      </c>
      <c r="N1230" s="544">
        <v>4.8899999999999996E-4</v>
      </c>
      <c r="O1230" s="544">
        <v>4.8899999999999996E-4</v>
      </c>
      <c r="P1230" s="544">
        <v>4.8899999999999996E-4</v>
      </c>
      <c r="R1230" s="543" t="str">
        <f t="shared" si="57"/>
        <v>A0835:河原実業(株)</v>
      </c>
      <c r="S1230" s="544">
        <f t="shared" si="59"/>
        <v>4.8899999999999996E-4</v>
      </c>
    </row>
    <row r="1231" spans="2:19">
      <c r="B1231" s="146"/>
      <c r="C1231" s="146"/>
      <c r="D1231" s="543" t="str">
        <f t="shared" si="58"/>
        <v/>
      </c>
      <c r="I1231" s="146" t="s">
        <v>1512</v>
      </c>
      <c r="J1231" s="146" t="s">
        <v>2022</v>
      </c>
      <c r="K1231" s="146"/>
      <c r="L1231" s="146">
        <v>4.2200000000000001E-4</v>
      </c>
      <c r="M1231" s="544">
        <v>4.2200000000000001E-4</v>
      </c>
      <c r="N1231" s="544">
        <v>4.2200000000000001E-4</v>
      </c>
      <c r="O1231" s="544">
        <v>4.2200000000000001E-4</v>
      </c>
      <c r="P1231" s="544">
        <v>4.2200000000000001E-4</v>
      </c>
      <c r="R1231" s="543" t="str">
        <f t="shared" si="57"/>
        <v>A0838:(株)stc</v>
      </c>
      <c r="S1231" s="544">
        <f t="shared" si="59"/>
        <v>4.2200000000000001E-4</v>
      </c>
    </row>
    <row r="1232" spans="2:19">
      <c r="B1232" s="146"/>
      <c r="C1232" s="146"/>
      <c r="D1232" s="543" t="str">
        <f t="shared" si="58"/>
        <v/>
      </c>
      <c r="I1232" s="146" t="s">
        <v>1513</v>
      </c>
      <c r="J1232" s="146" t="s">
        <v>2023</v>
      </c>
      <c r="K1232" s="146" t="s">
        <v>710</v>
      </c>
      <c r="L1232" s="146">
        <v>2.0000000000000002E-5</v>
      </c>
      <c r="M1232" s="544">
        <v>2.0000000000000002E-5</v>
      </c>
      <c r="N1232" s="544">
        <v>2.0000000000000002E-5</v>
      </c>
      <c r="O1232" s="544">
        <v>2.0000000000000002E-5</v>
      </c>
      <c r="P1232" s="544">
        <v>2.0000000000000002E-5</v>
      </c>
      <c r="R1232" s="543" t="str">
        <f t="shared" si="57"/>
        <v>A0839:(株)工営エナジーメニューA</v>
      </c>
      <c r="S1232" s="544">
        <f t="shared" si="59"/>
        <v>2.0000000000000002E-5</v>
      </c>
    </row>
    <row r="1233" spans="2:19">
      <c r="B1233" s="146"/>
      <c r="C1233" s="146"/>
      <c r="D1233" s="543" t="str">
        <f t="shared" si="58"/>
        <v/>
      </c>
      <c r="I1233" s="146" t="s">
        <v>1513</v>
      </c>
      <c r="J1233" s="146" t="s">
        <v>2023</v>
      </c>
      <c r="K1233" s="146" t="s">
        <v>2058</v>
      </c>
      <c r="L1233" s="146">
        <v>2.0000000000000002E-5</v>
      </c>
      <c r="M1233" s="544">
        <v>2.0000000000000002E-5</v>
      </c>
      <c r="N1233" s="544">
        <v>2.0000000000000002E-5</v>
      </c>
      <c r="O1233" s="544">
        <v>2.0000000000000002E-5</v>
      </c>
      <c r="P1233" s="544">
        <v>2.0000000000000002E-5</v>
      </c>
      <c r="R1233" s="543" t="str">
        <f t="shared" si="57"/>
        <v>A0839:(株)工営エナジー(参考値)事業者全体</v>
      </c>
      <c r="S1233" s="544">
        <f t="shared" si="59"/>
        <v>2.0000000000000002E-5</v>
      </c>
    </row>
    <row r="1234" spans="2:19">
      <c r="B1234" s="146"/>
      <c r="C1234" s="146"/>
      <c r="D1234" s="543" t="str">
        <f t="shared" si="58"/>
        <v/>
      </c>
      <c r="I1234" s="146" t="s">
        <v>1514</v>
      </c>
      <c r="J1234" s="146" t="s">
        <v>2024</v>
      </c>
      <c r="K1234" s="146"/>
      <c r="L1234" s="146">
        <v>8.8999999999999995E-5</v>
      </c>
      <c r="M1234" s="544">
        <v>8.8999999999999995E-5</v>
      </c>
      <c r="N1234" s="544">
        <v>8.8999999999999995E-5</v>
      </c>
      <c r="O1234" s="544">
        <v>8.8999999999999995E-5</v>
      </c>
      <c r="P1234" s="544">
        <v>8.8999999999999995E-5</v>
      </c>
      <c r="R1234" s="543" t="str">
        <f t="shared" si="57"/>
        <v>A0840:アースシグナルソリューションズ(株)</v>
      </c>
      <c r="S1234" s="544">
        <f t="shared" si="59"/>
        <v>8.8999999999999995E-5</v>
      </c>
    </row>
    <row r="1235" spans="2:19">
      <c r="B1235" s="146"/>
      <c r="C1235" s="146"/>
      <c r="D1235" s="543" t="str">
        <f t="shared" si="58"/>
        <v/>
      </c>
      <c r="I1235" s="146" t="s">
        <v>1515</v>
      </c>
      <c r="J1235" s="146" t="s">
        <v>2025</v>
      </c>
      <c r="K1235" s="146"/>
      <c r="L1235" s="146">
        <v>2.8899999999999998E-4</v>
      </c>
      <c r="M1235" s="544">
        <v>2.8899999999999998E-4</v>
      </c>
      <c r="N1235" s="544">
        <v>2.8899999999999998E-4</v>
      </c>
      <c r="O1235" s="544">
        <v>2.8899999999999998E-4</v>
      </c>
      <c r="P1235" s="544">
        <v>2.8899999999999998E-4</v>
      </c>
      <c r="R1235" s="543" t="str">
        <f t="shared" si="57"/>
        <v>A0843:シントウエナジー(株)</v>
      </c>
      <c r="S1235" s="544">
        <f t="shared" si="59"/>
        <v>2.8899999999999998E-4</v>
      </c>
    </row>
    <row r="1236" spans="2:19">
      <c r="B1236" s="146"/>
      <c r="C1236" s="146"/>
      <c r="D1236" s="543" t="str">
        <f t="shared" si="58"/>
        <v/>
      </c>
      <c r="I1236" s="146" t="s">
        <v>1516</v>
      </c>
      <c r="J1236" s="146" t="s">
        <v>2026</v>
      </c>
      <c r="K1236" s="146"/>
      <c r="L1236" s="146">
        <v>2.22E-4</v>
      </c>
      <c r="M1236" s="544">
        <v>2.22E-4</v>
      </c>
      <c r="N1236" s="544">
        <v>2.22E-4</v>
      </c>
      <c r="O1236" s="544">
        <v>2.22E-4</v>
      </c>
      <c r="P1236" s="544">
        <v>2.22E-4</v>
      </c>
      <c r="R1236" s="543" t="str">
        <f t="shared" si="57"/>
        <v>A0844:那須野ヶ原みらい電力(株)</v>
      </c>
      <c r="S1236" s="544">
        <f t="shared" si="59"/>
        <v>2.22E-4</v>
      </c>
    </row>
    <row r="1237" spans="2:19">
      <c r="B1237" s="146"/>
      <c r="C1237" s="146"/>
      <c r="D1237" s="543" t="str">
        <f t="shared" si="58"/>
        <v/>
      </c>
      <c r="I1237" s="146" t="s">
        <v>1517</v>
      </c>
      <c r="J1237" s="146" t="s">
        <v>2027</v>
      </c>
      <c r="K1237" s="146"/>
      <c r="L1237" s="146">
        <v>5.7899999999999998E-4</v>
      </c>
      <c r="M1237" s="544">
        <v>5.7899999999999998E-4</v>
      </c>
      <c r="N1237" s="544">
        <v>5.7899999999999998E-4</v>
      </c>
      <c r="O1237" s="544">
        <v>5.7899999999999998E-4</v>
      </c>
      <c r="P1237" s="544">
        <v>5.7899999999999998E-4</v>
      </c>
      <c r="R1237" s="543" t="str">
        <f t="shared" si="57"/>
        <v>A0847:柏崎あい・あーるエナジー(株)</v>
      </c>
      <c r="S1237" s="544">
        <f t="shared" si="59"/>
        <v>5.7899999999999998E-4</v>
      </c>
    </row>
    <row r="1238" spans="2:19">
      <c r="B1238" s="146"/>
      <c r="C1238" s="146"/>
      <c r="D1238" s="543" t="str">
        <f t="shared" si="58"/>
        <v/>
      </c>
      <c r="I1238" s="146" t="s">
        <v>1518</v>
      </c>
      <c r="J1238" s="146" t="s">
        <v>2028</v>
      </c>
      <c r="K1238" s="146" t="s">
        <v>710</v>
      </c>
      <c r="L1238" s="146">
        <v>0</v>
      </c>
      <c r="M1238" s="544">
        <v>0</v>
      </c>
      <c r="N1238" s="544">
        <v>0</v>
      </c>
      <c r="O1238" s="544">
        <v>0</v>
      </c>
      <c r="P1238" s="544">
        <v>0</v>
      </c>
      <c r="R1238" s="543" t="str">
        <f t="shared" si="57"/>
        <v>A0849:京セラ(株)メニューA</v>
      </c>
      <c r="S1238" s="544">
        <f t="shared" si="59"/>
        <v>0</v>
      </c>
    </row>
    <row r="1239" spans="2:19">
      <c r="B1239" s="146"/>
      <c r="C1239" s="146"/>
      <c r="D1239" s="543" t="str">
        <f t="shared" si="58"/>
        <v/>
      </c>
      <c r="I1239" s="146" t="s">
        <v>1518</v>
      </c>
      <c r="J1239" s="146" t="s">
        <v>2028</v>
      </c>
      <c r="K1239" s="146" t="s">
        <v>2058</v>
      </c>
      <c r="L1239" s="146">
        <v>0</v>
      </c>
      <c r="M1239" s="544">
        <v>0</v>
      </c>
      <c r="N1239" s="544">
        <v>0</v>
      </c>
      <c r="O1239" s="544">
        <v>0</v>
      </c>
      <c r="P1239" s="544">
        <v>0</v>
      </c>
      <c r="R1239" s="543" t="str">
        <f t="shared" si="57"/>
        <v>A0849:京セラ(株)(参考値)事業者全体</v>
      </c>
      <c r="S1239" s="544">
        <f t="shared" si="59"/>
        <v>0</v>
      </c>
    </row>
    <row r="1240" spans="2:19">
      <c r="B1240" s="146"/>
      <c r="C1240" s="146"/>
      <c r="D1240" s="543" t="str">
        <f t="shared" si="58"/>
        <v/>
      </c>
      <c r="I1240" s="146" t="s">
        <v>1519</v>
      </c>
      <c r="J1240" s="146" t="s">
        <v>2029</v>
      </c>
      <c r="K1240" s="146"/>
      <c r="L1240" s="146">
        <v>4.28E-4</v>
      </c>
      <c r="M1240" s="544">
        <v>4.28E-4</v>
      </c>
      <c r="N1240" s="544">
        <v>4.28E-4</v>
      </c>
      <c r="O1240" s="544">
        <v>4.28E-4</v>
      </c>
      <c r="P1240" s="544">
        <v>4.28E-4</v>
      </c>
      <c r="R1240" s="543" t="str">
        <f t="shared" si="57"/>
        <v>A0851:(株)鳥取みらい電力</v>
      </c>
      <c r="S1240" s="544">
        <f t="shared" si="59"/>
        <v>4.28E-4</v>
      </c>
    </row>
    <row r="1241" spans="2:19">
      <c r="B1241" s="146"/>
      <c r="C1241" s="146"/>
      <c r="D1241" s="543" t="str">
        <f t="shared" si="58"/>
        <v/>
      </c>
      <c r="I1241" s="146" t="s">
        <v>1520</v>
      </c>
      <c r="J1241" s="146" t="s">
        <v>2030</v>
      </c>
      <c r="K1241" s="146"/>
      <c r="L1241" s="146">
        <v>2.31E-4</v>
      </c>
      <c r="M1241" s="544">
        <v>2.31E-4</v>
      </c>
      <c r="N1241" s="544">
        <v>2.31E-4</v>
      </c>
      <c r="O1241" s="544">
        <v>2.31E-4</v>
      </c>
      <c r="P1241" s="544">
        <v>2.31E-4</v>
      </c>
      <c r="R1241" s="543" t="str">
        <f t="shared" si="57"/>
        <v>A0852:鈴鹿グリーンエナジー(株)</v>
      </c>
      <c r="S1241" s="544">
        <f t="shared" si="59"/>
        <v>2.31E-4</v>
      </c>
    </row>
    <row r="1242" spans="2:19">
      <c r="B1242" s="146"/>
      <c r="C1242" s="146"/>
      <c r="D1242" s="543" t="str">
        <f t="shared" si="58"/>
        <v/>
      </c>
      <c r="I1242" s="146" t="s">
        <v>1521</v>
      </c>
      <c r="J1242" s="146" t="s">
        <v>2031</v>
      </c>
      <c r="K1242" s="146"/>
      <c r="L1242" s="146">
        <v>0</v>
      </c>
      <c r="M1242" s="544">
        <v>0</v>
      </c>
      <c r="N1242" s="544">
        <v>0</v>
      </c>
      <c r="O1242" s="544">
        <v>0</v>
      </c>
      <c r="P1242" s="544">
        <v>0</v>
      </c>
      <c r="R1242" s="543" t="str">
        <f t="shared" si="57"/>
        <v>A0853:一般社団法人東北自動車産業グリーンエネルギー普及協会</v>
      </c>
      <c r="S1242" s="544">
        <f t="shared" si="59"/>
        <v>0</v>
      </c>
    </row>
    <row r="1243" spans="2:19">
      <c r="B1243" s="146"/>
      <c r="C1243" s="146"/>
      <c r="D1243" s="543" t="str">
        <f t="shared" si="58"/>
        <v/>
      </c>
      <c r="I1243" s="146" t="s">
        <v>1522</v>
      </c>
      <c r="J1243" s="146" t="s">
        <v>2032</v>
      </c>
      <c r="K1243" s="146" t="s">
        <v>710</v>
      </c>
      <c r="L1243" s="146">
        <v>3.0400000000000002E-4</v>
      </c>
      <c r="M1243" s="544">
        <v>3.0400000000000002E-4</v>
      </c>
      <c r="N1243" s="544">
        <v>3.0400000000000002E-4</v>
      </c>
      <c r="O1243" s="544">
        <v>3.0400000000000002E-4</v>
      </c>
      <c r="P1243" s="544">
        <v>3.0400000000000002E-4</v>
      </c>
      <c r="R1243" s="543" t="str">
        <f t="shared" si="57"/>
        <v>A0854:刈谷知立みらい電力(株)メニューA</v>
      </c>
      <c r="S1243" s="544">
        <f t="shared" si="59"/>
        <v>3.0400000000000002E-4</v>
      </c>
    </row>
    <row r="1244" spans="2:19">
      <c r="B1244" s="146"/>
      <c r="C1244" s="146"/>
      <c r="D1244" s="543" t="str">
        <f t="shared" si="58"/>
        <v/>
      </c>
      <c r="I1244" s="146" t="s">
        <v>1522</v>
      </c>
      <c r="J1244" s="146" t="s">
        <v>2032</v>
      </c>
      <c r="K1244" s="146" t="s">
        <v>2058</v>
      </c>
      <c r="L1244" s="146">
        <v>3.0400000000000002E-4</v>
      </c>
      <c r="M1244" s="544">
        <v>3.0400000000000002E-4</v>
      </c>
      <c r="N1244" s="544">
        <v>3.0400000000000002E-4</v>
      </c>
      <c r="O1244" s="544">
        <v>3.0400000000000002E-4</v>
      </c>
      <c r="P1244" s="544">
        <v>3.0400000000000002E-4</v>
      </c>
      <c r="R1244" s="543" t="str">
        <f t="shared" si="57"/>
        <v>A0854:刈谷知立みらい電力(株)(参考値)事業者全体</v>
      </c>
      <c r="S1244" s="544">
        <f t="shared" si="59"/>
        <v>3.0400000000000002E-4</v>
      </c>
    </row>
    <row r="1245" spans="2:19">
      <c r="B1245" s="146"/>
      <c r="C1245" s="146"/>
      <c r="D1245" s="543" t="str">
        <f t="shared" si="58"/>
        <v/>
      </c>
      <c r="I1245" s="146" t="s">
        <v>1523</v>
      </c>
      <c r="J1245" s="146" t="s">
        <v>2033</v>
      </c>
      <c r="K1245" s="146" t="s">
        <v>710</v>
      </c>
      <c r="L1245" s="146">
        <v>2.9500000000000001E-4</v>
      </c>
      <c r="M1245" s="544">
        <v>2.9500000000000001E-4</v>
      </c>
      <c r="N1245" s="544">
        <v>2.9500000000000001E-4</v>
      </c>
      <c r="O1245" s="544">
        <v>2.9500000000000001E-4</v>
      </c>
      <c r="P1245" s="544">
        <v>2.9500000000000001E-4</v>
      </c>
      <c r="R1245" s="543" t="str">
        <f t="shared" si="57"/>
        <v>A0857:(株)パワーエックスメニューA</v>
      </c>
      <c r="S1245" s="544">
        <f t="shared" si="59"/>
        <v>2.9500000000000001E-4</v>
      </c>
    </row>
    <row r="1246" spans="2:19">
      <c r="B1246" s="146"/>
      <c r="C1246" s="146"/>
      <c r="D1246" s="543" t="str">
        <f t="shared" si="58"/>
        <v/>
      </c>
      <c r="I1246" s="146" t="s">
        <v>1523</v>
      </c>
      <c r="J1246" s="146" t="s">
        <v>2033</v>
      </c>
      <c r="K1246" s="146" t="s">
        <v>787</v>
      </c>
      <c r="L1246" s="146">
        <v>4.2999999999999999E-4</v>
      </c>
      <c r="M1246" s="544">
        <v>4.2999999999999999E-4</v>
      </c>
      <c r="N1246" s="544">
        <v>4.2999999999999999E-4</v>
      </c>
      <c r="O1246" s="544">
        <v>4.2999999999999999E-4</v>
      </c>
      <c r="P1246" s="544">
        <v>4.2999999999999999E-4</v>
      </c>
      <c r="R1246" s="543" t="str">
        <f t="shared" si="57"/>
        <v>A0857:(株)パワーエックスメニューB</v>
      </c>
      <c r="S1246" s="544">
        <f t="shared" si="59"/>
        <v>4.2999999999999999E-4</v>
      </c>
    </row>
    <row r="1247" spans="2:19">
      <c r="B1247" s="146"/>
      <c r="C1247" s="146"/>
      <c r="D1247" s="543" t="str">
        <f t="shared" si="58"/>
        <v/>
      </c>
      <c r="I1247" s="146" t="s">
        <v>1523</v>
      </c>
      <c r="J1247" s="146" t="s">
        <v>2033</v>
      </c>
      <c r="K1247" s="146" t="s">
        <v>788</v>
      </c>
      <c r="L1247" s="146">
        <v>4.2200000000000001E-4</v>
      </c>
      <c r="M1247" s="544">
        <v>4.2200000000000001E-4</v>
      </c>
      <c r="N1247" s="544">
        <v>4.2200000000000001E-4</v>
      </c>
      <c r="O1247" s="544">
        <v>4.2200000000000001E-4</v>
      </c>
      <c r="P1247" s="544">
        <v>4.2200000000000001E-4</v>
      </c>
      <c r="R1247" s="543" t="str">
        <f t="shared" si="57"/>
        <v>A0857:(株)パワーエックスメニューC</v>
      </c>
      <c r="S1247" s="544">
        <f t="shared" si="59"/>
        <v>4.2200000000000001E-4</v>
      </c>
    </row>
    <row r="1248" spans="2:19">
      <c r="B1248" s="146"/>
      <c r="C1248" s="146"/>
      <c r="D1248" s="543" t="str">
        <f t="shared" si="58"/>
        <v/>
      </c>
      <c r="I1248" s="146" t="s">
        <v>1523</v>
      </c>
      <c r="J1248" s="146" t="s">
        <v>2033</v>
      </c>
      <c r="K1248" s="146" t="s">
        <v>2058</v>
      </c>
      <c r="L1248" s="146">
        <v>1.023E-3</v>
      </c>
      <c r="M1248" s="544">
        <v>1.023E-3</v>
      </c>
      <c r="N1248" s="544">
        <v>1.023E-3</v>
      </c>
      <c r="O1248" s="544">
        <v>1.023E-3</v>
      </c>
      <c r="P1248" s="544">
        <v>1.023E-3</v>
      </c>
      <c r="R1248" s="543" t="str">
        <f t="shared" si="57"/>
        <v>A0857:(株)パワーエックス(参考値)事業者全体</v>
      </c>
      <c r="S1248" s="544">
        <f t="shared" si="59"/>
        <v>1.023E-3</v>
      </c>
    </row>
    <row r="1249" spans="2:19">
      <c r="B1249" s="146"/>
      <c r="C1249" s="146"/>
      <c r="D1249" s="543" t="str">
        <f t="shared" si="58"/>
        <v/>
      </c>
      <c r="I1249" s="146" t="s">
        <v>1524</v>
      </c>
      <c r="J1249" s="146" t="s">
        <v>2034</v>
      </c>
      <c r="K1249" s="146" t="s">
        <v>710</v>
      </c>
      <c r="L1249" s="146">
        <v>0</v>
      </c>
      <c r="M1249" s="544">
        <v>0</v>
      </c>
      <c r="N1249" s="544">
        <v>0</v>
      </c>
      <c r="O1249" s="544">
        <v>0</v>
      </c>
      <c r="P1249" s="544">
        <v>0</v>
      </c>
      <c r="R1249" s="543" t="str">
        <f t="shared" si="57"/>
        <v>A0859:いちのみや未来エネルギー(株)メニューA</v>
      </c>
      <c r="S1249" s="544">
        <f t="shared" si="59"/>
        <v>0</v>
      </c>
    </row>
    <row r="1250" spans="2:19">
      <c r="B1250" s="146"/>
      <c r="C1250" s="146"/>
      <c r="D1250" s="543" t="str">
        <f t="shared" si="58"/>
        <v/>
      </c>
      <c r="I1250" s="146" t="s">
        <v>1524</v>
      </c>
      <c r="J1250" s="146" t="s">
        <v>2034</v>
      </c>
      <c r="K1250" s="146" t="s">
        <v>2058</v>
      </c>
      <c r="L1250" s="146">
        <v>0</v>
      </c>
      <c r="M1250" s="544">
        <v>0</v>
      </c>
      <c r="N1250" s="544">
        <v>0</v>
      </c>
      <c r="O1250" s="544">
        <v>0</v>
      </c>
      <c r="P1250" s="544">
        <v>0</v>
      </c>
      <c r="R1250" s="543" t="str">
        <f t="shared" si="57"/>
        <v>A0859:いちのみや未来エネルギー(株)(参考値)事業者全体</v>
      </c>
      <c r="S1250" s="544">
        <f t="shared" si="59"/>
        <v>0</v>
      </c>
    </row>
    <row r="1251" spans="2:19">
      <c r="B1251" s="146"/>
      <c r="C1251" s="146"/>
      <c r="D1251" s="543" t="str">
        <f t="shared" si="58"/>
        <v/>
      </c>
      <c r="I1251" s="146" t="s">
        <v>1525</v>
      </c>
      <c r="J1251" s="146" t="s">
        <v>2035</v>
      </c>
      <c r="K1251" s="146"/>
      <c r="L1251" s="146">
        <v>6.2500000000000001E-4</v>
      </c>
      <c r="M1251" s="544">
        <v>6.2500000000000001E-4</v>
      </c>
      <c r="N1251" s="544">
        <v>6.2500000000000001E-4</v>
      </c>
      <c r="O1251" s="544">
        <v>6.2500000000000001E-4</v>
      </c>
      <c r="P1251" s="544">
        <v>6.2500000000000001E-4</v>
      </c>
      <c r="R1251" s="543" t="str">
        <f t="shared" si="57"/>
        <v>A0860:岡谷酸素(株)</v>
      </c>
      <c r="S1251" s="544">
        <f t="shared" si="59"/>
        <v>6.2500000000000001E-4</v>
      </c>
    </row>
    <row r="1252" spans="2:19">
      <c r="B1252" s="146"/>
      <c r="C1252" s="146"/>
      <c r="D1252" s="543" t="str">
        <f t="shared" si="58"/>
        <v/>
      </c>
      <c r="I1252" s="146" t="s">
        <v>1526</v>
      </c>
      <c r="J1252" s="146" t="s">
        <v>2036</v>
      </c>
      <c r="K1252" s="146"/>
      <c r="L1252" s="146">
        <v>6.1600000000000001E-4</v>
      </c>
      <c r="M1252" s="544">
        <v>6.1600000000000001E-4</v>
      </c>
      <c r="N1252" s="544">
        <v>6.1600000000000001E-4</v>
      </c>
      <c r="O1252" s="544">
        <v>6.1600000000000001E-4</v>
      </c>
      <c r="P1252" s="544">
        <v>6.1600000000000001E-4</v>
      </c>
      <c r="R1252" s="543" t="str">
        <f t="shared" si="57"/>
        <v>A0863:(株)絆</v>
      </c>
      <c r="S1252" s="544">
        <f t="shared" si="59"/>
        <v>6.1600000000000001E-4</v>
      </c>
    </row>
    <row r="1253" spans="2:19">
      <c r="B1253" s="146"/>
      <c r="C1253" s="146"/>
      <c r="D1253" s="543" t="str">
        <f t="shared" si="58"/>
        <v/>
      </c>
      <c r="I1253" s="146" t="s">
        <v>1527</v>
      </c>
      <c r="J1253" s="146" t="s">
        <v>2037</v>
      </c>
      <c r="K1253" s="146" t="s">
        <v>710</v>
      </c>
      <c r="L1253" s="146">
        <v>1.2899999999999999E-4</v>
      </c>
      <c r="M1253" s="544">
        <v>1.2899999999999999E-4</v>
      </c>
      <c r="N1253" s="544">
        <v>1.2899999999999999E-4</v>
      </c>
      <c r="O1253" s="544">
        <v>1.2899999999999999E-4</v>
      </c>
      <c r="P1253" s="544">
        <v>1.2899999999999999E-4</v>
      </c>
      <c r="R1253" s="543" t="str">
        <f t="shared" si="57"/>
        <v>A0865:東北エネルギーサービス(株)メニューA</v>
      </c>
      <c r="S1253" s="544">
        <f t="shared" si="59"/>
        <v>1.2899999999999999E-4</v>
      </c>
    </row>
    <row r="1254" spans="2:19">
      <c r="B1254" s="146"/>
      <c r="C1254" s="146"/>
      <c r="D1254" s="543" t="str">
        <f t="shared" si="58"/>
        <v/>
      </c>
      <c r="I1254" s="146" t="s">
        <v>1527</v>
      </c>
      <c r="J1254" s="146" t="s">
        <v>2037</v>
      </c>
      <c r="K1254" s="146" t="s">
        <v>787</v>
      </c>
      <c r="L1254" s="146">
        <v>1.4799999999999999E-4</v>
      </c>
      <c r="M1254" s="544">
        <v>1.4799999999999999E-4</v>
      </c>
      <c r="N1254" s="544">
        <v>1.4799999999999999E-4</v>
      </c>
      <c r="O1254" s="544">
        <v>1.4799999999999999E-4</v>
      </c>
      <c r="P1254" s="544">
        <v>1.4799999999999999E-4</v>
      </c>
      <c r="R1254" s="543" t="str">
        <f t="shared" si="57"/>
        <v>A0865:東北エネルギーサービス(株)メニューB</v>
      </c>
      <c r="S1254" s="544">
        <f t="shared" si="59"/>
        <v>1.4799999999999999E-4</v>
      </c>
    </row>
    <row r="1255" spans="2:19">
      <c r="B1255" s="146"/>
      <c r="C1255" s="146"/>
      <c r="D1255" s="543" t="str">
        <f t="shared" si="58"/>
        <v/>
      </c>
      <c r="I1255" s="146" t="s">
        <v>1527</v>
      </c>
      <c r="J1255" s="146" t="s">
        <v>2037</v>
      </c>
      <c r="K1255" s="146" t="s">
        <v>788</v>
      </c>
      <c r="L1255" s="146">
        <v>9.7999999999999997E-5</v>
      </c>
      <c r="M1255" s="544">
        <v>9.7999999999999997E-5</v>
      </c>
      <c r="N1255" s="544">
        <v>9.7999999999999997E-5</v>
      </c>
      <c r="O1255" s="544">
        <v>9.7999999999999997E-5</v>
      </c>
      <c r="P1255" s="544">
        <v>9.7999999999999997E-5</v>
      </c>
      <c r="R1255" s="543" t="str">
        <f t="shared" si="57"/>
        <v>A0865:東北エネルギーサービス(株)メニューC</v>
      </c>
      <c r="S1255" s="544">
        <f t="shared" si="59"/>
        <v>9.7999999999999997E-5</v>
      </c>
    </row>
    <row r="1256" spans="2:19">
      <c r="B1256" s="146"/>
      <c r="C1256" s="146"/>
      <c r="D1256" s="543" t="str">
        <f t="shared" si="58"/>
        <v/>
      </c>
      <c r="I1256" s="146" t="s">
        <v>1527</v>
      </c>
      <c r="J1256" s="146" t="s">
        <v>2037</v>
      </c>
      <c r="K1256" s="146" t="s">
        <v>2058</v>
      </c>
      <c r="L1256" s="146">
        <v>1.2300000000000001E-4</v>
      </c>
      <c r="M1256" s="544">
        <v>1.2300000000000001E-4</v>
      </c>
      <c r="N1256" s="544">
        <v>1.2300000000000001E-4</v>
      </c>
      <c r="O1256" s="544">
        <v>1.2300000000000001E-4</v>
      </c>
      <c r="P1256" s="544">
        <v>1.2300000000000001E-4</v>
      </c>
      <c r="R1256" s="543" t="str">
        <f t="shared" si="57"/>
        <v>A0865:東北エネルギーサービス(株)(参考値)事業者全体</v>
      </c>
      <c r="S1256" s="544">
        <f t="shared" si="59"/>
        <v>1.2300000000000001E-4</v>
      </c>
    </row>
    <row r="1257" spans="2:19">
      <c r="B1257" s="146"/>
      <c r="C1257" s="146"/>
      <c r="D1257" s="543" t="str">
        <f t="shared" si="58"/>
        <v/>
      </c>
      <c r="I1257" s="146" t="s">
        <v>1528</v>
      </c>
      <c r="J1257" s="146" t="s">
        <v>2038</v>
      </c>
      <c r="K1257" s="146"/>
      <c r="L1257" s="146">
        <v>2.41E-4</v>
      </c>
      <c r="M1257" s="544">
        <v>2.41E-4</v>
      </c>
      <c r="N1257" s="544">
        <v>2.41E-4</v>
      </c>
      <c r="O1257" s="544">
        <v>2.41E-4</v>
      </c>
      <c r="P1257" s="544">
        <v>2.41E-4</v>
      </c>
      <c r="R1257" s="543" t="str">
        <f t="shared" si="57"/>
        <v>A0866:(株)いなしきエナジー</v>
      </c>
      <c r="S1257" s="544">
        <f t="shared" si="59"/>
        <v>2.41E-4</v>
      </c>
    </row>
    <row r="1258" spans="2:19">
      <c r="B1258" s="146"/>
      <c r="C1258" s="146"/>
      <c r="D1258" s="543" t="str">
        <f t="shared" si="58"/>
        <v/>
      </c>
      <c r="I1258" s="146" t="s">
        <v>1529</v>
      </c>
      <c r="J1258" s="146" t="s">
        <v>2039</v>
      </c>
      <c r="K1258" s="146"/>
      <c r="L1258" s="146">
        <v>9.3999999999999994E-5</v>
      </c>
      <c r="M1258" s="544">
        <v>9.3999999999999994E-5</v>
      </c>
      <c r="N1258" s="544">
        <v>9.3999999999999994E-5</v>
      </c>
      <c r="O1258" s="544">
        <v>9.3999999999999994E-5</v>
      </c>
      <c r="P1258" s="544">
        <v>9.3999999999999994E-5</v>
      </c>
      <c r="R1258" s="543" t="str">
        <f t="shared" si="57"/>
        <v>A0867:ながのスマートパワー(株)</v>
      </c>
      <c r="S1258" s="544">
        <f t="shared" si="59"/>
        <v>9.3999999999999994E-5</v>
      </c>
    </row>
    <row r="1259" spans="2:19">
      <c r="B1259" s="146"/>
      <c r="C1259" s="146"/>
      <c r="D1259" s="543" t="str">
        <f t="shared" si="58"/>
        <v/>
      </c>
      <c r="I1259" s="146" t="s">
        <v>1530</v>
      </c>
      <c r="J1259" s="146" t="s">
        <v>2040</v>
      </c>
      <c r="K1259" s="146"/>
      <c r="L1259" s="146">
        <v>5.1099999999999995E-4</v>
      </c>
      <c r="M1259" s="544">
        <v>5.1099999999999995E-4</v>
      </c>
      <c r="N1259" s="544">
        <v>5.1099999999999995E-4</v>
      </c>
      <c r="O1259" s="544">
        <v>5.1099999999999995E-4</v>
      </c>
      <c r="P1259" s="544">
        <v>5.1099999999999995E-4</v>
      </c>
      <c r="R1259" s="543" t="str">
        <f t="shared" si="57"/>
        <v>A0868:(株)ホクレン油機サービス</v>
      </c>
      <c r="S1259" s="544">
        <f t="shared" si="59"/>
        <v>5.1099999999999995E-4</v>
      </c>
    </row>
    <row r="1260" spans="2:19">
      <c r="B1260" s="146"/>
      <c r="C1260" s="146"/>
      <c r="D1260" s="543" t="str">
        <f t="shared" si="58"/>
        <v/>
      </c>
      <c r="I1260" s="146" t="s">
        <v>1531</v>
      </c>
      <c r="J1260" s="146" t="s">
        <v>2041</v>
      </c>
      <c r="K1260" s="146" t="s">
        <v>710</v>
      </c>
      <c r="L1260" s="146">
        <v>0</v>
      </c>
      <c r="M1260" s="544">
        <v>0</v>
      </c>
      <c r="N1260" s="544">
        <v>0</v>
      </c>
      <c r="O1260" s="544">
        <v>0</v>
      </c>
      <c r="P1260" s="544">
        <v>0</v>
      </c>
      <c r="R1260" s="543" t="str">
        <f t="shared" si="57"/>
        <v>A0869:(株)JR東日本商事メニューA</v>
      </c>
      <c r="S1260" s="544">
        <f t="shared" si="59"/>
        <v>0</v>
      </c>
    </row>
    <row r="1261" spans="2:19">
      <c r="B1261" s="146"/>
      <c r="C1261" s="146"/>
      <c r="D1261" s="543" t="str">
        <f t="shared" si="58"/>
        <v/>
      </c>
      <c r="I1261" s="146" t="s">
        <v>1531</v>
      </c>
      <c r="J1261" s="146" t="s">
        <v>2041</v>
      </c>
      <c r="K1261" s="146" t="s">
        <v>787</v>
      </c>
      <c r="L1261" s="146">
        <v>5.8799999999999998E-4</v>
      </c>
      <c r="M1261" s="544">
        <v>5.8799999999999998E-4</v>
      </c>
      <c r="N1261" s="544">
        <v>5.8799999999999998E-4</v>
      </c>
      <c r="O1261" s="544">
        <v>5.8799999999999998E-4</v>
      </c>
      <c r="P1261" s="544">
        <v>5.8799999999999998E-4</v>
      </c>
      <c r="R1261" s="543" t="str">
        <f t="shared" si="57"/>
        <v>A0869:(株)JR東日本商事メニューB</v>
      </c>
      <c r="S1261" s="544">
        <f t="shared" si="59"/>
        <v>5.8799999999999998E-4</v>
      </c>
    </row>
    <row r="1262" spans="2:19">
      <c r="B1262" s="146"/>
      <c r="C1262" s="146"/>
      <c r="D1262" s="543" t="str">
        <f t="shared" si="58"/>
        <v/>
      </c>
      <c r="I1262" s="146" t="s">
        <v>1531</v>
      </c>
      <c r="J1262" s="146" t="s">
        <v>2041</v>
      </c>
      <c r="K1262" s="146" t="s">
        <v>2058</v>
      </c>
      <c r="L1262" s="146">
        <v>3.1E-4</v>
      </c>
      <c r="M1262" s="544">
        <v>3.1E-4</v>
      </c>
      <c r="N1262" s="544">
        <v>3.1E-4</v>
      </c>
      <c r="O1262" s="544">
        <v>3.1E-4</v>
      </c>
      <c r="P1262" s="544">
        <v>3.1E-4</v>
      </c>
      <c r="R1262" s="543" t="str">
        <f t="shared" si="57"/>
        <v>A0869:(株)JR東日本商事(参考値)事業者全体</v>
      </c>
      <c r="S1262" s="544">
        <f t="shared" si="59"/>
        <v>3.1E-4</v>
      </c>
    </row>
    <row r="1263" spans="2:19">
      <c r="B1263" s="146"/>
      <c r="C1263" s="146"/>
      <c r="D1263" s="543" t="str">
        <f t="shared" si="58"/>
        <v/>
      </c>
      <c r="I1263" s="146" t="s">
        <v>1532</v>
      </c>
      <c r="J1263" s="146" t="s">
        <v>2042</v>
      </c>
      <c r="K1263" s="146"/>
      <c r="L1263" s="146">
        <v>3.0600000000000001E-4</v>
      </c>
      <c r="M1263" s="544">
        <v>3.0600000000000001E-4</v>
      </c>
      <c r="N1263" s="544">
        <v>3.0600000000000001E-4</v>
      </c>
      <c r="O1263" s="544">
        <v>3.0600000000000001E-4</v>
      </c>
      <c r="P1263" s="544">
        <v>3.0600000000000001E-4</v>
      </c>
      <c r="R1263" s="543" t="str">
        <f t="shared" si="57"/>
        <v>A0870:岡山ガス(株)</v>
      </c>
      <c r="S1263" s="544">
        <f t="shared" si="59"/>
        <v>3.0600000000000001E-4</v>
      </c>
    </row>
    <row r="1264" spans="2:19">
      <c r="B1264" s="146"/>
      <c r="C1264" s="146"/>
      <c r="D1264" s="543" t="str">
        <f t="shared" si="58"/>
        <v/>
      </c>
      <c r="I1264" s="146" t="s">
        <v>1533</v>
      </c>
      <c r="J1264" s="146" t="s">
        <v>2043</v>
      </c>
      <c r="K1264" s="146"/>
      <c r="L1264" s="146">
        <v>4.66E-4</v>
      </c>
      <c r="M1264" s="544">
        <v>4.66E-4</v>
      </c>
      <c r="N1264" s="544">
        <v>4.66E-4</v>
      </c>
      <c r="O1264" s="544">
        <v>4.66E-4</v>
      </c>
      <c r="P1264" s="544">
        <v>4.66E-4</v>
      </c>
      <c r="R1264" s="543" t="str">
        <f t="shared" si="57"/>
        <v>A0871:合同会社グリーンパワーリテイリング</v>
      </c>
      <c r="S1264" s="544">
        <f t="shared" si="59"/>
        <v>4.66E-4</v>
      </c>
    </row>
    <row r="1265" spans="2:19">
      <c r="B1265" s="146"/>
      <c r="C1265" s="146"/>
      <c r="D1265" s="543" t="str">
        <f t="shared" si="58"/>
        <v/>
      </c>
      <c r="I1265" s="146" t="s">
        <v>1534</v>
      </c>
      <c r="J1265" s="146" t="s">
        <v>2044</v>
      </c>
      <c r="K1265" s="146" t="s">
        <v>710</v>
      </c>
      <c r="L1265" s="146">
        <v>2.5000000000000001E-4</v>
      </c>
      <c r="M1265" s="544">
        <v>2.5000000000000001E-4</v>
      </c>
      <c r="N1265" s="544">
        <v>2.5000000000000001E-4</v>
      </c>
      <c r="O1265" s="544">
        <v>2.5000000000000001E-4</v>
      </c>
      <c r="P1265" s="544">
        <v>2.5000000000000001E-4</v>
      </c>
      <c r="R1265" s="543" t="str">
        <f t="shared" si="57"/>
        <v>A0873:川崎未来エナジー(株)メニューA</v>
      </c>
      <c r="S1265" s="544">
        <f t="shared" si="59"/>
        <v>2.5000000000000001E-4</v>
      </c>
    </row>
    <row r="1266" spans="2:19">
      <c r="B1266" s="146"/>
      <c r="C1266" s="146"/>
      <c r="D1266" s="543" t="str">
        <f t="shared" si="58"/>
        <v/>
      </c>
      <c r="I1266" s="146" t="s">
        <v>1534</v>
      </c>
      <c r="J1266" s="146" t="s">
        <v>2044</v>
      </c>
      <c r="K1266" s="146" t="s">
        <v>2058</v>
      </c>
      <c r="L1266" s="146">
        <v>0</v>
      </c>
      <c r="M1266" s="544">
        <v>0</v>
      </c>
      <c r="N1266" s="544">
        <v>0</v>
      </c>
      <c r="O1266" s="544">
        <v>0</v>
      </c>
      <c r="P1266" s="544">
        <v>0</v>
      </c>
      <c r="R1266" s="543" t="str">
        <f t="shared" si="57"/>
        <v>A0873:川崎未来エナジー(株)(参考値)事業者全体</v>
      </c>
      <c r="S1266" s="544">
        <f t="shared" si="59"/>
        <v>0</v>
      </c>
    </row>
    <row r="1267" spans="2:19">
      <c r="B1267" s="146"/>
      <c r="C1267" s="146"/>
      <c r="D1267" s="543" t="str">
        <f t="shared" si="58"/>
        <v/>
      </c>
      <c r="I1267" s="146" t="s">
        <v>1535</v>
      </c>
      <c r="J1267" s="146" t="s">
        <v>2045</v>
      </c>
      <c r="K1267" s="146"/>
      <c r="L1267" s="146">
        <v>4.7100000000000006E-4</v>
      </c>
      <c r="M1267" s="544">
        <v>4.7100000000000006E-4</v>
      </c>
      <c r="N1267" s="544">
        <v>4.7100000000000006E-4</v>
      </c>
      <c r="O1267" s="544">
        <v>4.7100000000000006E-4</v>
      </c>
      <c r="P1267" s="544">
        <v>4.7100000000000006E-4</v>
      </c>
      <c r="R1267" s="543" t="str">
        <f t="shared" si="57"/>
        <v>A0874:(株)いずみみらい</v>
      </c>
      <c r="S1267" s="544">
        <f t="shared" si="59"/>
        <v>4.7100000000000006E-4</v>
      </c>
    </row>
    <row r="1268" spans="2:19">
      <c r="B1268" s="146"/>
      <c r="C1268" s="146"/>
      <c r="D1268" s="543" t="str">
        <f t="shared" si="58"/>
        <v/>
      </c>
      <c r="I1268" s="146" t="s">
        <v>1536</v>
      </c>
      <c r="J1268" s="146" t="s">
        <v>2046</v>
      </c>
      <c r="K1268" s="146" t="s">
        <v>710</v>
      </c>
      <c r="L1268" s="146">
        <v>4.2700000000000002E-4</v>
      </c>
      <c r="M1268" s="544">
        <v>4.2700000000000002E-4</v>
      </c>
      <c r="N1268" s="544">
        <v>4.2700000000000002E-4</v>
      </c>
      <c r="O1268" s="544">
        <v>4.2700000000000002E-4</v>
      </c>
      <c r="P1268" s="544">
        <v>4.2700000000000002E-4</v>
      </c>
      <c r="R1268" s="543" t="str">
        <f t="shared" si="57"/>
        <v>A0877:(株)アット東京メニューA</v>
      </c>
      <c r="S1268" s="544">
        <f t="shared" si="59"/>
        <v>4.2700000000000002E-4</v>
      </c>
    </row>
    <row r="1269" spans="2:19">
      <c r="B1269" s="146"/>
      <c r="C1269" s="146"/>
      <c r="D1269" s="543" t="str">
        <f t="shared" si="58"/>
        <v/>
      </c>
      <c r="I1269" s="146" t="s">
        <v>1536</v>
      </c>
      <c r="J1269" s="146" t="s">
        <v>2046</v>
      </c>
      <c r="K1269" s="146" t="s">
        <v>787</v>
      </c>
      <c r="L1269" s="146">
        <v>4.4499999999999997E-4</v>
      </c>
      <c r="M1269" s="544">
        <v>4.4499999999999997E-4</v>
      </c>
      <c r="N1269" s="544">
        <v>4.4499999999999997E-4</v>
      </c>
      <c r="O1269" s="544">
        <v>4.4499999999999997E-4</v>
      </c>
      <c r="P1269" s="544">
        <v>4.4499999999999997E-4</v>
      </c>
      <c r="R1269" s="543" t="str">
        <f t="shared" si="57"/>
        <v>A0877:(株)アット東京メニューB</v>
      </c>
      <c r="S1269" s="544">
        <f t="shared" si="59"/>
        <v>4.4499999999999997E-4</v>
      </c>
    </row>
    <row r="1270" spans="2:19">
      <c r="B1270" s="146"/>
      <c r="C1270" s="146"/>
      <c r="D1270" s="543" t="str">
        <f t="shared" si="58"/>
        <v/>
      </c>
      <c r="I1270" s="146" t="s">
        <v>1536</v>
      </c>
      <c r="J1270" s="146" t="s">
        <v>2046</v>
      </c>
      <c r="K1270" s="146" t="s">
        <v>2058</v>
      </c>
      <c r="L1270" s="146">
        <v>4.3100000000000001E-4</v>
      </c>
      <c r="M1270" s="544">
        <v>4.3100000000000001E-4</v>
      </c>
      <c r="N1270" s="544">
        <v>4.3100000000000001E-4</v>
      </c>
      <c r="O1270" s="544">
        <v>4.3100000000000001E-4</v>
      </c>
      <c r="P1270" s="544">
        <v>4.3100000000000001E-4</v>
      </c>
      <c r="R1270" s="543" t="str">
        <f t="shared" si="57"/>
        <v>A0877:(株)アット東京(参考値)事業者全体</v>
      </c>
      <c r="S1270" s="544">
        <f t="shared" si="59"/>
        <v>4.3100000000000001E-4</v>
      </c>
    </row>
    <row r="1271" spans="2:19">
      <c r="B1271" s="146"/>
      <c r="C1271" s="146"/>
      <c r="D1271" s="543" t="str">
        <f t="shared" si="58"/>
        <v/>
      </c>
      <c r="I1271" s="146" t="s">
        <v>1537</v>
      </c>
      <c r="J1271" s="146" t="s">
        <v>2047</v>
      </c>
      <c r="K1271" s="146"/>
      <c r="L1271" s="146">
        <v>4.1899999999999999E-4</v>
      </c>
      <c r="M1271" s="544">
        <v>4.1899999999999999E-4</v>
      </c>
      <c r="N1271" s="544">
        <v>4.1899999999999999E-4</v>
      </c>
      <c r="O1271" s="544">
        <v>4.1899999999999999E-4</v>
      </c>
      <c r="P1271" s="544">
        <v>4.1899999999999999E-4</v>
      </c>
      <c r="R1271" s="543" t="str">
        <f t="shared" si="57"/>
        <v>A0880:(株)つるエネルギー</v>
      </c>
      <c r="S1271" s="544">
        <f t="shared" si="59"/>
        <v>4.1899999999999999E-4</v>
      </c>
    </row>
    <row r="1272" spans="2:19">
      <c r="B1272" s="146"/>
      <c r="C1272" s="146"/>
      <c r="D1272" s="543" t="str">
        <f t="shared" si="58"/>
        <v/>
      </c>
      <c r="I1272" s="146" t="s">
        <v>1538</v>
      </c>
      <c r="J1272" s="146" t="s">
        <v>2048</v>
      </c>
      <c r="K1272" s="146"/>
      <c r="L1272" s="146">
        <v>4.4700000000000002E-4</v>
      </c>
      <c r="M1272" s="544">
        <v>4.4700000000000002E-4</v>
      </c>
      <c r="N1272" s="544">
        <v>4.4700000000000002E-4</v>
      </c>
      <c r="O1272" s="544">
        <v>4.4700000000000002E-4</v>
      </c>
      <c r="P1272" s="544">
        <v>4.4700000000000002E-4</v>
      </c>
      <c r="R1272" s="543" t="str">
        <f t="shared" si="57"/>
        <v>A0881:川重商事(株)</v>
      </c>
      <c r="S1272" s="544">
        <f t="shared" si="59"/>
        <v>4.4700000000000002E-4</v>
      </c>
    </row>
    <row r="1273" spans="2:19">
      <c r="B1273" s="146"/>
      <c r="C1273" s="146"/>
      <c r="D1273" s="543" t="str">
        <f t="shared" si="58"/>
        <v/>
      </c>
      <c r="I1273" s="146" t="s">
        <v>1539</v>
      </c>
      <c r="J1273" s="146" t="s">
        <v>2049</v>
      </c>
      <c r="K1273" s="146" t="s">
        <v>710</v>
      </c>
      <c r="L1273" s="146">
        <v>0</v>
      </c>
      <c r="M1273" s="544">
        <v>0</v>
      </c>
      <c r="N1273" s="544">
        <v>0</v>
      </c>
      <c r="O1273" s="544">
        <v>0</v>
      </c>
      <c r="P1273" s="544">
        <v>0</v>
      </c>
      <c r="R1273" s="543" t="str">
        <f t="shared" si="57"/>
        <v>A0882:(株)JERA CrossメニューA</v>
      </c>
      <c r="S1273" s="544">
        <f t="shared" si="59"/>
        <v>0</v>
      </c>
    </row>
    <row r="1274" spans="2:19">
      <c r="B1274" s="146"/>
      <c r="C1274" s="146"/>
      <c r="D1274" s="543" t="str">
        <f t="shared" si="58"/>
        <v/>
      </c>
      <c r="I1274" s="146" t="s">
        <v>1539</v>
      </c>
      <c r="J1274" s="146" t="s">
        <v>2049</v>
      </c>
      <c r="K1274" s="146" t="s">
        <v>787</v>
      </c>
      <c r="L1274" s="146">
        <v>0</v>
      </c>
      <c r="M1274" s="544">
        <v>0</v>
      </c>
      <c r="N1274" s="544">
        <v>0</v>
      </c>
      <c r="O1274" s="544">
        <v>0</v>
      </c>
      <c r="P1274" s="544">
        <v>0</v>
      </c>
      <c r="R1274" s="543" t="str">
        <f t="shared" si="57"/>
        <v>A0882:(株)JERA CrossメニューB</v>
      </c>
      <c r="S1274" s="544">
        <f t="shared" si="59"/>
        <v>0</v>
      </c>
    </row>
    <row r="1275" spans="2:19">
      <c r="B1275" s="146"/>
      <c r="C1275" s="146"/>
      <c r="D1275" s="543" t="str">
        <f t="shared" si="58"/>
        <v/>
      </c>
      <c r="I1275" s="146" t="s">
        <v>1539</v>
      </c>
      <c r="J1275" s="146" t="s">
        <v>2049</v>
      </c>
      <c r="K1275" s="146" t="s">
        <v>788</v>
      </c>
      <c r="L1275" s="146">
        <v>3.77E-4</v>
      </c>
      <c r="M1275" s="544">
        <v>3.77E-4</v>
      </c>
      <c r="N1275" s="544">
        <v>3.77E-4</v>
      </c>
      <c r="O1275" s="544">
        <v>3.77E-4</v>
      </c>
      <c r="P1275" s="544">
        <v>3.77E-4</v>
      </c>
      <c r="R1275" s="543" t="str">
        <f t="shared" si="57"/>
        <v>A0882:(株)JERA CrossメニューC</v>
      </c>
      <c r="S1275" s="544">
        <f t="shared" si="59"/>
        <v>3.77E-4</v>
      </c>
    </row>
    <row r="1276" spans="2:19">
      <c r="B1276" s="146"/>
      <c r="C1276" s="146"/>
      <c r="D1276" s="543" t="str">
        <f t="shared" si="58"/>
        <v/>
      </c>
      <c r="I1276" s="146" t="s">
        <v>1539</v>
      </c>
      <c r="J1276" s="146" t="s">
        <v>2049</v>
      </c>
      <c r="K1276" s="146" t="s">
        <v>2058</v>
      </c>
      <c r="L1276" s="146">
        <v>4.2200000000000001E-4</v>
      </c>
      <c r="M1276" s="544">
        <v>4.2200000000000001E-4</v>
      </c>
      <c r="N1276" s="544">
        <v>4.2200000000000001E-4</v>
      </c>
      <c r="O1276" s="544">
        <v>4.2200000000000001E-4</v>
      </c>
      <c r="P1276" s="544">
        <v>4.2200000000000001E-4</v>
      </c>
      <c r="R1276" s="543" t="str">
        <f t="shared" si="57"/>
        <v>A0882:(株)JERA Cross(参考値)事業者全体</v>
      </c>
      <c r="S1276" s="544">
        <f t="shared" si="59"/>
        <v>4.2200000000000001E-4</v>
      </c>
    </row>
    <row r="1277" spans="2:19">
      <c r="B1277" s="146"/>
      <c r="C1277" s="146"/>
      <c r="D1277" s="543" t="str">
        <f t="shared" si="58"/>
        <v/>
      </c>
      <c r="I1277" s="146" t="s">
        <v>1540</v>
      </c>
      <c r="J1277" s="146" t="s">
        <v>2050</v>
      </c>
      <c r="K1277" s="146" t="s">
        <v>710</v>
      </c>
      <c r="L1277" s="146">
        <v>0</v>
      </c>
      <c r="M1277" s="544">
        <v>0</v>
      </c>
      <c r="N1277" s="544">
        <v>0</v>
      </c>
      <c r="O1277" s="544">
        <v>0</v>
      </c>
      <c r="P1277" s="544">
        <v>0</v>
      </c>
      <c r="R1277" s="543" t="str">
        <f t="shared" si="57"/>
        <v>A0883:飛騨高山電力(株)メニューA</v>
      </c>
      <c r="S1277" s="544">
        <f t="shared" si="59"/>
        <v>0</v>
      </c>
    </row>
    <row r="1278" spans="2:19">
      <c r="B1278" s="146"/>
      <c r="C1278" s="146"/>
      <c r="D1278" s="543" t="str">
        <f t="shared" si="58"/>
        <v/>
      </c>
      <c r="I1278" s="146" t="s">
        <v>1540</v>
      </c>
      <c r="J1278" s="146" t="s">
        <v>2050</v>
      </c>
      <c r="K1278" s="146" t="s">
        <v>2058</v>
      </c>
      <c r="L1278" s="146">
        <v>6.3599999999999996E-4</v>
      </c>
      <c r="M1278" s="544">
        <v>6.3599999999999996E-4</v>
      </c>
      <c r="N1278" s="544">
        <v>6.3599999999999996E-4</v>
      </c>
      <c r="O1278" s="544">
        <v>6.3599999999999996E-4</v>
      </c>
      <c r="P1278" s="544">
        <v>6.3599999999999996E-4</v>
      </c>
      <c r="R1278" s="543" t="str">
        <f t="shared" si="57"/>
        <v>A0883:飛騨高山電力(株)(参考値)事業者全体</v>
      </c>
      <c r="S1278" s="544">
        <f t="shared" si="59"/>
        <v>6.3599999999999996E-4</v>
      </c>
    </row>
    <row r="1279" spans="2:19">
      <c r="B1279" s="146"/>
      <c r="C1279" s="146"/>
      <c r="D1279" s="543" t="str">
        <f t="shared" si="58"/>
        <v/>
      </c>
      <c r="I1279" s="146" t="s">
        <v>1541</v>
      </c>
      <c r="J1279" s="146" t="s">
        <v>2051</v>
      </c>
      <c r="K1279" s="146"/>
      <c r="L1279" s="146">
        <v>9.3899999999999995E-4</v>
      </c>
      <c r="M1279" s="544">
        <v>9.3899999999999995E-4</v>
      </c>
      <c r="N1279" s="544">
        <v>9.3899999999999995E-4</v>
      </c>
      <c r="O1279" s="544">
        <v>9.3899999999999995E-4</v>
      </c>
      <c r="P1279" s="544">
        <v>9.3899999999999995E-4</v>
      </c>
      <c r="R1279" s="543" t="str">
        <f t="shared" si="57"/>
        <v>A0886:(株)リボンエナジー</v>
      </c>
      <c r="S1279" s="544">
        <f t="shared" si="59"/>
        <v>9.3899999999999995E-4</v>
      </c>
    </row>
    <row r="1280" spans="2:19">
      <c r="B1280" s="146"/>
      <c r="C1280" s="146"/>
      <c r="D1280" s="543" t="str">
        <f t="shared" si="58"/>
        <v/>
      </c>
      <c r="I1280" s="146" t="s">
        <v>1542</v>
      </c>
      <c r="J1280" s="146" t="s">
        <v>2052</v>
      </c>
      <c r="K1280" s="146"/>
      <c r="L1280" s="146">
        <v>5.5099999999999995E-4</v>
      </c>
      <c r="M1280" s="544">
        <v>5.5099999999999995E-4</v>
      </c>
      <c r="N1280" s="544">
        <v>5.5099999999999995E-4</v>
      </c>
      <c r="O1280" s="544">
        <v>5.5099999999999995E-4</v>
      </c>
      <c r="P1280" s="544">
        <v>5.5099999999999995E-4</v>
      </c>
      <c r="R1280" s="543" t="str">
        <f t="shared" si="57"/>
        <v>A0888:(株)大崎クリエーション</v>
      </c>
      <c r="S1280" s="544">
        <f t="shared" si="59"/>
        <v>5.5099999999999995E-4</v>
      </c>
    </row>
    <row r="1281" spans="2:19">
      <c r="B1281" s="146"/>
      <c r="C1281" s="146"/>
      <c r="D1281" s="543" t="str">
        <f t="shared" si="58"/>
        <v/>
      </c>
      <c r="I1281" s="146" t="s">
        <v>1543</v>
      </c>
      <c r="J1281" s="146" t="s">
        <v>2053</v>
      </c>
      <c r="K1281" s="146" t="s">
        <v>710</v>
      </c>
      <c r="L1281" s="146">
        <v>0</v>
      </c>
      <c r="M1281" s="544">
        <v>0</v>
      </c>
      <c r="N1281" s="544">
        <v>0</v>
      </c>
      <c r="O1281" s="544">
        <v>0</v>
      </c>
      <c r="P1281" s="544">
        <v>0</v>
      </c>
      <c r="R1281" s="543" t="str">
        <f t="shared" si="57"/>
        <v>A0890:(株)UPXメニューA</v>
      </c>
      <c r="S1281" s="544">
        <f t="shared" si="59"/>
        <v>0</v>
      </c>
    </row>
    <row r="1282" spans="2:19">
      <c r="B1282" s="146"/>
      <c r="C1282" s="146"/>
      <c r="D1282" s="543" t="str">
        <f t="shared" si="58"/>
        <v/>
      </c>
      <c r="I1282" s="146" t="s">
        <v>1543</v>
      </c>
      <c r="J1282" s="146" t="s">
        <v>2053</v>
      </c>
      <c r="K1282" s="146" t="s">
        <v>787</v>
      </c>
      <c r="L1282" s="146">
        <v>3.9599999999999998E-4</v>
      </c>
      <c r="M1282" s="544">
        <v>3.9599999999999998E-4</v>
      </c>
      <c r="N1282" s="544">
        <v>3.9599999999999998E-4</v>
      </c>
      <c r="O1282" s="544">
        <v>3.9599999999999998E-4</v>
      </c>
      <c r="P1282" s="544">
        <v>3.9599999999999998E-4</v>
      </c>
      <c r="R1282" s="543" t="str">
        <f t="shared" si="57"/>
        <v>A0890:(株)UPXメニューB</v>
      </c>
      <c r="S1282" s="544">
        <f t="shared" si="59"/>
        <v>3.9599999999999998E-4</v>
      </c>
    </row>
    <row r="1283" spans="2:19">
      <c r="B1283" s="146"/>
      <c r="C1283" s="146"/>
      <c r="D1283" s="543" t="str">
        <f t="shared" si="58"/>
        <v/>
      </c>
      <c r="I1283" s="146" t="s">
        <v>1543</v>
      </c>
      <c r="J1283" s="146" t="s">
        <v>2053</v>
      </c>
      <c r="K1283" s="146" t="s">
        <v>788</v>
      </c>
      <c r="L1283" s="146">
        <v>4.8799999999999999E-4</v>
      </c>
      <c r="M1283" s="544">
        <v>4.8799999999999999E-4</v>
      </c>
      <c r="N1283" s="544">
        <v>4.8799999999999999E-4</v>
      </c>
      <c r="O1283" s="544">
        <v>4.8799999999999999E-4</v>
      </c>
      <c r="P1283" s="544">
        <v>4.8799999999999999E-4</v>
      </c>
      <c r="R1283" s="543" t="str">
        <f t="shared" si="57"/>
        <v>A0890:(株)UPXメニューC</v>
      </c>
      <c r="S1283" s="544">
        <f t="shared" si="59"/>
        <v>4.8799999999999999E-4</v>
      </c>
    </row>
    <row r="1284" spans="2:19">
      <c r="B1284" s="146"/>
      <c r="C1284" s="146"/>
      <c r="D1284" s="543" t="str">
        <f t="shared" si="58"/>
        <v/>
      </c>
      <c r="I1284" s="146" t="s">
        <v>1543</v>
      </c>
      <c r="J1284" s="146" t="s">
        <v>2053</v>
      </c>
      <c r="K1284" s="146" t="s">
        <v>2058</v>
      </c>
      <c r="L1284" s="146">
        <v>4.6500000000000003E-4</v>
      </c>
      <c r="M1284" s="544">
        <v>4.6500000000000003E-4</v>
      </c>
      <c r="N1284" s="544">
        <v>4.6500000000000003E-4</v>
      </c>
      <c r="O1284" s="544">
        <v>4.6500000000000003E-4</v>
      </c>
      <c r="P1284" s="544">
        <v>4.6500000000000003E-4</v>
      </c>
      <c r="R1284" s="543" t="str">
        <f t="shared" si="57"/>
        <v>A0890:(株)UPX(参考値)事業者全体</v>
      </c>
      <c r="S1284" s="544">
        <f t="shared" si="59"/>
        <v>4.6500000000000003E-4</v>
      </c>
    </row>
    <row r="1285" spans="2:19">
      <c r="B1285" s="146"/>
      <c r="C1285" s="146"/>
      <c r="D1285" s="543" t="str">
        <f t="shared" si="58"/>
        <v/>
      </c>
      <c r="I1285" s="146" t="s">
        <v>1544</v>
      </c>
      <c r="J1285" s="146" t="s">
        <v>2054</v>
      </c>
      <c r="K1285" s="146" t="s">
        <v>710</v>
      </c>
      <c r="L1285" s="146">
        <v>3.7599999999999998E-4</v>
      </c>
      <c r="M1285" s="544">
        <v>3.7599999999999998E-4</v>
      </c>
      <c r="N1285" s="544">
        <v>3.7599999999999998E-4</v>
      </c>
      <c r="O1285" s="544">
        <v>3.7599999999999998E-4</v>
      </c>
      <c r="P1285" s="544">
        <v>3.7599999999999998E-4</v>
      </c>
      <c r="R1285" s="543" t="str">
        <f t="shared" ref="R1285:R1348" si="60">I1285&amp;":"&amp;J1285&amp;K1285</f>
        <v>A0893:Miraiつのエナジー(株)メニューA</v>
      </c>
      <c r="S1285" s="544">
        <f t="shared" si="59"/>
        <v>3.7599999999999998E-4</v>
      </c>
    </row>
    <row r="1286" spans="2:19">
      <c r="B1286" s="146"/>
      <c r="C1286" s="146"/>
      <c r="D1286" s="543" t="str">
        <f t="shared" si="58"/>
        <v/>
      </c>
      <c r="I1286" s="146" t="s">
        <v>1544</v>
      </c>
      <c r="J1286" s="146" t="s">
        <v>2054</v>
      </c>
      <c r="K1286" s="146" t="s">
        <v>2058</v>
      </c>
      <c r="L1286" s="146">
        <v>3.7599999999999998E-4</v>
      </c>
      <c r="M1286" s="544">
        <v>3.7599999999999998E-4</v>
      </c>
      <c r="N1286" s="544">
        <v>3.7599999999999998E-4</v>
      </c>
      <c r="O1286" s="544">
        <v>3.7599999999999998E-4</v>
      </c>
      <c r="P1286" s="544">
        <v>3.7599999999999998E-4</v>
      </c>
      <c r="R1286" s="543" t="str">
        <f t="shared" si="60"/>
        <v>A0893:Miraiつのエナジー(株)(参考値)事業者全体</v>
      </c>
      <c r="S1286" s="544">
        <f t="shared" si="59"/>
        <v>3.7599999999999998E-4</v>
      </c>
    </row>
    <row r="1287" spans="2:19">
      <c r="B1287" s="146"/>
      <c r="C1287" s="146"/>
      <c r="D1287" s="543" t="str">
        <f t="shared" si="58"/>
        <v/>
      </c>
      <c r="I1287" s="146" t="s">
        <v>1545</v>
      </c>
      <c r="J1287" s="146" t="s">
        <v>2055</v>
      </c>
      <c r="K1287" s="146"/>
      <c r="L1287" s="146">
        <v>4.8700000000000007E-4</v>
      </c>
      <c r="M1287" s="544">
        <v>4.8700000000000007E-4</v>
      </c>
      <c r="N1287" s="544">
        <v>4.8700000000000007E-4</v>
      </c>
      <c r="O1287" s="544">
        <v>4.8700000000000007E-4</v>
      </c>
      <c r="P1287" s="544">
        <v>4.8700000000000007E-4</v>
      </c>
      <c r="R1287" s="543" t="str">
        <f t="shared" si="60"/>
        <v>A0903:山口グリーンエネルギー(株)</v>
      </c>
      <c r="S1287" s="544">
        <f t="shared" si="59"/>
        <v>4.8700000000000007E-4</v>
      </c>
    </row>
    <row r="1288" spans="2:19">
      <c r="B1288" s="146"/>
      <c r="C1288" s="146"/>
      <c r="D1288" s="543" t="str">
        <f t="shared" si="58"/>
        <v/>
      </c>
      <c r="I1288" s="146" t="s">
        <v>1546</v>
      </c>
      <c r="J1288" s="146" t="s">
        <v>2056</v>
      </c>
      <c r="K1288" s="146" t="s">
        <v>710</v>
      </c>
      <c r="L1288" s="146">
        <v>0</v>
      </c>
      <c r="M1288" s="544">
        <v>0</v>
      </c>
      <c r="N1288" s="544">
        <v>0</v>
      </c>
      <c r="O1288" s="544">
        <v>0</v>
      </c>
      <c r="P1288" s="544">
        <v>0</v>
      </c>
      <c r="R1288" s="543" t="str">
        <f t="shared" si="60"/>
        <v>A0905:(株)はちまんたいジオパワーメニューA</v>
      </c>
      <c r="S1288" s="544">
        <f t="shared" si="59"/>
        <v>0</v>
      </c>
    </row>
    <row r="1289" spans="2:19">
      <c r="B1289" s="146"/>
      <c r="C1289" s="146"/>
      <c r="D1289" s="543" t="str">
        <f t="shared" si="58"/>
        <v/>
      </c>
      <c r="I1289" s="146" t="s">
        <v>1546</v>
      </c>
      <c r="J1289" s="146" t="s">
        <v>2056</v>
      </c>
      <c r="K1289" s="146" t="s">
        <v>787</v>
      </c>
      <c r="L1289" s="146">
        <v>6.3100000000000005E-4</v>
      </c>
      <c r="M1289" s="544">
        <v>6.3100000000000005E-4</v>
      </c>
      <c r="N1289" s="544">
        <v>6.3100000000000005E-4</v>
      </c>
      <c r="O1289" s="544">
        <v>6.3100000000000005E-4</v>
      </c>
      <c r="P1289" s="544">
        <v>6.3100000000000005E-4</v>
      </c>
      <c r="R1289" s="543" t="str">
        <f t="shared" si="60"/>
        <v>A0905:(株)はちまんたいジオパワーメニューB</v>
      </c>
      <c r="S1289" s="544">
        <f t="shared" si="59"/>
        <v>6.3100000000000005E-4</v>
      </c>
    </row>
    <row r="1290" spans="2:19">
      <c r="B1290" s="146"/>
      <c r="C1290" s="146"/>
      <c r="D1290" s="543" t="str">
        <f t="shared" ref="D1290:D1353" si="61">IF(B1290="","",B1290&amp;":"&amp;C1290)</f>
        <v/>
      </c>
      <c r="I1290" s="146" t="s">
        <v>1546</v>
      </c>
      <c r="J1290" s="146" t="s">
        <v>2056</v>
      </c>
      <c r="K1290" s="146" t="s">
        <v>2058</v>
      </c>
      <c r="L1290" s="146">
        <v>5.5999999999999999E-5</v>
      </c>
      <c r="M1290" s="544">
        <v>5.5999999999999999E-5</v>
      </c>
      <c r="N1290" s="544">
        <v>5.5999999999999999E-5</v>
      </c>
      <c r="O1290" s="544">
        <v>5.5999999999999999E-5</v>
      </c>
      <c r="P1290" s="544">
        <v>5.5999999999999999E-5</v>
      </c>
      <c r="R1290" s="543" t="str">
        <f t="shared" si="60"/>
        <v>A0905:(株)はちまんたいジオパワー(参考値)事業者全体</v>
      </c>
      <c r="S1290" s="544">
        <f t="shared" ref="S1290:S1353" si="62">HLOOKUP($S$8,$L$8:$P$2000,ROW()-7,FALSE)</f>
        <v>5.5999999999999999E-5</v>
      </c>
    </row>
    <row r="1291" spans="2:19">
      <c r="B1291" s="146"/>
      <c r="C1291" s="146"/>
      <c r="D1291" s="543" t="str">
        <f t="shared" si="61"/>
        <v/>
      </c>
      <c r="I1291" s="146" t="s">
        <v>1547</v>
      </c>
      <c r="J1291" s="146" t="s">
        <v>2057</v>
      </c>
      <c r="K1291" s="146"/>
      <c r="L1291" s="146">
        <v>6.1700000000000004E-4</v>
      </c>
      <c r="M1291" s="544">
        <v>6.1700000000000004E-4</v>
      </c>
      <c r="N1291" s="544">
        <v>6.1700000000000004E-4</v>
      </c>
      <c r="O1291" s="544">
        <v>6.1700000000000004E-4</v>
      </c>
      <c r="P1291" s="544">
        <v>6.1700000000000004E-4</v>
      </c>
      <c r="R1291" s="543" t="str">
        <f t="shared" si="60"/>
        <v>A0906:(株)アイモバイル</v>
      </c>
      <c r="S1291" s="544">
        <f t="shared" si="62"/>
        <v>6.1700000000000004E-4</v>
      </c>
    </row>
    <row r="1292" spans="2:19">
      <c r="B1292" s="146"/>
      <c r="C1292" s="146"/>
      <c r="D1292" s="543" t="str">
        <f t="shared" si="61"/>
        <v/>
      </c>
      <c r="I1292" s="146"/>
      <c r="J1292" s="146"/>
      <c r="K1292" s="146"/>
      <c r="L1292" s="146"/>
      <c r="M1292" s="544"/>
      <c r="N1292" s="544"/>
      <c r="O1292" s="544"/>
      <c r="P1292" s="544"/>
      <c r="R1292" s="543" t="str">
        <f t="shared" si="60"/>
        <v>:</v>
      </c>
      <c r="S1292" s="544">
        <f t="shared" si="62"/>
        <v>0</v>
      </c>
    </row>
    <row r="1293" spans="2:19">
      <c r="B1293" s="146"/>
      <c r="C1293" s="146"/>
      <c r="D1293" s="543" t="str">
        <f t="shared" si="61"/>
        <v/>
      </c>
      <c r="I1293" s="146"/>
      <c r="J1293" s="146"/>
      <c r="K1293" s="146"/>
      <c r="L1293" s="146"/>
      <c r="M1293" s="544"/>
      <c r="N1293" s="544"/>
      <c r="O1293" s="544"/>
      <c r="P1293" s="544"/>
      <c r="R1293" s="543" t="str">
        <f t="shared" si="60"/>
        <v>:</v>
      </c>
      <c r="S1293" s="544">
        <f t="shared" si="62"/>
        <v>0</v>
      </c>
    </row>
    <row r="1294" spans="2:19">
      <c r="B1294" s="146"/>
      <c r="C1294" s="146"/>
      <c r="D1294" s="543" t="str">
        <f t="shared" si="61"/>
        <v/>
      </c>
      <c r="I1294" s="146"/>
      <c r="J1294" s="146"/>
      <c r="K1294" s="146"/>
      <c r="L1294" s="146"/>
      <c r="M1294" s="544"/>
      <c r="N1294" s="544"/>
      <c r="O1294" s="544"/>
      <c r="P1294" s="544"/>
      <c r="R1294" s="543" t="str">
        <f t="shared" si="60"/>
        <v>:</v>
      </c>
      <c r="S1294" s="544">
        <f t="shared" si="62"/>
        <v>0</v>
      </c>
    </row>
    <row r="1295" spans="2:19">
      <c r="B1295" s="146"/>
      <c r="C1295" s="146"/>
      <c r="D1295" s="543" t="str">
        <f t="shared" si="61"/>
        <v/>
      </c>
      <c r="I1295" s="146"/>
      <c r="J1295" s="146"/>
      <c r="K1295" s="146"/>
      <c r="L1295" s="146"/>
      <c r="M1295" s="544"/>
      <c r="N1295" s="544"/>
      <c r="O1295" s="544"/>
      <c r="P1295" s="544"/>
      <c r="R1295" s="543" t="str">
        <f t="shared" si="60"/>
        <v>:</v>
      </c>
      <c r="S1295" s="544">
        <f t="shared" si="62"/>
        <v>0</v>
      </c>
    </row>
    <row r="1296" spans="2:19">
      <c r="B1296" s="146"/>
      <c r="C1296" s="146"/>
      <c r="D1296" s="543" t="str">
        <f t="shared" si="61"/>
        <v/>
      </c>
      <c r="I1296" s="146"/>
      <c r="J1296" s="146"/>
      <c r="K1296" s="146"/>
      <c r="L1296" s="146"/>
      <c r="M1296" s="544"/>
      <c r="N1296" s="544"/>
      <c r="O1296" s="544"/>
      <c r="P1296" s="544"/>
      <c r="R1296" s="543" t="str">
        <f t="shared" si="60"/>
        <v>:</v>
      </c>
      <c r="S1296" s="544">
        <f t="shared" si="62"/>
        <v>0</v>
      </c>
    </row>
    <row r="1297" spans="2:19">
      <c r="B1297" s="146"/>
      <c r="C1297" s="146"/>
      <c r="D1297" s="543" t="str">
        <f t="shared" si="61"/>
        <v/>
      </c>
      <c r="I1297" s="146"/>
      <c r="J1297" s="146"/>
      <c r="K1297" s="146"/>
      <c r="L1297" s="146"/>
      <c r="M1297" s="544"/>
      <c r="N1297" s="544"/>
      <c r="O1297" s="544"/>
      <c r="P1297" s="544"/>
      <c r="R1297" s="543" t="str">
        <f t="shared" si="60"/>
        <v>:</v>
      </c>
      <c r="S1297" s="544">
        <f t="shared" si="62"/>
        <v>0</v>
      </c>
    </row>
    <row r="1298" spans="2:19">
      <c r="B1298" s="146"/>
      <c r="C1298" s="146"/>
      <c r="D1298" s="543" t="str">
        <f t="shared" si="61"/>
        <v/>
      </c>
      <c r="I1298" s="146"/>
      <c r="J1298" s="146"/>
      <c r="K1298" s="146"/>
      <c r="L1298" s="146"/>
      <c r="M1298" s="544"/>
      <c r="N1298" s="544"/>
      <c r="O1298" s="544"/>
      <c r="P1298" s="544"/>
      <c r="R1298" s="543" t="str">
        <f t="shared" si="60"/>
        <v>:</v>
      </c>
      <c r="S1298" s="544">
        <f t="shared" si="62"/>
        <v>0</v>
      </c>
    </row>
    <row r="1299" spans="2:19">
      <c r="B1299" s="146"/>
      <c r="C1299" s="146"/>
      <c r="D1299" s="543" t="str">
        <f t="shared" si="61"/>
        <v/>
      </c>
      <c r="I1299" s="146"/>
      <c r="J1299" s="146"/>
      <c r="K1299" s="146"/>
      <c r="L1299" s="146"/>
      <c r="M1299" s="544"/>
      <c r="N1299" s="544"/>
      <c r="O1299" s="544"/>
      <c r="P1299" s="544"/>
      <c r="R1299" s="543" t="str">
        <f t="shared" si="60"/>
        <v>:</v>
      </c>
      <c r="S1299" s="544">
        <f t="shared" si="62"/>
        <v>0</v>
      </c>
    </row>
    <row r="1300" spans="2:19">
      <c r="B1300" s="146"/>
      <c r="C1300" s="146"/>
      <c r="D1300" s="543" t="str">
        <f t="shared" si="61"/>
        <v/>
      </c>
      <c r="I1300" s="146"/>
      <c r="J1300" s="146"/>
      <c r="K1300" s="146"/>
      <c r="L1300" s="146"/>
      <c r="M1300" s="544"/>
      <c r="N1300" s="544"/>
      <c r="O1300" s="544"/>
      <c r="P1300" s="544"/>
      <c r="R1300" s="543" t="str">
        <f t="shared" si="60"/>
        <v>:</v>
      </c>
      <c r="S1300" s="544">
        <f t="shared" si="62"/>
        <v>0</v>
      </c>
    </row>
    <row r="1301" spans="2:19">
      <c r="B1301" s="146"/>
      <c r="C1301" s="146"/>
      <c r="D1301" s="543" t="str">
        <f t="shared" si="61"/>
        <v/>
      </c>
      <c r="I1301" s="146"/>
      <c r="J1301" s="146"/>
      <c r="K1301" s="146"/>
      <c r="L1301" s="146"/>
      <c r="M1301" s="544"/>
      <c r="N1301" s="544"/>
      <c r="O1301" s="544"/>
      <c r="P1301" s="544"/>
      <c r="R1301" s="543" t="str">
        <f t="shared" si="60"/>
        <v>:</v>
      </c>
      <c r="S1301" s="544">
        <f t="shared" si="62"/>
        <v>0</v>
      </c>
    </row>
    <row r="1302" spans="2:19">
      <c r="B1302" s="146"/>
      <c r="C1302" s="146"/>
      <c r="D1302" s="543" t="str">
        <f t="shared" si="61"/>
        <v/>
      </c>
      <c r="I1302" s="146"/>
      <c r="J1302" s="146"/>
      <c r="K1302" s="146"/>
      <c r="L1302" s="146"/>
      <c r="M1302" s="544"/>
      <c r="N1302" s="544"/>
      <c r="O1302" s="544"/>
      <c r="P1302" s="544"/>
      <c r="R1302" s="543" t="str">
        <f t="shared" si="60"/>
        <v>:</v>
      </c>
      <c r="S1302" s="544">
        <f t="shared" si="62"/>
        <v>0</v>
      </c>
    </row>
    <row r="1303" spans="2:19">
      <c r="B1303" s="146"/>
      <c r="C1303" s="146"/>
      <c r="D1303" s="543" t="str">
        <f t="shared" si="61"/>
        <v/>
      </c>
      <c r="I1303" s="146"/>
      <c r="J1303" s="146"/>
      <c r="K1303" s="146"/>
      <c r="L1303" s="146"/>
      <c r="M1303" s="544"/>
      <c r="N1303" s="544"/>
      <c r="O1303" s="544"/>
      <c r="P1303" s="544"/>
      <c r="R1303" s="543" t="str">
        <f t="shared" si="60"/>
        <v>:</v>
      </c>
      <c r="S1303" s="544">
        <f t="shared" si="62"/>
        <v>0</v>
      </c>
    </row>
    <row r="1304" spans="2:19">
      <c r="B1304" s="146"/>
      <c r="C1304" s="146"/>
      <c r="D1304" s="543" t="str">
        <f t="shared" si="61"/>
        <v/>
      </c>
      <c r="I1304" s="146"/>
      <c r="J1304" s="146"/>
      <c r="K1304" s="146"/>
      <c r="L1304" s="146"/>
      <c r="M1304" s="544"/>
      <c r="N1304" s="544"/>
      <c r="O1304" s="544"/>
      <c r="P1304" s="544"/>
      <c r="R1304" s="543" t="str">
        <f t="shared" si="60"/>
        <v>:</v>
      </c>
      <c r="S1304" s="544">
        <f t="shared" si="62"/>
        <v>0</v>
      </c>
    </row>
    <row r="1305" spans="2:19">
      <c r="B1305" s="146"/>
      <c r="C1305" s="146"/>
      <c r="D1305" s="543" t="str">
        <f t="shared" si="61"/>
        <v/>
      </c>
      <c r="I1305" s="146"/>
      <c r="J1305" s="146"/>
      <c r="K1305" s="146"/>
      <c r="L1305" s="146"/>
      <c r="M1305" s="544"/>
      <c r="N1305" s="544"/>
      <c r="O1305" s="544"/>
      <c r="P1305" s="544"/>
      <c r="R1305" s="543" t="str">
        <f t="shared" si="60"/>
        <v>:</v>
      </c>
      <c r="S1305" s="544">
        <f t="shared" si="62"/>
        <v>0</v>
      </c>
    </row>
    <row r="1306" spans="2:19">
      <c r="B1306" s="146"/>
      <c r="C1306" s="146"/>
      <c r="D1306" s="543" t="str">
        <f t="shared" si="61"/>
        <v/>
      </c>
      <c r="I1306" s="146"/>
      <c r="J1306" s="146"/>
      <c r="K1306" s="146"/>
      <c r="L1306" s="146"/>
      <c r="M1306" s="544"/>
      <c r="N1306" s="544"/>
      <c r="O1306" s="544"/>
      <c r="P1306" s="544"/>
      <c r="R1306" s="543" t="str">
        <f t="shared" si="60"/>
        <v>:</v>
      </c>
      <c r="S1306" s="544">
        <f t="shared" si="62"/>
        <v>0</v>
      </c>
    </row>
    <row r="1307" spans="2:19">
      <c r="B1307" s="146"/>
      <c r="C1307" s="146"/>
      <c r="D1307" s="543" t="str">
        <f t="shared" si="61"/>
        <v/>
      </c>
      <c r="I1307" s="146"/>
      <c r="J1307" s="146"/>
      <c r="K1307" s="146"/>
      <c r="L1307" s="146"/>
      <c r="M1307" s="544"/>
      <c r="N1307" s="544"/>
      <c r="O1307" s="544"/>
      <c r="P1307" s="544"/>
      <c r="R1307" s="543" t="str">
        <f t="shared" si="60"/>
        <v>:</v>
      </c>
      <c r="S1307" s="544">
        <f t="shared" si="62"/>
        <v>0</v>
      </c>
    </row>
    <row r="1308" spans="2:19">
      <c r="B1308" s="146"/>
      <c r="C1308" s="146"/>
      <c r="D1308" s="543" t="str">
        <f t="shared" si="61"/>
        <v/>
      </c>
      <c r="I1308" s="146"/>
      <c r="J1308" s="146"/>
      <c r="K1308" s="146"/>
      <c r="L1308" s="146"/>
      <c r="M1308" s="544"/>
      <c r="N1308" s="544"/>
      <c r="O1308" s="544"/>
      <c r="P1308" s="544"/>
      <c r="R1308" s="543" t="str">
        <f t="shared" si="60"/>
        <v>:</v>
      </c>
      <c r="S1308" s="544">
        <f t="shared" si="62"/>
        <v>0</v>
      </c>
    </row>
    <row r="1309" spans="2:19">
      <c r="B1309" s="146"/>
      <c r="C1309" s="146"/>
      <c r="D1309" s="543" t="str">
        <f t="shared" si="61"/>
        <v/>
      </c>
      <c r="I1309" s="146"/>
      <c r="J1309" s="146"/>
      <c r="K1309" s="146"/>
      <c r="L1309" s="146"/>
      <c r="M1309" s="544"/>
      <c r="N1309" s="544"/>
      <c r="O1309" s="544"/>
      <c r="P1309" s="544"/>
      <c r="R1309" s="543" t="str">
        <f t="shared" si="60"/>
        <v>:</v>
      </c>
      <c r="S1309" s="544">
        <f t="shared" si="62"/>
        <v>0</v>
      </c>
    </row>
    <row r="1310" spans="2:19">
      <c r="B1310" s="146"/>
      <c r="C1310" s="146"/>
      <c r="D1310" s="543" t="str">
        <f t="shared" si="61"/>
        <v/>
      </c>
      <c r="I1310" s="146"/>
      <c r="J1310" s="146"/>
      <c r="K1310" s="146"/>
      <c r="L1310" s="146"/>
      <c r="M1310" s="544"/>
      <c r="N1310" s="544"/>
      <c r="O1310" s="544"/>
      <c r="P1310" s="544"/>
      <c r="R1310" s="543" t="str">
        <f t="shared" si="60"/>
        <v>:</v>
      </c>
      <c r="S1310" s="544">
        <f t="shared" si="62"/>
        <v>0</v>
      </c>
    </row>
    <row r="1311" spans="2:19">
      <c r="B1311" s="146"/>
      <c r="C1311" s="146"/>
      <c r="D1311" s="543" t="str">
        <f t="shared" si="61"/>
        <v/>
      </c>
      <c r="I1311" s="146"/>
      <c r="J1311" s="146"/>
      <c r="K1311" s="146"/>
      <c r="L1311" s="146"/>
      <c r="M1311" s="544"/>
      <c r="N1311" s="544"/>
      <c r="O1311" s="544"/>
      <c r="P1311" s="544"/>
      <c r="R1311" s="543" t="str">
        <f t="shared" si="60"/>
        <v>:</v>
      </c>
      <c r="S1311" s="544">
        <f t="shared" si="62"/>
        <v>0</v>
      </c>
    </row>
    <row r="1312" spans="2:19">
      <c r="B1312" s="146"/>
      <c r="C1312" s="146"/>
      <c r="D1312" s="543" t="str">
        <f t="shared" si="61"/>
        <v/>
      </c>
      <c r="I1312" s="146"/>
      <c r="J1312" s="146"/>
      <c r="K1312" s="146"/>
      <c r="L1312" s="146"/>
      <c r="M1312" s="544"/>
      <c r="N1312" s="544"/>
      <c r="O1312" s="544"/>
      <c r="P1312" s="544"/>
      <c r="R1312" s="543" t="str">
        <f t="shared" si="60"/>
        <v>:</v>
      </c>
      <c r="S1312" s="544">
        <f t="shared" si="62"/>
        <v>0</v>
      </c>
    </row>
    <row r="1313" spans="2:19">
      <c r="B1313" s="146"/>
      <c r="C1313" s="146"/>
      <c r="D1313" s="543" t="str">
        <f t="shared" si="61"/>
        <v/>
      </c>
      <c r="I1313" s="146"/>
      <c r="J1313" s="146"/>
      <c r="K1313" s="146"/>
      <c r="L1313" s="146"/>
      <c r="M1313" s="544"/>
      <c r="N1313" s="544"/>
      <c r="O1313" s="544"/>
      <c r="P1313" s="544"/>
      <c r="R1313" s="543" t="str">
        <f t="shared" si="60"/>
        <v>:</v>
      </c>
      <c r="S1313" s="544">
        <f t="shared" si="62"/>
        <v>0</v>
      </c>
    </row>
    <row r="1314" spans="2:19">
      <c r="B1314" s="146"/>
      <c r="C1314" s="146"/>
      <c r="D1314" s="543" t="str">
        <f t="shared" si="61"/>
        <v/>
      </c>
      <c r="I1314" s="146"/>
      <c r="J1314" s="146"/>
      <c r="K1314" s="146"/>
      <c r="L1314" s="146"/>
      <c r="M1314" s="544"/>
      <c r="N1314" s="544"/>
      <c r="O1314" s="544"/>
      <c r="P1314" s="544"/>
      <c r="R1314" s="543" t="str">
        <f t="shared" si="60"/>
        <v>:</v>
      </c>
      <c r="S1314" s="544">
        <f t="shared" si="62"/>
        <v>0</v>
      </c>
    </row>
    <row r="1315" spans="2:19">
      <c r="B1315" s="146"/>
      <c r="C1315" s="146"/>
      <c r="D1315" s="543" t="str">
        <f t="shared" si="61"/>
        <v/>
      </c>
      <c r="I1315" s="146"/>
      <c r="J1315" s="146"/>
      <c r="K1315" s="146"/>
      <c r="L1315" s="146"/>
      <c r="M1315" s="544"/>
      <c r="N1315" s="544"/>
      <c r="O1315" s="544"/>
      <c r="P1315" s="544"/>
      <c r="R1315" s="543" t="str">
        <f t="shared" si="60"/>
        <v>:</v>
      </c>
      <c r="S1315" s="544">
        <f t="shared" si="62"/>
        <v>0</v>
      </c>
    </row>
    <row r="1316" spans="2:19">
      <c r="B1316" s="146"/>
      <c r="C1316" s="146"/>
      <c r="D1316" s="543" t="str">
        <f t="shared" si="61"/>
        <v/>
      </c>
      <c r="I1316" s="146"/>
      <c r="J1316" s="146"/>
      <c r="K1316" s="146"/>
      <c r="L1316" s="146"/>
      <c r="M1316" s="544"/>
      <c r="N1316" s="544"/>
      <c r="O1316" s="544"/>
      <c r="P1316" s="544"/>
      <c r="R1316" s="543" t="str">
        <f t="shared" si="60"/>
        <v>:</v>
      </c>
      <c r="S1316" s="544">
        <f t="shared" si="62"/>
        <v>0</v>
      </c>
    </row>
    <row r="1317" spans="2:19">
      <c r="B1317" s="146"/>
      <c r="C1317" s="146"/>
      <c r="D1317" s="543" t="str">
        <f t="shared" si="61"/>
        <v/>
      </c>
      <c r="I1317" s="146"/>
      <c r="J1317" s="146"/>
      <c r="K1317" s="146"/>
      <c r="L1317" s="146"/>
      <c r="M1317" s="544"/>
      <c r="N1317" s="544"/>
      <c r="O1317" s="544"/>
      <c r="P1317" s="544"/>
      <c r="R1317" s="543" t="str">
        <f t="shared" si="60"/>
        <v>:</v>
      </c>
      <c r="S1317" s="544">
        <f t="shared" si="62"/>
        <v>0</v>
      </c>
    </row>
    <row r="1318" spans="2:19">
      <c r="B1318" s="146"/>
      <c r="C1318" s="146"/>
      <c r="D1318" s="543" t="str">
        <f t="shared" si="61"/>
        <v/>
      </c>
      <c r="I1318" s="146"/>
      <c r="J1318" s="146"/>
      <c r="K1318" s="146"/>
      <c r="L1318" s="146"/>
      <c r="M1318" s="544"/>
      <c r="N1318" s="544"/>
      <c r="O1318" s="544"/>
      <c r="P1318" s="544"/>
      <c r="R1318" s="543" t="str">
        <f t="shared" si="60"/>
        <v>:</v>
      </c>
      <c r="S1318" s="544">
        <f t="shared" si="62"/>
        <v>0</v>
      </c>
    </row>
    <row r="1319" spans="2:19">
      <c r="B1319" s="146"/>
      <c r="C1319" s="146"/>
      <c r="D1319" s="543" t="str">
        <f t="shared" si="61"/>
        <v/>
      </c>
      <c r="I1319" s="146"/>
      <c r="J1319" s="146"/>
      <c r="K1319" s="146"/>
      <c r="L1319" s="146"/>
      <c r="M1319" s="544"/>
      <c r="N1319" s="544"/>
      <c r="O1319" s="544"/>
      <c r="P1319" s="544"/>
      <c r="R1319" s="543" t="str">
        <f t="shared" si="60"/>
        <v>:</v>
      </c>
      <c r="S1319" s="544">
        <f t="shared" si="62"/>
        <v>0</v>
      </c>
    </row>
    <row r="1320" spans="2:19">
      <c r="B1320" s="146"/>
      <c r="C1320" s="146"/>
      <c r="D1320" s="543" t="str">
        <f t="shared" si="61"/>
        <v/>
      </c>
      <c r="I1320" s="146"/>
      <c r="J1320" s="146"/>
      <c r="K1320" s="146"/>
      <c r="L1320" s="146"/>
      <c r="M1320" s="544"/>
      <c r="N1320" s="544"/>
      <c r="O1320" s="544"/>
      <c r="P1320" s="544"/>
      <c r="R1320" s="543" t="str">
        <f t="shared" si="60"/>
        <v>:</v>
      </c>
      <c r="S1320" s="544">
        <f t="shared" si="62"/>
        <v>0</v>
      </c>
    </row>
    <row r="1321" spans="2:19">
      <c r="B1321" s="146"/>
      <c r="C1321" s="146"/>
      <c r="D1321" s="543" t="str">
        <f t="shared" si="61"/>
        <v/>
      </c>
      <c r="I1321" s="146"/>
      <c r="J1321" s="146"/>
      <c r="K1321" s="146"/>
      <c r="L1321" s="146"/>
      <c r="M1321" s="544"/>
      <c r="N1321" s="544"/>
      <c r="O1321" s="544"/>
      <c r="P1321" s="544"/>
      <c r="R1321" s="543" t="str">
        <f t="shared" si="60"/>
        <v>:</v>
      </c>
      <c r="S1321" s="544">
        <f t="shared" si="62"/>
        <v>0</v>
      </c>
    </row>
    <row r="1322" spans="2:19">
      <c r="B1322" s="146"/>
      <c r="C1322" s="146"/>
      <c r="D1322" s="543" t="str">
        <f t="shared" si="61"/>
        <v/>
      </c>
      <c r="I1322" s="146"/>
      <c r="J1322" s="146"/>
      <c r="K1322" s="146"/>
      <c r="L1322" s="146"/>
      <c r="M1322" s="544"/>
      <c r="N1322" s="544"/>
      <c r="O1322" s="544"/>
      <c r="P1322" s="544"/>
      <c r="R1322" s="543" t="str">
        <f t="shared" si="60"/>
        <v>:</v>
      </c>
      <c r="S1322" s="544">
        <f t="shared" si="62"/>
        <v>0</v>
      </c>
    </row>
    <row r="1323" spans="2:19">
      <c r="B1323" s="146"/>
      <c r="C1323" s="146"/>
      <c r="D1323" s="543" t="str">
        <f t="shared" si="61"/>
        <v/>
      </c>
      <c r="I1323" s="146"/>
      <c r="J1323" s="146"/>
      <c r="K1323" s="146"/>
      <c r="L1323" s="146"/>
      <c r="M1323" s="544"/>
      <c r="N1323" s="544"/>
      <c r="O1323" s="544"/>
      <c r="P1323" s="544"/>
      <c r="R1323" s="543" t="str">
        <f t="shared" si="60"/>
        <v>:</v>
      </c>
      <c r="S1323" s="544">
        <f t="shared" si="62"/>
        <v>0</v>
      </c>
    </row>
    <row r="1324" spans="2:19">
      <c r="B1324" s="146"/>
      <c r="C1324" s="146"/>
      <c r="D1324" s="543" t="str">
        <f t="shared" si="61"/>
        <v/>
      </c>
      <c r="I1324" s="146"/>
      <c r="J1324" s="146"/>
      <c r="K1324" s="146"/>
      <c r="L1324" s="146"/>
      <c r="M1324" s="544"/>
      <c r="N1324" s="544"/>
      <c r="O1324" s="544"/>
      <c r="P1324" s="544"/>
      <c r="R1324" s="543" t="str">
        <f t="shared" si="60"/>
        <v>:</v>
      </c>
      <c r="S1324" s="544">
        <f t="shared" si="62"/>
        <v>0</v>
      </c>
    </row>
    <row r="1325" spans="2:19">
      <c r="B1325" s="146"/>
      <c r="C1325" s="146"/>
      <c r="D1325" s="543" t="str">
        <f t="shared" si="61"/>
        <v/>
      </c>
      <c r="I1325" s="146"/>
      <c r="J1325" s="146"/>
      <c r="K1325" s="146"/>
      <c r="L1325" s="146"/>
      <c r="M1325" s="544"/>
      <c r="N1325" s="544"/>
      <c r="O1325" s="544"/>
      <c r="P1325" s="544"/>
      <c r="R1325" s="543" t="str">
        <f t="shared" si="60"/>
        <v>:</v>
      </c>
      <c r="S1325" s="544">
        <f t="shared" si="62"/>
        <v>0</v>
      </c>
    </row>
    <row r="1326" spans="2:19">
      <c r="B1326" s="146"/>
      <c r="C1326" s="146"/>
      <c r="D1326" s="543" t="str">
        <f t="shared" si="61"/>
        <v/>
      </c>
      <c r="I1326" s="146"/>
      <c r="J1326" s="146"/>
      <c r="K1326" s="146"/>
      <c r="L1326" s="146"/>
      <c r="M1326" s="544"/>
      <c r="N1326" s="544"/>
      <c r="O1326" s="544"/>
      <c r="P1326" s="544"/>
      <c r="R1326" s="543" t="str">
        <f t="shared" si="60"/>
        <v>:</v>
      </c>
      <c r="S1326" s="544">
        <f t="shared" si="62"/>
        <v>0</v>
      </c>
    </row>
    <row r="1327" spans="2:19">
      <c r="B1327" s="146"/>
      <c r="C1327" s="146"/>
      <c r="D1327" s="543" t="str">
        <f t="shared" si="61"/>
        <v/>
      </c>
      <c r="I1327" s="146"/>
      <c r="J1327" s="146"/>
      <c r="K1327" s="146"/>
      <c r="L1327" s="146"/>
      <c r="M1327" s="544"/>
      <c r="N1327" s="544"/>
      <c r="O1327" s="544"/>
      <c r="P1327" s="544"/>
      <c r="R1327" s="543" t="str">
        <f t="shared" si="60"/>
        <v>:</v>
      </c>
      <c r="S1327" s="544">
        <f t="shared" si="62"/>
        <v>0</v>
      </c>
    </row>
    <row r="1328" spans="2:19">
      <c r="B1328" s="146"/>
      <c r="C1328" s="146"/>
      <c r="D1328" s="543" t="str">
        <f t="shared" si="61"/>
        <v/>
      </c>
      <c r="I1328" s="146"/>
      <c r="J1328" s="146"/>
      <c r="K1328" s="146"/>
      <c r="L1328" s="146"/>
      <c r="M1328" s="544"/>
      <c r="N1328" s="544"/>
      <c r="O1328" s="544"/>
      <c r="P1328" s="544"/>
      <c r="R1328" s="543" t="str">
        <f t="shared" si="60"/>
        <v>:</v>
      </c>
      <c r="S1328" s="544">
        <f t="shared" si="62"/>
        <v>0</v>
      </c>
    </row>
    <row r="1329" spans="2:19">
      <c r="B1329" s="146"/>
      <c r="C1329" s="146"/>
      <c r="D1329" s="543" t="str">
        <f t="shared" si="61"/>
        <v/>
      </c>
      <c r="I1329" s="146"/>
      <c r="J1329" s="146"/>
      <c r="K1329" s="146"/>
      <c r="L1329" s="146"/>
      <c r="M1329" s="544"/>
      <c r="N1329" s="544"/>
      <c r="O1329" s="544"/>
      <c r="P1329" s="544"/>
      <c r="R1329" s="543" t="str">
        <f t="shared" si="60"/>
        <v>:</v>
      </c>
      <c r="S1329" s="544">
        <f t="shared" si="62"/>
        <v>0</v>
      </c>
    </row>
    <row r="1330" spans="2:19">
      <c r="B1330" s="146"/>
      <c r="C1330" s="146"/>
      <c r="D1330" s="543" t="str">
        <f t="shared" si="61"/>
        <v/>
      </c>
      <c r="I1330" s="146"/>
      <c r="J1330" s="146"/>
      <c r="K1330" s="146"/>
      <c r="L1330" s="146"/>
      <c r="M1330" s="544"/>
      <c r="N1330" s="544"/>
      <c r="O1330" s="544"/>
      <c r="P1330" s="544"/>
      <c r="R1330" s="543" t="str">
        <f t="shared" si="60"/>
        <v>:</v>
      </c>
      <c r="S1330" s="544">
        <f t="shared" si="62"/>
        <v>0</v>
      </c>
    </row>
    <row r="1331" spans="2:19">
      <c r="B1331" s="146"/>
      <c r="C1331" s="146"/>
      <c r="D1331" s="543" t="str">
        <f t="shared" si="61"/>
        <v/>
      </c>
      <c r="I1331" s="146"/>
      <c r="J1331" s="146"/>
      <c r="K1331" s="146"/>
      <c r="L1331" s="146"/>
      <c r="M1331" s="544"/>
      <c r="N1331" s="544"/>
      <c r="O1331" s="544"/>
      <c r="P1331" s="544"/>
      <c r="R1331" s="543" t="str">
        <f t="shared" si="60"/>
        <v>:</v>
      </c>
      <c r="S1331" s="544">
        <f t="shared" si="62"/>
        <v>0</v>
      </c>
    </row>
    <row r="1332" spans="2:19">
      <c r="B1332" s="146"/>
      <c r="C1332" s="146"/>
      <c r="D1332" s="543" t="str">
        <f t="shared" si="61"/>
        <v/>
      </c>
      <c r="I1332" s="146"/>
      <c r="J1332" s="146"/>
      <c r="K1332" s="146"/>
      <c r="L1332" s="146"/>
      <c r="M1332" s="544"/>
      <c r="N1332" s="544"/>
      <c r="O1332" s="544"/>
      <c r="P1332" s="544"/>
      <c r="R1332" s="543" t="str">
        <f t="shared" si="60"/>
        <v>:</v>
      </c>
      <c r="S1332" s="544">
        <f t="shared" si="62"/>
        <v>0</v>
      </c>
    </row>
    <row r="1333" spans="2:19">
      <c r="B1333" s="146"/>
      <c r="C1333" s="146"/>
      <c r="D1333" s="543" t="str">
        <f t="shared" si="61"/>
        <v/>
      </c>
      <c r="I1333" s="146"/>
      <c r="J1333" s="146"/>
      <c r="K1333" s="146"/>
      <c r="L1333" s="146"/>
      <c r="M1333" s="544"/>
      <c r="N1333" s="544"/>
      <c r="O1333" s="544"/>
      <c r="P1333" s="544"/>
      <c r="R1333" s="543" t="str">
        <f t="shared" si="60"/>
        <v>:</v>
      </c>
      <c r="S1333" s="544">
        <f t="shared" si="62"/>
        <v>0</v>
      </c>
    </row>
    <row r="1334" spans="2:19">
      <c r="B1334" s="146"/>
      <c r="C1334" s="146"/>
      <c r="D1334" s="543" t="str">
        <f t="shared" si="61"/>
        <v/>
      </c>
      <c r="I1334" s="146"/>
      <c r="J1334" s="146"/>
      <c r="K1334" s="146"/>
      <c r="L1334" s="146"/>
      <c r="M1334" s="544"/>
      <c r="N1334" s="544"/>
      <c r="O1334" s="544"/>
      <c r="P1334" s="544"/>
      <c r="R1334" s="543" t="str">
        <f t="shared" si="60"/>
        <v>:</v>
      </c>
      <c r="S1334" s="544">
        <f t="shared" si="62"/>
        <v>0</v>
      </c>
    </row>
    <row r="1335" spans="2:19">
      <c r="B1335" s="146"/>
      <c r="C1335" s="146"/>
      <c r="D1335" s="543" t="str">
        <f t="shared" si="61"/>
        <v/>
      </c>
      <c r="I1335" s="146"/>
      <c r="J1335" s="146"/>
      <c r="K1335" s="146"/>
      <c r="L1335" s="146"/>
      <c r="M1335" s="544"/>
      <c r="N1335" s="544"/>
      <c r="O1335" s="544"/>
      <c r="P1335" s="544"/>
      <c r="R1335" s="543" t="str">
        <f t="shared" si="60"/>
        <v>:</v>
      </c>
      <c r="S1335" s="544">
        <f t="shared" si="62"/>
        <v>0</v>
      </c>
    </row>
    <row r="1336" spans="2:19">
      <c r="B1336" s="146"/>
      <c r="C1336" s="146"/>
      <c r="D1336" s="543" t="str">
        <f t="shared" si="61"/>
        <v/>
      </c>
      <c r="I1336" s="146"/>
      <c r="J1336" s="146"/>
      <c r="K1336" s="146"/>
      <c r="L1336" s="146"/>
      <c r="M1336" s="544"/>
      <c r="N1336" s="544"/>
      <c r="O1336" s="544"/>
      <c r="P1336" s="544"/>
      <c r="R1336" s="543" t="str">
        <f t="shared" si="60"/>
        <v>:</v>
      </c>
      <c r="S1336" s="544">
        <f t="shared" si="62"/>
        <v>0</v>
      </c>
    </row>
    <row r="1337" spans="2:19">
      <c r="B1337" s="146"/>
      <c r="C1337" s="146"/>
      <c r="D1337" s="543" t="str">
        <f t="shared" si="61"/>
        <v/>
      </c>
      <c r="I1337" s="146"/>
      <c r="J1337" s="146"/>
      <c r="K1337" s="146"/>
      <c r="L1337" s="146"/>
      <c r="M1337" s="544"/>
      <c r="N1337" s="544"/>
      <c r="O1337" s="544"/>
      <c r="P1337" s="544"/>
      <c r="R1337" s="543" t="str">
        <f t="shared" si="60"/>
        <v>:</v>
      </c>
      <c r="S1337" s="544">
        <f t="shared" si="62"/>
        <v>0</v>
      </c>
    </row>
    <row r="1338" spans="2:19">
      <c r="B1338" s="146"/>
      <c r="C1338" s="146"/>
      <c r="D1338" s="543" t="str">
        <f t="shared" si="61"/>
        <v/>
      </c>
      <c r="I1338" s="146"/>
      <c r="J1338" s="146"/>
      <c r="K1338" s="146"/>
      <c r="L1338" s="146"/>
      <c r="M1338" s="544"/>
      <c r="N1338" s="544"/>
      <c r="O1338" s="544"/>
      <c r="P1338" s="544"/>
      <c r="R1338" s="543" t="str">
        <f t="shared" si="60"/>
        <v>:</v>
      </c>
      <c r="S1338" s="544">
        <f t="shared" si="62"/>
        <v>0</v>
      </c>
    </row>
    <row r="1339" spans="2:19">
      <c r="B1339" s="146"/>
      <c r="C1339" s="146"/>
      <c r="D1339" s="543" t="str">
        <f t="shared" si="61"/>
        <v/>
      </c>
      <c r="I1339" s="146"/>
      <c r="J1339" s="146"/>
      <c r="K1339" s="146"/>
      <c r="L1339" s="146"/>
      <c r="M1339" s="544"/>
      <c r="N1339" s="544"/>
      <c r="O1339" s="544"/>
      <c r="P1339" s="544"/>
      <c r="R1339" s="543" t="str">
        <f t="shared" si="60"/>
        <v>:</v>
      </c>
      <c r="S1339" s="544">
        <f t="shared" si="62"/>
        <v>0</v>
      </c>
    </row>
    <row r="1340" spans="2:19">
      <c r="B1340" s="146"/>
      <c r="C1340" s="146"/>
      <c r="D1340" s="543" t="str">
        <f t="shared" si="61"/>
        <v/>
      </c>
      <c r="I1340" s="146"/>
      <c r="J1340" s="146"/>
      <c r="K1340" s="146"/>
      <c r="L1340" s="146"/>
      <c r="M1340" s="544"/>
      <c r="N1340" s="544"/>
      <c r="O1340" s="544"/>
      <c r="P1340" s="544"/>
      <c r="R1340" s="543" t="str">
        <f t="shared" si="60"/>
        <v>:</v>
      </c>
      <c r="S1340" s="544">
        <f t="shared" si="62"/>
        <v>0</v>
      </c>
    </row>
    <row r="1341" spans="2:19">
      <c r="B1341" s="146"/>
      <c r="C1341" s="146"/>
      <c r="D1341" s="543" t="str">
        <f t="shared" si="61"/>
        <v/>
      </c>
      <c r="I1341" s="146"/>
      <c r="J1341" s="146"/>
      <c r="K1341" s="146"/>
      <c r="L1341" s="146"/>
      <c r="M1341" s="544"/>
      <c r="N1341" s="544"/>
      <c r="O1341" s="544"/>
      <c r="P1341" s="544"/>
      <c r="R1341" s="543" t="str">
        <f t="shared" si="60"/>
        <v>:</v>
      </c>
      <c r="S1341" s="544">
        <f t="shared" si="62"/>
        <v>0</v>
      </c>
    </row>
    <row r="1342" spans="2:19">
      <c r="B1342" s="146"/>
      <c r="C1342" s="146"/>
      <c r="D1342" s="543" t="str">
        <f t="shared" si="61"/>
        <v/>
      </c>
      <c r="I1342" s="146"/>
      <c r="J1342" s="146"/>
      <c r="K1342" s="146"/>
      <c r="L1342" s="146"/>
      <c r="M1342" s="544"/>
      <c r="N1342" s="544"/>
      <c r="O1342" s="544"/>
      <c r="P1342" s="544"/>
      <c r="R1342" s="543" t="str">
        <f t="shared" si="60"/>
        <v>:</v>
      </c>
      <c r="S1342" s="544">
        <f t="shared" si="62"/>
        <v>0</v>
      </c>
    </row>
    <row r="1343" spans="2:19">
      <c r="B1343" s="146"/>
      <c r="C1343" s="146"/>
      <c r="D1343" s="543" t="str">
        <f t="shared" si="61"/>
        <v/>
      </c>
      <c r="I1343" s="146"/>
      <c r="J1343" s="146"/>
      <c r="K1343" s="146"/>
      <c r="L1343" s="146"/>
      <c r="M1343" s="544"/>
      <c r="N1343" s="544"/>
      <c r="O1343" s="544"/>
      <c r="P1343" s="544"/>
      <c r="R1343" s="543" t="str">
        <f t="shared" si="60"/>
        <v>:</v>
      </c>
      <c r="S1343" s="544">
        <f t="shared" si="62"/>
        <v>0</v>
      </c>
    </row>
    <row r="1344" spans="2:19">
      <c r="B1344" s="146"/>
      <c r="C1344" s="146"/>
      <c r="D1344" s="543" t="str">
        <f t="shared" si="61"/>
        <v/>
      </c>
      <c r="I1344" s="146"/>
      <c r="J1344" s="146"/>
      <c r="K1344" s="146"/>
      <c r="L1344" s="146"/>
      <c r="M1344" s="544"/>
      <c r="N1344" s="544"/>
      <c r="O1344" s="544"/>
      <c r="P1344" s="544"/>
      <c r="R1344" s="543" t="str">
        <f t="shared" si="60"/>
        <v>:</v>
      </c>
      <c r="S1344" s="544">
        <f t="shared" si="62"/>
        <v>0</v>
      </c>
    </row>
    <row r="1345" spans="2:19">
      <c r="B1345" s="146"/>
      <c r="C1345" s="146"/>
      <c r="D1345" s="543" t="str">
        <f t="shared" si="61"/>
        <v/>
      </c>
      <c r="I1345" s="146"/>
      <c r="J1345" s="146"/>
      <c r="K1345" s="146"/>
      <c r="L1345" s="146"/>
      <c r="M1345" s="544"/>
      <c r="N1345" s="544"/>
      <c r="O1345" s="544"/>
      <c r="P1345" s="544"/>
      <c r="R1345" s="543" t="str">
        <f t="shared" si="60"/>
        <v>:</v>
      </c>
      <c r="S1345" s="544">
        <f t="shared" si="62"/>
        <v>0</v>
      </c>
    </row>
    <row r="1346" spans="2:19">
      <c r="B1346" s="146"/>
      <c r="C1346" s="146"/>
      <c r="D1346" s="543" t="str">
        <f t="shared" si="61"/>
        <v/>
      </c>
      <c r="I1346" s="146"/>
      <c r="J1346" s="146"/>
      <c r="K1346" s="146"/>
      <c r="L1346" s="146"/>
      <c r="M1346" s="544"/>
      <c r="N1346" s="544"/>
      <c r="O1346" s="544"/>
      <c r="P1346" s="544"/>
      <c r="R1346" s="543" t="str">
        <f t="shared" si="60"/>
        <v>:</v>
      </c>
      <c r="S1346" s="544">
        <f t="shared" si="62"/>
        <v>0</v>
      </c>
    </row>
    <row r="1347" spans="2:19">
      <c r="B1347" s="146"/>
      <c r="C1347" s="146"/>
      <c r="D1347" s="543" t="str">
        <f t="shared" si="61"/>
        <v/>
      </c>
      <c r="I1347" s="146"/>
      <c r="J1347" s="146"/>
      <c r="K1347" s="146"/>
      <c r="L1347" s="146"/>
      <c r="M1347" s="544"/>
      <c r="N1347" s="544"/>
      <c r="O1347" s="544"/>
      <c r="P1347" s="544"/>
      <c r="R1347" s="543" t="str">
        <f t="shared" si="60"/>
        <v>:</v>
      </c>
      <c r="S1347" s="544">
        <f t="shared" si="62"/>
        <v>0</v>
      </c>
    </row>
    <row r="1348" spans="2:19">
      <c r="B1348" s="146"/>
      <c r="C1348" s="146"/>
      <c r="D1348" s="543" t="str">
        <f t="shared" si="61"/>
        <v/>
      </c>
      <c r="I1348" s="146"/>
      <c r="J1348" s="146"/>
      <c r="K1348" s="146"/>
      <c r="L1348" s="146"/>
      <c r="M1348" s="544"/>
      <c r="N1348" s="544"/>
      <c r="O1348" s="544"/>
      <c r="P1348" s="544"/>
      <c r="R1348" s="543" t="str">
        <f t="shared" si="60"/>
        <v>:</v>
      </c>
      <c r="S1348" s="544">
        <f t="shared" si="62"/>
        <v>0</v>
      </c>
    </row>
    <row r="1349" spans="2:19">
      <c r="B1349" s="146"/>
      <c r="C1349" s="146"/>
      <c r="D1349" s="543" t="str">
        <f t="shared" si="61"/>
        <v/>
      </c>
      <c r="I1349" s="146"/>
      <c r="J1349" s="146"/>
      <c r="K1349" s="146"/>
      <c r="L1349" s="146"/>
      <c r="M1349" s="544"/>
      <c r="N1349" s="544"/>
      <c r="O1349" s="544"/>
      <c r="P1349" s="544"/>
      <c r="R1349" s="543" t="str">
        <f t="shared" ref="R1349:R1356" si="63">I1349&amp;":"&amp;J1349&amp;K1349</f>
        <v>:</v>
      </c>
      <c r="S1349" s="544">
        <f t="shared" si="62"/>
        <v>0</v>
      </c>
    </row>
    <row r="1350" spans="2:19">
      <c r="B1350" s="146"/>
      <c r="C1350" s="146"/>
      <c r="D1350" s="543" t="str">
        <f t="shared" si="61"/>
        <v/>
      </c>
      <c r="I1350" s="146"/>
      <c r="J1350" s="146"/>
      <c r="K1350" s="146"/>
      <c r="L1350" s="146"/>
      <c r="M1350" s="544"/>
      <c r="N1350" s="544"/>
      <c r="O1350" s="544"/>
      <c r="P1350" s="544"/>
      <c r="R1350" s="543" t="str">
        <f t="shared" si="63"/>
        <v>:</v>
      </c>
      <c r="S1350" s="544">
        <f t="shared" si="62"/>
        <v>0</v>
      </c>
    </row>
    <row r="1351" spans="2:19">
      <c r="B1351" s="146"/>
      <c r="C1351" s="146"/>
      <c r="D1351" s="543" t="str">
        <f t="shared" si="61"/>
        <v/>
      </c>
      <c r="I1351" s="146"/>
      <c r="J1351" s="146"/>
      <c r="K1351" s="146"/>
      <c r="L1351" s="146"/>
      <c r="M1351" s="544"/>
      <c r="N1351" s="544"/>
      <c r="O1351" s="544"/>
      <c r="P1351" s="544"/>
      <c r="R1351" s="543" t="str">
        <f t="shared" si="63"/>
        <v>:</v>
      </c>
      <c r="S1351" s="544">
        <f t="shared" si="62"/>
        <v>0</v>
      </c>
    </row>
    <row r="1352" spans="2:19">
      <c r="B1352" s="146"/>
      <c r="C1352" s="146"/>
      <c r="D1352" s="543" t="str">
        <f t="shared" si="61"/>
        <v/>
      </c>
      <c r="I1352" s="146"/>
      <c r="J1352" s="146"/>
      <c r="K1352" s="146"/>
      <c r="L1352" s="146"/>
      <c r="M1352" s="544"/>
      <c r="N1352" s="544"/>
      <c r="O1352" s="544"/>
      <c r="P1352" s="544"/>
      <c r="R1352" s="543" t="str">
        <f t="shared" si="63"/>
        <v>:</v>
      </c>
      <c r="S1352" s="544">
        <f t="shared" si="62"/>
        <v>0</v>
      </c>
    </row>
    <row r="1353" spans="2:19">
      <c r="B1353" s="146"/>
      <c r="C1353" s="146"/>
      <c r="D1353" s="543" t="str">
        <f t="shared" si="61"/>
        <v/>
      </c>
      <c r="I1353" s="146"/>
      <c r="J1353" s="146"/>
      <c r="K1353" s="146"/>
      <c r="L1353" s="146"/>
      <c r="M1353" s="544"/>
      <c r="N1353" s="544"/>
      <c r="O1353" s="544"/>
      <c r="P1353" s="544"/>
      <c r="R1353" s="543" t="str">
        <f t="shared" si="63"/>
        <v>:</v>
      </c>
      <c r="S1353" s="544">
        <f t="shared" si="62"/>
        <v>0</v>
      </c>
    </row>
    <row r="1354" spans="2:19">
      <c r="B1354" s="146"/>
      <c r="C1354" s="146"/>
      <c r="D1354" s="543" t="str">
        <f t="shared" ref="D1354:D1417" si="64">IF(B1354="","",B1354&amp;":"&amp;C1354)</f>
        <v/>
      </c>
      <c r="I1354" s="146"/>
      <c r="J1354" s="146"/>
      <c r="K1354" s="146"/>
      <c r="L1354" s="146"/>
      <c r="M1354" s="544"/>
      <c r="N1354" s="544"/>
      <c r="O1354" s="544"/>
      <c r="P1354" s="544"/>
      <c r="R1354" s="543" t="str">
        <f t="shared" si="63"/>
        <v>:</v>
      </c>
      <c r="S1354" s="544">
        <f t="shared" ref="S1354:S1417" si="65">HLOOKUP($S$8,$L$8:$P$2000,ROW()-7,FALSE)</f>
        <v>0</v>
      </c>
    </row>
    <row r="1355" spans="2:19">
      <c r="B1355" s="146"/>
      <c r="C1355" s="146"/>
      <c r="D1355" s="543" t="str">
        <f t="shared" si="64"/>
        <v/>
      </c>
      <c r="I1355" s="146"/>
      <c r="J1355" s="146"/>
      <c r="K1355" s="146"/>
      <c r="L1355" s="146"/>
      <c r="M1355" s="544"/>
      <c r="N1355" s="544"/>
      <c r="O1355" s="544"/>
      <c r="P1355" s="544"/>
      <c r="R1355" s="543" t="str">
        <f t="shared" si="63"/>
        <v>:</v>
      </c>
      <c r="S1355" s="544">
        <f t="shared" si="65"/>
        <v>0</v>
      </c>
    </row>
    <row r="1356" spans="2:19">
      <c r="B1356" s="146"/>
      <c r="C1356" s="146"/>
      <c r="D1356" s="543" t="str">
        <f t="shared" si="64"/>
        <v/>
      </c>
      <c r="I1356" s="146"/>
      <c r="J1356" s="146"/>
      <c r="K1356" s="146"/>
      <c r="L1356" s="146"/>
      <c r="M1356" s="544"/>
      <c r="N1356" s="544"/>
      <c r="O1356" s="544"/>
      <c r="P1356" s="544"/>
      <c r="R1356" s="543" t="str">
        <f t="shared" si="63"/>
        <v>:</v>
      </c>
      <c r="S1356" s="544">
        <f t="shared" si="65"/>
        <v>0</v>
      </c>
    </row>
    <row r="1357" spans="2:19">
      <c r="B1357" s="146"/>
      <c r="C1357" s="146"/>
      <c r="D1357" s="543" t="str">
        <f t="shared" si="64"/>
        <v/>
      </c>
      <c r="I1357" s="146"/>
      <c r="J1357" s="146"/>
      <c r="K1357" s="146"/>
      <c r="L1357" s="146"/>
      <c r="M1357" s="544"/>
      <c r="N1357" s="544"/>
      <c r="O1357" s="544"/>
      <c r="P1357" s="544"/>
      <c r="R1357" s="543" t="str">
        <f>I1357&amp;":"&amp;J1357&amp;K1357</f>
        <v>:</v>
      </c>
      <c r="S1357" s="544">
        <f t="shared" si="65"/>
        <v>0</v>
      </c>
    </row>
    <row r="1358" spans="2:19">
      <c r="B1358" s="146"/>
      <c r="C1358" s="146"/>
      <c r="D1358" s="543" t="str">
        <f t="shared" si="64"/>
        <v/>
      </c>
      <c r="I1358" s="146"/>
      <c r="J1358" s="146"/>
      <c r="K1358" s="146"/>
      <c r="L1358" s="146"/>
      <c r="M1358" s="544"/>
      <c r="N1358" s="544"/>
      <c r="O1358" s="544"/>
      <c r="P1358" s="544"/>
      <c r="R1358" s="543" t="str">
        <f t="shared" ref="R1358:R1420" si="66">I1358&amp;":"&amp;J1358&amp;K1358</f>
        <v>:</v>
      </c>
      <c r="S1358" s="544">
        <f t="shared" si="65"/>
        <v>0</v>
      </c>
    </row>
    <row r="1359" spans="2:19">
      <c r="B1359" s="146"/>
      <c r="C1359" s="146"/>
      <c r="D1359" s="543" t="str">
        <f t="shared" si="64"/>
        <v/>
      </c>
      <c r="I1359" s="146"/>
      <c r="J1359" s="146"/>
      <c r="K1359" s="146"/>
      <c r="L1359" s="146"/>
      <c r="M1359" s="544"/>
      <c r="N1359" s="544"/>
      <c r="O1359" s="544"/>
      <c r="P1359" s="544"/>
      <c r="R1359" s="543" t="str">
        <f t="shared" si="66"/>
        <v>:</v>
      </c>
      <c r="S1359" s="544">
        <f t="shared" si="65"/>
        <v>0</v>
      </c>
    </row>
    <row r="1360" spans="2:19">
      <c r="B1360" s="146"/>
      <c r="C1360" s="146"/>
      <c r="D1360" s="543" t="str">
        <f t="shared" si="64"/>
        <v/>
      </c>
      <c r="I1360" s="146"/>
      <c r="J1360" s="146"/>
      <c r="K1360" s="146"/>
      <c r="L1360" s="146"/>
      <c r="M1360" s="544"/>
      <c r="N1360" s="544"/>
      <c r="O1360" s="544"/>
      <c r="P1360" s="544"/>
      <c r="R1360" s="543" t="str">
        <f t="shared" si="66"/>
        <v>:</v>
      </c>
      <c r="S1360" s="544">
        <f t="shared" si="65"/>
        <v>0</v>
      </c>
    </row>
    <row r="1361" spans="2:19">
      <c r="B1361" s="146"/>
      <c r="C1361" s="146"/>
      <c r="D1361" s="543" t="str">
        <f t="shared" si="64"/>
        <v/>
      </c>
      <c r="I1361" s="146"/>
      <c r="J1361" s="146"/>
      <c r="K1361" s="146"/>
      <c r="L1361" s="146"/>
      <c r="M1361" s="544"/>
      <c r="N1361" s="544"/>
      <c r="O1361" s="544"/>
      <c r="P1361" s="544"/>
      <c r="R1361" s="543" t="str">
        <f t="shared" si="66"/>
        <v>:</v>
      </c>
      <c r="S1361" s="544">
        <f t="shared" si="65"/>
        <v>0</v>
      </c>
    </row>
    <row r="1362" spans="2:19">
      <c r="B1362" s="146"/>
      <c r="C1362" s="146"/>
      <c r="D1362" s="543" t="str">
        <f t="shared" si="64"/>
        <v/>
      </c>
      <c r="I1362" s="146"/>
      <c r="J1362" s="146"/>
      <c r="K1362" s="146"/>
      <c r="L1362" s="146"/>
      <c r="M1362" s="544"/>
      <c r="N1362" s="544"/>
      <c r="O1362" s="544"/>
      <c r="P1362" s="544"/>
      <c r="R1362" s="543" t="str">
        <f t="shared" si="66"/>
        <v>:</v>
      </c>
      <c r="S1362" s="544">
        <f t="shared" si="65"/>
        <v>0</v>
      </c>
    </row>
    <row r="1363" spans="2:19">
      <c r="B1363" s="146"/>
      <c r="C1363" s="146"/>
      <c r="D1363" s="543" t="str">
        <f t="shared" si="64"/>
        <v/>
      </c>
      <c r="I1363" s="146"/>
      <c r="J1363" s="146"/>
      <c r="K1363" s="146"/>
      <c r="L1363" s="146"/>
      <c r="M1363" s="544"/>
      <c r="N1363" s="544"/>
      <c r="O1363" s="544"/>
      <c r="P1363" s="544"/>
      <c r="R1363" s="543" t="str">
        <f t="shared" si="66"/>
        <v>:</v>
      </c>
      <c r="S1363" s="544">
        <f t="shared" si="65"/>
        <v>0</v>
      </c>
    </row>
    <row r="1364" spans="2:19">
      <c r="B1364" s="146"/>
      <c r="C1364" s="146"/>
      <c r="D1364" s="543" t="str">
        <f t="shared" si="64"/>
        <v/>
      </c>
      <c r="I1364" s="146"/>
      <c r="J1364" s="146"/>
      <c r="K1364" s="146"/>
      <c r="L1364" s="146"/>
      <c r="M1364" s="544"/>
      <c r="N1364" s="544"/>
      <c r="O1364" s="544"/>
      <c r="P1364" s="544"/>
      <c r="R1364" s="543" t="str">
        <f t="shared" si="66"/>
        <v>:</v>
      </c>
      <c r="S1364" s="544">
        <f t="shared" si="65"/>
        <v>0</v>
      </c>
    </row>
    <row r="1365" spans="2:19">
      <c r="B1365" s="146"/>
      <c r="C1365" s="146"/>
      <c r="D1365" s="543" t="str">
        <f t="shared" si="64"/>
        <v/>
      </c>
      <c r="I1365" s="146"/>
      <c r="J1365" s="146"/>
      <c r="K1365" s="146"/>
      <c r="L1365" s="146"/>
      <c r="M1365" s="544"/>
      <c r="N1365" s="544"/>
      <c r="O1365" s="544"/>
      <c r="P1365" s="544"/>
      <c r="R1365" s="543" t="str">
        <f t="shared" si="66"/>
        <v>:</v>
      </c>
      <c r="S1365" s="544">
        <f t="shared" si="65"/>
        <v>0</v>
      </c>
    </row>
    <row r="1366" spans="2:19">
      <c r="B1366" s="146"/>
      <c r="C1366" s="146"/>
      <c r="D1366" s="543" t="str">
        <f t="shared" si="64"/>
        <v/>
      </c>
      <c r="I1366" s="146"/>
      <c r="J1366" s="146"/>
      <c r="K1366" s="146"/>
      <c r="L1366" s="146"/>
      <c r="M1366" s="544"/>
      <c r="N1366" s="544"/>
      <c r="O1366" s="544"/>
      <c r="P1366" s="544"/>
      <c r="R1366" s="543" t="str">
        <f t="shared" si="66"/>
        <v>:</v>
      </c>
      <c r="S1366" s="544">
        <f t="shared" si="65"/>
        <v>0</v>
      </c>
    </row>
    <row r="1367" spans="2:19">
      <c r="B1367" s="146"/>
      <c r="C1367" s="146"/>
      <c r="D1367" s="543" t="str">
        <f t="shared" si="64"/>
        <v/>
      </c>
      <c r="I1367" s="146"/>
      <c r="J1367" s="146"/>
      <c r="K1367" s="146"/>
      <c r="L1367" s="146"/>
      <c r="M1367" s="544"/>
      <c r="N1367" s="544"/>
      <c r="O1367" s="544"/>
      <c r="P1367" s="544"/>
      <c r="R1367" s="543" t="str">
        <f t="shared" si="66"/>
        <v>:</v>
      </c>
      <c r="S1367" s="544">
        <f t="shared" si="65"/>
        <v>0</v>
      </c>
    </row>
    <row r="1368" spans="2:19">
      <c r="B1368" s="146"/>
      <c r="C1368" s="146"/>
      <c r="D1368" s="543" t="str">
        <f t="shared" si="64"/>
        <v/>
      </c>
      <c r="I1368" s="146"/>
      <c r="J1368" s="146"/>
      <c r="K1368" s="146"/>
      <c r="L1368" s="146"/>
      <c r="M1368" s="544"/>
      <c r="N1368" s="544"/>
      <c r="O1368" s="544"/>
      <c r="P1368" s="544"/>
      <c r="R1368" s="543" t="str">
        <f t="shared" si="66"/>
        <v>:</v>
      </c>
      <c r="S1368" s="544">
        <f t="shared" si="65"/>
        <v>0</v>
      </c>
    </row>
    <row r="1369" spans="2:19">
      <c r="B1369" s="146"/>
      <c r="C1369" s="146"/>
      <c r="D1369" s="543" t="str">
        <f t="shared" si="64"/>
        <v/>
      </c>
      <c r="I1369" s="146"/>
      <c r="J1369" s="146"/>
      <c r="K1369" s="146"/>
      <c r="L1369" s="146"/>
      <c r="M1369" s="544"/>
      <c r="N1369" s="544"/>
      <c r="O1369" s="544"/>
      <c r="P1369" s="544"/>
      <c r="R1369" s="543" t="str">
        <f t="shared" si="66"/>
        <v>:</v>
      </c>
      <c r="S1369" s="544">
        <f t="shared" si="65"/>
        <v>0</v>
      </c>
    </row>
    <row r="1370" spans="2:19">
      <c r="B1370" s="146"/>
      <c r="C1370" s="146"/>
      <c r="D1370" s="543" t="str">
        <f t="shared" si="64"/>
        <v/>
      </c>
      <c r="I1370" s="146"/>
      <c r="J1370" s="146"/>
      <c r="K1370" s="146"/>
      <c r="L1370" s="146"/>
      <c r="M1370" s="544"/>
      <c r="N1370" s="544"/>
      <c r="O1370" s="544"/>
      <c r="P1370" s="544"/>
      <c r="R1370" s="543" t="str">
        <f t="shared" si="66"/>
        <v>:</v>
      </c>
      <c r="S1370" s="544">
        <f t="shared" si="65"/>
        <v>0</v>
      </c>
    </row>
    <row r="1371" spans="2:19">
      <c r="B1371" s="146"/>
      <c r="C1371" s="146"/>
      <c r="D1371" s="543" t="str">
        <f t="shared" si="64"/>
        <v/>
      </c>
      <c r="I1371" s="146"/>
      <c r="J1371" s="146"/>
      <c r="K1371" s="146"/>
      <c r="L1371" s="146"/>
      <c r="M1371" s="544"/>
      <c r="N1371" s="544"/>
      <c r="O1371" s="544"/>
      <c r="P1371" s="544"/>
      <c r="R1371" s="543" t="str">
        <f t="shared" si="66"/>
        <v>:</v>
      </c>
      <c r="S1371" s="544">
        <f t="shared" si="65"/>
        <v>0</v>
      </c>
    </row>
    <row r="1372" spans="2:19">
      <c r="B1372" s="146"/>
      <c r="C1372" s="146"/>
      <c r="D1372" s="543" t="str">
        <f t="shared" si="64"/>
        <v/>
      </c>
      <c r="I1372" s="146"/>
      <c r="J1372" s="146"/>
      <c r="K1372" s="146"/>
      <c r="L1372" s="146"/>
      <c r="M1372" s="544"/>
      <c r="N1372" s="544"/>
      <c r="O1372" s="544"/>
      <c r="P1372" s="544"/>
      <c r="R1372" s="543" t="str">
        <f t="shared" si="66"/>
        <v>:</v>
      </c>
      <c r="S1372" s="544">
        <f t="shared" si="65"/>
        <v>0</v>
      </c>
    </row>
    <row r="1373" spans="2:19">
      <c r="B1373" s="146"/>
      <c r="C1373" s="146"/>
      <c r="D1373" s="543" t="str">
        <f t="shared" si="64"/>
        <v/>
      </c>
      <c r="I1373" s="146"/>
      <c r="J1373" s="146"/>
      <c r="K1373" s="146"/>
      <c r="L1373" s="146"/>
      <c r="M1373" s="544"/>
      <c r="N1373" s="544"/>
      <c r="O1373" s="544"/>
      <c r="P1373" s="544"/>
      <c r="R1373" s="543" t="str">
        <f t="shared" si="66"/>
        <v>:</v>
      </c>
      <c r="S1373" s="544">
        <f t="shared" si="65"/>
        <v>0</v>
      </c>
    </row>
    <row r="1374" spans="2:19">
      <c r="B1374" s="146"/>
      <c r="C1374" s="146"/>
      <c r="D1374" s="543" t="str">
        <f t="shared" si="64"/>
        <v/>
      </c>
      <c r="I1374" s="146"/>
      <c r="J1374" s="146"/>
      <c r="K1374" s="146"/>
      <c r="L1374" s="146"/>
      <c r="M1374" s="544"/>
      <c r="N1374" s="544"/>
      <c r="O1374" s="544"/>
      <c r="P1374" s="544"/>
      <c r="R1374" s="543" t="str">
        <f t="shared" si="66"/>
        <v>:</v>
      </c>
      <c r="S1374" s="544">
        <f t="shared" si="65"/>
        <v>0</v>
      </c>
    </row>
    <row r="1375" spans="2:19">
      <c r="B1375" s="146"/>
      <c r="C1375" s="146"/>
      <c r="D1375" s="543" t="str">
        <f t="shared" si="64"/>
        <v/>
      </c>
      <c r="I1375" s="146"/>
      <c r="J1375" s="146"/>
      <c r="K1375" s="146"/>
      <c r="L1375" s="146"/>
      <c r="M1375" s="544"/>
      <c r="N1375" s="544"/>
      <c r="O1375" s="544"/>
      <c r="P1375" s="544"/>
      <c r="R1375" s="543" t="str">
        <f t="shared" si="66"/>
        <v>:</v>
      </c>
      <c r="S1375" s="544">
        <f t="shared" si="65"/>
        <v>0</v>
      </c>
    </row>
    <row r="1376" spans="2:19">
      <c r="B1376" s="146"/>
      <c r="C1376" s="146"/>
      <c r="D1376" s="543" t="str">
        <f t="shared" si="64"/>
        <v/>
      </c>
      <c r="I1376" s="146"/>
      <c r="J1376" s="146"/>
      <c r="K1376" s="146"/>
      <c r="L1376" s="146"/>
      <c r="M1376" s="544"/>
      <c r="N1376" s="544"/>
      <c r="O1376" s="544"/>
      <c r="P1376" s="544"/>
      <c r="R1376" s="543" t="str">
        <f t="shared" si="66"/>
        <v>:</v>
      </c>
      <c r="S1376" s="544">
        <f t="shared" si="65"/>
        <v>0</v>
      </c>
    </row>
    <row r="1377" spans="2:19">
      <c r="B1377" s="146"/>
      <c r="C1377" s="146"/>
      <c r="D1377" s="543" t="str">
        <f t="shared" si="64"/>
        <v/>
      </c>
      <c r="I1377" s="146"/>
      <c r="J1377" s="146"/>
      <c r="K1377" s="146"/>
      <c r="L1377" s="146"/>
      <c r="M1377" s="544"/>
      <c r="N1377" s="544"/>
      <c r="O1377" s="544"/>
      <c r="P1377" s="544"/>
      <c r="R1377" s="543" t="str">
        <f t="shared" si="66"/>
        <v>:</v>
      </c>
      <c r="S1377" s="544">
        <f t="shared" si="65"/>
        <v>0</v>
      </c>
    </row>
    <row r="1378" spans="2:19">
      <c r="B1378" s="146"/>
      <c r="C1378" s="146"/>
      <c r="D1378" s="543" t="str">
        <f t="shared" si="64"/>
        <v/>
      </c>
      <c r="I1378" s="146"/>
      <c r="J1378" s="146"/>
      <c r="K1378" s="146"/>
      <c r="L1378" s="146"/>
      <c r="M1378" s="544"/>
      <c r="N1378" s="544"/>
      <c r="O1378" s="544"/>
      <c r="P1378" s="544"/>
      <c r="R1378" s="543" t="str">
        <f t="shared" si="66"/>
        <v>:</v>
      </c>
      <c r="S1378" s="544">
        <f t="shared" si="65"/>
        <v>0</v>
      </c>
    </row>
    <row r="1379" spans="2:19">
      <c r="B1379" s="146"/>
      <c r="C1379" s="146"/>
      <c r="D1379" s="543" t="str">
        <f t="shared" si="64"/>
        <v/>
      </c>
      <c r="I1379" s="146"/>
      <c r="J1379" s="146"/>
      <c r="K1379" s="146"/>
      <c r="L1379" s="146"/>
      <c r="M1379" s="544"/>
      <c r="N1379" s="544"/>
      <c r="O1379" s="544"/>
      <c r="P1379" s="544"/>
      <c r="R1379" s="543" t="str">
        <f t="shared" si="66"/>
        <v>:</v>
      </c>
      <c r="S1379" s="544">
        <f t="shared" si="65"/>
        <v>0</v>
      </c>
    </row>
    <row r="1380" spans="2:19">
      <c r="B1380" s="146"/>
      <c r="C1380" s="146"/>
      <c r="D1380" s="543" t="str">
        <f t="shared" si="64"/>
        <v/>
      </c>
      <c r="I1380" s="146"/>
      <c r="J1380" s="146"/>
      <c r="K1380" s="146"/>
      <c r="L1380" s="146"/>
      <c r="M1380" s="544"/>
      <c r="N1380" s="544"/>
      <c r="O1380" s="544"/>
      <c r="P1380" s="544"/>
      <c r="R1380" s="543" t="str">
        <f t="shared" si="66"/>
        <v>:</v>
      </c>
      <c r="S1380" s="544">
        <f t="shared" si="65"/>
        <v>0</v>
      </c>
    </row>
    <row r="1381" spans="2:19">
      <c r="B1381" s="146"/>
      <c r="C1381" s="146"/>
      <c r="D1381" s="543" t="str">
        <f t="shared" si="64"/>
        <v/>
      </c>
      <c r="I1381" s="146"/>
      <c r="J1381" s="146"/>
      <c r="K1381" s="146"/>
      <c r="L1381" s="146"/>
      <c r="M1381" s="544"/>
      <c r="N1381" s="544"/>
      <c r="O1381" s="544"/>
      <c r="P1381" s="544"/>
      <c r="R1381" s="543" t="str">
        <f t="shared" si="66"/>
        <v>:</v>
      </c>
      <c r="S1381" s="544">
        <f t="shared" si="65"/>
        <v>0</v>
      </c>
    </row>
    <row r="1382" spans="2:19">
      <c r="B1382" s="146"/>
      <c r="C1382" s="146"/>
      <c r="D1382" s="543" t="str">
        <f t="shared" si="64"/>
        <v/>
      </c>
      <c r="I1382" s="146"/>
      <c r="J1382" s="146"/>
      <c r="K1382" s="146"/>
      <c r="L1382" s="146"/>
      <c r="M1382" s="544"/>
      <c r="N1382" s="544"/>
      <c r="O1382" s="544"/>
      <c r="P1382" s="544"/>
      <c r="R1382" s="543" t="str">
        <f t="shared" si="66"/>
        <v>:</v>
      </c>
      <c r="S1382" s="544">
        <f t="shared" si="65"/>
        <v>0</v>
      </c>
    </row>
    <row r="1383" spans="2:19">
      <c r="B1383" s="146"/>
      <c r="C1383" s="146"/>
      <c r="D1383" s="543" t="str">
        <f t="shared" si="64"/>
        <v/>
      </c>
      <c r="I1383" s="146"/>
      <c r="J1383" s="146"/>
      <c r="K1383" s="146"/>
      <c r="L1383" s="146"/>
      <c r="M1383" s="544"/>
      <c r="N1383" s="544"/>
      <c r="O1383" s="544"/>
      <c r="P1383" s="544"/>
      <c r="R1383" s="543" t="str">
        <f t="shared" si="66"/>
        <v>:</v>
      </c>
      <c r="S1383" s="544">
        <f t="shared" si="65"/>
        <v>0</v>
      </c>
    </row>
    <row r="1384" spans="2:19">
      <c r="B1384" s="146"/>
      <c r="C1384" s="146"/>
      <c r="D1384" s="543" t="str">
        <f t="shared" si="64"/>
        <v/>
      </c>
      <c r="I1384" s="146"/>
      <c r="J1384" s="146"/>
      <c r="K1384" s="146"/>
      <c r="L1384" s="146"/>
      <c r="M1384" s="544"/>
      <c r="N1384" s="544"/>
      <c r="O1384" s="544"/>
      <c r="P1384" s="544"/>
      <c r="R1384" s="543" t="str">
        <f t="shared" si="66"/>
        <v>:</v>
      </c>
      <c r="S1384" s="544">
        <f t="shared" si="65"/>
        <v>0</v>
      </c>
    </row>
    <row r="1385" spans="2:19">
      <c r="B1385" s="146"/>
      <c r="C1385" s="146"/>
      <c r="D1385" s="543" t="str">
        <f t="shared" si="64"/>
        <v/>
      </c>
      <c r="I1385" s="146"/>
      <c r="J1385" s="146"/>
      <c r="K1385" s="146"/>
      <c r="L1385" s="146"/>
      <c r="M1385" s="544"/>
      <c r="N1385" s="544"/>
      <c r="O1385" s="544"/>
      <c r="P1385" s="544"/>
      <c r="R1385" s="543" t="str">
        <f t="shared" si="66"/>
        <v>:</v>
      </c>
      <c r="S1385" s="544">
        <f t="shared" si="65"/>
        <v>0</v>
      </c>
    </row>
    <row r="1386" spans="2:19">
      <c r="B1386" s="146"/>
      <c r="C1386" s="146"/>
      <c r="D1386" s="543" t="str">
        <f t="shared" si="64"/>
        <v/>
      </c>
      <c r="I1386" s="146"/>
      <c r="J1386" s="146"/>
      <c r="K1386" s="146"/>
      <c r="L1386" s="146"/>
      <c r="M1386" s="544"/>
      <c r="N1386" s="544"/>
      <c r="O1386" s="544"/>
      <c r="P1386" s="544"/>
      <c r="R1386" s="543" t="str">
        <f t="shared" si="66"/>
        <v>:</v>
      </c>
      <c r="S1386" s="544">
        <f t="shared" si="65"/>
        <v>0</v>
      </c>
    </row>
    <row r="1387" spans="2:19">
      <c r="B1387" s="146"/>
      <c r="C1387" s="146"/>
      <c r="D1387" s="543" t="str">
        <f t="shared" si="64"/>
        <v/>
      </c>
      <c r="I1387" s="146"/>
      <c r="J1387" s="146"/>
      <c r="K1387" s="146"/>
      <c r="L1387" s="146"/>
      <c r="M1387" s="544"/>
      <c r="N1387" s="544"/>
      <c r="O1387" s="544"/>
      <c r="P1387" s="544"/>
      <c r="R1387" s="543" t="str">
        <f t="shared" si="66"/>
        <v>:</v>
      </c>
      <c r="S1387" s="544">
        <f t="shared" si="65"/>
        <v>0</v>
      </c>
    </row>
    <row r="1388" spans="2:19">
      <c r="B1388" s="146"/>
      <c r="C1388" s="146"/>
      <c r="D1388" s="543" t="str">
        <f t="shared" si="64"/>
        <v/>
      </c>
      <c r="I1388" s="146"/>
      <c r="J1388" s="146"/>
      <c r="K1388" s="146"/>
      <c r="L1388" s="146"/>
      <c r="M1388" s="544"/>
      <c r="N1388" s="544"/>
      <c r="O1388" s="544"/>
      <c r="P1388" s="544"/>
      <c r="R1388" s="543" t="str">
        <f t="shared" si="66"/>
        <v>:</v>
      </c>
      <c r="S1388" s="544">
        <f t="shared" si="65"/>
        <v>0</v>
      </c>
    </row>
    <row r="1389" spans="2:19">
      <c r="B1389" s="146"/>
      <c r="C1389" s="146"/>
      <c r="D1389" s="543" t="str">
        <f t="shared" si="64"/>
        <v/>
      </c>
      <c r="I1389" s="146"/>
      <c r="J1389" s="146"/>
      <c r="K1389" s="146"/>
      <c r="L1389" s="146"/>
      <c r="M1389" s="544"/>
      <c r="N1389" s="544"/>
      <c r="O1389" s="544"/>
      <c r="P1389" s="544"/>
      <c r="R1389" s="543" t="str">
        <f t="shared" si="66"/>
        <v>:</v>
      </c>
      <c r="S1389" s="544">
        <f t="shared" si="65"/>
        <v>0</v>
      </c>
    </row>
    <row r="1390" spans="2:19">
      <c r="B1390" s="146"/>
      <c r="C1390" s="146"/>
      <c r="D1390" s="543" t="str">
        <f t="shared" si="64"/>
        <v/>
      </c>
      <c r="I1390" s="146"/>
      <c r="J1390" s="146"/>
      <c r="K1390" s="146"/>
      <c r="L1390" s="146"/>
      <c r="M1390" s="544"/>
      <c r="N1390" s="544"/>
      <c r="O1390" s="544"/>
      <c r="P1390" s="544"/>
      <c r="R1390" s="543" t="str">
        <f t="shared" si="66"/>
        <v>:</v>
      </c>
      <c r="S1390" s="544">
        <f t="shared" si="65"/>
        <v>0</v>
      </c>
    </row>
    <row r="1391" spans="2:19">
      <c r="B1391" s="146"/>
      <c r="C1391" s="146"/>
      <c r="D1391" s="543" t="str">
        <f t="shared" si="64"/>
        <v/>
      </c>
      <c r="I1391" s="146"/>
      <c r="J1391" s="146"/>
      <c r="K1391" s="146"/>
      <c r="L1391" s="146"/>
      <c r="M1391" s="544"/>
      <c r="N1391" s="544"/>
      <c r="O1391" s="544"/>
      <c r="P1391" s="544"/>
      <c r="R1391" s="543" t="str">
        <f t="shared" si="66"/>
        <v>:</v>
      </c>
      <c r="S1391" s="544">
        <f t="shared" si="65"/>
        <v>0</v>
      </c>
    </row>
    <row r="1392" spans="2:19">
      <c r="B1392" s="146"/>
      <c r="C1392" s="146"/>
      <c r="D1392" s="543" t="str">
        <f t="shared" si="64"/>
        <v/>
      </c>
      <c r="I1392" s="146"/>
      <c r="J1392" s="146"/>
      <c r="K1392" s="146"/>
      <c r="L1392" s="146"/>
      <c r="M1392" s="544"/>
      <c r="N1392" s="544"/>
      <c r="O1392" s="544"/>
      <c r="P1392" s="544"/>
      <c r="R1392" s="543" t="str">
        <f t="shared" si="66"/>
        <v>:</v>
      </c>
      <c r="S1392" s="544">
        <f t="shared" si="65"/>
        <v>0</v>
      </c>
    </row>
    <row r="1393" spans="2:19">
      <c r="B1393" s="146"/>
      <c r="C1393" s="146"/>
      <c r="D1393" s="543" t="str">
        <f t="shared" si="64"/>
        <v/>
      </c>
      <c r="I1393" s="146"/>
      <c r="J1393" s="146"/>
      <c r="K1393" s="146"/>
      <c r="L1393" s="146"/>
      <c r="M1393" s="544"/>
      <c r="N1393" s="544"/>
      <c r="O1393" s="544"/>
      <c r="P1393" s="544"/>
      <c r="R1393" s="543" t="str">
        <f t="shared" si="66"/>
        <v>:</v>
      </c>
      <c r="S1393" s="544">
        <f t="shared" si="65"/>
        <v>0</v>
      </c>
    </row>
    <row r="1394" spans="2:19">
      <c r="B1394" s="146"/>
      <c r="C1394" s="146"/>
      <c r="D1394" s="543" t="str">
        <f t="shared" si="64"/>
        <v/>
      </c>
      <c r="I1394" s="146"/>
      <c r="J1394" s="146"/>
      <c r="K1394" s="146"/>
      <c r="L1394" s="146"/>
      <c r="M1394" s="544"/>
      <c r="N1394" s="544"/>
      <c r="O1394" s="544"/>
      <c r="P1394" s="544"/>
      <c r="R1394" s="543" t="str">
        <f t="shared" si="66"/>
        <v>:</v>
      </c>
      <c r="S1394" s="544">
        <f t="shared" si="65"/>
        <v>0</v>
      </c>
    </row>
    <row r="1395" spans="2:19">
      <c r="B1395" s="146"/>
      <c r="C1395" s="146"/>
      <c r="D1395" s="543" t="str">
        <f t="shared" si="64"/>
        <v/>
      </c>
      <c r="I1395" s="146"/>
      <c r="J1395" s="146"/>
      <c r="K1395" s="146"/>
      <c r="L1395" s="146"/>
      <c r="M1395" s="544"/>
      <c r="N1395" s="544"/>
      <c r="O1395" s="544"/>
      <c r="P1395" s="544"/>
      <c r="R1395" s="543" t="str">
        <f t="shared" si="66"/>
        <v>:</v>
      </c>
      <c r="S1395" s="544">
        <f t="shared" si="65"/>
        <v>0</v>
      </c>
    </row>
    <row r="1396" spans="2:19">
      <c r="B1396" s="146"/>
      <c r="C1396" s="146"/>
      <c r="D1396" s="543" t="str">
        <f t="shared" si="64"/>
        <v/>
      </c>
      <c r="I1396" s="146"/>
      <c r="J1396" s="146"/>
      <c r="K1396" s="146"/>
      <c r="L1396" s="146"/>
      <c r="M1396" s="544"/>
      <c r="N1396" s="544"/>
      <c r="O1396" s="544"/>
      <c r="P1396" s="544"/>
      <c r="R1396" s="543" t="str">
        <f t="shared" si="66"/>
        <v>:</v>
      </c>
      <c r="S1396" s="544">
        <f t="shared" si="65"/>
        <v>0</v>
      </c>
    </row>
    <row r="1397" spans="2:19">
      <c r="B1397" s="146"/>
      <c r="C1397" s="146"/>
      <c r="D1397" s="543" t="str">
        <f t="shared" si="64"/>
        <v/>
      </c>
      <c r="I1397" s="146"/>
      <c r="J1397" s="146"/>
      <c r="K1397" s="146"/>
      <c r="L1397" s="146"/>
      <c r="M1397" s="544"/>
      <c r="N1397" s="544"/>
      <c r="O1397" s="544"/>
      <c r="P1397" s="544"/>
      <c r="R1397" s="543" t="str">
        <f t="shared" si="66"/>
        <v>:</v>
      </c>
      <c r="S1397" s="544">
        <f t="shared" si="65"/>
        <v>0</v>
      </c>
    </row>
    <row r="1398" spans="2:19">
      <c r="B1398" s="146"/>
      <c r="C1398" s="146"/>
      <c r="D1398" s="543" t="str">
        <f t="shared" si="64"/>
        <v/>
      </c>
      <c r="I1398" s="146"/>
      <c r="J1398" s="146"/>
      <c r="K1398" s="146"/>
      <c r="L1398" s="146"/>
      <c r="M1398" s="544"/>
      <c r="N1398" s="544"/>
      <c r="O1398" s="544"/>
      <c r="P1398" s="544"/>
      <c r="R1398" s="543" t="str">
        <f t="shared" si="66"/>
        <v>:</v>
      </c>
      <c r="S1398" s="544">
        <f t="shared" si="65"/>
        <v>0</v>
      </c>
    </row>
    <row r="1399" spans="2:19">
      <c r="B1399" s="146"/>
      <c r="C1399" s="146"/>
      <c r="D1399" s="543" t="str">
        <f t="shared" si="64"/>
        <v/>
      </c>
      <c r="I1399" s="146"/>
      <c r="J1399" s="146"/>
      <c r="K1399" s="146"/>
      <c r="L1399" s="146"/>
      <c r="M1399" s="544"/>
      <c r="N1399" s="544"/>
      <c r="O1399" s="544"/>
      <c r="P1399" s="544"/>
      <c r="R1399" s="543" t="str">
        <f t="shared" si="66"/>
        <v>:</v>
      </c>
      <c r="S1399" s="544">
        <f t="shared" si="65"/>
        <v>0</v>
      </c>
    </row>
    <row r="1400" spans="2:19">
      <c r="B1400" s="146"/>
      <c r="C1400" s="146"/>
      <c r="D1400" s="543" t="str">
        <f t="shared" si="64"/>
        <v/>
      </c>
      <c r="I1400" s="146"/>
      <c r="J1400" s="146"/>
      <c r="K1400" s="146"/>
      <c r="L1400" s="146"/>
      <c r="M1400" s="544"/>
      <c r="N1400" s="544"/>
      <c r="O1400" s="544"/>
      <c r="P1400" s="544"/>
      <c r="R1400" s="543" t="str">
        <f t="shared" si="66"/>
        <v>:</v>
      </c>
      <c r="S1400" s="544">
        <f t="shared" si="65"/>
        <v>0</v>
      </c>
    </row>
    <row r="1401" spans="2:19">
      <c r="B1401" s="146"/>
      <c r="C1401" s="146"/>
      <c r="D1401" s="543" t="str">
        <f t="shared" si="64"/>
        <v/>
      </c>
      <c r="I1401" s="146"/>
      <c r="J1401" s="146"/>
      <c r="K1401" s="146"/>
      <c r="L1401" s="146"/>
      <c r="M1401" s="544"/>
      <c r="N1401" s="544"/>
      <c r="O1401" s="544"/>
      <c r="P1401" s="544"/>
      <c r="R1401" s="543" t="str">
        <f t="shared" si="66"/>
        <v>:</v>
      </c>
      <c r="S1401" s="544">
        <f t="shared" si="65"/>
        <v>0</v>
      </c>
    </row>
    <row r="1402" spans="2:19">
      <c r="B1402" s="146"/>
      <c r="C1402" s="146"/>
      <c r="D1402" s="543" t="str">
        <f t="shared" si="64"/>
        <v/>
      </c>
      <c r="I1402" s="146"/>
      <c r="J1402" s="146"/>
      <c r="K1402" s="146"/>
      <c r="L1402" s="146"/>
      <c r="M1402" s="544"/>
      <c r="N1402" s="544"/>
      <c r="O1402" s="544"/>
      <c r="P1402" s="544"/>
      <c r="R1402" s="543" t="str">
        <f t="shared" si="66"/>
        <v>:</v>
      </c>
      <c r="S1402" s="544">
        <f t="shared" si="65"/>
        <v>0</v>
      </c>
    </row>
    <row r="1403" spans="2:19">
      <c r="B1403" s="146"/>
      <c r="C1403" s="146"/>
      <c r="D1403" s="543" t="str">
        <f t="shared" si="64"/>
        <v/>
      </c>
      <c r="I1403" s="146"/>
      <c r="J1403" s="146"/>
      <c r="K1403" s="146"/>
      <c r="L1403" s="146"/>
      <c r="M1403" s="544"/>
      <c r="N1403" s="544"/>
      <c r="O1403" s="544"/>
      <c r="P1403" s="544"/>
      <c r="R1403" s="543" t="str">
        <f t="shared" si="66"/>
        <v>:</v>
      </c>
      <c r="S1403" s="544">
        <f t="shared" si="65"/>
        <v>0</v>
      </c>
    </row>
    <row r="1404" spans="2:19">
      <c r="B1404" s="146"/>
      <c r="C1404" s="146"/>
      <c r="D1404" s="543" t="str">
        <f t="shared" si="64"/>
        <v/>
      </c>
      <c r="I1404" s="146"/>
      <c r="J1404" s="146"/>
      <c r="K1404" s="146"/>
      <c r="L1404" s="146"/>
      <c r="M1404" s="544"/>
      <c r="N1404" s="544"/>
      <c r="O1404" s="544"/>
      <c r="P1404" s="544"/>
      <c r="R1404" s="543" t="str">
        <f t="shared" si="66"/>
        <v>:</v>
      </c>
      <c r="S1404" s="544">
        <f t="shared" si="65"/>
        <v>0</v>
      </c>
    </row>
    <row r="1405" spans="2:19">
      <c r="B1405" s="146"/>
      <c r="C1405" s="146"/>
      <c r="D1405" s="543" t="str">
        <f t="shared" si="64"/>
        <v/>
      </c>
      <c r="I1405" s="146"/>
      <c r="J1405" s="146"/>
      <c r="K1405" s="146"/>
      <c r="L1405" s="146"/>
      <c r="M1405" s="544"/>
      <c r="N1405" s="544"/>
      <c r="O1405" s="544"/>
      <c r="P1405" s="544"/>
      <c r="R1405" s="543" t="str">
        <f t="shared" si="66"/>
        <v>:</v>
      </c>
      <c r="S1405" s="544">
        <f t="shared" si="65"/>
        <v>0</v>
      </c>
    </row>
    <row r="1406" spans="2:19">
      <c r="B1406" s="146"/>
      <c r="C1406" s="146"/>
      <c r="D1406" s="543" t="str">
        <f t="shared" si="64"/>
        <v/>
      </c>
      <c r="I1406" s="146"/>
      <c r="J1406" s="146"/>
      <c r="K1406" s="146"/>
      <c r="L1406" s="146"/>
      <c r="M1406" s="544"/>
      <c r="N1406" s="544"/>
      <c r="O1406" s="544"/>
      <c r="P1406" s="544"/>
      <c r="R1406" s="543" t="str">
        <f t="shared" si="66"/>
        <v>:</v>
      </c>
      <c r="S1406" s="544">
        <f t="shared" si="65"/>
        <v>0</v>
      </c>
    </row>
    <row r="1407" spans="2:19">
      <c r="B1407" s="146"/>
      <c r="C1407" s="146"/>
      <c r="D1407" s="543" t="str">
        <f t="shared" si="64"/>
        <v/>
      </c>
      <c r="I1407" s="146"/>
      <c r="J1407" s="146"/>
      <c r="K1407" s="146"/>
      <c r="L1407" s="146"/>
      <c r="M1407" s="544"/>
      <c r="N1407" s="544"/>
      <c r="O1407" s="544"/>
      <c r="P1407" s="544"/>
      <c r="R1407" s="543" t="str">
        <f t="shared" si="66"/>
        <v>:</v>
      </c>
      <c r="S1407" s="544">
        <f t="shared" si="65"/>
        <v>0</v>
      </c>
    </row>
    <row r="1408" spans="2:19">
      <c r="B1408" s="146"/>
      <c r="C1408" s="146"/>
      <c r="D1408" s="543" t="str">
        <f t="shared" si="64"/>
        <v/>
      </c>
      <c r="I1408" s="146"/>
      <c r="J1408" s="146"/>
      <c r="K1408" s="146"/>
      <c r="L1408" s="146"/>
      <c r="M1408" s="544"/>
      <c r="N1408" s="544"/>
      <c r="O1408" s="544"/>
      <c r="P1408" s="544"/>
      <c r="R1408" s="543" t="str">
        <f t="shared" si="66"/>
        <v>:</v>
      </c>
      <c r="S1408" s="544">
        <f t="shared" si="65"/>
        <v>0</v>
      </c>
    </row>
    <row r="1409" spans="2:19">
      <c r="B1409" s="146"/>
      <c r="C1409" s="146"/>
      <c r="D1409" s="543" t="str">
        <f t="shared" si="64"/>
        <v/>
      </c>
      <c r="I1409" s="146"/>
      <c r="J1409" s="146"/>
      <c r="K1409" s="146"/>
      <c r="L1409" s="146"/>
      <c r="M1409" s="544"/>
      <c r="N1409" s="544"/>
      <c r="O1409" s="544"/>
      <c r="P1409" s="544"/>
      <c r="R1409" s="543" t="str">
        <f t="shared" si="66"/>
        <v>:</v>
      </c>
      <c r="S1409" s="544">
        <f t="shared" si="65"/>
        <v>0</v>
      </c>
    </row>
    <row r="1410" spans="2:19">
      <c r="B1410" s="146"/>
      <c r="C1410" s="146"/>
      <c r="D1410" s="543" t="str">
        <f t="shared" si="64"/>
        <v/>
      </c>
      <c r="I1410" s="146"/>
      <c r="J1410" s="146"/>
      <c r="K1410" s="146"/>
      <c r="L1410" s="146"/>
      <c r="M1410" s="544"/>
      <c r="N1410" s="544"/>
      <c r="O1410" s="544"/>
      <c r="P1410" s="544"/>
      <c r="R1410" s="543" t="str">
        <f t="shared" si="66"/>
        <v>:</v>
      </c>
      <c r="S1410" s="544">
        <f t="shared" si="65"/>
        <v>0</v>
      </c>
    </row>
    <row r="1411" spans="2:19">
      <c r="B1411" s="146"/>
      <c r="C1411" s="146"/>
      <c r="D1411" s="543" t="str">
        <f t="shared" si="64"/>
        <v/>
      </c>
      <c r="I1411" s="146"/>
      <c r="J1411" s="146"/>
      <c r="K1411" s="146"/>
      <c r="L1411" s="146"/>
      <c r="M1411" s="544"/>
      <c r="N1411" s="544"/>
      <c r="O1411" s="544"/>
      <c r="P1411" s="544"/>
      <c r="R1411" s="543" t="str">
        <f t="shared" si="66"/>
        <v>:</v>
      </c>
      <c r="S1411" s="544">
        <f t="shared" si="65"/>
        <v>0</v>
      </c>
    </row>
    <row r="1412" spans="2:19">
      <c r="B1412" s="146"/>
      <c r="C1412" s="146"/>
      <c r="D1412" s="543" t="str">
        <f t="shared" si="64"/>
        <v/>
      </c>
      <c r="I1412" s="146"/>
      <c r="J1412" s="146"/>
      <c r="K1412" s="146"/>
      <c r="L1412" s="146"/>
      <c r="M1412" s="544"/>
      <c r="N1412" s="544"/>
      <c r="O1412" s="544"/>
      <c r="P1412" s="544"/>
      <c r="R1412" s="543" t="str">
        <f t="shared" si="66"/>
        <v>:</v>
      </c>
      <c r="S1412" s="544">
        <f t="shared" si="65"/>
        <v>0</v>
      </c>
    </row>
    <row r="1413" spans="2:19">
      <c r="B1413" s="146"/>
      <c r="C1413" s="146"/>
      <c r="D1413" s="543" t="str">
        <f t="shared" si="64"/>
        <v/>
      </c>
      <c r="I1413" s="146"/>
      <c r="J1413" s="146"/>
      <c r="K1413" s="146"/>
      <c r="L1413" s="146"/>
      <c r="M1413" s="544"/>
      <c r="N1413" s="544"/>
      <c r="O1413" s="544"/>
      <c r="P1413" s="544"/>
      <c r="R1413" s="543" t="str">
        <f t="shared" si="66"/>
        <v>:</v>
      </c>
      <c r="S1413" s="544">
        <f t="shared" si="65"/>
        <v>0</v>
      </c>
    </row>
    <row r="1414" spans="2:19">
      <c r="B1414" s="146"/>
      <c r="C1414" s="146"/>
      <c r="D1414" s="543" t="str">
        <f t="shared" si="64"/>
        <v/>
      </c>
      <c r="I1414" s="146"/>
      <c r="J1414" s="146"/>
      <c r="K1414" s="146"/>
      <c r="L1414" s="146"/>
      <c r="M1414" s="544"/>
      <c r="N1414" s="544"/>
      <c r="O1414" s="544"/>
      <c r="P1414" s="544"/>
      <c r="R1414" s="543" t="str">
        <f t="shared" si="66"/>
        <v>:</v>
      </c>
      <c r="S1414" s="544">
        <f t="shared" si="65"/>
        <v>0</v>
      </c>
    </row>
    <row r="1415" spans="2:19">
      <c r="B1415" s="146"/>
      <c r="C1415" s="146"/>
      <c r="D1415" s="543" t="str">
        <f t="shared" si="64"/>
        <v/>
      </c>
      <c r="I1415" s="146"/>
      <c r="J1415" s="146"/>
      <c r="K1415" s="146"/>
      <c r="L1415" s="146"/>
      <c r="M1415" s="544"/>
      <c r="N1415" s="544"/>
      <c r="O1415" s="544"/>
      <c r="P1415" s="544"/>
      <c r="R1415" s="543" t="str">
        <f t="shared" si="66"/>
        <v>:</v>
      </c>
      <c r="S1415" s="544">
        <f t="shared" si="65"/>
        <v>0</v>
      </c>
    </row>
    <row r="1416" spans="2:19">
      <c r="B1416" s="146"/>
      <c r="C1416" s="146"/>
      <c r="D1416" s="543" t="str">
        <f t="shared" si="64"/>
        <v/>
      </c>
      <c r="I1416" s="146"/>
      <c r="J1416" s="146"/>
      <c r="K1416" s="146"/>
      <c r="L1416" s="146"/>
      <c r="M1416" s="544"/>
      <c r="N1416" s="544"/>
      <c r="O1416" s="544"/>
      <c r="P1416" s="544"/>
      <c r="R1416" s="543" t="str">
        <f t="shared" si="66"/>
        <v>:</v>
      </c>
      <c r="S1416" s="544">
        <f t="shared" si="65"/>
        <v>0</v>
      </c>
    </row>
    <row r="1417" spans="2:19">
      <c r="B1417" s="146"/>
      <c r="C1417" s="146"/>
      <c r="D1417" s="543" t="str">
        <f t="shared" si="64"/>
        <v/>
      </c>
      <c r="I1417" s="146"/>
      <c r="J1417" s="146"/>
      <c r="K1417" s="146"/>
      <c r="L1417" s="146"/>
      <c r="M1417" s="544"/>
      <c r="N1417" s="544"/>
      <c r="O1417" s="544"/>
      <c r="P1417" s="544"/>
      <c r="R1417" s="543" t="str">
        <f t="shared" si="66"/>
        <v>:</v>
      </c>
      <c r="S1417" s="544">
        <f t="shared" si="65"/>
        <v>0</v>
      </c>
    </row>
    <row r="1418" spans="2:19">
      <c r="B1418" s="146"/>
      <c r="C1418" s="146"/>
      <c r="D1418" s="543" t="str">
        <f t="shared" ref="D1418:D1481" si="67">IF(B1418="","",B1418&amp;":"&amp;C1418)</f>
        <v/>
      </c>
      <c r="I1418" s="146"/>
      <c r="J1418" s="146"/>
      <c r="K1418" s="146"/>
      <c r="L1418" s="146"/>
      <c r="M1418" s="544"/>
      <c r="N1418" s="544"/>
      <c r="O1418" s="544"/>
      <c r="P1418" s="544"/>
      <c r="R1418" s="543" t="str">
        <f t="shared" si="66"/>
        <v>:</v>
      </c>
      <c r="S1418" s="544">
        <f t="shared" ref="S1418:S1481" si="68">HLOOKUP($S$8,$L$8:$P$2000,ROW()-7,FALSE)</f>
        <v>0</v>
      </c>
    </row>
    <row r="1419" spans="2:19">
      <c r="B1419" s="146"/>
      <c r="C1419" s="146"/>
      <c r="D1419" s="543" t="str">
        <f t="shared" si="67"/>
        <v/>
      </c>
      <c r="I1419" s="146"/>
      <c r="J1419" s="146"/>
      <c r="K1419" s="146"/>
      <c r="L1419" s="146"/>
      <c r="M1419" s="544"/>
      <c r="N1419" s="544"/>
      <c r="O1419" s="544"/>
      <c r="P1419" s="544"/>
      <c r="R1419" s="543" t="str">
        <f t="shared" si="66"/>
        <v>:</v>
      </c>
      <c r="S1419" s="544">
        <f t="shared" si="68"/>
        <v>0</v>
      </c>
    </row>
    <row r="1420" spans="2:19">
      <c r="B1420" s="146"/>
      <c r="C1420" s="146"/>
      <c r="D1420" s="543" t="str">
        <f t="shared" si="67"/>
        <v/>
      </c>
      <c r="I1420" s="146"/>
      <c r="J1420" s="146"/>
      <c r="K1420" s="146"/>
      <c r="L1420" s="146"/>
      <c r="M1420" s="544"/>
      <c r="N1420" s="544"/>
      <c r="O1420" s="544"/>
      <c r="P1420" s="544"/>
      <c r="R1420" s="543" t="str">
        <f t="shared" si="66"/>
        <v>:</v>
      </c>
      <c r="S1420" s="544">
        <f t="shared" si="68"/>
        <v>0</v>
      </c>
    </row>
    <row r="1421" spans="2:19">
      <c r="B1421" s="146"/>
      <c r="C1421" s="146"/>
      <c r="D1421" s="543" t="str">
        <f t="shared" si="67"/>
        <v/>
      </c>
      <c r="I1421" s="146"/>
      <c r="J1421" s="146"/>
      <c r="K1421" s="146"/>
      <c r="L1421" s="146"/>
      <c r="M1421" s="544"/>
      <c r="N1421" s="544"/>
      <c r="O1421" s="544"/>
      <c r="P1421" s="544"/>
      <c r="R1421" s="543" t="str">
        <f t="shared" ref="R1421:R1484" si="69">I1421&amp;":"&amp;J1421&amp;K1421</f>
        <v>:</v>
      </c>
      <c r="S1421" s="544">
        <f t="shared" si="68"/>
        <v>0</v>
      </c>
    </row>
    <row r="1422" spans="2:19">
      <c r="B1422" s="146"/>
      <c r="C1422" s="146"/>
      <c r="D1422" s="543" t="str">
        <f t="shared" si="67"/>
        <v/>
      </c>
      <c r="I1422" s="146"/>
      <c r="J1422" s="146"/>
      <c r="K1422" s="146"/>
      <c r="L1422" s="146"/>
      <c r="M1422" s="544"/>
      <c r="N1422" s="544"/>
      <c r="O1422" s="544"/>
      <c r="P1422" s="544"/>
      <c r="R1422" s="543" t="str">
        <f t="shared" si="69"/>
        <v>:</v>
      </c>
      <c r="S1422" s="544">
        <f t="shared" si="68"/>
        <v>0</v>
      </c>
    </row>
    <row r="1423" spans="2:19">
      <c r="B1423" s="146"/>
      <c r="C1423" s="146"/>
      <c r="D1423" s="543" t="str">
        <f t="shared" si="67"/>
        <v/>
      </c>
      <c r="I1423" s="146"/>
      <c r="J1423" s="146"/>
      <c r="K1423" s="146"/>
      <c r="L1423" s="146"/>
      <c r="M1423" s="544"/>
      <c r="N1423" s="544"/>
      <c r="O1423" s="544"/>
      <c r="P1423" s="544"/>
      <c r="R1423" s="543" t="str">
        <f t="shared" si="69"/>
        <v>:</v>
      </c>
      <c r="S1423" s="544">
        <f t="shared" si="68"/>
        <v>0</v>
      </c>
    </row>
    <row r="1424" spans="2:19">
      <c r="B1424" s="146"/>
      <c r="C1424" s="146"/>
      <c r="D1424" s="543" t="str">
        <f t="shared" si="67"/>
        <v/>
      </c>
      <c r="I1424" s="146"/>
      <c r="J1424" s="146"/>
      <c r="K1424" s="146"/>
      <c r="L1424" s="146"/>
      <c r="M1424" s="544"/>
      <c r="N1424" s="544"/>
      <c r="O1424" s="544"/>
      <c r="P1424" s="544"/>
      <c r="R1424" s="543" t="str">
        <f t="shared" si="69"/>
        <v>:</v>
      </c>
      <c r="S1424" s="544">
        <f t="shared" si="68"/>
        <v>0</v>
      </c>
    </row>
    <row r="1425" spans="2:19">
      <c r="B1425" s="146"/>
      <c r="C1425" s="146"/>
      <c r="D1425" s="543" t="str">
        <f t="shared" si="67"/>
        <v/>
      </c>
      <c r="I1425" s="146"/>
      <c r="J1425" s="146"/>
      <c r="K1425" s="146"/>
      <c r="L1425" s="146"/>
      <c r="M1425" s="544"/>
      <c r="N1425" s="544"/>
      <c r="O1425" s="544"/>
      <c r="P1425" s="544"/>
      <c r="R1425" s="543" t="str">
        <f t="shared" si="69"/>
        <v>:</v>
      </c>
      <c r="S1425" s="544">
        <f t="shared" si="68"/>
        <v>0</v>
      </c>
    </row>
    <row r="1426" spans="2:19">
      <c r="B1426" s="146"/>
      <c r="C1426" s="146"/>
      <c r="D1426" s="543" t="str">
        <f t="shared" si="67"/>
        <v/>
      </c>
      <c r="I1426" s="146"/>
      <c r="J1426" s="146"/>
      <c r="K1426" s="146"/>
      <c r="L1426" s="146"/>
      <c r="M1426" s="544"/>
      <c r="N1426" s="544"/>
      <c r="O1426" s="544"/>
      <c r="P1426" s="544"/>
      <c r="R1426" s="543" t="str">
        <f t="shared" si="69"/>
        <v>:</v>
      </c>
      <c r="S1426" s="544">
        <f t="shared" si="68"/>
        <v>0</v>
      </c>
    </row>
    <row r="1427" spans="2:19">
      <c r="B1427" s="146"/>
      <c r="C1427" s="146"/>
      <c r="D1427" s="543" t="str">
        <f t="shared" si="67"/>
        <v/>
      </c>
      <c r="I1427" s="146"/>
      <c r="J1427" s="146"/>
      <c r="K1427" s="146"/>
      <c r="L1427" s="146"/>
      <c r="M1427" s="544"/>
      <c r="N1427" s="544"/>
      <c r="O1427" s="544"/>
      <c r="P1427" s="544"/>
      <c r="R1427" s="543" t="str">
        <f t="shared" si="69"/>
        <v>:</v>
      </c>
      <c r="S1427" s="544">
        <f t="shared" si="68"/>
        <v>0</v>
      </c>
    </row>
    <row r="1428" spans="2:19">
      <c r="B1428" s="146"/>
      <c r="C1428" s="146"/>
      <c r="D1428" s="543" t="str">
        <f t="shared" si="67"/>
        <v/>
      </c>
      <c r="I1428" s="146"/>
      <c r="J1428" s="146"/>
      <c r="K1428" s="146"/>
      <c r="L1428" s="146"/>
      <c r="M1428" s="544"/>
      <c r="N1428" s="544"/>
      <c r="O1428" s="544"/>
      <c r="P1428" s="544"/>
      <c r="R1428" s="543" t="str">
        <f t="shared" si="69"/>
        <v>:</v>
      </c>
      <c r="S1428" s="544">
        <f t="shared" si="68"/>
        <v>0</v>
      </c>
    </row>
    <row r="1429" spans="2:19">
      <c r="B1429" s="146"/>
      <c r="C1429" s="146"/>
      <c r="D1429" s="543" t="str">
        <f t="shared" si="67"/>
        <v/>
      </c>
      <c r="I1429" s="146"/>
      <c r="J1429" s="146"/>
      <c r="K1429" s="146"/>
      <c r="L1429" s="146"/>
      <c r="M1429" s="544"/>
      <c r="N1429" s="544"/>
      <c r="O1429" s="544"/>
      <c r="P1429" s="544"/>
      <c r="R1429" s="543" t="str">
        <f t="shared" si="69"/>
        <v>:</v>
      </c>
      <c r="S1429" s="544">
        <f t="shared" si="68"/>
        <v>0</v>
      </c>
    </row>
    <row r="1430" spans="2:19">
      <c r="B1430" s="146"/>
      <c r="C1430" s="146"/>
      <c r="D1430" s="543" t="str">
        <f t="shared" si="67"/>
        <v/>
      </c>
      <c r="I1430" s="146"/>
      <c r="J1430" s="146"/>
      <c r="K1430" s="146"/>
      <c r="L1430" s="146"/>
      <c r="M1430" s="544"/>
      <c r="N1430" s="544"/>
      <c r="O1430" s="544"/>
      <c r="P1430" s="544"/>
      <c r="R1430" s="543" t="str">
        <f t="shared" si="69"/>
        <v>:</v>
      </c>
      <c r="S1430" s="544">
        <f t="shared" si="68"/>
        <v>0</v>
      </c>
    </row>
    <row r="1431" spans="2:19">
      <c r="B1431" s="146"/>
      <c r="C1431" s="146"/>
      <c r="D1431" s="543" t="str">
        <f t="shared" si="67"/>
        <v/>
      </c>
      <c r="I1431" s="146"/>
      <c r="J1431" s="146"/>
      <c r="K1431" s="146"/>
      <c r="L1431" s="146"/>
      <c r="M1431" s="544"/>
      <c r="N1431" s="544"/>
      <c r="O1431" s="544"/>
      <c r="P1431" s="544"/>
      <c r="R1431" s="543" t="str">
        <f t="shared" si="69"/>
        <v>:</v>
      </c>
      <c r="S1431" s="544">
        <f t="shared" si="68"/>
        <v>0</v>
      </c>
    </row>
    <row r="1432" spans="2:19">
      <c r="B1432" s="146"/>
      <c r="C1432" s="146"/>
      <c r="D1432" s="543" t="str">
        <f t="shared" si="67"/>
        <v/>
      </c>
      <c r="I1432" s="146"/>
      <c r="J1432" s="146"/>
      <c r="K1432" s="146"/>
      <c r="L1432" s="146"/>
      <c r="M1432" s="544"/>
      <c r="N1432" s="544"/>
      <c r="O1432" s="544"/>
      <c r="P1432" s="544"/>
      <c r="R1432" s="543" t="str">
        <f t="shared" si="69"/>
        <v>:</v>
      </c>
      <c r="S1432" s="544">
        <f t="shared" si="68"/>
        <v>0</v>
      </c>
    </row>
    <row r="1433" spans="2:19">
      <c r="B1433" s="146"/>
      <c r="C1433" s="146"/>
      <c r="D1433" s="543" t="str">
        <f t="shared" si="67"/>
        <v/>
      </c>
      <c r="I1433" s="146"/>
      <c r="J1433" s="146"/>
      <c r="K1433" s="146"/>
      <c r="L1433" s="146"/>
      <c r="M1433" s="544"/>
      <c r="N1433" s="544"/>
      <c r="O1433" s="544"/>
      <c r="P1433" s="544"/>
      <c r="R1433" s="543" t="str">
        <f t="shared" si="69"/>
        <v>:</v>
      </c>
      <c r="S1433" s="544">
        <f t="shared" si="68"/>
        <v>0</v>
      </c>
    </row>
    <row r="1434" spans="2:19">
      <c r="B1434" s="146"/>
      <c r="C1434" s="146"/>
      <c r="D1434" s="543" t="str">
        <f t="shared" si="67"/>
        <v/>
      </c>
      <c r="I1434" s="146"/>
      <c r="J1434" s="146"/>
      <c r="K1434" s="146"/>
      <c r="L1434" s="146"/>
      <c r="M1434" s="544"/>
      <c r="N1434" s="544"/>
      <c r="O1434" s="544"/>
      <c r="P1434" s="544"/>
      <c r="R1434" s="543" t="str">
        <f t="shared" si="69"/>
        <v>:</v>
      </c>
      <c r="S1434" s="544">
        <f t="shared" si="68"/>
        <v>0</v>
      </c>
    </row>
    <row r="1435" spans="2:19">
      <c r="B1435" s="146"/>
      <c r="C1435" s="146"/>
      <c r="D1435" s="543" t="str">
        <f t="shared" si="67"/>
        <v/>
      </c>
      <c r="I1435" s="146"/>
      <c r="J1435" s="146"/>
      <c r="K1435" s="146"/>
      <c r="L1435" s="146"/>
      <c r="M1435" s="544"/>
      <c r="N1435" s="544"/>
      <c r="O1435" s="544"/>
      <c r="P1435" s="544"/>
      <c r="R1435" s="543" t="str">
        <f t="shared" si="69"/>
        <v>:</v>
      </c>
      <c r="S1435" s="544">
        <f t="shared" si="68"/>
        <v>0</v>
      </c>
    </row>
    <row r="1436" spans="2:19">
      <c r="B1436" s="146"/>
      <c r="C1436" s="146"/>
      <c r="D1436" s="543" t="str">
        <f t="shared" si="67"/>
        <v/>
      </c>
      <c r="I1436" s="146"/>
      <c r="J1436" s="146"/>
      <c r="K1436" s="146"/>
      <c r="L1436" s="146"/>
      <c r="M1436" s="544"/>
      <c r="N1436" s="544"/>
      <c r="O1436" s="544"/>
      <c r="P1436" s="544"/>
      <c r="R1436" s="543" t="str">
        <f t="shared" si="69"/>
        <v>:</v>
      </c>
      <c r="S1436" s="544">
        <f t="shared" si="68"/>
        <v>0</v>
      </c>
    </row>
    <row r="1437" spans="2:19">
      <c r="B1437" s="146"/>
      <c r="C1437" s="146"/>
      <c r="D1437" s="543" t="str">
        <f t="shared" si="67"/>
        <v/>
      </c>
      <c r="I1437" s="146"/>
      <c r="J1437" s="146"/>
      <c r="K1437" s="146"/>
      <c r="L1437" s="146"/>
      <c r="M1437" s="544"/>
      <c r="N1437" s="544"/>
      <c r="O1437" s="544"/>
      <c r="P1437" s="544"/>
      <c r="R1437" s="543" t="str">
        <f t="shared" si="69"/>
        <v>:</v>
      </c>
      <c r="S1437" s="544">
        <f t="shared" si="68"/>
        <v>0</v>
      </c>
    </row>
    <row r="1438" spans="2:19">
      <c r="B1438" s="146"/>
      <c r="C1438" s="146"/>
      <c r="D1438" s="543" t="str">
        <f t="shared" si="67"/>
        <v/>
      </c>
      <c r="I1438" s="146"/>
      <c r="J1438" s="146"/>
      <c r="K1438" s="146"/>
      <c r="L1438" s="146"/>
      <c r="M1438" s="544"/>
      <c r="N1438" s="544"/>
      <c r="O1438" s="544"/>
      <c r="P1438" s="544"/>
      <c r="R1438" s="543" t="str">
        <f t="shared" si="69"/>
        <v>:</v>
      </c>
      <c r="S1438" s="544">
        <f t="shared" si="68"/>
        <v>0</v>
      </c>
    </row>
    <row r="1439" spans="2:19">
      <c r="B1439" s="146"/>
      <c r="C1439" s="146"/>
      <c r="D1439" s="543" t="str">
        <f t="shared" si="67"/>
        <v/>
      </c>
      <c r="I1439" s="146"/>
      <c r="J1439" s="146"/>
      <c r="K1439" s="146"/>
      <c r="L1439" s="146"/>
      <c r="M1439" s="544"/>
      <c r="N1439" s="544"/>
      <c r="O1439" s="544"/>
      <c r="P1439" s="544"/>
      <c r="R1439" s="543" t="str">
        <f t="shared" si="69"/>
        <v>:</v>
      </c>
      <c r="S1439" s="544">
        <f t="shared" si="68"/>
        <v>0</v>
      </c>
    </row>
    <row r="1440" spans="2:19">
      <c r="B1440" s="146"/>
      <c r="C1440" s="146"/>
      <c r="D1440" s="543" t="str">
        <f t="shared" si="67"/>
        <v/>
      </c>
      <c r="I1440" s="146"/>
      <c r="J1440" s="146"/>
      <c r="K1440" s="146"/>
      <c r="L1440" s="146"/>
      <c r="M1440" s="544"/>
      <c r="N1440" s="544"/>
      <c r="O1440" s="544"/>
      <c r="P1440" s="544"/>
      <c r="R1440" s="543" t="str">
        <f t="shared" si="69"/>
        <v>:</v>
      </c>
      <c r="S1440" s="544">
        <f t="shared" si="68"/>
        <v>0</v>
      </c>
    </row>
    <row r="1441" spans="2:19">
      <c r="B1441" s="146"/>
      <c r="C1441" s="146"/>
      <c r="D1441" s="543" t="str">
        <f t="shared" si="67"/>
        <v/>
      </c>
      <c r="I1441" s="146"/>
      <c r="J1441" s="146"/>
      <c r="K1441" s="146"/>
      <c r="L1441" s="146"/>
      <c r="M1441" s="544"/>
      <c r="N1441" s="544"/>
      <c r="O1441" s="544"/>
      <c r="P1441" s="544"/>
      <c r="R1441" s="543" t="str">
        <f t="shared" si="69"/>
        <v>:</v>
      </c>
      <c r="S1441" s="544">
        <f t="shared" si="68"/>
        <v>0</v>
      </c>
    </row>
    <row r="1442" spans="2:19">
      <c r="B1442" s="146"/>
      <c r="C1442" s="146"/>
      <c r="D1442" s="543" t="str">
        <f t="shared" si="67"/>
        <v/>
      </c>
      <c r="I1442" s="146"/>
      <c r="J1442" s="146"/>
      <c r="K1442" s="146"/>
      <c r="L1442" s="146"/>
      <c r="M1442" s="544"/>
      <c r="N1442" s="544"/>
      <c r="O1442" s="544"/>
      <c r="P1442" s="544"/>
      <c r="R1442" s="543" t="str">
        <f t="shared" si="69"/>
        <v>:</v>
      </c>
      <c r="S1442" s="544">
        <f t="shared" si="68"/>
        <v>0</v>
      </c>
    </row>
    <row r="1443" spans="2:19">
      <c r="B1443" s="146"/>
      <c r="C1443" s="146"/>
      <c r="D1443" s="543" t="str">
        <f t="shared" si="67"/>
        <v/>
      </c>
      <c r="I1443" s="146"/>
      <c r="J1443" s="146"/>
      <c r="K1443" s="146"/>
      <c r="L1443" s="146"/>
      <c r="M1443" s="544"/>
      <c r="N1443" s="544"/>
      <c r="O1443" s="544"/>
      <c r="P1443" s="544"/>
      <c r="R1443" s="543" t="str">
        <f t="shared" si="69"/>
        <v>:</v>
      </c>
      <c r="S1443" s="544">
        <f t="shared" si="68"/>
        <v>0</v>
      </c>
    </row>
    <row r="1444" spans="2:19">
      <c r="B1444" s="146"/>
      <c r="C1444" s="146"/>
      <c r="D1444" s="543" t="str">
        <f t="shared" si="67"/>
        <v/>
      </c>
      <c r="I1444" s="146"/>
      <c r="J1444" s="146"/>
      <c r="K1444" s="146"/>
      <c r="L1444" s="146"/>
      <c r="M1444" s="544"/>
      <c r="N1444" s="544"/>
      <c r="O1444" s="544"/>
      <c r="P1444" s="544"/>
      <c r="R1444" s="543" t="str">
        <f t="shared" si="69"/>
        <v>:</v>
      </c>
      <c r="S1444" s="544">
        <f t="shared" si="68"/>
        <v>0</v>
      </c>
    </row>
    <row r="1445" spans="2:19">
      <c r="B1445" s="146"/>
      <c r="C1445" s="146"/>
      <c r="D1445" s="543" t="str">
        <f t="shared" si="67"/>
        <v/>
      </c>
      <c r="I1445" s="146"/>
      <c r="J1445" s="146"/>
      <c r="K1445" s="146"/>
      <c r="L1445" s="146"/>
      <c r="M1445" s="544"/>
      <c r="N1445" s="544"/>
      <c r="O1445" s="544"/>
      <c r="P1445" s="544"/>
      <c r="R1445" s="543" t="str">
        <f t="shared" si="69"/>
        <v>:</v>
      </c>
      <c r="S1445" s="544">
        <f t="shared" si="68"/>
        <v>0</v>
      </c>
    </row>
    <row r="1446" spans="2:19">
      <c r="B1446" s="146"/>
      <c r="C1446" s="146"/>
      <c r="D1446" s="543" t="str">
        <f t="shared" si="67"/>
        <v/>
      </c>
      <c r="I1446" s="146"/>
      <c r="J1446" s="146"/>
      <c r="K1446" s="146"/>
      <c r="L1446" s="146"/>
      <c r="M1446" s="544"/>
      <c r="N1446" s="544"/>
      <c r="O1446" s="544"/>
      <c r="P1446" s="544"/>
      <c r="R1446" s="543" t="str">
        <f t="shared" si="69"/>
        <v>:</v>
      </c>
      <c r="S1446" s="544">
        <f t="shared" si="68"/>
        <v>0</v>
      </c>
    </row>
    <row r="1447" spans="2:19">
      <c r="B1447" s="146"/>
      <c r="C1447" s="146"/>
      <c r="D1447" s="543" t="str">
        <f t="shared" si="67"/>
        <v/>
      </c>
      <c r="I1447" s="146"/>
      <c r="J1447" s="146"/>
      <c r="K1447" s="146"/>
      <c r="L1447" s="146"/>
      <c r="M1447" s="544"/>
      <c r="N1447" s="544"/>
      <c r="O1447" s="544"/>
      <c r="P1447" s="544"/>
      <c r="R1447" s="543" t="str">
        <f t="shared" si="69"/>
        <v>:</v>
      </c>
      <c r="S1447" s="544">
        <f t="shared" si="68"/>
        <v>0</v>
      </c>
    </row>
    <row r="1448" spans="2:19">
      <c r="B1448" s="146"/>
      <c r="C1448" s="146"/>
      <c r="D1448" s="543" t="str">
        <f t="shared" si="67"/>
        <v/>
      </c>
      <c r="I1448" s="146"/>
      <c r="J1448" s="146"/>
      <c r="K1448" s="146"/>
      <c r="L1448" s="146"/>
      <c r="M1448" s="544"/>
      <c r="N1448" s="544"/>
      <c r="O1448" s="544"/>
      <c r="P1448" s="544"/>
      <c r="R1448" s="543" t="str">
        <f t="shared" si="69"/>
        <v>:</v>
      </c>
      <c r="S1448" s="544">
        <f t="shared" si="68"/>
        <v>0</v>
      </c>
    </row>
    <row r="1449" spans="2:19">
      <c r="B1449" s="146"/>
      <c r="C1449" s="146"/>
      <c r="D1449" s="543" t="str">
        <f t="shared" si="67"/>
        <v/>
      </c>
      <c r="I1449" s="146"/>
      <c r="J1449" s="146"/>
      <c r="K1449" s="146"/>
      <c r="L1449" s="146"/>
      <c r="M1449" s="544"/>
      <c r="N1449" s="544"/>
      <c r="O1449" s="544"/>
      <c r="P1449" s="544"/>
      <c r="R1449" s="543" t="str">
        <f t="shared" si="69"/>
        <v>:</v>
      </c>
      <c r="S1449" s="544">
        <f t="shared" si="68"/>
        <v>0</v>
      </c>
    </row>
    <row r="1450" spans="2:19">
      <c r="B1450" s="146"/>
      <c r="C1450" s="146"/>
      <c r="D1450" s="543" t="str">
        <f t="shared" si="67"/>
        <v/>
      </c>
      <c r="I1450" s="146"/>
      <c r="J1450" s="146"/>
      <c r="K1450" s="146"/>
      <c r="L1450" s="146"/>
      <c r="M1450" s="544"/>
      <c r="N1450" s="544"/>
      <c r="O1450" s="544"/>
      <c r="P1450" s="544"/>
      <c r="R1450" s="543" t="str">
        <f t="shared" si="69"/>
        <v>:</v>
      </c>
      <c r="S1450" s="544">
        <f t="shared" si="68"/>
        <v>0</v>
      </c>
    </row>
    <row r="1451" spans="2:19">
      <c r="B1451" s="146"/>
      <c r="C1451" s="146"/>
      <c r="D1451" s="543" t="str">
        <f t="shared" si="67"/>
        <v/>
      </c>
      <c r="I1451" s="146"/>
      <c r="J1451" s="146"/>
      <c r="K1451" s="146"/>
      <c r="L1451" s="146"/>
      <c r="M1451" s="544"/>
      <c r="N1451" s="544"/>
      <c r="O1451" s="544"/>
      <c r="P1451" s="544"/>
      <c r="R1451" s="543" t="str">
        <f t="shared" si="69"/>
        <v>:</v>
      </c>
      <c r="S1451" s="544">
        <f t="shared" si="68"/>
        <v>0</v>
      </c>
    </row>
    <row r="1452" spans="2:19">
      <c r="B1452" s="146"/>
      <c r="C1452" s="146"/>
      <c r="D1452" s="543" t="str">
        <f t="shared" si="67"/>
        <v/>
      </c>
      <c r="I1452" s="146"/>
      <c r="J1452" s="146"/>
      <c r="K1452" s="146"/>
      <c r="L1452" s="146"/>
      <c r="M1452" s="544"/>
      <c r="N1452" s="544"/>
      <c r="O1452" s="544"/>
      <c r="P1452" s="544"/>
      <c r="R1452" s="543" t="str">
        <f t="shared" si="69"/>
        <v>:</v>
      </c>
      <c r="S1452" s="544">
        <f t="shared" si="68"/>
        <v>0</v>
      </c>
    </row>
    <row r="1453" spans="2:19">
      <c r="B1453" s="146"/>
      <c r="C1453" s="146"/>
      <c r="D1453" s="543" t="str">
        <f t="shared" si="67"/>
        <v/>
      </c>
      <c r="I1453" s="146"/>
      <c r="J1453" s="146"/>
      <c r="K1453" s="146"/>
      <c r="L1453" s="146"/>
      <c r="M1453" s="544"/>
      <c r="N1453" s="544"/>
      <c r="O1453" s="544"/>
      <c r="P1453" s="544"/>
      <c r="R1453" s="543" t="str">
        <f t="shared" si="69"/>
        <v>:</v>
      </c>
      <c r="S1453" s="544">
        <f t="shared" si="68"/>
        <v>0</v>
      </c>
    </row>
    <row r="1454" spans="2:19">
      <c r="B1454" s="146"/>
      <c r="C1454" s="146"/>
      <c r="D1454" s="543" t="str">
        <f t="shared" si="67"/>
        <v/>
      </c>
      <c r="I1454" s="146"/>
      <c r="J1454" s="146"/>
      <c r="K1454" s="146"/>
      <c r="L1454" s="146"/>
      <c r="M1454" s="544"/>
      <c r="N1454" s="544"/>
      <c r="O1454" s="544"/>
      <c r="P1454" s="544"/>
      <c r="R1454" s="543" t="str">
        <f t="shared" si="69"/>
        <v>:</v>
      </c>
      <c r="S1454" s="544">
        <f t="shared" si="68"/>
        <v>0</v>
      </c>
    </row>
    <row r="1455" spans="2:19">
      <c r="B1455" s="146"/>
      <c r="C1455" s="146"/>
      <c r="D1455" s="543" t="str">
        <f t="shared" si="67"/>
        <v/>
      </c>
      <c r="I1455" s="146"/>
      <c r="J1455" s="146"/>
      <c r="K1455" s="146"/>
      <c r="L1455" s="146"/>
      <c r="M1455" s="544"/>
      <c r="N1455" s="544"/>
      <c r="O1455" s="544"/>
      <c r="P1455" s="544"/>
      <c r="R1455" s="543" t="str">
        <f t="shared" si="69"/>
        <v>:</v>
      </c>
      <c r="S1455" s="544">
        <f t="shared" si="68"/>
        <v>0</v>
      </c>
    </row>
    <row r="1456" spans="2:19">
      <c r="B1456" s="146"/>
      <c r="C1456" s="146"/>
      <c r="D1456" s="543" t="str">
        <f t="shared" si="67"/>
        <v/>
      </c>
      <c r="I1456" s="146"/>
      <c r="J1456" s="146"/>
      <c r="K1456" s="146"/>
      <c r="L1456" s="146"/>
      <c r="M1456" s="544"/>
      <c r="N1456" s="544"/>
      <c r="O1456" s="544"/>
      <c r="P1456" s="544"/>
      <c r="R1456" s="543" t="str">
        <f t="shared" si="69"/>
        <v>:</v>
      </c>
      <c r="S1456" s="544">
        <f t="shared" si="68"/>
        <v>0</v>
      </c>
    </row>
    <row r="1457" spans="2:19">
      <c r="B1457" s="146"/>
      <c r="C1457" s="146"/>
      <c r="D1457" s="543" t="str">
        <f t="shared" si="67"/>
        <v/>
      </c>
      <c r="I1457" s="146"/>
      <c r="J1457" s="146"/>
      <c r="K1457" s="146"/>
      <c r="L1457" s="146"/>
      <c r="M1457" s="544"/>
      <c r="N1457" s="544"/>
      <c r="O1457" s="544"/>
      <c r="P1457" s="544"/>
      <c r="R1457" s="543" t="str">
        <f t="shared" si="69"/>
        <v>:</v>
      </c>
      <c r="S1457" s="544">
        <f t="shared" si="68"/>
        <v>0</v>
      </c>
    </row>
    <row r="1458" spans="2:19">
      <c r="B1458" s="146"/>
      <c r="C1458" s="146"/>
      <c r="D1458" s="543" t="str">
        <f t="shared" si="67"/>
        <v/>
      </c>
      <c r="I1458" s="146"/>
      <c r="J1458" s="146"/>
      <c r="K1458" s="146"/>
      <c r="L1458" s="146"/>
      <c r="M1458" s="544"/>
      <c r="N1458" s="544"/>
      <c r="O1458" s="544"/>
      <c r="P1458" s="544"/>
      <c r="R1458" s="543" t="str">
        <f t="shared" si="69"/>
        <v>:</v>
      </c>
      <c r="S1458" s="544">
        <f t="shared" si="68"/>
        <v>0</v>
      </c>
    </row>
    <row r="1459" spans="2:19">
      <c r="B1459" s="146"/>
      <c r="C1459" s="146"/>
      <c r="D1459" s="543" t="str">
        <f t="shared" si="67"/>
        <v/>
      </c>
      <c r="I1459" s="146"/>
      <c r="J1459" s="146"/>
      <c r="K1459" s="146"/>
      <c r="L1459" s="146"/>
      <c r="M1459" s="544"/>
      <c r="N1459" s="544"/>
      <c r="O1459" s="544"/>
      <c r="P1459" s="544"/>
      <c r="R1459" s="543" t="str">
        <f t="shared" si="69"/>
        <v>:</v>
      </c>
      <c r="S1459" s="544">
        <f t="shared" si="68"/>
        <v>0</v>
      </c>
    </row>
    <row r="1460" spans="2:19">
      <c r="B1460" s="146"/>
      <c r="C1460" s="146"/>
      <c r="D1460" s="543" t="str">
        <f t="shared" si="67"/>
        <v/>
      </c>
      <c r="I1460" s="146"/>
      <c r="J1460" s="146"/>
      <c r="K1460" s="146"/>
      <c r="L1460" s="146"/>
      <c r="M1460" s="544"/>
      <c r="N1460" s="544"/>
      <c r="O1460" s="544"/>
      <c r="P1460" s="544"/>
      <c r="R1460" s="543" t="str">
        <f t="shared" si="69"/>
        <v>:</v>
      </c>
      <c r="S1460" s="544">
        <f t="shared" si="68"/>
        <v>0</v>
      </c>
    </row>
    <row r="1461" spans="2:19">
      <c r="B1461" s="146"/>
      <c r="C1461" s="146"/>
      <c r="D1461" s="543" t="str">
        <f t="shared" si="67"/>
        <v/>
      </c>
      <c r="I1461" s="146"/>
      <c r="J1461" s="146"/>
      <c r="K1461" s="146"/>
      <c r="L1461" s="146"/>
      <c r="M1461" s="544"/>
      <c r="N1461" s="544"/>
      <c r="O1461" s="544"/>
      <c r="P1461" s="544"/>
      <c r="R1461" s="543" t="str">
        <f t="shared" si="69"/>
        <v>:</v>
      </c>
      <c r="S1461" s="544">
        <f t="shared" si="68"/>
        <v>0</v>
      </c>
    </row>
    <row r="1462" spans="2:19">
      <c r="B1462" s="146"/>
      <c r="C1462" s="146"/>
      <c r="D1462" s="543" t="str">
        <f t="shared" si="67"/>
        <v/>
      </c>
      <c r="I1462" s="146"/>
      <c r="J1462" s="146"/>
      <c r="K1462" s="146"/>
      <c r="L1462" s="146"/>
      <c r="M1462" s="544"/>
      <c r="N1462" s="544"/>
      <c r="O1462" s="544"/>
      <c r="P1462" s="544"/>
      <c r="R1462" s="543" t="str">
        <f t="shared" si="69"/>
        <v>:</v>
      </c>
      <c r="S1462" s="544">
        <f t="shared" si="68"/>
        <v>0</v>
      </c>
    </row>
    <row r="1463" spans="2:19">
      <c r="B1463" s="146"/>
      <c r="C1463" s="146"/>
      <c r="D1463" s="543" t="str">
        <f t="shared" si="67"/>
        <v/>
      </c>
      <c r="I1463" s="146"/>
      <c r="J1463" s="146"/>
      <c r="K1463" s="146"/>
      <c r="L1463" s="146"/>
      <c r="M1463" s="544"/>
      <c r="N1463" s="544"/>
      <c r="O1463" s="544"/>
      <c r="P1463" s="544"/>
      <c r="R1463" s="543" t="str">
        <f t="shared" si="69"/>
        <v>:</v>
      </c>
      <c r="S1463" s="544">
        <f t="shared" si="68"/>
        <v>0</v>
      </c>
    </row>
    <row r="1464" spans="2:19">
      <c r="B1464" s="146"/>
      <c r="C1464" s="146"/>
      <c r="D1464" s="543" t="str">
        <f t="shared" si="67"/>
        <v/>
      </c>
      <c r="I1464" s="146"/>
      <c r="J1464" s="146"/>
      <c r="K1464" s="146"/>
      <c r="L1464" s="146"/>
      <c r="M1464" s="544"/>
      <c r="N1464" s="544"/>
      <c r="O1464" s="544"/>
      <c r="P1464" s="544"/>
      <c r="R1464" s="543" t="str">
        <f t="shared" si="69"/>
        <v>:</v>
      </c>
      <c r="S1464" s="544">
        <f t="shared" si="68"/>
        <v>0</v>
      </c>
    </row>
    <row r="1465" spans="2:19">
      <c r="B1465" s="146"/>
      <c r="C1465" s="146"/>
      <c r="D1465" s="543" t="str">
        <f t="shared" si="67"/>
        <v/>
      </c>
      <c r="I1465" s="146"/>
      <c r="J1465" s="146"/>
      <c r="K1465" s="146"/>
      <c r="L1465" s="146"/>
      <c r="M1465" s="544"/>
      <c r="N1465" s="544"/>
      <c r="O1465" s="544"/>
      <c r="P1465" s="544"/>
      <c r="R1465" s="543" t="str">
        <f t="shared" si="69"/>
        <v>:</v>
      </c>
      <c r="S1465" s="544">
        <f t="shared" si="68"/>
        <v>0</v>
      </c>
    </row>
    <row r="1466" spans="2:19">
      <c r="B1466" s="146"/>
      <c r="C1466" s="146"/>
      <c r="D1466" s="543" t="str">
        <f t="shared" si="67"/>
        <v/>
      </c>
      <c r="I1466" s="146"/>
      <c r="J1466" s="146"/>
      <c r="K1466" s="146"/>
      <c r="L1466" s="146"/>
      <c r="M1466" s="544"/>
      <c r="N1466" s="544"/>
      <c r="O1466" s="544"/>
      <c r="P1466" s="544"/>
      <c r="R1466" s="543" t="str">
        <f t="shared" si="69"/>
        <v>:</v>
      </c>
      <c r="S1466" s="544">
        <f t="shared" si="68"/>
        <v>0</v>
      </c>
    </row>
    <row r="1467" spans="2:19">
      <c r="B1467" s="146"/>
      <c r="C1467" s="146"/>
      <c r="D1467" s="543" t="str">
        <f t="shared" si="67"/>
        <v/>
      </c>
      <c r="I1467" s="146"/>
      <c r="J1467" s="146"/>
      <c r="K1467" s="146"/>
      <c r="L1467" s="146"/>
      <c r="M1467" s="544"/>
      <c r="N1467" s="544"/>
      <c r="O1467" s="544"/>
      <c r="P1467" s="544"/>
      <c r="R1467" s="543" t="str">
        <f t="shared" si="69"/>
        <v>:</v>
      </c>
      <c r="S1467" s="544">
        <f t="shared" si="68"/>
        <v>0</v>
      </c>
    </row>
    <row r="1468" spans="2:19">
      <c r="B1468" s="146"/>
      <c r="C1468" s="146"/>
      <c r="D1468" s="543" t="str">
        <f t="shared" si="67"/>
        <v/>
      </c>
      <c r="I1468" s="146"/>
      <c r="J1468" s="146"/>
      <c r="K1468" s="146"/>
      <c r="L1468" s="146"/>
      <c r="M1468" s="544"/>
      <c r="N1468" s="544"/>
      <c r="O1468" s="544"/>
      <c r="P1468" s="544"/>
      <c r="R1468" s="543" t="str">
        <f t="shared" si="69"/>
        <v>:</v>
      </c>
      <c r="S1468" s="544">
        <f t="shared" si="68"/>
        <v>0</v>
      </c>
    </row>
    <row r="1469" spans="2:19">
      <c r="B1469" s="146"/>
      <c r="C1469" s="146"/>
      <c r="D1469" s="543" t="str">
        <f t="shared" si="67"/>
        <v/>
      </c>
      <c r="I1469" s="146"/>
      <c r="J1469" s="146"/>
      <c r="K1469" s="146"/>
      <c r="L1469" s="146"/>
      <c r="M1469" s="544"/>
      <c r="N1469" s="544"/>
      <c r="O1469" s="544"/>
      <c r="P1469" s="544"/>
      <c r="R1469" s="543" t="str">
        <f t="shared" si="69"/>
        <v>:</v>
      </c>
      <c r="S1469" s="544">
        <f t="shared" si="68"/>
        <v>0</v>
      </c>
    </row>
    <row r="1470" spans="2:19">
      <c r="B1470" s="146"/>
      <c r="C1470" s="146"/>
      <c r="D1470" s="543" t="str">
        <f t="shared" si="67"/>
        <v/>
      </c>
      <c r="I1470" s="146"/>
      <c r="J1470" s="146"/>
      <c r="K1470" s="146"/>
      <c r="L1470" s="146"/>
      <c r="M1470" s="544"/>
      <c r="N1470" s="544"/>
      <c r="O1470" s="544"/>
      <c r="P1470" s="544"/>
      <c r="R1470" s="543" t="str">
        <f t="shared" si="69"/>
        <v>:</v>
      </c>
      <c r="S1470" s="544">
        <f t="shared" si="68"/>
        <v>0</v>
      </c>
    </row>
    <row r="1471" spans="2:19">
      <c r="B1471" s="146"/>
      <c r="C1471" s="146"/>
      <c r="D1471" s="543" t="str">
        <f t="shared" si="67"/>
        <v/>
      </c>
      <c r="I1471" s="146"/>
      <c r="J1471" s="146"/>
      <c r="K1471" s="146"/>
      <c r="L1471" s="146"/>
      <c r="M1471" s="544"/>
      <c r="N1471" s="544"/>
      <c r="O1471" s="544"/>
      <c r="P1471" s="544"/>
      <c r="R1471" s="543" t="str">
        <f t="shared" si="69"/>
        <v>:</v>
      </c>
      <c r="S1471" s="544">
        <f t="shared" si="68"/>
        <v>0</v>
      </c>
    </row>
    <row r="1472" spans="2:19">
      <c r="B1472" s="146"/>
      <c r="C1472" s="146"/>
      <c r="D1472" s="543" t="str">
        <f t="shared" si="67"/>
        <v/>
      </c>
      <c r="I1472" s="146"/>
      <c r="J1472" s="146"/>
      <c r="K1472" s="146"/>
      <c r="L1472" s="146"/>
      <c r="M1472" s="544"/>
      <c r="N1472" s="544"/>
      <c r="O1472" s="544"/>
      <c r="P1472" s="544"/>
      <c r="R1472" s="543" t="str">
        <f t="shared" si="69"/>
        <v>:</v>
      </c>
      <c r="S1472" s="544">
        <f t="shared" si="68"/>
        <v>0</v>
      </c>
    </row>
    <row r="1473" spans="2:19">
      <c r="B1473" s="146"/>
      <c r="C1473" s="146"/>
      <c r="D1473" s="543" t="str">
        <f t="shared" si="67"/>
        <v/>
      </c>
      <c r="I1473" s="146"/>
      <c r="J1473" s="146"/>
      <c r="K1473" s="146"/>
      <c r="L1473" s="146"/>
      <c r="M1473" s="544"/>
      <c r="N1473" s="544"/>
      <c r="O1473" s="544"/>
      <c r="P1473" s="544"/>
      <c r="R1473" s="543" t="str">
        <f t="shared" si="69"/>
        <v>:</v>
      </c>
      <c r="S1473" s="544">
        <f t="shared" si="68"/>
        <v>0</v>
      </c>
    </row>
    <row r="1474" spans="2:19">
      <c r="B1474" s="146"/>
      <c r="C1474" s="146"/>
      <c r="D1474" s="543" t="str">
        <f t="shared" si="67"/>
        <v/>
      </c>
      <c r="I1474" s="146"/>
      <c r="J1474" s="146"/>
      <c r="K1474" s="146"/>
      <c r="L1474" s="146"/>
      <c r="M1474" s="544"/>
      <c r="N1474" s="544"/>
      <c r="O1474" s="544"/>
      <c r="P1474" s="544"/>
      <c r="R1474" s="543" t="str">
        <f t="shared" si="69"/>
        <v>:</v>
      </c>
      <c r="S1474" s="544">
        <f t="shared" si="68"/>
        <v>0</v>
      </c>
    </row>
    <row r="1475" spans="2:19">
      <c r="B1475" s="146"/>
      <c r="C1475" s="146"/>
      <c r="D1475" s="543" t="str">
        <f t="shared" si="67"/>
        <v/>
      </c>
      <c r="I1475" s="146"/>
      <c r="J1475" s="146"/>
      <c r="K1475" s="146"/>
      <c r="L1475" s="146"/>
      <c r="M1475" s="544"/>
      <c r="N1475" s="544"/>
      <c r="O1475" s="544"/>
      <c r="P1475" s="544"/>
      <c r="R1475" s="543" t="str">
        <f t="shared" si="69"/>
        <v>:</v>
      </c>
      <c r="S1475" s="544">
        <f t="shared" si="68"/>
        <v>0</v>
      </c>
    </row>
    <row r="1476" spans="2:19">
      <c r="B1476" s="146"/>
      <c r="C1476" s="146"/>
      <c r="D1476" s="543" t="str">
        <f t="shared" si="67"/>
        <v/>
      </c>
      <c r="I1476" s="146"/>
      <c r="J1476" s="146"/>
      <c r="K1476" s="146"/>
      <c r="L1476" s="146"/>
      <c r="M1476" s="544"/>
      <c r="N1476" s="544"/>
      <c r="O1476" s="544"/>
      <c r="P1476" s="544"/>
      <c r="R1476" s="543" t="str">
        <f t="shared" si="69"/>
        <v>:</v>
      </c>
      <c r="S1476" s="544">
        <f t="shared" si="68"/>
        <v>0</v>
      </c>
    </row>
    <row r="1477" spans="2:19">
      <c r="B1477" s="146"/>
      <c r="C1477" s="146"/>
      <c r="D1477" s="543" t="str">
        <f t="shared" si="67"/>
        <v/>
      </c>
      <c r="I1477" s="146"/>
      <c r="J1477" s="146"/>
      <c r="K1477" s="146"/>
      <c r="L1477" s="146"/>
      <c r="M1477" s="544"/>
      <c r="N1477" s="544"/>
      <c r="O1477" s="544"/>
      <c r="P1477" s="544"/>
      <c r="R1477" s="543" t="str">
        <f t="shared" si="69"/>
        <v>:</v>
      </c>
      <c r="S1477" s="544">
        <f t="shared" si="68"/>
        <v>0</v>
      </c>
    </row>
    <row r="1478" spans="2:19">
      <c r="B1478" s="146"/>
      <c r="C1478" s="146"/>
      <c r="D1478" s="543" t="str">
        <f t="shared" si="67"/>
        <v/>
      </c>
      <c r="I1478" s="146"/>
      <c r="J1478" s="146"/>
      <c r="K1478" s="146"/>
      <c r="L1478" s="146"/>
      <c r="M1478" s="544"/>
      <c r="N1478" s="544"/>
      <c r="O1478" s="544"/>
      <c r="P1478" s="544"/>
      <c r="R1478" s="543" t="str">
        <f t="shared" si="69"/>
        <v>:</v>
      </c>
      <c r="S1478" s="544">
        <f t="shared" si="68"/>
        <v>0</v>
      </c>
    </row>
    <row r="1479" spans="2:19">
      <c r="B1479" s="146"/>
      <c r="C1479" s="146"/>
      <c r="D1479" s="543" t="str">
        <f t="shared" si="67"/>
        <v/>
      </c>
      <c r="I1479" s="146"/>
      <c r="J1479" s="146"/>
      <c r="K1479" s="146"/>
      <c r="L1479" s="146"/>
      <c r="M1479" s="544"/>
      <c r="N1479" s="544"/>
      <c r="O1479" s="544"/>
      <c r="P1479" s="544"/>
      <c r="R1479" s="543" t="str">
        <f t="shared" si="69"/>
        <v>:</v>
      </c>
      <c r="S1479" s="544">
        <f t="shared" si="68"/>
        <v>0</v>
      </c>
    </row>
    <row r="1480" spans="2:19">
      <c r="B1480" s="146"/>
      <c r="C1480" s="146"/>
      <c r="D1480" s="543" t="str">
        <f t="shared" si="67"/>
        <v/>
      </c>
      <c r="I1480" s="146"/>
      <c r="J1480" s="146"/>
      <c r="K1480" s="146"/>
      <c r="L1480" s="146"/>
      <c r="M1480" s="544"/>
      <c r="N1480" s="544"/>
      <c r="O1480" s="544"/>
      <c r="P1480" s="544"/>
      <c r="R1480" s="543" t="str">
        <f t="shared" si="69"/>
        <v>:</v>
      </c>
      <c r="S1480" s="544">
        <f t="shared" si="68"/>
        <v>0</v>
      </c>
    </row>
    <row r="1481" spans="2:19">
      <c r="B1481" s="146"/>
      <c r="C1481" s="146"/>
      <c r="D1481" s="543" t="str">
        <f t="shared" si="67"/>
        <v/>
      </c>
      <c r="I1481" s="146"/>
      <c r="J1481" s="146"/>
      <c r="K1481" s="146"/>
      <c r="L1481" s="146"/>
      <c r="M1481" s="544"/>
      <c r="N1481" s="544"/>
      <c r="O1481" s="544"/>
      <c r="P1481" s="544"/>
      <c r="R1481" s="543" t="str">
        <f t="shared" si="69"/>
        <v>:</v>
      </c>
      <c r="S1481" s="544">
        <f t="shared" si="68"/>
        <v>0</v>
      </c>
    </row>
    <row r="1482" spans="2:19">
      <c r="B1482" s="146"/>
      <c r="C1482" s="146"/>
      <c r="D1482" s="543" t="str">
        <f t="shared" ref="D1482:D1545" si="70">IF(B1482="","",B1482&amp;":"&amp;C1482)</f>
        <v/>
      </c>
      <c r="I1482" s="146"/>
      <c r="J1482" s="146"/>
      <c r="K1482" s="146"/>
      <c r="L1482" s="146"/>
      <c r="M1482" s="544"/>
      <c r="N1482" s="544"/>
      <c r="O1482" s="544"/>
      <c r="P1482" s="544"/>
      <c r="R1482" s="543" t="str">
        <f t="shared" si="69"/>
        <v>:</v>
      </c>
      <c r="S1482" s="544">
        <f t="shared" ref="S1482:S1545" si="71">HLOOKUP($S$8,$L$8:$P$2000,ROW()-7,FALSE)</f>
        <v>0</v>
      </c>
    </row>
    <row r="1483" spans="2:19">
      <c r="B1483" s="146"/>
      <c r="C1483" s="146"/>
      <c r="D1483" s="543" t="str">
        <f t="shared" si="70"/>
        <v/>
      </c>
      <c r="I1483" s="146"/>
      <c r="J1483" s="146"/>
      <c r="K1483" s="146"/>
      <c r="L1483" s="146"/>
      <c r="M1483" s="544"/>
      <c r="N1483" s="544"/>
      <c r="O1483" s="544"/>
      <c r="P1483" s="544"/>
      <c r="R1483" s="543" t="str">
        <f t="shared" si="69"/>
        <v>:</v>
      </c>
      <c r="S1483" s="544">
        <f t="shared" si="71"/>
        <v>0</v>
      </c>
    </row>
    <row r="1484" spans="2:19">
      <c r="B1484" s="146"/>
      <c r="C1484" s="146"/>
      <c r="D1484" s="543" t="str">
        <f t="shared" si="70"/>
        <v/>
      </c>
      <c r="I1484" s="146"/>
      <c r="J1484" s="146"/>
      <c r="K1484" s="146"/>
      <c r="L1484" s="146"/>
      <c r="M1484" s="544"/>
      <c r="N1484" s="544"/>
      <c r="O1484" s="544"/>
      <c r="P1484" s="544"/>
      <c r="R1484" s="543" t="str">
        <f t="shared" si="69"/>
        <v>:</v>
      </c>
      <c r="S1484" s="544">
        <f t="shared" si="71"/>
        <v>0</v>
      </c>
    </row>
    <row r="1485" spans="2:19">
      <c r="B1485" s="146"/>
      <c r="C1485" s="146"/>
      <c r="D1485" s="543" t="str">
        <f t="shared" si="70"/>
        <v/>
      </c>
      <c r="I1485" s="146"/>
      <c r="J1485" s="146"/>
      <c r="K1485" s="146"/>
      <c r="L1485" s="146"/>
      <c r="M1485" s="544"/>
      <c r="N1485" s="544"/>
      <c r="O1485" s="544"/>
      <c r="P1485" s="544"/>
      <c r="R1485" s="543" t="str">
        <f t="shared" ref="R1485:R1548" si="72">I1485&amp;":"&amp;J1485&amp;K1485</f>
        <v>:</v>
      </c>
      <c r="S1485" s="544">
        <f t="shared" si="71"/>
        <v>0</v>
      </c>
    </row>
    <row r="1486" spans="2:19">
      <c r="B1486" s="146"/>
      <c r="C1486" s="146"/>
      <c r="D1486" s="543" t="str">
        <f t="shared" si="70"/>
        <v/>
      </c>
      <c r="I1486" s="146"/>
      <c r="J1486" s="146"/>
      <c r="K1486" s="146"/>
      <c r="L1486" s="146"/>
      <c r="M1486" s="544"/>
      <c r="N1486" s="544"/>
      <c r="O1486" s="544"/>
      <c r="P1486" s="544"/>
      <c r="R1486" s="543" t="str">
        <f t="shared" si="72"/>
        <v>:</v>
      </c>
      <c r="S1486" s="544">
        <f t="shared" si="71"/>
        <v>0</v>
      </c>
    </row>
    <row r="1487" spans="2:19">
      <c r="B1487" s="146"/>
      <c r="C1487" s="146"/>
      <c r="D1487" s="543" t="str">
        <f t="shared" si="70"/>
        <v/>
      </c>
      <c r="I1487" s="146"/>
      <c r="J1487" s="146"/>
      <c r="K1487" s="146"/>
      <c r="L1487" s="146"/>
      <c r="M1487" s="544"/>
      <c r="N1487" s="544"/>
      <c r="O1487" s="544"/>
      <c r="P1487" s="544"/>
      <c r="R1487" s="543" t="str">
        <f t="shared" si="72"/>
        <v>:</v>
      </c>
      <c r="S1487" s="544">
        <f t="shared" si="71"/>
        <v>0</v>
      </c>
    </row>
    <row r="1488" spans="2:19">
      <c r="B1488" s="146"/>
      <c r="C1488" s="146"/>
      <c r="D1488" s="543" t="str">
        <f t="shared" si="70"/>
        <v/>
      </c>
      <c r="I1488" s="146"/>
      <c r="J1488" s="146"/>
      <c r="K1488" s="146"/>
      <c r="L1488" s="146"/>
      <c r="M1488" s="544"/>
      <c r="N1488" s="544"/>
      <c r="O1488" s="544"/>
      <c r="P1488" s="544"/>
      <c r="R1488" s="543" t="str">
        <f t="shared" si="72"/>
        <v>:</v>
      </c>
      <c r="S1488" s="544">
        <f t="shared" si="71"/>
        <v>0</v>
      </c>
    </row>
    <row r="1489" spans="2:19">
      <c r="B1489" s="146"/>
      <c r="C1489" s="146"/>
      <c r="D1489" s="543" t="str">
        <f t="shared" si="70"/>
        <v/>
      </c>
      <c r="I1489" s="146"/>
      <c r="J1489" s="146"/>
      <c r="K1489" s="146"/>
      <c r="L1489" s="146"/>
      <c r="M1489" s="544"/>
      <c r="N1489" s="544"/>
      <c r="O1489" s="544"/>
      <c r="P1489" s="544"/>
      <c r="R1489" s="543" t="str">
        <f t="shared" si="72"/>
        <v>:</v>
      </c>
      <c r="S1489" s="544">
        <f t="shared" si="71"/>
        <v>0</v>
      </c>
    </row>
    <row r="1490" spans="2:19">
      <c r="B1490" s="146"/>
      <c r="C1490" s="146"/>
      <c r="D1490" s="543" t="str">
        <f t="shared" si="70"/>
        <v/>
      </c>
      <c r="I1490" s="146"/>
      <c r="J1490" s="146"/>
      <c r="K1490" s="146"/>
      <c r="L1490" s="146"/>
      <c r="M1490" s="544"/>
      <c r="N1490" s="544"/>
      <c r="O1490" s="544"/>
      <c r="P1490" s="544"/>
      <c r="R1490" s="543" t="str">
        <f t="shared" si="72"/>
        <v>:</v>
      </c>
      <c r="S1490" s="544">
        <f t="shared" si="71"/>
        <v>0</v>
      </c>
    </row>
    <row r="1491" spans="2:19">
      <c r="B1491" s="146"/>
      <c r="C1491" s="146"/>
      <c r="D1491" s="543" t="str">
        <f t="shared" si="70"/>
        <v/>
      </c>
      <c r="I1491" s="146"/>
      <c r="J1491" s="146"/>
      <c r="K1491" s="146"/>
      <c r="L1491" s="146"/>
      <c r="M1491" s="544"/>
      <c r="N1491" s="544"/>
      <c r="O1491" s="544"/>
      <c r="P1491" s="544"/>
      <c r="R1491" s="543" t="str">
        <f t="shared" si="72"/>
        <v>:</v>
      </c>
      <c r="S1491" s="544">
        <f t="shared" si="71"/>
        <v>0</v>
      </c>
    </row>
    <row r="1492" spans="2:19">
      <c r="B1492" s="146"/>
      <c r="C1492" s="146"/>
      <c r="D1492" s="543" t="str">
        <f t="shared" si="70"/>
        <v/>
      </c>
      <c r="I1492" s="146"/>
      <c r="J1492" s="146"/>
      <c r="K1492" s="146"/>
      <c r="L1492" s="146"/>
      <c r="M1492" s="544"/>
      <c r="N1492" s="544"/>
      <c r="O1492" s="544"/>
      <c r="P1492" s="544"/>
      <c r="R1492" s="543" t="str">
        <f t="shared" si="72"/>
        <v>:</v>
      </c>
      <c r="S1492" s="544">
        <f t="shared" si="71"/>
        <v>0</v>
      </c>
    </row>
    <row r="1493" spans="2:19">
      <c r="B1493" s="146"/>
      <c r="C1493" s="146"/>
      <c r="D1493" s="543" t="str">
        <f t="shared" si="70"/>
        <v/>
      </c>
      <c r="I1493" s="146"/>
      <c r="J1493" s="146"/>
      <c r="K1493" s="146"/>
      <c r="L1493" s="146"/>
      <c r="M1493" s="544"/>
      <c r="N1493" s="544"/>
      <c r="O1493" s="544"/>
      <c r="P1493" s="544"/>
      <c r="R1493" s="543" t="str">
        <f t="shared" si="72"/>
        <v>:</v>
      </c>
      <c r="S1493" s="544">
        <f t="shared" si="71"/>
        <v>0</v>
      </c>
    </row>
    <row r="1494" spans="2:19">
      <c r="B1494" s="146"/>
      <c r="C1494" s="146"/>
      <c r="D1494" s="543" t="str">
        <f t="shared" si="70"/>
        <v/>
      </c>
      <c r="I1494" s="146"/>
      <c r="J1494" s="146"/>
      <c r="K1494" s="146"/>
      <c r="L1494" s="146"/>
      <c r="M1494" s="544"/>
      <c r="N1494" s="544"/>
      <c r="O1494" s="544"/>
      <c r="P1494" s="544"/>
      <c r="R1494" s="543" t="str">
        <f t="shared" si="72"/>
        <v>:</v>
      </c>
      <c r="S1494" s="544">
        <f t="shared" si="71"/>
        <v>0</v>
      </c>
    </row>
    <row r="1495" spans="2:19">
      <c r="B1495" s="146"/>
      <c r="C1495" s="146"/>
      <c r="D1495" s="543" t="str">
        <f t="shared" si="70"/>
        <v/>
      </c>
      <c r="I1495" s="146"/>
      <c r="J1495" s="146"/>
      <c r="K1495" s="146"/>
      <c r="L1495" s="146"/>
      <c r="M1495" s="544"/>
      <c r="N1495" s="544"/>
      <c r="O1495" s="544"/>
      <c r="P1495" s="544"/>
      <c r="R1495" s="543" t="str">
        <f t="shared" si="72"/>
        <v>:</v>
      </c>
      <c r="S1495" s="544">
        <f t="shared" si="71"/>
        <v>0</v>
      </c>
    </row>
    <row r="1496" spans="2:19">
      <c r="B1496" s="146"/>
      <c r="C1496" s="146"/>
      <c r="D1496" s="543" t="str">
        <f t="shared" si="70"/>
        <v/>
      </c>
      <c r="I1496" s="146"/>
      <c r="J1496" s="146"/>
      <c r="K1496" s="146"/>
      <c r="L1496" s="146"/>
      <c r="M1496" s="544"/>
      <c r="N1496" s="544"/>
      <c r="O1496" s="544"/>
      <c r="P1496" s="544"/>
      <c r="R1496" s="543" t="str">
        <f t="shared" si="72"/>
        <v>:</v>
      </c>
      <c r="S1496" s="544">
        <f t="shared" si="71"/>
        <v>0</v>
      </c>
    </row>
    <row r="1497" spans="2:19">
      <c r="B1497" s="146"/>
      <c r="C1497" s="146"/>
      <c r="D1497" s="543" t="str">
        <f t="shared" si="70"/>
        <v/>
      </c>
      <c r="I1497" s="146"/>
      <c r="J1497" s="146"/>
      <c r="K1497" s="146"/>
      <c r="L1497" s="146"/>
      <c r="M1497" s="544"/>
      <c r="N1497" s="544"/>
      <c r="O1497" s="544"/>
      <c r="P1497" s="544"/>
      <c r="R1497" s="543" t="str">
        <f t="shared" si="72"/>
        <v>:</v>
      </c>
      <c r="S1497" s="544">
        <f t="shared" si="71"/>
        <v>0</v>
      </c>
    </row>
    <row r="1498" spans="2:19">
      <c r="B1498" s="146"/>
      <c r="C1498" s="146"/>
      <c r="D1498" s="543" t="str">
        <f t="shared" si="70"/>
        <v/>
      </c>
      <c r="I1498" s="146"/>
      <c r="J1498" s="146"/>
      <c r="K1498" s="146"/>
      <c r="L1498" s="146"/>
      <c r="M1498" s="544"/>
      <c r="N1498" s="544"/>
      <c r="O1498" s="544"/>
      <c r="P1498" s="544"/>
      <c r="R1498" s="543" t="str">
        <f t="shared" si="72"/>
        <v>:</v>
      </c>
      <c r="S1498" s="544">
        <f t="shared" si="71"/>
        <v>0</v>
      </c>
    </row>
    <row r="1499" spans="2:19">
      <c r="B1499" s="146"/>
      <c r="C1499" s="146"/>
      <c r="D1499" s="543" t="str">
        <f t="shared" si="70"/>
        <v/>
      </c>
      <c r="I1499" s="146"/>
      <c r="J1499" s="146"/>
      <c r="K1499" s="146"/>
      <c r="L1499" s="146"/>
      <c r="M1499" s="544"/>
      <c r="N1499" s="544"/>
      <c r="O1499" s="544"/>
      <c r="P1499" s="544"/>
      <c r="R1499" s="543" t="str">
        <f t="shared" si="72"/>
        <v>:</v>
      </c>
      <c r="S1499" s="544">
        <f t="shared" si="71"/>
        <v>0</v>
      </c>
    </row>
    <row r="1500" spans="2:19">
      <c r="B1500" s="146"/>
      <c r="C1500" s="146"/>
      <c r="D1500" s="543" t="str">
        <f t="shared" si="70"/>
        <v/>
      </c>
      <c r="I1500" s="146"/>
      <c r="J1500" s="146"/>
      <c r="K1500" s="146"/>
      <c r="L1500" s="146"/>
      <c r="M1500" s="544"/>
      <c r="N1500" s="544"/>
      <c r="O1500" s="544"/>
      <c r="P1500" s="544"/>
      <c r="R1500" s="543" t="str">
        <f t="shared" si="72"/>
        <v>:</v>
      </c>
      <c r="S1500" s="544">
        <f t="shared" si="71"/>
        <v>0</v>
      </c>
    </row>
    <row r="1501" spans="2:19">
      <c r="B1501" s="146"/>
      <c r="C1501" s="146"/>
      <c r="D1501" s="543" t="str">
        <f t="shared" si="70"/>
        <v/>
      </c>
      <c r="I1501" s="146"/>
      <c r="J1501" s="146"/>
      <c r="K1501" s="146"/>
      <c r="L1501" s="146"/>
      <c r="M1501" s="544"/>
      <c r="N1501" s="544"/>
      <c r="O1501" s="544"/>
      <c r="P1501" s="544"/>
      <c r="R1501" s="543" t="str">
        <f t="shared" si="72"/>
        <v>:</v>
      </c>
      <c r="S1501" s="544">
        <f t="shared" si="71"/>
        <v>0</v>
      </c>
    </row>
    <row r="1502" spans="2:19">
      <c r="B1502" s="146"/>
      <c r="C1502" s="146"/>
      <c r="D1502" s="543" t="str">
        <f t="shared" si="70"/>
        <v/>
      </c>
      <c r="I1502" s="146"/>
      <c r="J1502" s="146"/>
      <c r="K1502" s="146"/>
      <c r="L1502" s="146"/>
      <c r="M1502" s="544"/>
      <c r="N1502" s="544"/>
      <c r="O1502" s="544"/>
      <c r="P1502" s="544"/>
      <c r="R1502" s="543" t="str">
        <f t="shared" si="72"/>
        <v>:</v>
      </c>
      <c r="S1502" s="544">
        <f t="shared" si="71"/>
        <v>0</v>
      </c>
    </row>
    <row r="1503" spans="2:19">
      <c r="B1503" s="146"/>
      <c r="C1503" s="146"/>
      <c r="D1503" s="543" t="str">
        <f t="shared" si="70"/>
        <v/>
      </c>
      <c r="I1503" s="146"/>
      <c r="J1503" s="146"/>
      <c r="K1503" s="146"/>
      <c r="L1503" s="146"/>
      <c r="M1503" s="544"/>
      <c r="N1503" s="544"/>
      <c r="O1503" s="544"/>
      <c r="P1503" s="544"/>
      <c r="R1503" s="543" t="str">
        <f t="shared" si="72"/>
        <v>:</v>
      </c>
      <c r="S1503" s="544">
        <f t="shared" si="71"/>
        <v>0</v>
      </c>
    </row>
    <row r="1504" spans="2:19">
      <c r="B1504" s="146"/>
      <c r="C1504" s="146"/>
      <c r="D1504" s="543" t="str">
        <f t="shared" si="70"/>
        <v/>
      </c>
      <c r="I1504" s="146"/>
      <c r="J1504" s="146"/>
      <c r="K1504" s="146"/>
      <c r="L1504" s="146"/>
      <c r="M1504" s="544"/>
      <c r="N1504" s="544"/>
      <c r="O1504" s="544"/>
      <c r="P1504" s="544"/>
      <c r="R1504" s="543" t="str">
        <f t="shared" si="72"/>
        <v>:</v>
      </c>
      <c r="S1504" s="544">
        <f t="shared" si="71"/>
        <v>0</v>
      </c>
    </row>
    <row r="1505" spans="2:19">
      <c r="B1505" s="146"/>
      <c r="C1505" s="146"/>
      <c r="D1505" s="543" t="str">
        <f t="shared" si="70"/>
        <v/>
      </c>
      <c r="I1505" s="146"/>
      <c r="J1505" s="146"/>
      <c r="K1505" s="146"/>
      <c r="L1505" s="146"/>
      <c r="M1505" s="544"/>
      <c r="N1505" s="544"/>
      <c r="O1505" s="544"/>
      <c r="P1505" s="544"/>
      <c r="R1505" s="543" t="str">
        <f t="shared" si="72"/>
        <v>:</v>
      </c>
      <c r="S1505" s="544">
        <f t="shared" si="71"/>
        <v>0</v>
      </c>
    </row>
    <row r="1506" spans="2:19">
      <c r="B1506" s="146"/>
      <c r="C1506" s="146"/>
      <c r="D1506" s="543" t="str">
        <f t="shared" si="70"/>
        <v/>
      </c>
      <c r="I1506" s="146"/>
      <c r="J1506" s="146"/>
      <c r="K1506" s="146"/>
      <c r="L1506" s="146"/>
      <c r="M1506" s="544"/>
      <c r="N1506" s="544"/>
      <c r="O1506" s="544"/>
      <c r="P1506" s="544"/>
      <c r="R1506" s="543" t="str">
        <f t="shared" si="72"/>
        <v>:</v>
      </c>
      <c r="S1506" s="544">
        <f t="shared" si="71"/>
        <v>0</v>
      </c>
    </row>
    <row r="1507" spans="2:19">
      <c r="B1507" s="146"/>
      <c r="C1507" s="146"/>
      <c r="D1507" s="543" t="str">
        <f t="shared" si="70"/>
        <v/>
      </c>
      <c r="I1507" s="146"/>
      <c r="J1507" s="146"/>
      <c r="K1507" s="146"/>
      <c r="L1507" s="146"/>
      <c r="M1507" s="544"/>
      <c r="N1507" s="544"/>
      <c r="O1507" s="544"/>
      <c r="P1507" s="544"/>
      <c r="R1507" s="543" t="str">
        <f t="shared" si="72"/>
        <v>:</v>
      </c>
      <c r="S1507" s="544">
        <f t="shared" si="71"/>
        <v>0</v>
      </c>
    </row>
    <row r="1508" spans="2:19">
      <c r="B1508" s="146"/>
      <c r="C1508" s="146"/>
      <c r="D1508" s="543" t="str">
        <f t="shared" si="70"/>
        <v/>
      </c>
      <c r="I1508" s="146"/>
      <c r="J1508" s="146"/>
      <c r="K1508" s="146"/>
      <c r="L1508" s="146"/>
      <c r="M1508" s="544"/>
      <c r="N1508" s="544"/>
      <c r="O1508" s="544"/>
      <c r="P1508" s="544"/>
      <c r="R1508" s="543" t="str">
        <f t="shared" si="72"/>
        <v>:</v>
      </c>
      <c r="S1508" s="544">
        <f t="shared" si="71"/>
        <v>0</v>
      </c>
    </row>
    <row r="1509" spans="2:19">
      <c r="B1509" s="146"/>
      <c r="C1509" s="146"/>
      <c r="D1509" s="543" t="str">
        <f t="shared" si="70"/>
        <v/>
      </c>
      <c r="I1509" s="146"/>
      <c r="J1509" s="146"/>
      <c r="K1509" s="146"/>
      <c r="L1509" s="146"/>
      <c r="M1509" s="544"/>
      <c r="N1509" s="544"/>
      <c r="O1509" s="544"/>
      <c r="P1509" s="544"/>
      <c r="R1509" s="543" t="str">
        <f t="shared" si="72"/>
        <v>:</v>
      </c>
      <c r="S1509" s="544">
        <f t="shared" si="71"/>
        <v>0</v>
      </c>
    </row>
    <row r="1510" spans="2:19">
      <c r="B1510" s="146"/>
      <c r="C1510" s="146"/>
      <c r="D1510" s="543" t="str">
        <f t="shared" si="70"/>
        <v/>
      </c>
      <c r="I1510" s="146"/>
      <c r="J1510" s="146"/>
      <c r="K1510" s="146"/>
      <c r="L1510" s="146"/>
      <c r="M1510" s="544"/>
      <c r="N1510" s="544"/>
      <c r="O1510" s="544"/>
      <c r="P1510" s="544"/>
      <c r="R1510" s="543" t="str">
        <f t="shared" si="72"/>
        <v>:</v>
      </c>
      <c r="S1510" s="544">
        <f t="shared" si="71"/>
        <v>0</v>
      </c>
    </row>
    <row r="1511" spans="2:19">
      <c r="B1511" s="146"/>
      <c r="C1511" s="146"/>
      <c r="D1511" s="543" t="str">
        <f t="shared" si="70"/>
        <v/>
      </c>
      <c r="I1511" s="146"/>
      <c r="J1511" s="146"/>
      <c r="K1511" s="146"/>
      <c r="L1511" s="146"/>
      <c r="M1511" s="544"/>
      <c r="N1511" s="544"/>
      <c r="O1511" s="544"/>
      <c r="P1511" s="544"/>
      <c r="R1511" s="543" t="str">
        <f t="shared" si="72"/>
        <v>:</v>
      </c>
      <c r="S1511" s="544">
        <f t="shared" si="71"/>
        <v>0</v>
      </c>
    </row>
    <row r="1512" spans="2:19">
      <c r="B1512" s="146"/>
      <c r="C1512" s="146"/>
      <c r="D1512" s="543" t="str">
        <f t="shared" si="70"/>
        <v/>
      </c>
      <c r="I1512" s="146"/>
      <c r="J1512" s="146"/>
      <c r="K1512" s="146"/>
      <c r="L1512" s="146"/>
      <c r="M1512" s="544"/>
      <c r="N1512" s="544"/>
      <c r="O1512" s="544"/>
      <c r="P1512" s="544"/>
      <c r="R1512" s="543" t="str">
        <f t="shared" si="72"/>
        <v>:</v>
      </c>
      <c r="S1512" s="544">
        <f t="shared" si="71"/>
        <v>0</v>
      </c>
    </row>
    <row r="1513" spans="2:19">
      <c r="B1513" s="146"/>
      <c r="C1513" s="146"/>
      <c r="D1513" s="543" t="str">
        <f t="shared" si="70"/>
        <v/>
      </c>
      <c r="I1513" s="146"/>
      <c r="J1513" s="146"/>
      <c r="K1513" s="146"/>
      <c r="L1513" s="146"/>
      <c r="M1513" s="544"/>
      <c r="N1513" s="544"/>
      <c r="O1513" s="544"/>
      <c r="P1513" s="544"/>
      <c r="R1513" s="543" t="str">
        <f t="shared" si="72"/>
        <v>:</v>
      </c>
      <c r="S1513" s="544">
        <f t="shared" si="71"/>
        <v>0</v>
      </c>
    </row>
    <row r="1514" spans="2:19">
      <c r="B1514" s="146"/>
      <c r="C1514" s="146"/>
      <c r="D1514" s="543" t="str">
        <f t="shared" si="70"/>
        <v/>
      </c>
      <c r="I1514" s="146"/>
      <c r="J1514" s="146"/>
      <c r="K1514" s="146"/>
      <c r="L1514" s="146"/>
      <c r="M1514" s="544"/>
      <c r="N1514" s="544"/>
      <c r="O1514" s="544"/>
      <c r="P1514" s="544"/>
      <c r="R1514" s="543" t="str">
        <f t="shared" si="72"/>
        <v>:</v>
      </c>
      <c r="S1514" s="544">
        <f t="shared" si="71"/>
        <v>0</v>
      </c>
    </row>
    <row r="1515" spans="2:19">
      <c r="B1515" s="146"/>
      <c r="C1515" s="146"/>
      <c r="D1515" s="543" t="str">
        <f t="shared" si="70"/>
        <v/>
      </c>
      <c r="I1515" s="146"/>
      <c r="J1515" s="146"/>
      <c r="K1515" s="146"/>
      <c r="L1515" s="146"/>
      <c r="M1515" s="544"/>
      <c r="N1515" s="544"/>
      <c r="O1515" s="544"/>
      <c r="P1515" s="544"/>
      <c r="R1515" s="543" t="str">
        <f t="shared" si="72"/>
        <v>:</v>
      </c>
      <c r="S1515" s="544">
        <f t="shared" si="71"/>
        <v>0</v>
      </c>
    </row>
    <row r="1516" spans="2:19">
      <c r="B1516" s="146"/>
      <c r="C1516" s="146"/>
      <c r="D1516" s="543" t="str">
        <f t="shared" si="70"/>
        <v/>
      </c>
      <c r="I1516" s="146"/>
      <c r="J1516" s="146"/>
      <c r="K1516" s="146"/>
      <c r="L1516" s="146"/>
      <c r="M1516" s="544"/>
      <c r="N1516" s="544"/>
      <c r="O1516" s="544"/>
      <c r="P1516" s="544"/>
      <c r="R1516" s="543" t="str">
        <f t="shared" si="72"/>
        <v>:</v>
      </c>
      <c r="S1516" s="544">
        <f t="shared" si="71"/>
        <v>0</v>
      </c>
    </row>
    <row r="1517" spans="2:19">
      <c r="B1517" s="146"/>
      <c r="C1517" s="146"/>
      <c r="D1517" s="543" t="str">
        <f t="shared" si="70"/>
        <v/>
      </c>
      <c r="I1517" s="146"/>
      <c r="J1517" s="146"/>
      <c r="K1517" s="146"/>
      <c r="L1517" s="146"/>
      <c r="M1517" s="544"/>
      <c r="N1517" s="544"/>
      <c r="O1517" s="544"/>
      <c r="P1517" s="544"/>
      <c r="R1517" s="543" t="str">
        <f t="shared" si="72"/>
        <v>:</v>
      </c>
      <c r="S1517" s="544">
        <f t="shared" si="71"/>
        <v>0</v>
      </c>
    </row>
    <row r="1518" spans="2:19">
      <c r="B1518" s="146"/>
      <c r="C1518" s="146"/>
      <c r="D1518" s="543" t="str">
        <f t="shared" si="70"/>
        <v/>
      </c>
      <c r="I1518" s="146"/>
      <c r="J1518" s="146"/>
      <c r="K1518" s="146"/>
      <c r="L1518" s="146"/>
      <c r="M1518" s="544"/>
      <c r="N1518" s="544"/>
      <c r="O1518" s="544"/>
      <c r="P1518" s="544"/>
      <c r="R1518" s="543" t="str">
        <f t="shared" si="72"/>
        <v>:</v>
      </c>
      <c r="S1518" s="544">
        <f t="shared" si="71"/>
        <v>0</v>
      </c>
    </row>
    <row r="1519" spans="2:19">
      <c r="B1519" s="146"/>
      <c r="C1519" s="146"/>
      <c r="D1519" s="543" t="str">
        <f t="shared" si="70"/>
        <v/>
      </c>
      <c r="I1519" s="146"/>
      <c r="J1519" s="146"/>
      <c r="K1519" s="146"/>
      <c r="L1519" s="146"/>
      <c r="M1519" s="544"/>
      <c r="N1519" s="544"/>
      <c r="O1519" s="544"/>
      <c r="P1519" s="544"/>
      <c r="R1519" s="543" t="str">
        <f t="shared" si="72"/>
        <v>:</v>
      </c>
      <c r="S1519" s="544">
        <f t="shared" si="71"/>
        <v>0</v>
      </c>
    </row>
    <row r="1520" spans="2:19">
      <c r="B1520" s="146"/>
      <c r="C1520" s="146"/>
      <c r="D1520" s="543" t="str">
        <f t="shared" si="70"/>
        <v/>
      </c>
      <c r="I1520" s="146"/>
      <c r="J1520" s="146"/>
      <c r="K1520" s="146"/>
      <c r="L1520" s="146"/>
      <c r="M1520" s="544"/>
      <c r="N1520" s="544"/>
      <c r="O1520" s="544"/>
      <c r="P1520" s="544"/>
      <c r="R1520" s="543" t="str">
        <f t="shared" si="72"/>
        <v>:</v>
      </c>
      <c r="S1520" s="544">
        <f t="shared" si="71"/>
        <v>0</v>
      </c>
    </row>
    <row r="1521" spans="2:19">
      <c r="B1521" s="146"/>
      <c r="C1521" s="146"/>
      <c r="D1521" s="543" t="str">
        <f t="shared" si="70"/>
        <v/>
      </c>
      <c r="I1521" s="146"/>
      <c r="J1521" s="146"/>
      <c r="K1521" s="146"/>
      <c r="L1521" s="146"/>
      <c r="M1521" s="544"/>
      <c r="N1521" s="544"/>
      <c r="O1521" s="544"/>
      <c r="P1521" s="544"/>
      <c r="R1521" s="543" t="str">
        <f t="shared" si="72"/>
        <v>:</v>
      </c>
      <c r="S1521" s="544">
        <f t="shared" si="71"/>
        <v>0</v>
      </c>
    </row>
    <row r="1522" spans="2:19">
      <c r="B1522" s="146"/>
      <c r="C1522" s="146"/>
      <c r="D1522" s="543" t="str">
        <f t="shared" si="70"/>
        <v/>
      </c>
      <c r="I1522" s="146"/>
      <c r="J1522" s="146"/>
      <c r="K1522" s="146"/>
      <c r="L1522" s="146"/>
      <c r="M1522" s="544"/>
      <c r="N1522" s="544"/>
      <c r="O1522" s="544"/>
      <c r="P1522" s="544"/>
      <c r="R1522" s="543" t="str">
        <f t="shared" si="72"/>
        <v>:</v>
      </c>
      <c r="S1522" s="544">
        <f t="shared" si="71"/>
        <v>0</v>
      </c>
    </row>
    <row r="1523" spans="2:19">
      <c r="B1523" s="146"/>
      <c r="C1523" s="146"/>
      <c r="D1523" s="543" t="str">
        <f t="shared" si="70"/>
        <v/>
      </c>
      <c r="I1523" s="146"/>
      <c r="J1523" s="146"/>
      <c r="K1523" s="146"/>
      <c r="L1523" s="146"/>
      <c r="M1523" s="544"/>
      <c r="N1523" s="544"/>
      <c r="O1523" s="544"/>
      <c r="P1523" s="544"/>
      <c r="R1523" s="543" t="str">
        <f t="shared" si="72"/>
        <v>:</v>
      </c>
      <c r="S1523" s="544">
        <f t="shared" si="71"/>
        <v>0</v>
      </c>
    </row>
    <row r="1524" spans="2:19">
      <c r="B1524" s="146"/>
      <c r="C1524" s="146"/>
      <c r="D1524" s="543" t="str">
        <f t="shared" si="70"/>
        <v/>
      </c>
      <c r="I1524" s="146"/>
      <c r="J1524" s="146"/>
      <c r="K1524" s="146"/>
      <c r="L1524" s="146"/>
      <c r="M1524" s="544"/>
      <c r="N1524" s="544"/>
      <c r="O1524" s="544"/>
      <c r="P1524" s="544"/>
      <c r="R1524" s="543" t="str">
        <f t="shared" si="72"/>
        <v>:</v>
      </c>
      <c r="S1524" s="544">
        <f t="shared" si="71"/>
        <v>0</v>
      </c>
    </row>
    <row r="1525" spans="2:19">
      <c r="B1525" s="146"/>
      <c r="C1525" s="146"/>
      <c r="D1525" s="543" t="str">
        <f t="shared" si="70"/>
        <v/>
      </c>
      <c r="I1525" s="146"/>
      <c r="J1525" s="146"/>
      <c r="K1525" s="146"/>
      <c r="L1525" s="146"/>
      <c r="M1525" s="544"/>
      <c r="N1525" s="544"/>
      <c r="O1525" s="544"/>
      <c r="P1525" s="544"/>
      <c r="R1525" s="543" t="str">
        <f t="shared" si="72"/>
        <v>:</v>
      </c>
      <c r="S1525" s="544">
        <f t="shared" si="71"/>
        <v>0</v>
      </c>
    </row>
    <row r="1526" spans="2:19">
      <c r="B1526" s="146"/>
      <c r="C1526" s="146"/>
      <c r="D1526" s="543" t="str">
        <f t="shared" si="70"/>
        <v/>
      </c>
      <c r="I1526" s="146"/>
      <c r="J1526" s="146"/>
      <c r="K1526" s="146"/>
      <c r="L1526" s="146"/>
      <c r="M1526" s="544"/>
      <c r="N1526" s="544"/>
      <c r="O1526" s="544"/>
      <c r="P1526" s="544"/>
      <c r="R1526" s="543" t="str">
        <f t="shared" si="72"/>
        <v>:</v>
      </c>
      <c r="S1526" s="544">
        <f t="shared" si="71"/>
        <v>0</v>
      </c>
    </row>
    <row r="1527" spans="2:19">
      <c r="B1527" s="146"/>
      <c r="C1527" s="146"/>
      <c r="D1527" s="543" t="str">
        <f t="shared" si="70"/>
        <v/>
      </c>
      <c r="I1527" s="146"/>
      <c r="J1527" s="146"/>
      <c r="K1527" s="146"/>
      <c r="L1527" s="146"/>
      <c r="M1527" s="544"/>
      <c r="N1527" s="544"/>
      <c r="O1527" s="544"/>
      <c r="P1527" s="544"/>
      <c r="R1527" s="543" t="str">
        <f t="shared" si="72"/>
        <v>:</v>
      </c>
      <c r="S1527" s="544">
        <f t="shared" si="71"/>
        <v>0</v>
      </c>
    </row>
    <row r="1528" spans="2:19">
      <c r="B1528" s="146"/>
      <c r="C1528" s="146"/>
      <c r="D1528" s="543" t="str">
        <f t="shared" si="70"/>
        <v/>
      </c>
      <c r="I1528" s="146"/>
      <c r="J1528" s="146"/>
      <c r="K1528" s="146"/>
      <c r="L1528" s="146"/>
      <c r="M1528" s="544"/>
      <c r="N1528" s="544"/>
      <c r="O1528" s="544"/>
      <c r="P1528" s="544"/>
      <c r="R1528" s="543" t="str">
        <f t="shared" si="72"/>
        <v>:</v>
      </c>
      <c r="S1528" s="544">
        <f t="shared" si="71"/>
        <v>0</v>
      </c>
    </row>
    <row r="1529" spans="2:19">
      <c r="B1529" s="146"/>
      <c r="C1529" s="146"/>
      <c r="D1529" s="543" t="str">
        <f t="shared" si="70"/>
        <v/>
      </c>
      <c r="I1529" s="146"/>
      <c r="J1529" s="146"/>
      <c r="K1529" s="146"/>
      <c r="L1529" s="146"/>
      <c r="M1529" s="544"/>
      <c r="N1529" s="544"/>
      <c r="O1529" s="544"/>
      <c r="P1529" s="544"/>
      <c r="R1529" s="543" t="str">
        <f t="shared" si="72"/>
        <v>:</v>
      </c>
      <c r="S1529" s="544">
        <f t="shared" si="71"/>
        <v>0</v>
      </c>
    </row>
    <row r="1530" spans="2:19">
      <c r="B1530" s="146"/>
      <c r="C1530" s="146"/>
      <c r="D1530" s="543" t="str">
        <f t="shared" si="70"/>
        <v/>
      </c>
      <c r="I1530" s="146"/>
      <c r="J1530" s="146"/>
      <c r="K1530" s="146"/>
      <c r="L1530" s="146"/>
      <c r="M1530" s="544"/>
      <c r="N1530" s="544"/>
      <c r="O1530" s="544"/>
      <c r="P1530" s="544"/>
      <c r="R1530" s="543" t="str">
        <f t="shared" si="72"/>
        <v>:</v>
      </c>
      <c r="S1530" s="544">
        <f t="shared" si="71"/>
        <v>0</v>
      </c>
    </row>
    <row r="1531" spans="2:19">
      <c r="B1531" s="146"/>
      <c r="C1531" s="146"/>
      <c r="D1531" s="543" t="str">
        <f t="shared" si="70"/>
        <v/>
      </c>
      <c r="I1531" s="146"/>
      <c r="J1531" s="146"/>
      <c r="K1531" s="146"/>
      <c r="L1531" s="146"/>
      <c r="M1531" s="544"/>
      <c r="N1531" s="544"/>
      <c r="O1531" s="544"/>
      <c r="P1531" s="544"/>
      <c r="R1531" s="543" t="str">
        <f t="shared" si="72"/>
        <v>:</v>
      </c>
      <c r="S1531" s="544">
        <f t="shared" si="71"/>
        <v>0</v>
      </c>
    </row>
    <row r="1532" spans="2:19">
      <c r="B1532" s="146"/>
      <c r="C1532" s="146"/>
      <c r="D1532" s="543" t="str">
        <f t="shared" si="70"/>
        <v/>
      </c>
      <c r="I1532" s="146"/>
      <c r="J1532" s="146"/>
      <c r="K1532" s="146"/>
      <c r="L1532" s="146"/>
      <c r="M1532" s="544"/>
      <c r="N1532" s="544"/>
      <c r="O1532" s="544"/>
      <c r="P1532" s="544"/>
      <c r="R1532" s="543" t="str">
        <f t="shared" si="72"/>
        <v>:</v>
      </c>
      <c r="S1532" s="544">
        <f t="shared" si="71"/>
        <v>0</v>
      </c>
    </row>
    <row r="1533" spans="2:19">
      <c r="B1533" s="146"/>
      <c r="C1533" s="146"/>
      <c r="D1533" s="543" t="str">
        <f t="shared" si="70"/>
        <v/>
      </c>
      <c r="I1533" s="146"/>
      <c r="J1533" s="146"/>
      <c r="K1533" s="146"/>
      <c r="L1533" s="146"/>
      <c r="M1533" s="544"/>
      <c r="N1533" s="544"/>
      <c r="O1533" s="544"/>
      <c r="P1533" s="544"/>
      <c r="R1533" s="543" t="str">
        <f t="shared" si="72"/>
        <v>:</v>
      </c>
      <c r="S1533" s="544">
        <f t="shared" si="71"/>
        <v>0</v>
      </c>
    </row>
    <row r="1534" spans="2:19">
      <c r="B1534" s="146"/>
      <c r="C1534" s="146"/>
      <c r="D1534" s="543" t="str">
        <f t="shared" si="70"/>
        <v/>
      </c>
      <c r="I1534" s="146"/>
      <c r="J1534" s="146"/>
      <c r="K1534" s="146"/>
      <c r="L1534" s="146"/>
      <c r="M1534" s="544"/>
      <c r="N1534" s="544"/>
      <c r="O1534" s="544"/>
      <c r="P1534" s="544"/>
      <c r="R1534" s="543" t="str">
        <f t="shared" si="72"/>
        <v>:</v>
      </c>
      <c r="S1534" s="544">
        <f t="shared" si="71"/>
        <v>0</v>
      </c>
    </row>
    <row r="1535" spans="2:19">
      <c r="B1535" s="146"/>
      <c r="C1535" s="146"/>
      <c r="D1535" s="543" t="str">
        <f t="shared" si="70"/>
        <v/>
      </c>
      <c r="I1535" s="146"/>
      <c r="J1535" s="146"/>
      <c r="K1535" s="146"/>
      <c r="L1535" s="146"/>
      <c r="M1535" s="544"/>
      <c r="N1535" s="544"/>
      <c r="O1535" s="544"/>
      <c r="P1535" s="544"/>
      <c r="R1535" s="543" t="str">
        <f t="shared" si="72"/>
        <v>:</v>
      </c>
      <c r="S1535" s="544">
        <f t="shared" si="71"/>
        <v>0</v>
      </c>
    </row>
    <row r="1536" spans="2:19">
      <c r="B1536" s="146"/>
      <c r="C1536" s="146"/>
      <c r="D1536" s="543" t="str">
        <f t="shared" si="70"/>
        <v/>
      </c>
      <c r="I1536" s="146"/>
      <c r="J1536" s="146"/>
      <c r="K1536" s="146"/>
      <c r="L1536" s="146"/>
      <c r="M1536" s="544"/>
      <c r="N1536" s="544"/>
      <c r="O1536" s="544"/>
      <c r="P1536" s="544"/>
      <c r="R1536" s="543" t="str">
        <f t="shared" si="72"/>
        <v>:</v>
      </c>
      <c r="S1536" s="544">
        <f t="shared" si="71"/>
        <v>0</v>
      </c>
    </row>
    <row r="1537" spans="2:19">
      <c r="B1537" s="146"/>
      <c r="C1537" s="146"/>
      <c r="D1537" s="543" t="str">
        <f t="shared" si="70"/>
        <v/>
      </c>
      <c r="I1537" s="146"/>
      <c r="J1537" s="146"/>
      <c r="K1537" s="146"/>
      <c r="L1537" s="146"/>
      <c r="M1537" s="544"/>
      <c r="N1537" s="544"/>
      <c r="O1537" s="544"/>
      <c r="P1537" s="544"/>
      <c r="R1537" s="543" t="str">
        <f t="shared" si="72"/>
        <v>:</v>
      </c>
      <c r="S1537" s="544">
        <f t="shared" si="71"/>
        <v>0</v>
      </c>
    </row>
    <row r="1538" spans="2:19">
      <c r="B1538" s="146"/>
      <c r="C1538" s="146"/>
      <c r="D1538" s="543" t="str">
        <f t="shared" si="70"/>
        <v/>
      </c>
      <c r="I1538" s="146"/>
      <c r="J1538" s="146"/>
      <c r="K1538" s="146"/>
      <c r="L1538" s="146"/>
      <c r="M1538" s="544"/>
      <c r="N1538" s="544"/>
      <c r="O1538" s="544"/>
      <c r="P1538" s="544"/>
      <c r="R1538" s="543" t="str">
        <f t="shared" si="72"/>
        <v>:</v>
      </c>
      <c r="S1538" s="544">
        <f t="shared" si="71"/>
        <v>0</v>
      </c>
    </row>
    <row r="1539" spans="2:19">
      <c r="B1539" s="146"/>
      <c r="C1539" s="146"/>
      <c r="D1539" s="543" t="str">
        <f t="shared" si="70"/>
        <v/>
      </c>
      <c r="I1539" s="146"/>
      <c r="J1539" s="146"/>
      <c r="K1539" s="146"/>
      <c r="L1539" s="146"/>
      <c r="M1539" s="544"/>
      <c r="N1539" s="544"/>
      <c r="O1539" s="544"/>
      <c r="P1539" s="544"/>
      <c r="R1539" s="543" t="str">
        <f t="shared" si="72"/>
        <v>:</v>
      </c>
      <c r="S1539" s="544">
        <f t="shared" si="71"/>
        <v>0</v>
      </c>
    </row>
    <row r="1540" spans="2:19">
      <c r="B1540" s="146"/>
      <c r="C1540" s="146"/>
      <c r="D1540" s="543" t="str">
        <f t="shared" si="70"/>
        <v/>
      </c>
      <c r="I1540" s="146"/>
      <c r="J1540" s="146"/>
      <c r="K1540" s="146"/>
      <c r="L1540" s="146"/>
      <c r="M1540" s="544"/>
      <c r="N1540" s="544"/>
      <c r="O1540" s="544"/>
      <c r="P1540" s="544"/>
      <c r="R1540" s="543" t="str">
        <f t="shared" si="72"/>
        <v>:</v>
      </c>
      <c r="S1540" s="544">
        <f t="shared" si="71"/>
        <v>0</v>
      </c>
    </row>
    <row r="1541" spans="2:19">
      <c r="B1541" s="146"/>
      <c r="C1541" s="146"/>
      <c r="D1541" s="543" t="str">
        <f t="shared" si="70"/>
        <v/>
      </c>
      <c r="I1541" s="146"/>
      <c r="J1541" s="146"/>
      <c r="K1541" s="146"/>
      <c r="L1541" s="146"/>
      <c r="M1541" s="544"/>
      <c r="N1541" s="544"/>
      <c r="O1541" s="544"/>
      <c r="P1541" s="544"/>
      <c r="R1541" s="543" t="str">
        <f t="shared" si="72"/>
        <v>:</v>
      </c>
      <c r="S1541" s="544">
        <f t="shared" si="71"/>
        <v>0</v>
      </c>
    </row>
    <row r="1542" spans="2:19">
      <c r="B1542" s="146"/>
      <c r="C1542" s="146"/>
      <c r="D1542" s="543" t="str">
        <f t="shared" si="70"/>
        <v/>
      </c>
      <c r="I1542" s="146"/>
      <c r="J1542" s="146"/>
      <c r="K1542" s="146"/>
      <c r="L1542" s="146"/>
      <c r="M1542" s="544"/>
      <c r="N1542" s="544"/>
      <c r="O1542" s="544"/>
      <c r="P1542" s="544"/>
      <c r="R1542" s="543" t="str">
        <f t="shared" si="72"/>
        <v>:</v>
      </c>
      <c r="S1542" s="544">
        <f t="shared" si="71"/>
        <v>0</v>
      </c>
    </row>
    <row r="1543" spans="2:19">
      <c r="B1543" s="146"/>
      <c r="C1543" s="146"/>
      <c r="D1543" s="543" t="str">
        <f t="shared" si="70"/>
        <v/>
      </c>
      <c r="I1543" s="146"/>
      <c r="J1543" s="146"/>
      <c r="K1543" s="146"/>
      <c r="L1543" s="146"/>
      <c r="M1543" s="544"/>
      <c r="N1543" s="544"/>
      <c r="O1543" s="544"/>
      <c r="P1543" s="544"/>
      <c r="R1543" s="543" t="str">
        <f t="shared" si="72"/>
        <v>:</v>
      </c>
      <c r="S1543" s="544">
        <f t="shared" si="71"/>
        <v>0</v>
      </c>
    </row>
    <row r="1544" spans="2:19">
      <c r="B1544" s="146"/>
      <c r="C1544" s="146"/>
      <c r="D1544" s="543" t="str">
        <f t="shared" si="70"/>
        <v/>
      </c>
      <c r="I1544" s="146"/>
      <c r="J1544" s="146"/>
      <c r="K1544" s="146"/>
      <c r="L1544" s="146"/>
      <c r="M1544" s="544"/>
      <c r="N1544" s="544"/>
      <c r="O1544" s="544"/>
      <c r="P1544" s="544"/>
      <c r="R1544" s="543" t="str">
        <f t="shared" si="72"/>
        <v>:</v>
      </c>
      <c r="S1544" s="544">
        <f t="shared" si="71"/>
        <v>0</v>
      </c>
    </row>
    <row r="1545" spans="2:19">
      <c r="B1545" s="146"/>
      <c r="C1545" s="146"/>
      <c r="D1545" s="543" t="str">
        <f t="shared" si="70"/>
        <v/>
      </c>
      <c r="I1545" s="146"/>
      <c r="J1545" s="146"/>
      <c r="K1545" s="146"/>
      <c r="L1545" s="146"/>
      <c r="M1545" s="544"/>
      <c r="N1545" s="544"/>
      <c r="O1545" s="544"/>
      <c r="P1545" s="544"/>
      <c r="R1545" s="543" t="str">
        <f t="shared" si="72"/>
        <v>:</v>
      </c>
      <c r="S1545" s="544">
        <f t="shared" si="71"/>
        <v>0</v>
      </c>
    </row>
    <row r="1546" spans="2:19">
      <c r="B1546" s="146"/>
      <c r="C1546" s="146"/>
      <c r="D1546" s="543" t="str">
        <f t="shared" ref="D1546:D1609" si="73">IF(B1546="","",B1546&amp;":"&amp;C1546)</f>
        <v/>
      </c>
      <c r="I1546" s="146"/>
      <c r="J1546" s="146"/>
      <c r="K1546" s="146"/>
      <c r="L1546" s="146"/>
      <c r="M1546" s="544"/>
      <c r="N1546" s="544"/>
      <c r="O1546" s="544"/>
      <c r="P1546" s="544"/>
      <c r="R1546" s="543" t="str">
        <f t="shared" si="72"/>
        <v>:</v>
      </c>
      <c r="S1546" s="544">
        <f t="shared" ref="S1546:S1609" si="74">HLOOKUP($S$8,$L$8:$P$2000,ROW()-7,FALSE)</f>
        <v>0</v>
      </c>
    </row>
    <row r="1547" spans="2:19">
      <c r="B1547" s="146"/>
      <c r="C1547" s="146"/>
      <c r="D1547" s="543" t="str">
        <f t="shared" si="73"/>
        <v/>
      </c>
      <c r="I1547" s="146"/>
      <c r="J1547" s="146"/>
      <c r="K1547" s="146"/>
      <c r="L1547" s="146"/>
      <c r="M1547" s="544"/>
      <c r="N1547" s="544"/>
      <c r="O1547" s="544"/>
      <c r="P1547" s="544"/>
      <c r="R1547" s="543" t="str">
        <f t="shared" si="72"/>
        <v>:</v>
      </c>
      <c r="S1547" s="544">
        <f t="shared" si="74"/>
        <v>0</v>
      </c>
    </row>
    <row r="1548" spans="2:19">
      <c r="B1548" s="146"/>
      <c r="C1548" s="146"/>
      <c r="D1548" s="543" t="str">
        <f t="shared" si="73"/>
        <v/>
      </c>
      <c r="I1548" s="146"/>
      <c r="J1548" s="146"/>
      <c r="K1548" s="146"/>
      <c r="L1548" s="146"/>
      <c r="M1548" s="544"/>
      <c r="N1548" s="544"/>
      <c r="O1548" s="544"/>
      <c r="P1548" s="544"/>
      <c r="R1548" s="543" t="str">
        <f t="shared" si="72"/>
        <v>:</v>
      </c>
      <c r="S1548" s="544">
        <f t="shared" si="74"/>
        <v>0</v>
      </c>
    </row>
    <row r="1549" spans="2:19">
      <c r="B1549" s="146"/>
      <c r="C1549" s="146"/>
      <c r="D1549" s="543" t="str">
        <f t="shared" si="73"/>
        <v/>
      </c>
      <c r="I1549" s="146"/>
      <c r="J1549" s="146"/>
      <c r="K1549" s="146"/>
      <c r="L1549" s="146"/>
      <c r="M1549" s="544"/>
      <c r="N1549" s="544"/>
      <c r="O1549" s="544"/>
      <c r="P1549" s="544"/>
      <c r="R1549" s="543" t="str">
        <f t="shared" ref="R1549:R1612" si="75">I1549&amp;":"&amp;J1549&amp;K1549</f>
        <v>:</v>
      </c>
      <c r="S1549" s="544">
        <f t="shared" si="74"/>
        <v>0</v>
      </c>
    </row>
    <row r="1550" spans="2:19">
      <c r="B1550" s="146"/>
      <c r="C1550" s="146"/>
      <c r="D1550" s="543" t="str">
        <f t="shared" si="73"/>
        <v/>
      </c>
      <c r="I1550" s="146"/>
      <c r="J1550" s="146"/>
      <c r="K1550" s="146"/>
      <c r="L1550" s="146"/>
      <c r="M1550" s="544"/>
      <c r="N1550" s="544"/>
      <c r="O1550" s="544"/>
      <c r="P1550" s="544"/>
      <c r="R1550" s="543" t="str">
        <f t="shared" si="75"/>
        <v>:</v>
      </c>
      <c r="S1550" s="544">
        <f t="shared" si="74"/>
        <v>0</v>
      </c>
    </row>
    <row r="1551" spans="2:19">
      <c r="B1551" s="146"/>
      <c r="C1551" s="146"/>
      <c r="D1551" s="543" t="str">
        <f t="shared" si="73"/>
        <v/>
      </c>
      <c r="I1551" s="146"/>
      <c r="J1551" s="146"/>
      <c r="K1551" s="146"/>
      <c r="L1551" s="146"/>
      <c r="M1551" s="544"/>
      <c r="N1551" s="544"/>
      <c r="O1551" s="544"/>
      <c r="P1551" s="544"/>
      <c r="R1551" s="543" t="str">
        <f t="shared" si="75"/>
        <v>:</v>
      </c>
      <c r="S1551" s="544">
        <f t="shared" si="74"/>
        <v>0</v>
      </c>
    </row>
    <row r="1552" spans="2:19">
      <c r="B1552" s="146"/>
      <c r="C1552" s="146"/>
      <c r="D1552" s="543" t="str">
        <f t="shared" si="73"/>
        <v/>
      </c>
      <c r="I1552" s="146"/>
      <c r="J1552" s="146"/>
      <c r="K1552" s="146"/>
      <c r="L1552" s="146"/>
      <c r="M1552" s="544"/>
      <c r="N1552" s="544"/>
      <c r="O1552" s="544"/>
      <c r="P1552" s="544"/>
      <c r="R1552" s="543" t="str">
        <f t="shared" si="75"/>
        <v>:</v>
      </c>
      <c r="S1552" s="544">
        <f t="shared" si="74"/>
        <v>0</v>
      </c>
    </row>
    <row r="1553" spans="2:19">
      <c r="B1553" s="146"/>
      <c r="C1553" s="146"/>
      <c r="D1553" s="543" t="str">
        <f t="shared" si="73"/>
        <v/>
      </c>
      <c r="I1553" s="146"/>
      <c r="J1553" s="146"/>
      <c r="K1553" s="146"/>
      <c r="L1553" s="146"/>
      <c r="M1553" s="544"/>
      <c r="N1553" s="544"/>
      <c r="O1553" s="544"/>
      <c r="P1553" s="544"/>
      <c r="R1553" s="543" t="str">
        <f t="shared" si="75"/>
        <v>:</v>
      </c>
      <c r="S1553" s="544">
        <f t="shared" si="74"/>
        <v>0</v>
      </c>
    </row>
    <row r="1554" spans="2:19">
      <c r="B1554" s="146"/>
      <c r="C1554" s="146"/>
      <c r="D1554" s="543" t="str">
        <f t="shared" si="73"/>
        <v/>
      </c>
      <c r="I1554" s="146"/>
      <c r="J1554" s="146"/>
      <c r="K1554" s="146"/>
      <c r="L1554" s="146"/>
      <c r="M1554" s="544"/>
      <c r="N1554" s="544"/>
      <c r="O1554" s="544"/>
      <c r="P1554" s="544"/>
      <c r="R1554" s="543" t="str">
        <f t="shared" si="75"/>
        <v>:</v>
      </c>
      <c r="S1554" s="544">
        <f t="shared" si="74"/>
        <v>0</v>
      </c>
    </row>
    <row r="1555" spans="2:19">
      <c r="B1555" s="146"/>
      <c r="C1555" s="146"/>
      <c r="D1555" s="543" t="str">
        <f t="shared" si="73"/>
        <v/>
      </c>
      <c r="I1555" s="146"/>
      <c r="J1555" s="146"/>
      <c r="K1555" s="146"/>
      <c r="L1555" s="146"/>
      <c r="M1555" s="544"/>
      <c r="N1555" s="544"/>
      <c r="O1555" s="544"/>
      <c r="P1555" s="544"/>
      <c r="R1555" s="543" t="str">
        <f t="shared" si="75"/>
        <v>:</v>
      </c>
      <c r="S1555" s="544">
        <f t="shared" si="74"/>
        <v>0</v>
      </c>
    </row>
    <row r="1556" spans="2:19">
      <c r="B1556" s="146"/>
      <c r="C1556" s="146"/>
      <c r="D1556" s="543" t="str">
        <f t="shared" si="73"/>
        <v/>
      </c>
      <c r="I1556" s="146"/>
      <c r="J1556" s="146"/>
      <c r="K1556" s="146"/>
      <c r="L1556" s="146"/>
      <c r="M1556" s="544"/>
      <c r="N1556" s="544"/>
      <c r="O1556" s="544"/>
      <c r="P1556" s="544"/>
      <c r="R1556" s="543" t="str">
        <f t="shared" si="75"/>
        <v>:</v>
      </c>
      <c r="S1556" s="544">
        <f t="shared" si="74"/>
        <v>0</v>
      </c>
    </row>
    <row r="1557" spans="2:19">
      <c r="B1557" s="146"/>
      <c r="C1557" s="146"/>
      <c r="D1557" s="543" t="str">
        <f t="shared" si="73"/>
        <v/>
      </c>
      <c r="I1557" s="146"/>
      <c r="J1557" s="146"/>
      <c r="K1557" s="146"/>
      <c r="L1557" s="146"/>
      <c r="M1557" s="544"/>
      <c r="N1557" s="544"/>
      <c r="O1557" s="544"/>
      <c r="P1557" s="544"/>
      <c r="R1557" s="543" t="str">
        <f t="shared" si="75"/>
        <v>:</v>
      </c>
      <c r="S1557" s="544">
        <f t="shared" si="74"/>
        <v>0</v>
      </c>
    </row>
    <row r="1558" spans="2:19">
      <c r="B1558" s="146"/>
      <c r="C1558" s="146"/>
      <c r="D1558" s="543" t="str">
        <f t="shared" si="73"/>
        <v/>
      </c>
      <c r="I1558" s="146"/>
      <c r="J1558" s="146"/>
      <c r="K1558" s="146"/>
      <c r="L1558" s="146"/>
      <c r="M1558" s="544"/>
      <c r="N1558" s="544"/>
      <c r="O1558" s="544"/>
      <c r="P1558" s="544"/>
      <c r="R1558" s="543" t="str">
        <f t="shared" si="75"/>
        <v>:</v>
      </c>
      <c r="S1558" s="544">
        <f t="shared" si="74"/>
        <v>0</v>
      </c>
    </row>
    <row r="1559" spans="2:19">
      <c r="B1559" s="146"/>
      <c r="C1559" s="146"/>
      <c r="D1559" s="543" t="str">
        <f t="shared" si="73"/>
        <v/>
      </c>
      <c r="I1559" s="146"/>
      <c r="J1559" s="146"/>
      <c r="K1559" s="146"/>
      <c r="L1559" s="146"/>
      <c r="M1559" s="544"/>
      <c r="N1559" s="544"/>
      <c r="O1559" s="544"/>
      <c r="P1559" s="544"/>
      <c r="R1559" s="543" t="str">
        <f t="shared" si="75"/>
        <v>:</v>
      </c>
      <c r="S1559" s="544">
        <f t="shared" si="74"/>
        <v>0</v>
      </c>
    </row>
    <row r="1560" spans="2:19">
      <c r="B1560" s="146"/>
      <c r="C1560" s="146"/>
      <c r="D1560" s="543" t="str">
        <f t="shared" si="73"/>
        <v/>
      </c>
      <c r="I1560" s="146"/>
      <c r="J1560" s="146"/>
      <c r="K1560" s="146"/>
      <c r="L1560" s="146"/>
      <c r="M1560" s="544"/>
      <c r="N1560" s="544"/>
      <c r="O1560" s="544"/>
      <c r="P1560" s="544"/>
      <c r="R1560" s="543" t="str">
        <f t="shared" si="75"/>
        <v>:</v>
      </c>
      <c r="S1560" s="544">
        <f t="shared" si="74"/>
        <v>0</v>
      </c>
    </row>
    <row r="1561" spans="2:19">
      <c r="B1561" s="146"/>
      <c r="C1561" s="146"/>
      <c r="D1561" s="543" t="str">
        <f t="shared" si="73"/>
        <v/>
      </c>
      <c r="I1561" s="146"/>
      <c r="J1561" s="146"/>
      <c r="K1561" s="146"/>
      <c r="L1561" s="146"/>
      <c r="M1561" s="544"/>
      <c r="N1561" s="544"/>
      <c r="O1561" s="544"/>
      <c r="P1561" s="544"/>
      <c r="R1561" s="543" t="str">
        <f t="shared" si="75"/>
        <v>:</v>
      </c>
      <c r="S1561" s="544">
        <f t="shared" si="74"/>
        <v>0</v>
      </c>
    </row>
    <row r="1562" spans="2:19">
      <c r="B1562" s="146"/>
      <c r="C1562" s="146"/>
      <c r="D1562" s="543" t="str">
        <f t="shared" si="73"/>
        <v/>
      </c>
      <c r="I1562" s="146"/>
      <c r="J1562" s="146"/>
      <c r="K1562" s="146"/>
      <c r="L1562" s="146"/>
      <c r="M1562" s="544"/>
      <c r="N1562" s="544"/>
      <c r="O1562" s="544"/>
      <c r="P1562" s="544"/>
      <c r="R1562" s="543" t="str">
        <f t="shared" si="75"/>
        <v>:</v>
      </c>
      <c r="S1562" s="544">
        <f t="shared" si="74"/>
        <v>0</v>
      </c>
    </row>
    <row r="1563" spans="2:19">
      <c r="B1563" s="146"/>
      <c r="C1563" s="146"/>
      <c r="D1563" s="543" t="str">
        <f t="shared" si="73"/>
        <v/>
      </c>
      <c r="I1563" s="146"/>
      <c r="J1563" s="146"/>
      <c r="K1563" s="146"/>
      <c r="L1563" s="146"/>
      <c r="M1563" s="544"/>
      <c r="N1563" s="544"/>
      <c r="O1563" s="544"/>
      <c r="P1563" s="544"/>
      <c r="R1563" s="543" t="str">
        <f t="shared" si="75"/>
        <v>:</v>
      </c>
      <c r="S1563" s="544">
        <f t="shared" si="74"/>
        <v>0</v>
      </c>
    </row>
    <row r="1564" spans="2:19">
      <c r="B1564" s="146"/>
      <c r="C1564" s="146"/>
      <c r="D1564" s="543" t="str">
        <f t="shared" si="73"/>
        <v/>
      </c>
      <c r="I1564" s="146"/>
      <c r="J1564" s="146"/>
      <c r="K1564" s="146"/>
      <c r="L1564" s="146"/>
      <c r="M1564" s="544"/>
      <c r="N1564" s="544"/>
      <c r="O1564" s="544"/>
      <c r="P1564" s="544"/>
      <c r="R1564" s="543" t="str">
        <f t="shared" si="75"/>
        <v>:</v>
      </c>
      <c r="S1564" s="544">
        <f t="shared" si="74"/>
        <v>0</v>
      </c>
    </row>
    <row r="1565" spans="2:19">
      <c r="B1565" s="146"/>
      <c r="C1565" s="146"/>
      <c r="D1565" s="543" t="str">
        <f t="shared" si="73"/>
        <v/>
      </c>
      <c r="I1565" s="146"/>
      <c r="J1565" s="146"/>
      <c r="K1565" s="146"/>
      <c r="L1565" s="146"/>
      <c r="M1565" s="544"/>
      <c r="N1565" s="544"/>
      <c r="O1565" s="544"/>
      <c r="P1565" s="544"/>
      <c r="R1565" s="543" t="str">
        <f t="shared" si="75"/>
        <v>:</v>
      </c>
      <c r="S1565" s="544">
        <f t="shared" si="74"/>
        <v>0</v>
      </c>
    </row>
    <row r="1566" spans="2:19">
      <c r="B1566" s="146"/>
      <c r="C1566" s="146"/>
      <c r="D1566" s="543" t="str">
        <f t="shared" si="73"/>
        <v/>
      </c>
      <c r="I1566" s="146"/>
      <c r="J1566" s="146"/>
      <c r="K1566" s="146"/>
      <c r="L1566" s="146"/>
      <c r="M1566" s="544"/>
      <c r="N1566" s="544"/>
      <c r="O1566" s="544"/>
      <c r="P1566" s="544"/>
      <c r="R1566" s="543" t="str">
        <f t="shared" si="75"/>
        <v>:</v>
      </c>
      <c r="S1566" s="544">
        <f t="shared" si="74"/>
        <v>0</v>
      </c>
    </row>
    <row r="1567" spans="2:19">
      <c r="B1567" s="146"/>
      <c r="C1567" s="146"/>
      <c r="D1567" s="543" t="str">
        <f t="shared" si="73"/>
        <v/>
      </c>
      <c r="I1567" s="146"/>
      <c r="J1567" s="146"/>
      <c r="K1567" s="146"/>
      <c r="L1567" s="146"/>
      <c r="M1567" s="544"/>
      <c r="N1567" s="544"/>
      <c r="O1567" s="544"/>
      <c r="P1567" s="544"/>
      <c r="R1567" s="543" t="str">
        <f t="shared" si="75"/>
        <v>:</v>
      </c>
      <c r="S1567" s="544">
        <f t="shared" si="74"/>
        <v>0</v>
      </c>
    </row>
    <row r="1568" spans="2:19">
      <c r="B1568" s="146"/>
      <c r="C1568" s="146"/>
      <c r="D1568" s="543" t="str">
        <f t="shared" si="73"/>
        <v/>
      </c>
      <c r="I1568" s="146"/>
      <c r="J1568" s="146"/>
      <c r="K1568" s="146"/>
      <c r="L1568" s="146"/>
      <c r="M1568" s="544"/>
      <c r="N1568" s="544"/>
      <c r="O1568" s="544"/>
      <c r="P1568" s="544"/>
      <c r="R1568" s="543" t="str">
        <f t="shared" si="75"/>
        <v>:</v>
      </c>
      <c r="S1568" s="544">
        <f t="shared" si="74"/>
        <v>0</v>
      </c>
    </row>
    <row r="1569" spans="2:19">
      <c r="B1569" s="146"/>
      <c r="C1569" s="146"/>
      <c r="D1569" s="543" t="str">
        <f t="shared" si="73"/>
        <v/>
      </c>
      <c r="I1569" s="146"/>
      <c r="J1569" s="146"/>
      <c r="K1569" s="146"/>
      <c r="L1569" s="146"/>
      <c r="M1569" s="544"/>
      <c r="N1569" s="544"/>
      <c r="O1569" s="544"/>
      <c r="P1569" s="544"/>
      <c r="R1569" s="543" t="str">
        <f t="shared" si="75"/>
        <v>:</v>
      </c>
      <c r="S1569" s="544">
        <f t="shared" si="74"/>
        <v>0</v>
      </c>
    </row>
    <row r="1570" spans="2:19">
      <c r="B1570" s="146"/>
      <c r="C1570" s="146"/>
      <c r="D1570" s="543" t="str">
        <f t="shared" si="73"/>
        <v/>
      </c>
      <c r="I1570" s="146"/>
      <c r="J1570" s="146"/>
      <c r="K1570" s="146"/>
      <c r="L1570" s="146"/>
      <c r="M1570" s="544"/>
      <c r="N1570" s="544"/>
      <c r="O1570" s="544"/>
      <c r="P1570" s="544"/>
      <c r="R1570" s="543" t="str">
        <f t="shared" si="75"/>
        <v>:</v>
      </c>
      <c r="S1570" s="544">
        <f t="shared" si="74"/>
        <v>0</v>
      </c>
    </row>
    <row r="1571" spans="2:19">
      <c r="B1571" s="146"/>
      <c r="C1571" s="146"/>
      <c r="D1571" s="543" t="str">
        <f t="shared" si="73"/>
        <v/>
      </c>
      <c r="I1571" s="146"/>
      <c r="J1571" s="146"/>
      <c r="K1571" s="146"/>
      <c r="L1571" s="146"/>
      <c r="M1571" s="544"/>
      <c r="N1571" s="544"/>
      <c r="O1571" s="544"/>
      <c r="P1571" s="544"/>
      <c r="R1571" s="543" t="str">
        <f t="shared" si="75"/>
        <v>:</v>
      </c>
      <c r="S1571" s="544">
        <f t="shared" si="74"/>
        <v>0</v>
      </c>
    </row>
    <row r="1572" spans="2:19">
      <c r="B1572" s="146"/>
      <c r="C1572" s="146"/>
      <c r="D1572" s="543" t="str">
        <f t="shared" si="73"/>
        <v/>
      </c>
      <c r="I1572" s="146"/>
      <c r="J1572" s="146"/>
      <c r="K1572" s="146"/>
      <c r="L1572" s="146"/>
      <c r="M1572" s="544"/>
      <c r="N1572" s="544"/>
      <c r="O1572" s="544"/>
      <c r="P1572" s="544"/>
      <c r="R1572" s="543" t="str">
        <f t="shared" si="75"/>
        <v>:</v>
      </c>
      <c r="S1572" s="544">
        <f t="shared" si="74"/>
        <v>0</v>
      </c>
    </row>
    <row r="1573" spans="2:19">
      <c r="B1573" s="146"/>
      <c r="C1573" s="146"/>
      <c r="D1573" s="543" t="str">
        <f t="shared" si="73"/>
        <v/>
      </c>
      <c r="I1573" s="146"/>
      <c r="J1573" s="146"/>
      <c r="K1573" s="146"/>
      <c r="L1573" s="146"/>
      <c r="M1573" s="544"/>
      <c r="N1573" s="544"/>
      <c r="O1573" s="544"/>
      <c r="P1573" s="544"/>
      <c r="R1573" s="543" t="str">
        <f t="shared" si="75"/>
        <v>:</v>
      </c>
      <c r="S1573" s="544">
        <f t="shared" si="74"/>
        <v>0</v>
      </c>
    </row>
    <row r="1574" spans="2:19">
      <c r="B1574" s="146"/>
      <c r="C1574" s="146"/>
      <c r="D1574" s="543" t="str">
        <f t="shared" si="73"/>
        <v/>
      </c>
      <c r="I1574" s="146"/>
      <c r="J1574" s="146"/>
      <c r="K1574" s="146"/>
      <c r="L1574" s="146"/>
      <c r="M1574" s="544"/>
      <c r="N1574" s="544"/>
      <c r="O1574" s="544"/>
      <c r="P1574" s="544"/>
      <c r="R1574" s="543" t="str">
        <f t="shared" si="75"/>
        <v>:</v>
      </c>
      <c r="S1574" s="544">
        <f t="shared" si="74"/>
        <v>0</v>
      </c>
    </row>
    <row r="1575" spans="2:19">
      <c r="B1575" s="146"/>
      <c r="C1575" s="146"/>
      <c r="D1575" s="543" t="str">
        <f t="shared" si="73"/>
        <v/>
      </c>
      <c r="I1575" s="146"/>
      <c r="J1575" s="146"/>
      <c r="K1575" s="146"/>
      <c r="L1575" s="146"/>
      <c r="M1575" s="544"/>
      <c r="N1575" s="544"/>
      <c r="O1575" s="544"/>
      <c r="P1575" s="544"/>
      <c r="R1575" s="543" t="str">
        <f t="shared" si="75"/>
        <v>:</v>
      </c>
      <c r="S1575" s="544">
        <f t="shared" si="74"/>
        <v>0</v>
      </c>
    </row>
    <row r="1576" spans="2:19">
      <c r="B1576" s="146"/>
      <c r="C1576" s="146"/>
      <c r="D1576" s="543" t="str">
        <f t="shared" si="73"/>
        <v/>
      </c>
      <c r="I1576" s="146"/>
      <c r="J1576" s="146"/>
      <c r="K1576" s="146"/>
      <c r="L1576" s="146"/>
      <c r="M1576" s="544"/>
      <c r="N1576" s="544"/>
      <c r="O1576" s="544"/>
      <c r="P1576" s="544"/>
      <c r="R1576" s="543" t="str">
        <f t="shared" si="75"/>
        <v>:</v>
      </c>
      <c r="S1576" s="544">
        <f t="shared" si="74"/>
        <v>0</v>
      </c>
    </row>
    <row r="1577" spans="2:19">
      <c r="B1577" s="146"/>
      <c r="C1577" s="146"/>
      <c r="D1577" s="543" t="str">
        <f t="shared" si="73"/>
        <v/>
      </c>
      <c r="I1577" s="146"/>
      <c r="J1577" s="146"/>
      <c r="K1577" s="146"/>
      <c r="L1577" s="146"/>
      <c r="M1577" s="544"/>
      <c r="N1577" s="544"/>
      <c r="O1577" s="544"/>
      <c r="P1577" s="544"/>
      <c r="R1577" s="543" t="str">
        <f t="shared" si="75"/>
        <v>:</v>
      </c>
      <c r="S1577" s="544">
        <f t="shared" si="74"/>
        <v>0</v>
      </c>
    </row>
    <row r="1578" spans="2:19">
      <c r="B1578" s="146"/>
      <c r="C1578" s="146"/>
      <c r="D1578" s="543" t="str">
        <f t="shared" si="73"/>
        <v/>
      </c>
      <c r="I1578" s="146"/>
      <c r="J1578" s="146"/>
      <c r="K1578" s="146"/>
      <c r="L1578" s="146"/>
      <c r="M1578" s="544"/>
      <c r="N1578" s="544"/>
      <c r="O1578" s="544"/>
      <c r="P1578" s="544"/>
      <c r="R1578" s="543" t="str">
        <f t="shared" si="75"/>
        <v>:</v>
      </c>
      <c r="S1578" s="544">
        <f t="shared" si="74"/>
        <v>0</v>
      </c>
    </row>
    <row r="1579" spans="2:19">
      <c r="B1579" s="146"/>
      <c r="C1579" s="146"/>
      <c r="D1579" s="543" t="str">
        <f t="shared" si="73"/>
        <v/>
      </c>
      <c r="I1579" s="146"/>
      <c r="J1579" s="146"/>
      <c r="K1579" s="146"/>
      <c r="L1579" s="146"/>
      <c r="M1579" s="544"/>
      <c r="N1579" s="544"/>
      <c r="O1579" s="544"/>
      <c r="P1579" s="544"/>
      <c r="R1579" s="543" t="str">
        <f t="shared" si="75"/>
        <v>:</v>
      </c>
      <c r="S1579" s="544">
        <f t="shared" si="74"/>
        <v>0</v>
      </c>
    </row>
    <row r="1580" spans="2:19">
      <c r="B1580" s="146"/>
      <c r="C1580" s="146"/>
      <c r="D1580" s="543" t="str">
        <f t="shared" si="73"/>
        <v/>
      </c>
      <c r="I1580" s="146"/>
      <c r="J1580" s="146"/>
      <c r="K1580" s="146"/>
      <c r="L1580" s="146"/>
      <c r="M1580" s="544"/>
      <c r="N1580" s="544"/>
      <c r="O1580" s="544"/>
      <c r="P1580" s="544"/>
      <c r="R1580" s="543" t="str">
        <f t="shared" si="75"/>
        <v>:</v>
      </c>
      <c r="S1580" s="544">
        <f t="shared" si="74"/>
        <v>0</v>
      </c>
    </row>
    <row r="1581" spans="2:19">
      <c r="B1581" s="146"/>
      <c r="C1581" s="146"/>
      <c r="D1581" s="543" t="str">
        <f t="shared" si="73"/>
        <v/>
      </c>
      <c r="I1581" s="146"/>
      <c r="J1581" s="146"/>
      <c r="K1581" s="146"/>
      <c r="L1581" s="146"/>
      <c r="M1581" s="544"/>
      <c r="N1581" s="544"/>
      <c r="O1581" s="544"/>
      <c r="P1581" s="544"/>
      <c r="R1581" s="543" t="str">
        <f t="shared" si="75"/>
        <v>:</v>
      </c>
      <c r="S1581" s="544">
        <f t="shared" si="74"/>
        <v>0</v>
      </c>
    </row>
    <row r="1582" spans="2:19">
      <c r="B1582" s="146"/>
      <c r="C1582" s="146"/>
      <c r="D1582" s="543" t="str">
        <f t="shared" si="73"/>
        <v/>
      </c>
      <c r="I1582" s="146"/>
      <c r="J1582" s="146"/>
      <c r="K1582" s="146"/>
      <c r="L1582" s="146"/>
      <c r="M1582" s="544"/>
      <c r="N1582" s="544"/>
      <c r="O1582" s="544"/>
      <c r="P1582" s="544"/>
      <c r="R1582" s="543" t="str">
        <f t="shared" si="75"/>
        <v>:</v>
      </c>
      <c r="S1582" s="544">
        <f t="shared" si="74"/>
        <v>0</v>
      </c>
    </row>
    <row r="1583" spans="2:19">
      <c r="B1583" s="146"/>
      <c r="C1583" s="146"/>
      <c r="D1583" s="543" t="str">
        <f t="shared" si="73"/>
        <v/>
      </c>
      <c r="I1583" s="146"/>
      <c r="J1583" s="146"/>
      <c r="K1583" s="146"/>
      <c r="L1583" s="146"/>
      <c r="M1583" s="544"/>
      <c r="N1583" s="544"/>
      <c r="O1583" s="544"/>
      <c r="P1583" s="544"/>
      <c r="R1583" s="543" t="str">
        <f t="shared" si="75"/>
        <v>:</v>
      </c>
      <c r="S1583" s="544">
        <f t="shared" si="74"/>
        <v>0</v>
      </c>
    </row>
    <row r="1584" spans="2:19">
      <c r="B1584" s="146"/>
      <c r="C1584" s="146"/>
      <c r="D1584" s="543" t="str">
        <f t="shared" si="73"/>
        <v/>
      </c>
      <c r="I1584" s="146"/>
      <c r="J1584" s="146"/>
      <c r="K1584" s="146"/>
      <c r="L1584" s="146"/>
      <c r="M1584" s="544"/>
      <c r="N1584" s="544"/>
      <c r="O1584" s="544"/>
      <c r="P1584" s="544"/>
      <c r="R1584" s="543" t="str">
        <f t="shared" si="75"/>
        <v>:</v>
      </c>
      <c r="S1584" s="544">
        <f t="shared" si="74"/>
        <v>0</v>
      </c>
    </row>
    <row r="1585" spans="2:19">
      <c r="B1585" s="146"/>
      <c r="C1585" s="146"/>
      <c r="D1585" s="543" t="str">
        <f t="shared" si="73"/>
        <v/>
      </c>
      <c r="I1585" s="146"/>
      <c r="J1585" s="146"/>
      <c r="K1585" s="146"/>
      <c r="L1585" s="146"/>
      <c r="M1585" s="544"/>
      <c r="N1585" s="544"/>
      <c r="O1585" s="544"/>
      <c r="P1585" s="544"/>
      <c r="R1585" s="543" t="str">
        <f t="shared" si="75"/>
        <v>:</v>
      </c>
      <c r="S1585" s="544">
        <f t="shared" si="74"/>
        <v>0</v>
      </c>
    </row>
    <row r="1586" spans="2:19">
      <c r="B1586" s="146"/>
      <c r="C1586" s="146"/>
      <c r="D1586" s="543" t="str">
        <f t="shared" si="73"/>
        <v/>
      </c>
      <c r="I1586" s="146"/>
      <c r="J1586" s="146"/>
      <c r="K1586" s="146"/>
      <c r="L1586" s="146"/>
      <c r="M1586" s="544"/>
      <c r="N1586" s="544"/>
      <c r="O1586" s="544"/>
      <c r="P1586" s="544"/>
      <c r="R1586" s="543" t="str">
        <f t="shared" si="75"/>
        <v>:</v>
      </c>
      <c r="S1586" s="544">
        <f t="shared" si="74"/>
        <v>0</v>
      </c>
    </row>
    <row r="1587" spans="2:19">
      <c r="B1587" s="146"/>
      <c r="C1587" s="146"/>
      <c r="D1587" s="543" t="str">
        <f t="shared" si="73"/>
        <v/>
      </c>
      <c r="I1587" s="146"/>
      <c r="J1587" s="146"/>
      <c r="K1587" s="146"/>
      <c r="L1587" s="146"/>
      <c r="M1587" s="544"/>
      <c r="N1587" s="544"/>
      <c r="O1587" s="544"/>
      <c r="P1587" s="544"/>
      <c r="R1587" s="543" t="str">
        <f t="shared" si="75"/>
        <v>:</v>
      </c>
      <c r="S1587" s="544">
        <f t="shared" si="74"/>
        <v>0</v>
      </c>
    </row>
    <row r="1588" spans="2:19">
      <c r="B1588" s="146"/>
      <c r="C1588" s="146"/>
      <c r="D1588" s="543" t="str">
        <f t="shared" si="73"/>
        <v/>
      </c>
      <c r="I1588" s="146"/>
      <c r="J1588" s="146"/>
      <c r="K1588" s="146"/>
      <c r="L1588" s="146"/>
      <c r="M1588" s="544"/>
      <c r="N1588" s="544"/>
      <c r="O1588" s="544"/>
      <c r="P1588" s="544"/>
      <c r="R1588" s="543" t="str">
        <f t="shared" si="75"/>
        <v>:</v>
      </c>
      <c r="S1588" s="544">
        <f t="shared" si="74"/>
        <v>0</v>
      </c>
    </row>
    <row r="1589" spans="2:19">
      <c r="B1589" s="146"/>
      <c r="C1589" s="146"/>
      <c r="D1589" s="543" t="str">
        <f t="shared" si="73"/>
        <v/>
      </c>
      <c r="I1589" s="146"/>
      <c r="J1589" s="146"/>
      <c r="K1589" s="146"/>
      <c r="L1589" s="146"/>
      <c r="M1589" s="544"/>
      <c r="N1589" s="544"/>
      <c r="O1589" s="544"/>
      <c r="P1589" s="544"/>
      <c r="R1589" s="543" t="str">
        <f t="shared" si="75"/>
        <v>:</v>
      </c>
      <c r="S1589" s="544">
        <f t="shared" si="74"/>
        <v>0</v>
      </c>
    </row>
    <row r="1590" spans="2:19">
      <c r="B1590" s="146"/>
      <c r="C1590" s="146"/>
      <c r="D1590" s="543" t="str">
        <f t="shared" si="73"/>
        <v/>
      </c>
      <c r="I1590" s="146"/>
      <c r="J1590" s="146"/>
      <c r="K1590" s="146"/>
      <c r="L1590" s="146"/>
      <c r="M1590" s="544"/>
      <c r="N1590" s="544"/>
      <c r="O1590" s="544"/>
      <c r="P1590" s="544"/>
      <c r="R1590" s="543" t="str">
        <f t="shared" si="75"/>
        <v>:</v>
      </c>
      <c r="S1590" s="544">
        <f t="shared" si="74"/>
        <v>0</v>
      </c>
    </row>
    <row r="1591" spans="2:19">
      <c r="B1591" s="146"/>
      <c r="C1591" s="146"/>
      <c r="D1591" s="543" t="str">
        <f t="shared" si="73"/>
        <v/>
      </c>
      <c r="I1591" s="146"/>
      <c r="J1591" s="146"/>
      <c r="K1591" s="146"/>
      <c r="L1591" s="146"/>
      <c r="M1591" s="544"/>
      <c r="N1591" s="544"/>
      <c r="O1591" s="544"/>
      <c r="P1591" s="544"/>
      <c r="R1591" s="543" t="str">
        <f t="shared" si="75"/>
        <v>:</v>
      </c>
      <c r="S1591" s="544">
        <f t="shared" si="74"/>
        <v>0</v>
      </c>
    </row>
    <row r="1592" spans="2:19">
      <c r="B1592" s="146"/>
      <c r="C1592" s="146"/>
      <c r="D1592" s="543" t="str">
        <f t="shared" si="73"/>
        <v/>
      </c>
      <c r="I1592" s="146"/>
      <c r="J1592" s="146"/>
      <c r="K1592" s="146"/>
      <c r="L1592" s="146"/>
      <c r="M1592" s="544"/>
      <c r="N1592" s="544"/>
      <c r="O1592" s="544"/>
      <c r="P1592" s="544"/>
      <c r="R1592" s="543" t="str">
        <f t="shared" si="75"/>
        <v>:</v>
      </c>
      <c r="S1592" s="544">
        <f t="shared" si="74"/>
        <v>0</v>
      </c>
    </row>
    <row r="1593" spans="2:19">
      <c r="B1593" s="146"/>
      <c r="C1593" s="146"/>
      <c r="D1593" s="543" t="str">
        <f t="shared" si="73"/>
        <v/>
      </c>
      <c r="I1593" s="146"/>
      <c r="J1593" s="146"/>
      <c r="K1593" s="146"/>
      <c r="L1593" s="146"/>
      <c r="M1593" s="544"/>
      <c r="N1593" s="544"/>
      <c r="O1593" s="544"/>
      <c r="P1593" s="544"/>
      <c r="R1593" s="543" t="str">
        <f t="shared" si="75"/>
        <v>:</v>
      </c>
      <c r="S1593" s="544">
        <f t="shared" si="74"/>
        <v>0</v>
      </c>
    </row>
    <row r="1594" spans="2:19">
      <c r="B1594" s="146"/>
      <c r="C1594" s="146"/>
      <c r="D1594" s="543" t="str">
        <f t="shared" si="73"/>
        <v/>
      </c>
      <c r="I1594" s="146"/>
      <c r="J1594" s="146"/>
      <c r="K1594" s="146"/>
      <c r="L1594" s="146"/>
      <c r="M1594" s="544"/>
      <c r="N1594" s="544"/>
      <c r="O1594" s="544"/>
      <c r="P1594" s="544"/>
      <c r="R1594" s="543" t="str">
        <f t="shared" si="75"/>
        <v>:</v>
      </c>
      <c r="S1594" s="544">
        <f t="shared" si="74"/>
        <v>0</v>
      </c>
    </row>
    <row r="1595" spans="2:19">
      <c r="B1595" s="146"/>
      <c r="C1595" s="146"/>
      <c r="D1595" s="543" t="str">
        <f t="shared" si="73"/>
        <v/>
      </c>
      <c r="I1595" s="146"/>
      <c r="J1595" s="146"/>
      <c r="K1595" s="146"/>
      <c r="L1595" s="146"/>
      <c r="M1595" s="544"/>
      <c r="N1595" s="544"/>
      <c r="O1595" s="544"/>
      <c r="P1595" s="544"/>
      <c r="R1595" s="543" t="str">
        <f t="shared" si="75"/>
        <v>:</v>
      </c>
      <c r="S1595" s="544">
        <f t="shared" si="74"/>
        <v>0</v>
      </c>
    </row>
    <row r="1596" spans="2:19">
      <c r="B1596" s="146"/>
      <c r="C1596" s="146"/>
      <c r="D1596" s="543" t="str">
        <f t="shared" si="73"/>
        <v/>
      </c>
      <c r="I1596" s="146"/>
      <c r="J1596" s="146"/>
      <c r="K1596" s="146"/>
      <c r="L1596" s="146"/>
      <c r="M1596" s="544"/>
      <c r="N1596" s="544"/>
      <c r="O1596" s="544"/>
      <c r="P1596" s="544"/>
      <c r="R1596" s="543" t="str">
        <f t="shared" si="75"/>
        <v>:</v>
      </c>
      <c r="S1596" s="544">
        <f t="shared" si="74"/>
        <v>0</v>
      </c>
    </row>
    <row r="1597" spans="2:19">
      <c r="B1597" s="146"/>
      <c r="C1597" s="146"/>
      <c r="D1597" s="543" t="str">
        <f t="shared" si="73"/>
        <v/>
      </c>
      <c r="I1597" s="146"/>
      <c r="J1597" s="146"/>
      <c r="K1597" s="146"/>
      <c r="L1597" s="146"/>
      <c r="M1597" s="544"/>
      <c r="N1597" s="544"/>
      <c r="O1597" s="544"/>
      <c r="P1597" s="544"/>
      <c r="R1597" s="543" t="str">
        <f t="shared" si="75"/>
        <v>:</v>
      </c>
      <c r="S1597" s="544">
        <f t="shared" si="74"/>
        <v>0</v>
      </c>
    </row>
    <row r="1598" spans="2:19">
      <c r="B1598" s="146"/>
      <c r="C1598" s="146"/>
      <c r="D1598" s="543" t="str">
        <f t="shared" si="73"/>
        <v/>
      </c>
      <c r="I1598" s="146"/>
      <c r="J1598" s="146"/>
      <c r="K1598" s="146"/>
      <c r="L1598" s="146"/>
      <c r="M1598" s="544"/>
      <c r="N1598" s="544"/>
      <c r="O1598" s="544"/>
      <c r="P1598" s="544"/>
      <c r="R1598" s="543" t="str">
        <f t="shared" si="75"/>
        <v>:</v>
      </c>
      <c r="S1598" s="544">
        <f t="shared" si="74"/>
        <v>0</v>
      </c>
    </row>
    <row r="1599" spans="2:19">
      <c r="B1599" s="146"/>
      <c r="C1599" s="146"/>
      <c r="D1599" s="543" t="str">
        <f t="shared" si="73"/>
        <v/>
      </c>
      <c r="I1599" s="146"/>
      <c r="J1599" s="146"/>
      <c r="K1599" s="146"/>
      <c r="L1599" s="146"/>
      <c r="M1599" s="544"/>
      <c r="N1599" s="544"/>
      <c r="O1599" s="544"/>
      <c r="P1599" s="544"/>
      <c r="R1599" s="543" t="str">
        <f t="shared" si="75"/>
        <v>:</v>
      </c>
      <c r="S1599" s="544">
        <f t="shared" si="74"/>
        <v>0</v>
      </c>
    </row>
    <row r="1600" spans="2:19">
      <c r="B1600" s="146"/>
      <c r="C1600" s="146"/>
      <c r="D1600" s="543" t="str">
        <f t="shared" si="73"/>
        <v/>
      </c>
      <c r="I1600" s="146"/>
      <c r="J1600" s="146"/>
      <c r="K1600" s="146"/>
      <c r="L1600" s="146"/>
      <c r="M1600" s="544"/>
      <c r="N1600" s="544"/>
      <c r="O1600" s="544"/>
      <c r="P1600" s="544"/>
      <c r="R1600" s="543" t="str">
        <f t="shared" si="75"/>
        <v>:</v>
      </c>
      <c r="S1600" s="544">
        <f t="shared" si="74"/>
        <v>0</v>
      </c>
    </row>
    <row r="1601" spans="2:19">
      <c r="B1601" s="146"/>
      <c r="C1601" s="146"/>
      <c r="D1601" s="543" t="str">
        <f t="shared" si="73"/>
        <v/>
      </c>
      <c r="I1601" s="146"/>
      <c r="J1601" s="146"/>
      <c r="K1601" s="146"/>
      <c r="L1601" s="146"/>
      <c r="M1601" s="544"/>
      <c r="N1601" s="544"/>
      <c r="O1601" s="544"/>
      <c r="P1601" s="544"/>
      <c r="R1601" s="543" t="str">
        <f t="shared" si="75"/>
        <v>:</v>
      </c>
      <c r="S1601" s="544">
        <f t="shared" si="74"/>
        <v>0</v>
      </c>
    </row>
    <row r="1602" spans="2:19">
      <c r="B1602" s="146"/>
      <c r="C1602" s="146"/>
      <c r="D1602" s="543" t="str">
        <f t="shared" si="73"/>
        <v/>
      </c>
      <c r="I1602" s="146"/>
      <c r="J1602" s="146"/>
      <c r="K1602" s="146"/>
      <c r="L1602" s="146"/>
      <c r="M1602" s="544"/>
      <c r="N1602" s="544"/>
      <c r="O1602" s="544"/>
      <c r="P1602" s="544"/>
      <c r="R1602" s="543" t="str">
        <f t="shared" si="75"/>
        <v>:</v>
      </c>
      <c r="S1602" s="544">
        <f t="shared" si="74"/>
        <v>0</v>
      </c>
    </row>
    <row r="1603" spans="2:19">
      <c r="B1603" s="146"/>
      <c r="C1603" s="146"/>
      <c r="D1603" s="543" t="str">
        <f t="shared" si="73"/>
        <v/>
      </c>
      <c r="I1603" s="146"/>
      <c r="J1603" s="146"/>
      <c r="K1603" s="146"/>
      <c r="L1603" s="146"/>
      <c r="M1603" s="544"/>
      <c r="N1603" s="544"/>
      <c r="O1603" s="544"/>
      <c r="P1603" s="544"/>
      <c r="R1603" s="543" t="str">
        <f t="shared" si="75"/>
        <v>:</v>
      </c>
      <c r="S1603" s="544">
        <f t="shared" si="74"/>
        <v>0</v>
      </c>
    </row>
    <row r="1604" spans="2:19">
      <c r="B1604" s="146"/>
      <c r="C1604" s="146"/>
      <c r="D1604" s="543" t="str">
        <f t="shared" si="73"/>
        <v/>
      </c>
      <c r="I1604" s="146"/>
      <c r="J1604" s="146"/>
      <c r="K1604" s="146"/>
      <c r="L1604" s="146"/>
      <c r="M1604" s="544"/>
      <c r="N1604" s="544"/>
      <c r="O1604" s="544"/>
      <c r="P1604" s="544"/>
      <c r="R1604" s="543" t="str">
        <f t="shared" si="75"/>
        <v>:</v>
      </c>
      <c r="S1604" s="544">
        <f t="shared" si="74"/>
        <v>0</v>
      </c>
    </row>
    <row r="1605" spans="2:19">
      <c r="B1605" s="146"/>
      <c r="C1605" s="146"/>
      <c r="D1605" s="543" t="str">
        <f t="shared" si="73"/>
        <v/>
      </c>
      <c r="I1605" s="146"/>
      <c r="J1605" s="146"/>
      <c r="K1605" s="146"/>
      <c r="L1605" s="146"/>
      <c r="M1605" s="544"/>
      <c r="N1605" s="544"/>
      <c r="O1605" s="544"/>
      <c r="P1605" s="544"/>
      <c r="R1605" s="543" t="str">
        <f t="shared" si="75"/>
        <v>:</v>
      </c>
      <c r="S1605" s="544">
        <f t="shared" si="74"/>
        <v>0</v>
      </c>
    </row>
    <row r="1606" spans="2:19">
      <c r="B1606" s="146"/>
      <c r="C1606" s="146"/>
      <c r="D1606" s="543" t="str">
        <f t="shared" si="73"/>
        <v/>
      </c>
      <c r="I1606" s="146"/>
      <c r="J1606" s="146"/>
      <c r="K1606" s="146"/>
      <c r="L1606" s="146"/>
      <c r="M1606" s="544"/>
      <c r="N1606" s="544"/>
      <c r="O1606" s="544"/>
      <c r="P1606" s="544"/>
      <c r="R1606" s="543" t="str">
        <f t="shared" si="75"/>
        <v>:</v>
      </c>
      <c r="S1606" s="544">
        <f t="shared" si="74"/>
        <v>0</v>
      </c>
    </row>
    <row r="1607" spans="2:19">
      <c r="B1607" s="146"/>
      <c r="C1607" s="146"/>
      <c r="D1607" s="543" t="str">
        <f t="shared" si="73"/>
        <v/>
      </c>
      <c r="I1607" s="146"/>
      <c r="J1607" s="146"/>
      <c r="K1607" s="146"/>
      <c r="L1607" s="146"/>
      <c r="M1607" s="544"/>
      <c r="N1607" s="544"/>
      <c r="O1607" s="544"/>
      <c r="P1607" s="544"/>
      <c r="R1607" s="543" t="str">
        <f t="shared" si="75"/>
        <v>:</v>
      </c>
      <c r="S1607" s="544">
        <f t="shared" si="74"/>
        <v>0</v>
      </c>
    </row>
    <row r="1608" spans="2:19">
      <c r="B1608" s="146"/>
      <c r="C1608" s="146"/>
      <c r="D1608" s="543" t="str">
        <f t="shared" si="73"/>
        <v/>
      </c>
      <c r="I1608" s="146"/>
      <c r="J1608" s="146"/>
      <c r="K1608" s="146"/>
      <c r="L1608" s="146"/>
      <c r="M1608" s="544"/>
      <c r="N1608" s="544"/>
      <c r="O1608" s="544"/>
      <c r="P1608" s="544"/>
      <c r="R1608" s="543" t="str">
        <f t="shared" si="75"/>
        <v>:</v>
      </c>
      <c r="S1608" s="544">
        <f t="shared" si="74"/>
        <v>0</v>
      </c>
    </row>
    <row r="1609" spans="2:19">
      <c r="B1609" s="146"/>
      <c r="C1609" s="146"/>
      <c r="D1609" s="543" t="str">
        <f t="shared" si="73"/>
        <v/>
      </c>
      <c r="I1609" s="146"/>
      <c r="J1609" s="146"/>
      <c r="K1609" s="146"/>
      <c r="L1609" s="146"/>
      <c r="M1609" s="544"/>
      <c r="N1609" s="544"/>
      <c r="O1609" s="544"/>
      <c r="P1609" s="544"/>
      <c r="R1609" s="543" t="str">
        <f t="shared" si="75"/>
        <v>:</v>
      </c>
      <c r="S1609" s="544">
        <f t="shared" si="74"/>
        <v>0</v>
      </c>
    </row>
    <row r="1610" spans="2:19">
      <c r="B1610" s="146"/>
      <c r="C1610" s="146"/>
      <c r="D1610" s="543" t="str">
        <f t="shared" ref="D1610:D1673" si="76">IF(B1610="","",B1610&amp;":"&amp;C1610)</f>
        <v/>
      </c>
      <c r="I1610" s="146"/>
      <c r="J1610" s="146"/>
      <c r="K1610" s="146"/>
      <c r="L1610" s="146"/>
      <c r="M1610" s="544"/>
      <c r="N1610" s="544"/>
      <c r="O1610" s="544"/>
      <c r="P1610" s="544"/>
      <c r="R1610" s="543" t="str">
        <f t="shared" si="75"/>
        <v>:</v>
      </c>
      <c r="S1610" s="544">
        <f t="shared" ref="S1610:S1673" si="77">HLOOKUP($S$8,$L$8:$P$2000,ROW()-7,FALSE)</f>
        <v>0</v>
      </c>
    </row>
    <row r="1611" spans="2:19">
      <c r="B1611" s="146"/>
      <c r="C1611" s="146"/>
      <c r="D1611" s="543" t="str">
        <f t="shared" si="76"/>
        <v/>
      </c>
      <c r="I1611" s="146"/>
      <c r="J1611" s="146"/>
      <c r="K1611" s="146"/>
      <c r="L1611" s="146"/>
      <c r="M1611" s="544"/>
      <c r="N1611" s="544"/>
      <c r="O1611" s="544"/>
      <c r="P1611" s="544"/>
      <c r="R1611" s="543" t="str">
        <f t="shared" si="75"/>
        <v>:</v>
      </c>
      <c r="S1611" s="544">
        <f t="shared" si="77"/>
        <v>0</v>
      </c>
    </row>
    <row r="1612" spans="2:19">
      <c r="B1612" s="146"/>
      <c r="C1612" s="146"/>
      <c r="D1612" s="543" t="str">
        <f t="shared" si="76"/>
        <v/>
      </c>
      <c r="I1612" s="146"/>
      <c r="J1612" s="146"/>
      <c r="K1612" s="146"/>
      <c r="L1612" s="146"/>
      <c r="M1612" s="544"/>
      <c r="N1612" s="544"/>
      <c r="O1612" s="544"/>
      <c r="P1612" s="544"/>
      <c r="R1612" s="543" t="str">
        <f t="shared" si="75"/>
        <v>:</v>
      </c>
      <c r="S1612" s="544">
        <f t="shared" si="77"/>
        <v>0</v>
      </c>
    </row>
    <row r="1613" spans="2:19">
      <c r="B1613" s="146"/>
      <c r="C1613" s="146"/>
      <c r="D1613" s="543" t="str">
        <f t="shared" si="76"/>
        <v/>
      </c>
      <c r="I1613" s="146"/>
      <c r="J1613" s="146"/>
      <c r="K1613" s="146"/>
      <c r="L1613" s="146"/>
      <c r="M1613" s="544"/>
      <c r="N1613" s="544"/>
      <c r="O1613" s="544"/>
      <c r="P1613" s="544"/>
      <c r="R1613" s="543" t="str">
        <f t="shared" ref="R1613:R1676" si="78">I1613&amp;":"&amp;J1613&amp;K1613</f>
        <v>:</v>
      </c>
      <c r="S1613" s="544">
        <f t="shared" si="77"/>
        <v>0</v>
      </c>
    </row>
    <row r="1614" spans="2:19">
      <c r="B1614" s="146"/>
      <c r="C1614" s="146"/>
      <c r="D1614" s="543" t="str">
        <f t="shared" si="76"/>
        <v/>
      </c>
      <c r="I1614" s="146"/>
      <c r="J1614" s="146"/>
      <c r="K1614" s="146"/>
      <c r="L1614" s="146"/>
      <c r="M1614" s="544"/>
      <c r="N1614" s="544"/>
      <c r="O1614" s="544"/>
      <c r="P1614" s="544"/>
      <c r="R1614" s="543" t="str">
        <f t="shared" si="78"/>
        <v>:</v>
      </c>
      <c r="S1614" s="544">
        <f t="shared" si="77"/>
        <v>0</v>
      </c>
    </row>
    <row r="1615" spans="2:19">
      <c r="B1615" s="146"/>
      <c r="C1615" s="146"/>
      <c r="D1615" s="543" t="str">
        <f t="shared" si="76"/>
        <v/>
      </c>
      <c r="I1615" s="146"/>
      <c r="J1615" s="146"/>
      <c r="K1615" s="146"/>
      <c r="L1615" s="146"/>
      <c r="M1615" s="544"/>
      <c r="N1615" s="544"/>
      <c r="O1615" s="544"/>
      <c r="P1615" s="544"/>
      <c r="R1615" s="543" t="str">
        <f t="shared" si="78"/>
        <v>:</v>
      </c>
      <c r="S1615" s="544">
        <f t="shared" si="77"/>
        <v>0</v>
      </c>
    </row>
    <row r="1616" spans="2:19">
      <c r="B1616" s="146"/>
      <c r="C1616" s="146"/>
      <c r="D1616" s="543" t="str">
        <f t="shared" si="76"/>
        <v/>
      </c>
      <c r="I1616" s="146"/>
      <c r="J1616" s="146"/>
      <c r="K1616" s="146"/>
      <c r="L1616" s="146"/>
      <c r="M1616" s="544"/>
      <c r="N1616" s="544"/>
      <c r="O1616" s="544"/>
      <c r="P1616" s="544"/>
      <c r="R1616" s="543" t="str">
        <f t="shared" si="78"/>
        <v>:</v>
      </c>
      <c r="S1616" s="544">
        <f t="shared" si="77"/>
        <v>0</v>
      </c>
    </row>
    <row r="1617" spans="2:19">
      <c r="B1617" s="146"/>
      <c r="C1617" s="146"/>
      <c r="D1617" s="543" t="str">
        <f t="shared" si="76"/>
        <v/>
      </c>
      <c r="I1617" s="146"/>
      <c r="J1617" s="146"/>
      <c r="K1617" s="146"/>
      <c r="L1617" s="146"/>
      <c r="M1617" s="544"/>
      <c r="N1617" s="544"/>
      <c r="O1617" s="544"/>
      <c r="P1617" s="544"/>
      <c r="R1617" s="543" t="str">
        <f t="shared" si="78"/>
        <v>:</v>
      </c>
      <c r="S1617" s="544">
        <f t="shared" si="77"/>
        <v>0</v>
      </c>
    </row>
    <row r="1618" spans="2:19">
      <c r="B1618" s="146"/>
      <c r="C1618" s="146"/>
      <c r="D1618" s="543" t="str">
        <f t="shared" si="76"/>
        <v/>
      </c>
      <c r="I1618" s="146"/>
      <c r="J1618" s="146"/>
      <c r="K1618" s="146"/>
      <c r="L1618" s="146"/>
      <c r="M1618" s="544"/>
      <c r="N1618" s="544"/>
      <c r="O1618" s="544"/>
      <c r="P1618" s="544"/>
      <c r="R1618" s="543" t="str">
        <f t="shared" si="78"/>
        <v>:</v>
      </c>
      <c r="S1618" s="544">
        <f t="shared" si="77"/>
        <v>0</v>
      </c>
    </row>
    <row r="1619" spans="2:19">
      <c r="B1619" s="146"/>
      <c r="C1619" s="146"/>
      <c r="D1619" s="543" t="str">
        <f t="shared" si="76"/>
        <v/>
      </c>
      <c r="I1619" s="146"/>
      <c r="J1619" s="146"/>
      <c r="K1619" s="146"/>
      <c r="L1619" s="146"/>
      <c r="M1619" s="544"/>
      <c r="N1619" s="544"/>
      <c r="O1619" s="544"/>
      <c r="P1619" s="544"/>
      <c r="R1619" s="543" t="str">
        <f t="shared" si="78"/>
        <v>:</v>
      </c>
      <c r="S1619" s="544">
        <f t="shared" si="77"/>
        <v>0</v>
      </c>
    </row>
    <row r="1620" spans="2:19">
      <c r="B1620" s="146"/>
      <c r="C1620" s="146"/>
      <c r="D1620" s="543" t="str">
        <f t="shared" si="76"/>
        <v/>
      </c>
      <c r="I1620" s="146"/>
      <c r="J1620" s="146"/>
      <c r="K1620" s="146"/>
      <c r="L1620" s="146"/>
      <c r="M1620" s="544"/>
      <c r="N1620" s="544"/>
      <c r="O1620" s="544"/>
      <c r="P1620" s="544"/>
      <c r="R1620" s="543" t="str">
        <f t="shared" si="78"/>
        <v>:</v>
      </c>
      <c r="S1620" s="544">
        <f t="shared" si="77"/>
        <v>0</v>
      </c>
    </row>
    <row r="1621" spans="2:19">
      <c r="B1621" s="146"/>
      <c r="C1621" s="146"/>
      <c r="D1621" s="543" t="str">
        <f t="shared" si="76"/>
        <v/>
      </c>
      <c r="I1621" s="146"/>
      <c r="J1621" s="146"/>
      <c r="K1621" s="146"/>
      <c r="L1621" s="146"/>
      <c r="M1621" s="544"/>
      <c r="N1621" s="544"/>
      <c r="O1621" s="544"/>
      <c r="P1621" s="544"/>
      <c r="R1621" s="543" t="str">
        <f t="shared" si="78"/>
        <v>:</v>
      </c>
      <c r="S1621" s="544">
        <f t="shared" si="77"/>
        <v>0</v>
      </c>
    </row>
    <row r="1622" spans="2:19">
      <c r="B1622" s="146"/>
      <c r="C1622" s="146"/>
      <c r="D1622" s="543" t="str">
        <f t="shared" si="76"/>
        <v/>
      </c>
      <c r="I1622" s="146"/>
      <c r="J1622" s="146"/>
      <c r="K1622" s="146"/>
      <c r="L1622" s="146"/>
      <c r="M1622" s="544"/>
      <c r="N1622" s="544"/>
      <c r="O1622" s="544"/>
      <c r="P1622" s="544"/>
      <c r="R1622" s="543" t="str">
        <f t="shared" si="78"/>
        <v>:</v>
      </c>
      <c r="S1622" s="544">
        <f t="shared" si="77"/>
        <v>0</v>
      </c>
    </row>
    <row r="1623" spans="2:19">
      <c r="B1623" s="146"/>
      <c r="C1623" s="146"/>
      <c r="D1623" s="543" t="str">
        <f t="shared" si="76"/>
        <v/>
      </c>
      <c r="I1623" s="146"/>
      <c r="J1623" s="146"/>
      <c r="K1623" s="146"/>
      <c r="L1623" s="146"/>
      <c r="M1623" s="544"/>
      <c r="N1623" s="544"/>
      <c r="O1623" s="544"/>
      <c r="P1623" s="544"/>
      <c r="R1623" s="543" t="str">
        <f t="shared" si="78"/>
        <v>:</v>
      </c>
      <c r="S1623" s="544">
        <f t="shared" si="77"/>
        <v>0</v>
      </c>
    </row>
    <row r="1624" spans="2:19">
      <c r="B1624" s="146"/>
      <c r="C1624" s="146"/>
      <c r="D1624" s="543" t="str">
        <f t="shared" si="76"/>
        <v/>
      </c>
      <c r="I1624" s="146"/>
      <c r="J1624" s="146"/>
      <c r="K1624" s="146"/>
      <c r="L1624" s="146"/>
      <c r="M1624" s="544"/>
      <c r="N1624" s="544"/>
      <c r="O1624" s="544"/>
      <c r="P1624" s="544"/>
      <c r="R1624" s="543" t="str">
        <f t="shared" si="78"/>
        <v>:</v>
      </c>
      <c r="S1624" s="544">
        <f t="shared" si="77"/>
        <v>0</v>
      </c>
    </row>
    <row r="1625" spans="2:19">
      <c r="B1625" s="146"/>
      <c r="C1625" s="146"/>
      <c r="D1625" s="543" t="str">
        <f t="shared" si="76"/>
        <v/>
      </c>
      <c r="I1625" s="146"/>
      <c r="J1625" s="146"/>
      <c r="K1625" s="146"/>
      <c r="L1625" s="146"/>
      <c r="M1625" s="544"/>
      <c r="N1625" s="544"/>
      <c r="O1625" s="544"/>
      <c r="P1625" s="544"/>
      <c r="R1625" s="543" t="str">
        <f t="shared" si="78"/>
        <v>:</v>
      </c>
      <c r="S1625" s="544">
        <f t="shared" si="77"/>
        <v>0</v>
      </c>
    </row>
    <row r="1626" spans="2:19">
      <c r="B1626" s="146"/>
      <c r="C1626" s="146"/>
      <c r="D1626" s="543" t="str">
        <f t="shared" si="76"/>
        <v/>
      </c>
      <c r="I1626" s="146"/>
      <c r="J1626" s="146"/>
      <c r="K1626" s="146"/>
      <c r="L1626" s="146"/>
      <c r="M1626" s="544"/>
      <c r="N1626" s="544"/>
      <c r="O1626" s="544"/>
      <c r="P1626" s="544"/>
      <c r="R1626" s="543" t="str">
        <f t="shared" si="78"/>
        <v>:</v>
      </c>
      <c r="S1626" s="544">
        <f t="shared" si="77"/>
        <v>0</v>
      </c>
    </row>
    <row r="1627" spans="2:19">
      <c r="B1627" s="146"/>
      <c r="C1627" s="146"/>
      <c r="D1627" s="543" t="str">
        <f t="shared" si="76"/>
        <v/>
      </c>
      <c r="I1627" s="146"/>
      <c r="J1627" s="146"/>
      <c r="K1627" s="146"/>
      <c r="L1627" s="146"/>
      <c r="M1627" s="544"/>
      <c r="N1627" s="544"/>
      <c r="O1627" s="544"/>
      <c r="P1627" s="544"/>
      <c r="R1627" s="543" t="str">
        <f t="shared" si="78"/>
        <v>:</v>
      </c>
      <c r="S1627" s="544">
        <f t="shared" si="77"/>
        <v>0</v>
      </c>
    </row>
    <row r="1628" spans="2:19">
      <c r="B1628" s="146"/>
      <c r="C1628" s="146"/>
      <c r="D1628" s="543" t="str">
        <f t="shared" si="76"/>
        <v/>
      </c>
      <c r="I1628" s="146"/>
      <c r="J1628" s="146"/>
      <c r="K1628" s="146"/>
      <c r="L1628" s="146"/>
      <c r="M1628" s="544"/>
      <c r="N1628" s="544"/>
      <c r="O1628" s="544"/>
      <c r="P1628" s="544"/>
      <c r="R1628" s="543" t="str">
        <f t="shared" si="78"/>
        <v>:</v>
      </c>
      <c r="S1628" s="544">
        <f t="shared" si="77"/>
        <v>0</v>
      </c>
    </row>
    <row r="1629" spans="2:19">
      <c r="B1629" s="146"/>
      <c r="C1629" s="146"/>
      <c r="D1629" s="543" t="str">
        <f t="shared" si="76"/>
        <v/>
      </c>
      <c r="I1629" s="146"/>
      <c r="J1629" s="146"/>
      <c r="K1629" s="146"/>
      <c r="L1629" s="146"/>
      <c r="M1629" s="544"/>
      <c r="N1629" s="544"/>
      <c r="O1629" s="544"/>
      <c r="P1629" s="544"/>
      <c r="R1629" s="543" t="str">
        <f t="shared" si="78"/>
        <v>:</v>
      </c>
      <c r="S1629" s="544">
        <f t="shared" si="77"/>
        <v>0</v>
      </c>
    </row>
    <row r="1630" spans="2:19">
      <c r="B1630" s="146"/>
      <c r="C1630" s="146"/>
      <c r="D1630" s="543" t="str">
        <f t="shared" si="76"/>
        <v/>
      </c>
      <c r="I1630" s="146"/>
      <c r="J1630" s="146"/>
      <c r="K1630" s="146"/>
      <c r="L1630" s="146"/>
      <c r="M1630" s="544"/>
      <c r="N1630" s="544"/>
      <c r="O1630" s="544"/>
      <c r="P1630" s="544"/>
      <c r="R1630" s="543" t="str">
        <f t="shared" si="78"/>
        <v>:</v>
      </c>
      <c r="S1630" s="544">
        <f t="shared" si="77"/>
        <v>0</v>
      </c>
    </row>
    <row r="1631" spans="2:19">
      <c r="B1631" s="146"/>
      <c r="C1631" s="146"/>
      <c r="D1631" s="543" t="str">
        <f t="shared" si="76"/>
        <v/>
      </c>
      <c r="I1631" s="146"/>
      <c r="J1631" s="146"/>
      <c r="K1631" s="146"/>
      <c r="L1631" s="146"/>
      <c r="M1631" s="544"/>
      <c r="N1631" s="544"/>
      <c r="O1631" s="544"/>
      <c r="P1631" s="544"/>
      <c r="R1631" s="543" t="str">
        <f t="shared" si="78"/>
        <v>:</v>
      </c>
      <c r="S1631" s="544">
        <f t="shared" si="77"/>
        <v>0</v>
      </c>
    </row>
    <row r="1632" spans="2:19">
      <c r="B1632" s="146"/>
      <c r="C1632" s="146"/>
      <c r="D1632" s="543" t="str">
        <f t="shared" si="76"/>
        <v/>
      </c>
      <c r="I1632" s="146"/>
      <c r="J1632" s="146"/>
      <c r="K1632" s="146"/>
      <c r="L1632" s="146"/>
      <c r="M1632" s="544"/>
      <c r="N1632" s="544"/>
      <c r="O1632" s="544"/>
      <c r="P1632" s="544"/>
      <c r="R1632" s="543" t="str">
        <f t="shared" si="78"/>
        <v>:</v>
      </c>
      <c r="S1632" s="544">
        <f t="shared" si="77"/>
        <v>0</v>
      </c>
    </row>
    <row r="1633" spans="2:19">
      <c r="B1633" s="146"/>
      <c r="C1633" s="146"/>
      <c r="D1633" s="543" t="str">
        <f t="shared" si="76"/>
        <v/>
      </c>
      <c r="I1633" s="146"/>
      <c r="J1633" s="146"/>
      <c r="K1633" s="146"/>
      <c r="L1633" s="146"/>
      <c r="M1633" s="544"/>
      <c r="N1633" s="544"/>
      <c r="O1633" s="544"/>
      <c r="P1633" s="544"/>
      <c r="R1633" s="543" t="str">
        <f t="shared" si="78"/>
        <v>:</v>
      </c>
      <c r="S1633" s="544">
        <f t="shared" si="77"/>
        <v>0</v>
      </c>
    </row>
    <row r="1634" spans="2:19">
      <c r="B1634" s="146"/>
      <c r="C1634" s="146"/>
      <c r="D1634" s="543" t="str">
        <f t="shared" si="76"/>
        <v/>
      </c>
      <c r="I1634" s="146"/>
      <c r="J1634" s="146"/>
      <c r="K1634" s="146"/>
      <c r="L1634" s="146"/>
      <c r="M1634" s="544"/>
      <c r="N1634" s="544"/>
      <c r="O1634" s="544"/>
      <c r="P1634" s="544"/>
      <c r="R1634" s="543" t="str">
        <f t="shared" si="78"/>
        <v>:</v>
      </c>
      <c r="S1634" s="544">
        <f t="shared" si="77"/>
        <v>0</v>
      </c>
    </row>
    <row r="1635" spans="2:19">
      <c r="B1635" s="146"/>
      <c r="C1635" s="146"/>
      <c r="D1635" s="543" t="str">
        <f t="shared" si="76"/>
        <v/>
      </c>
      <c r="I1635" s="146"/>
      <c r="J1635" s="146"/>
      <c r="K1635" s="146"/>
      <c r="L1635" s="146"/>
      <c r="M1635" s="544"/>
      <c r="N1635" s="544"/>
      <c r="O1635" s="544"/>
      <c r="P1635" s="544"/>
      <c r="R1635" s="543" t="str">
        <f t="shared" si="78"/>
        <v>:</v>
      </c>
      <c r="S1635" s="544">
        <f t="shared" si="77"/>
        <v>0</v>
      </c>
    </row>
    <row r="1636" spans="2:19">
      <c r="B1636" s="146"/>
      <c r="C1636" s="146"/>
      <c r="D1636" s="543" t="str">
        <f t="shared" si="76"/>
        <v/>
      </c>
      <c r="I1636" s="146"/>
      <c r="J1636" s="146"/>
      <c r="K1636" s="146"/>
      <c r="L1636" s="146"/>
      <c r="M1636" s="544"/>
      <c r="N1636" s="544"/>
      <c r="O1636" s="544"/>
      <c r="P1636" s="544"/>
      <c r="R1636" s="543" t="str">
        <f t="shared" si="78"/>
        <v>:</v>
      </c>
      <c r="S1636" s="544">
        <f t="shared" si="77"/>
        <v>0</v>
      </c>
    </row>
    <row r="1637" spans="2:19">
      <c r="B1637" s="146"/>
      <c r="C1637" s="146"/>
      <c r="D1637" s="543" t="str">
        <f t="shared" si="76"/>
        <v/>
      </c>
      <c r="I1637" s="146"/>
      <c r="J1637" s="146"/>
      <c r="K1637" s="146"/>
      <c r="L1637" s="146"/>
      <c r="M1637" s="544"/>
      <c r="N1637" s="544"/>
      <c r="O1637" s="544"/>
      <c r="P1637" s="544"/>
      <c r="R1637" s="543" t="str">
        <f t="shared" si="78"/>
        <v>:</v>
      </c>
      <c r="S1637" s="544">
        <f t="shared" si="77"/>
        <v>0</v>
      </c>
    </row>
    <row r="1638" spans="2:19">
      <c r="B1638" s="146"/>
      <c r="C1638" s="146"/>
      <c r="D1638" s="543" t="str">
        <f t="shared" si="76"/>
        <v/>
      </c>
      <c r="I1638" s="146"/>
      <c r="J1638" s="146"/>
      <c r="K1638" s="146"/>
      <c r="L1638" s="146"/>
      <c r="M1638" s="544"/>
      <c r="N1638" s="544"/>
      <c r="O1638" s="544"/>
      <c r="P1638" s="544"/>
      <c r="R1638" s="543" t="str">
        <f t="shared" si="78"/>
        <v>:</v>
      </c>
      <c r="S1638" s="544">
        <f t="shared" si="77"/>
        <v>0</v>
      </c>
    </row>
    <row r="1639" spans="2:19">
      <c r="B1639" s="146"/>
      <c r="C1639" s="146"/>
      <c r="D1639" s="543" t="str">
        <f t="shared" si="76"/>
        <v/>
      </c>
      <c r="I1639" s="146"/>
      <c r="J1639" s="146"/>
      <c r="K1639" s="146"/>
      <c r="L1639" s="146"/>
      <c r="M1639" s="544"/>
      <c r="N1639" s="544"/>
      <c r="O1639" s="544"/>
      <c r="P1639" s="544"/>
      <c r="R1639" s="543" t="str">
        <f t="shared" si="78"/>
        <v>:</v>
      </c>
      <c r="S1639" s="544">
        <f t="shared" si="77"/>
        <v>0</v>
      </c>
    </row>
    <row r="1640" spans="2:19">
      <c r="B1640" s="146"/>
      <c r="C1640" s="146"/>
      <c r="D1640" s="543" t="str">
        <f t="shared" si="76"/>
        <v/>
      </c>
      <c r="I1640" s="146"/>
      <c r="J1640" s="146"/>
      <c r="K1640" s="146"/>
      <c r="L1640" s="146"/>
      <c r="M1640" s="544"/>
      <c r="N1640" s="544"/>
      <c r="O1640" s="544"/>
      <c r="P1640" s="544"/>
      <c r="R1640" s="543" t="str">
        <f t="shared" si="78"/>
        <v>:</v>
      </c>
      <c r="S1640" s="544">
        <f t="shared" si="77"/>
        <v>0</v>
      </c>
    </row>
    <row r="1641" spans="2:19">
      <c r="B1641" s="146"/>
      <c r="C1641" s="146"/>
      <c r="D1641" s="543" t="str">
        <f t="shared" si="76"/>
        <v/>
      </c>
      <c r="I1641" s="146"/>
      <c r="J1641" s="146"/>
      <c r="K1641" s="146"/>
      <c r="L1641" s="146"/>
      <c r="M1641" s="544"/>
      <c r="N1641" s="544"/>
      <c r="O1641" s="544"/>
      <c r="P1641" s="544"/>
      <c r="R1641" s="543" t="str">
        <f t="shared" si="78"/>
        <v>:</v>
      </c>
      <c r="S1641" s="544">
        <f t="shared" si="77"/>
        <v>0</v>
      </c>
    </row>
    <row r="1642" spans="2:19">
      <c r="B1642" s="146"/>
      <c r="C1642" s="146"/>
      <c r="D1642" s="543" t="str">
        <f t="shared" si="76"/>
        <v/>
      </c>
      <c r="I1642" s="146"/>
      <c r="J1642" s="146"/>
      <c r="K1642" s="146"/>
      <c r="L1642" s="146"/>
      <c r="M1642" s="544"/>
      <c r="N1642" s="544"/>
      <c r="O1642" s="544"/>
      <c r="P1642" s="544"/>
      <c r="R1642" s="543" t="str">
        <f t="shared" si="78"/>
        <v>:</v>
      </c>
      <c r="S1642" s="544">
        <f t="shared" si="77"/>
        <v>0</v>
      </c>
    </row>
    <row r="1643" spans="2:19">
      <c r="B1643" s="146"/>
      <c r="C1643" s="146"/>
      <c r="D1643" s="543" t="str">
        <f t="shared" si="76"/>
        <v/>
      </c>
      <c r="I1643" s="146"/>
      <c r="J1643" s="146"/>
      <c r="K1643" s="146"/>
      <c r="L1643" s="146"/>
      <c r="M1643" s="544"/>
      <c r="N1643" s="544"/>
      <c r="O1643" s="544"/>
      <c r="P1643" s="544"/>
      <c r="R1643" s="543" t="str">
        <f t="shared" si="78"/>
        <v>:</v>
      </c>
      <c r="S1643" s="544">
        <f t="shared" si="77"/>
        <v>0</v>
      </c>
    </row>
    <row r="1644" spans="2:19">
      <c r="B1644" s="146"/>
      <c r="C1644" s="146"/>
      <c r="D1644" s="543" t="str">
        <f t="shared" si="76"/>
        <v/>
      </c>
      <c r="I1644" s="146"/>
      <c r="J1644" s="146"/>
      <c r="K1644" s="146"/>
      <c r="L1644" s="146"/>
      <c r="M1644" s="544"/>
      <c r="N1644" s="544"/>
      <c r="O1644" s="544"/>
      <c r="P1644" s="544"/>
      <c r="R1644" s="543" t="str">
        <f t="shared" si="78"/>
        <v>:</v>
      </c>
      <c r="S1644" s="544">
        <f t="shared" si="77"/>
        <v>0</v>
      </c>
    </row>
    <row r="1645" spans="2:19">
      <c r="B1645" s="146"/>
      <c r="C1645" s="146"/>
      <c r="D1645" s="543" t="str">
        <f t="shared" si="76"/>
        <v/>
      </c>
      <c r="I1645" s="146"/>
      <c r="J1645" s="146"/>
      <c r="K1645" s="146"/>
      <c r="L1645" s="146"/>
      <c r="M1645" s="544"/>
      <c r="N1645" s="544"/>
      <c r="O1645" s="544"/>
      <c r="P1645" s="544"/>
      <c r="R1645" s="543" t="str">
        <f t="shared" si="78"/>
        <v>:</v>
      </c>
      <c r="S1645" s="544">
        <f t="shared" si="77"/>
        <v>0</v>
      </c>
    </row>
    <row r="1646" spans="2:19">
      <c r="B1646" s="146"/>
      <c r="C1646" s="146"/>
      <c r="D1646" s="543" t="str">
        <f t="shared" si="76"/>
        <v/>
      </c>
      <c r="I1646" s="146"/>
      <c r="J1646" s="146"/>
      <c r="K1646" s="146"/>
      <c r="L1646" s="146"/>
      <c r="M1646" s="544"/>
      <c r="N1646" s="544"/>
      <c r="O1646" s="544"/>
      <c r="P1646" s="544"/>
      <c r="R1646" s="543" t="str">
        <f t="shared" si="78"/>
        <v>:</v>
      </c>
      <c r="S1646" s="544">
        <f t="shared" si="77"/>
        <v>0</v>
      </c>
    </row>
    <row r="1647" spans="2:19">
      <c r="B1647" s="146"/>
      <c r="C1647" s="146"/>
      <c r="D1647" s="543" t="str">
        <f t="shared" si="76"/>
        <v/>
      </c>
      <c r="I1647" s="146"/>
      <c r="J1647" s="146"/>
      <c r="K1647" s="146"/>
      <c r="L1647" s="146"/>
      <c r="M1647" s="544"/>
      <c r="N1647" s="544"/>
      <c r="O1647" s="544"/>
      <c r="P1647" s="544"/>
      <c r="R1647" s="543" t="str">
        <f t="shared" si="78"/>
        <v>:</v>
      </c>
      <c r="S1647" s="544">
        <f t="shared" si="77"/>
        <v>0</v>
      </c>
    </row>
    <row r="1648" spans="2:19">
      <c r="B1648" s="146"/>
      <c r="C1648" s="146"/>
      <c r="D1648" s="543" t="str">
        <f t="shared" si="76"/>
        <v/>
      </c>
      <c r="I1648" s="146"/>
      <c r="J1648" s="146"/>
      <c r="K1648" s="146"/>
      <c r="L1648" s="146"/>
      <c r="M1648" s="544"/>
      <c r="N1648" s="544"/>
      <c r="O1648" s="544"/>
      <c r="P1648" s="544"/>
      <c r="R1648" s="543" t="str">
        <f t="shared" si="78"/>
        <v>:</v>
      </c>
      <c r="S1648" s="544">
        <f t="shared" si="77"/>
        <v>0</v>
      </c>
    </row>
    <row r="1649" spans="2:19">
      <c r="B1649" s="146"/>
      <c r="C1649" s="146"/>
      <c r="D1649" s="543" t="str">
        <f t="shared" si="76"/>
        <v/>
      </c>
      <c r="I1649" s="146"/>
      <c r="J1649" s="146"/>
      <c r="K1649" s="146"/>
      <c r="L1649" s="146"/>
      <c r="M1649" s="544"/>
      <c r="N1649" s="544"/>
      <c r="O1649" s="544"/>
      <c r="P1649" s="544"/>
      <c r="R1649" s="543" t="str">
        <f t="shared" si="78"/>
        <v>:</v>
      </c>
      <c r="S1649" s="544">
        <f t="shared" si="77"/>
        <v>0</v>
      </c>
    </row>
    <row r="1650" spans="2:19">
      <c r="B1650" s="146"/>
      <c r="C1650" s="146"/>
      <c r="D1650" s="543" t="str">
        <f t="shared" si="76"/>
        <v/>
      </c>
      <c r="I1650" s="146"/>
      <c r="J1650" s="146"/>
      <c r="K1650" s="146"/>
      <c r="L1650" s="146"/>
      <c r="M1650" s="544"/>
      <c r="N1650" s="544"/>
      <c r="O1650" s="544"/>
      <c r="P1650" s="544"/>
      <c r="R1650" s="543" t="str">
        <f t="shared" si="78"/>
        <v>:</v>
      </c>
      <c r="S1650" s="544">
        <f t="shared" si="77"/>
        <v>0</v>
      </c>
    </row>
    <row r="1651" spans="2:19">
      <c r="B1651" s="146"/>
      <c r="C1651" s="146"/>
      <c r="D1651" s="543" t="str">
        <f t="shared" si="76"/>
        <v/>
      </c>
      <c r="I1651" s="146"/>
      <c r="J1651" s="146"/>
      <c r="K1651" s="146"/>
      <c r="L1651" s="146"/>
      <c r="M1651" s="544"/>
      <c r="N1651" s="544"/>
      <c r="O1651" s="544"/>
      <c r="P1651" s="544"/>
      <c r="R1651" s="543" t="str">
        <f t="shared" si="78"/>
        <v>:</v>
      </c>
      <c r="S1651" s="544">
        <f t="shared" si="77"/>
        <v>0</v>
      </c>
    </row>
    <row r="1652" spans="2:19">
      <c r="B1652" s="146"/>
      <c r="C1652" s="146"/>
      <c r="D1652" s="543" t="str">
        <f t="shared" si="76"/>
        <v/>
      </c>
      <c r="I1652" s="146"/>
      <c r="J1652" s="146"/>
      <c r="K1652" s="146"/>
      <c r="L1652" s="146"/>
      <c r="M1652" s="544"/>
      <c r="N1652" s="544"/>
      <c r="O1652" s="544"/>
      <c r="P1652" s="544"/>
      <c r="R1652" s="543" t="str">
        <f t="shared" si="78"/>
        <v>:</v>
      </c>
      <c r="S1652" s="544">
        <f t="shared" si="77"/>
        <v>0</v>
      </c>
    </row>
    <row r="1653" spans="2:19">
      <c r="B1653" s="146"/>
      <c r="C1653" s="146"/>
      <c r="D1653" s="543" t="str">
        <f t="shared" si="76"/>
        <v/>
      </c>
      <c r="I1653" s="146"/>
      <c r="J1653" s="146"/>
      <c r="K1653" s="146"/>
      <c r="L1653" s="146"/>
      <c r="M1653" s="544"/>
      <c r="N1653" s="544"/>
      <c r="O1653" s="544"/>
      <c r="P1653" s="544"/>
      <c r="R1653" s="543" t="str">
        <f t="shared" si="78"/>
        <v>:</v>
      </c>
      <c r="S1653" s="544">
        <f t="shared" si="77"/>
        <v>0</v>
      </c>
    </row>
    <row r="1654" spans="2:19">
      <c r="B1654" s="146"/>
      <c r="C1654" s="146"/>
      <c r="D1654" s="543" t="str">
        <f t="shared" si="76"/>
        <v/>
      </c>
      <c r="I1654" s="146"/>
      <c r="J1654" s="146"/>
      <c r="K1654" s="146"/>
      <c r="L1654" s="146"/>
      <c r="M1654" s="544"/>
      <c r="N1654" s="544"/>
      <c r="O1654" s="544"/>
      <c r="P1654" s="544"/>
      <c r="R1654" s="543" t="str">
        <f t="shared" si="78"/>
        <v>:</v>
      </c>
      <c r="S1654" s="544">
        <f t="shared" si="77"/>
        <v>0</v>
      </c>
    </row>
    <row r="1655" spans="2:19">
      <c r="B1655" s="146"/>
      <c r="C1655" s="146"/>
      <c r="D1655" s="543" t="str">
        <f t="shared" si="76"/>
        <v/>
      </c>
      <c r="I1655" s="146"/>
      <c r="J1655" s="146"/>
      <c r="K1655" s="146"/>
      <c r="L1655" s="146"/>
      <c r="M1655" s="544"/>
      <c r="N1655" s="544"/>
      <c r="O1655" s="544"/>
      <c r="P1655" s="544"/>
      <c r="R1655" s="543" t="str">
        <f t="shared" si="78"/>
        <v>:</v>
      </c>
      <c r="S1655" s="544">
        <f t="shared" si="77"/>
        <v>0</v>
      </c>
    </row>
    <row r="1656" spans="2:19">
      <c r="B1656" s="146"/>
      <c r="C1656" s="146"/>
      <c r="D1656" s="543" t="str">
        <f t="shared" si="76"/>
        <v/>
      </c>
      <c r="I1656" s="146"/>
      <c r="J1656" s="146"/>
      <c r="K1656" s="146"/>
      <c r="L1656" s="146"/>
      <c r="M1656" s="544"/>
      <c r="N1656" s="544"/>
      <c r="O1656" s="544"/>
      <c r="P1656" s="544"/>
      <c r="R1656" s="543" t="str">
        <f t="shared" si="78"/>
        <v>:</v>
      </c>
      <c r="S1656" s="544">
        <f t="shared" si="77"/>
        <v>0</v>
      </c>
    </row>
    <row r="1657" spans="2:19">
      <c r="B1657" s="146"/>
      <c r="C1657" s="146"/>
      <c r="D1657" s="543" t="str">
        <f t="shared" si="76"/>
        <v/>
      </c>
      <c r="I1657" s="146"/>
      <c r="J1657" s="146"/>
      <c r="K1657" s="146"/>
      <c r="L1657" s="146"/>
      <c r="M1657" s="544"/>
      <c r="N1657" s="544"/>
      <c r="O1657" s="544"/>
      <c r="P1657" s="544"/>
      <c r="R1657" s="543" t="str">
        <f t="shared" si="78"/>
        <v>:</v>
      </c>
      <c r="S1657" s="544">
        <f t="shared" si="77"/>
        <v>0</v>
      </c>
    </row>
    <row r="1658" spans="2:19">
      <c r="B1658" s="146"/>
      <c r="C1658" s="146"/>
      <c r="D1658" s="543" t="str">
        <f t="shared" si="76"/>
        <v/>
      </c>
      <c r="I1658" s="146"/>
      <c r="J1658" s="146"/>
      <c r="K1658" s="146"/>
      <c r="L1658" s="146"/>
      <c r="M1658" s="544"/>
      <c r="N1658" s="544"/>
      <c r="O1658" s="544"/>
      <c r="P1658" s="544"/>
      <c r="R1658" s="543" t="str">
        <f t="shared" si="78"/>
        <v>:</v>
      </c>
      <c r="S1658" s="544">
        <f t="shared" si="77"/>
        <v>0</v>
      </c>
    </row>
    <row r="1659" spans="2:19">
      <c r="B1659" s="146"/>
      <c r="C1659" s="146"/>
      <c r="D1659" s="543" t="str">
        <f t="shared" si="76"/>
        <v/>
      </c>
      <c r="I1659" s="146"/>
      <c r="J1659" s="146"/>
      <c r="K1659" s="146"/>
      <c r="L1659" s="146"/>
      <c r="M1659" s="544"/>
      <c r="N1659" s="544"/>
      <c r="O1659" s="544"/>
      <c r="P1659" s="544"/>
      <c r="R1659" s="543" t="str">
        <f t="shared" si="78"/>
        <v>:</v>
      </c>
      <c r="S1659" s="544">
        <f t="shared" si="77"/>
        <v>0</v>
      </c>
    </row>
    <row r="1660" spans="2:19">
      <c r="B1660" s="146"/>
      <c r="C1660" s="146"/>
      <c r="D1660" s="543" t="str">
        <f t="shared" si="76"/>
        <v/>
      </c>
      <c r="I1660" s="146"/>
      <c r="J1660" s="146"/>
      <c r="K1660" s="146"/>
      <c r="L1660" s="146"/>
      <c r="M1660" s="544"/>
      <c r="N1660" s="544"/>
      <c r="O1660" s="544"/>
      <c r="P1660" s="544"/>
      <c r="R1660" s="543" t="str">
        <f t="shared" si="78"/>
        <v>:</v>
      </c>
      <c r="S1660" s="544">
        <f t="shared" si="77"/>
        <v>0</v>
      </c>
    </row>
    <row r="1661" spans="2:19">
      <c r="B1661" s="146"/>
      <c r="C1661" s="146"/>
      <c r="D1661" s="543" t="str">
        <f t="shared" si="76"/>
        <v/>
      </c>
      <c r="I1661" s="146"/>
      <c r="J1661" s="146"/>
      <c r="K1661" s="146"/>
      <c r="L1661" s="146"/>
      <c r="M1661" s="544"/>
      <c r="N1661" s="544"/>
      <c r="O1661" s="544"/>
      <c r="P1661" s="544"/>
      <c r="R1661" s="543" t="str">
        <f t="shared" si="78"/>
        <v>:</v>
      </c>
      <c r="S1661" s="544">
        <f t="shared" si="77"/>
        <v>0</v>
      </c>
    </row>
    <row r="1662" spans="2:19">
      <c r="B1662" s="146"/>
      <c r="C1662" s="146"/>
      <c r="D1662" s="543" t="str">
        <f t="shared" si="76"/>
        <v/>
      </c>
      <c r="I1662" s="146"/>
      <c r="J1662" s="146"/>
      <c r="K1662" s="146"/>
      <c r="L1662" s="146"/>
      <c r="M1662" s="544"/>
      <c r="N1662" s="544"/>
      <c r="O1662" s="544"/>
      <c r="P1662" s="544"/>
      <c r="R1662" s="543" t="str">
        <f t="shared" si="78"/>
        <v>:</v>
      </c>
      <c r="S1662" s="544">
        <f t="shared" si="77"/>
        <v>0</v>
      </c>
    </row>
    <row r="1663" spans="2:19">
      <c r="B1663" s="146"/>
      <c r="C1663" s="146"/>
      <c r="D1663" s="543" t="str">
        <f t="shared" si="76"/>
        <v/>
      </c>
      <c r="I1663" s="146"/>
      <c r="J1663" s="146"/>
      <c r="K1663" s="146"/>
      <c r="L1663" s="146"/>
      <c r="M1663" s="544"/>
      <c r="N1663" s="544"/>
      <c r="O1663" s="544"/>
      <c r="P1663" s="544"/>
      <c r="R1663" s="543" t="str">
        <f t="shared" si="78"/>
        <v>:</v>
      </c>
      <c r="S1663" s="544">
        <f t="shared" si="77"/>
        <v>0</v>
      </c>
    </row>
    <row r="1664" spans="2:19">
      <c r="B1664" s="146"/>
      <c r="C1664" s="146"/>
      <c r="D1664" s="543" t="str">
        <f t="shared" si="76"/>
        <v/>
      </c>
      <c r="I1664" s="146"/>
      <c r="J1664" s="146"/>
      <c r="K1664" s="146"/>
      <c r="L1664" s="146"/>
      <c r="M1664" s="544"/>
      <c r="N1664" s="544"/>
      <c r="O1664" s="544"/>
      <c r="P1664" s="544"/>
      <c r="R1664" s="543" t="str">
        <f t="shared" si="78"/>
        <v>:</v>
      </c>
      <c r="S1664" s="544">
        <f t="shared" si="77"/>
        <v>0</v>
      </c>
    </row>
    <row r="1665" spans="2:19">
      <c r="B1665" s="146"/>
      <c r="C1665" s="146"/>
      <c r="D1665" s="543" t="str">
        <f t="shared" si="76"/>
        <v/>
      </c>
      <c r="I1665" s="146"/>
      <c r="J1665" s="146"/>
      <c r="K1665" s="146"/>
      <c r="L1665" s="146"/>
      <c r="M1665" s="544"/>
      <c r="N1665" s="544"/>
      <c r="O1665" s="544"/>
      <c r="P1665" s="544"/>
      <c r="R1665" s="543" t="str">
        <f t="shared" si="78"/>
        <v>:</v>
      </c>
      <c r="S1665" s="544">
        <f t="shared" si="77"/>
        <v>0</v>
      </c>
    </row>
    <row r="1666" spans="2:19">
      <c r="B1666" s="146"/>
      <c r="C1666" s="146"/>
      <c r="D1666" s="543" t="str">
        <f t="shared" si="76"/>
        <v/>
      </c>
      <c r="I1666" s="146"/>
      <c r="J1666" s="146"/>
      <c r="K1666" s="146"/>
      <c r="L1666" s="146"/>
      <c r="M1666" s="544"/>
      <c r="N1666" s="544"/>
      <c r="O1666" s="544"/>
      <c r="P1666" s="544"/>
      <c r="R1666" s="543" t="str">
        <f t="shared" si="78"/>
        <v>:</v>
      </c>
      <c r="S1666" s="544">
        <f t="shared" si="77"/>
        <v>0</v>
      </c>
    </row>
    <row r="1667" spans="2:19">
      <c r="B1667" s="146"/>
      <c r="C1667" s="146"/>
      <c r="D1667" s="543" t="str">
        <f t="shared" si="76"/>
        <v/>
      </c>
      <c r="I1667" s="146"/>
      <c r="J1667" s="146"/>
      <c r="K1667" s="146"/>
      <c r="L1667" s="146"/>
      <c r="M1667" s="544"/>
      <c r="N1667" s="544"/>
      <c r="O1667" s="544"/>
      <c r="P1667" s="544"/>
      <c r="R1667" s="543" t="str">
        <f t="shared" si="78"/>
        <v>:</v>
      </c>
      <c r="S1667" s="544">
        <f t="shared" si="77"/>
        <v>0</v>
      </c>
    </row>
    <row r="1668" spans="2:19">
      <c r="B1668" s="146"/>
      <c r="C1668" s="146"/>
      <c r="D1668" s="543" t="str">
        <f t="shared" si="76"/>
        <v/>
      </c>
      <c r="I1668" s="146"/>
      <c r="J1668" s="146"/>
      <c r="K1668" s="146"/>
      <c r="L1668" s="146"/>
      <c r="M1668" s="544"/>
      <c r="N1668" s="544"/>
      <c r="O1668" s="544"/>
      <c r="P1668" s="544"/>
      <c r="R1668" s="543" t="str">
        <f t="shared" si="78"/>
        <v>:</v>
      </c>
      <c r="S1668" s="544">
        <f t="shared" si="77"/>
        <v>0</v>
      </c>
    </row>
    <row r="1669" spans="2:19">
      <c r="B1669" s="146"/>
      <c r="C1669" s="146"/>
      <c r="D1669" s="543" t="str">
        <f t="shared" si="76"/>
        <v/>
      </c>
      <c r="I1669" s="146"/>
      <c r="J1669" s="146"/>
      <c r="K1669" s="146"/>
      <c r="L1669" s="146"/>
      <c r="M1669" s="544"/>
      <c r="N1669" s="544"/>
      <c r="O1669" s="544"/>
      <c r="P1669" s="544"/>
      <c r="R1669" s="543" t="str">
        <f t="shared" si="78"/>
        <v>:</v>
      </c>
      <c r="S1669" s="544">
        <f t="shared" si="77"/>
        <v>0</v>
      </c>
    </row>
    <row r="1670" spans="2:19">
      <c r="B1670" s="146"/>
      <c r="C1670" s="146"/>
      <c r="D1670" s="543" t="str">
        <f t="shared" si="76"/>
        <v/>
      </c>
      <c r="I1670" s="146"/>
      <c r="J1670" s="146"/>
      <c r="K1670" s="146"/>
      <c r="L1670" s="146"/>
      <c r="M1670" s="544"/>
      <c r="N1670" s="544"/>
      <c r="O1670" s="544"/>
      <c r="P1670" s="544"/>
      <c r="R1670" s="543" t="str">
        <f t="shared" si="78"/>
        <v>:</v>
      </c>
      <c r="S1670" s="544">
        <f t="shared" si="77"/>
        <v>0</v>
      </c>
    </row>
    <row r="1671" spans="2:19">
      <c r="B1671" s="146"/>
      <c r="C1671" s="146"/>
      <c r="D1671" s="543" t="str">
        <f t="shared" si="76"/>
        <v/>
      </c>
      <c r="I1671" s="146"/>
      <c r="J1671" s="146"/>
      <c r="K1671" s="146"/>
      <c r="L1671" s="146"/>
      <c r="M1671" s="544"/>
      <c r="N1671" s="544"/>
      <c r="O1671" s="544"/>
      <c r="P1671" s="544"/>
      <c r="R1671" s="543" t="str">
        <f t="shared" si="78"/>
        <v>:</v>
      </c>
      <c r="S1671" s="544">
        <f t="shared" si="77"/>
        <v>0</v>
      </c>
    </row>
    <row r="1672" spans="2:19">
      <c r="B1672" s="146"/>
      <c r="C1672" s="146"/>
      <c r="D1672" s="543" t="str">
        <f t="shared" si="76"/>
        <v/>
      </c>
      <c r="I1672" s="146"/>
      <c r="J1672" s="146"/>
      <c r="K1672" s="146"/>
      <c r="L1672" s="146"/>
      <c r="M1672" s="544"/>
      <c r="N1672" s="544"/>
      <c r="O1672" s="544"/>
      <c r="P1672" s="544"/>
      <c r="R1672" s="543" t="str">
        <f t="shared" si="78"/>
        <v>:</v>
      </c>
      <c r="S1672" s="544">
        <f t="shared" si="77"/>
        <v>0</v>
      </c>
    </row>
    <row r="1673" spans="2:19">
      <c r="B1673" s="146"/>
      <c r="C1673" s="146"/>
      <c r="D1673" s="543" t="str">
        <f t="shared" si="76"/>
        <v/>
      </c>
      <c r="I1673" s="146"/>
      <c r="J1673" s="146"/>
      <c r="K1673" s="146"/>
      <c r="L1673" s="146"/>
      <c r="M1673" s="544"/>
      <c r="N1673" s="544"/>
      <c r="O1673" s="544"/>
      <c r="P1673" s="544"/>
      <c r="R1673" s="543" t="str">
        <f t="shared" si="78"/>
        <v>:</v>
      </c>
      <c r="S1673" s="544">
        <f t="shared" si="77"/>
        <v>0</v>
      </c>
    </row>
    <row r="1674" spans="2:19">
      <c r="B1674" s="146"/>
      <c r="C1674" s="146"/>
      <c r="D1674" s="543" t="str">
        <f t="shared" ref="D1674:D1737" si="79">IF(B1674="","",B1674&amp;":"&amp;C1674)</f>
        <v/>
      </c>
      <c r="I1674" s="146"/>
      <c r="J1674" s="146"/>
      <c r="K1674" s="146"/>
      <c r="L1674" s="146"/>
      <c r="M1674" s="544"/>
      <c r="N1674" s="544"/>
      <c r="O1674" s="544"/>
      <c r="P1674" s="544"/>
      <c r="R1674" s="543" t="str">
        <f t="shared" si="78"/>
        <v>:</v>
      </c>
      <c r="S1674" s="544">
        <f t="shared" ref="S1674:S1737" si="80">HLOOKUP($S$8,$L$8:$P$2000,ROW()-7,FALSE)</f>
        <v>0</v>
      </c>
    </row>
    <row r="1675" spans="2:19">
      <c r="B1675" s="146"/>
      <c r="C1675" s="146"/>
      <c r="D1675" s="543" t="str">
        <f t="shared" si="79"/>
        <v/>
      </c>
      <c r="I1675" s="146"/>
      <c r="J1675" s="146"/>
      <c r="K1675" s="146"/>
      <c r="L1675" s="146"/>
      <c r="M1675" s="544"/>
      <c r="N1675" s="544"/>
      <c r="O1675" s="544"/>
      <c r="P1675" s="544"/>
      <c r="R1675" s="543" t="str">
        <f t="shared" si="78"/>
        <v>:</v>
      </c>
      <c r="S1675" s="544">
        <f t="shared" si="80"/>
        <v>0</v>
      </c>
    </row>
    <row r="1676" spans="2:19">
      <c r="B1676" s="146"/>
      <c r="C1676" s="146"/>
      <c r="D1676" s="543" t="str">
        <f t="shared" si="79"/>
        <v/>
      </c>
      <c r="I1676" s="146"/>
      <c r="J1676" s="146"/>
      <c r="K1676" s="146"/>
      <c r="L1676" s="146"/>
      <c r="M1676" s="544"/>
      <c r="N1676" s="544"/>
      <c r="O1676" s="544"/>
      <c r="P1676" s="544"/>
      <c r="R1676" s="543" t="str">
        <f t="shared" si="78"/>
        <v>:</v>
      </c>
      <c r="S1676" s="544">
        <f t="shared" si="80"/>
        <v>0</v>
      </c>
    </row>
    <row r="1677" spans="2:19">
      <c r="B1677" s="146"/>
      <c r="C1677" s="146"/>
      <c r="D1677" s="543" t="str">
        <f t="shared" si="79"/>
        <v/>
      </c>
      <c r="I1677" s="146"/>
      <c r="J1677" s="146"/>
      <c r="K1677" s="146"/>
      <c r="L1677" s="146"/>
      <c r="M1677" s="544"/>
      <c r="N1677" s="544"/>
      <c r="O1677" s="544"/>
      <c r="P1677" s="544"/>
      <c r="R1677" s="543" t="str">
        <f t="shared" ref="R1677:R1740" si="81">I1677&amp;":"&amp;J1677&amp;K1677</f>
        <v>:</v>
      </c>
      <c r="S1677" s="544">
        <f t="shared" si="80"/>
        <v>0</v>
      </c>
    </row>
    <row r="1678" spans="2:19">
      <c r="B1678" s="146"/>
      <c r="C1678" s="146"/>
      <c r="D1678" s="543" t="str">
        <f t="shared" si="79"/>
        <v/>
      </c>
      <c r="I1678" s="146"/>
      <c r="J1678" s="146"/>
      <c r="K1678" s="146"/>
      <c r="L1678" s="146"/>
      <c r="M1678" s="544"/>
      <c r="N1678" s="544"/>
      <c r="O1678" s="544"/>
      <c r="P1678" s="544"/>
      <c r="R1678" s="543" t="str">
        <f t="shared" si="81"/>
        <v>:</v>
      </c>
      <c r="S1678" s="544">
        <f t="shared" si="80"/>
        <v>0</v>
      </c>
    </row>
    <row r="1679" spans="2:19">
      <c r="B1679" s="146"/>
      <c r="C1679" s="146"/>
      <c r="D1679" s="543" t="str">
        <f t="shared" si="79"/>
        <v/>
      </c>
      <c r="I1679" s="146"/>
      <c r="J1679" s="146"/>
      <c r="K1679" s="146"/>
      <c r="L1679" s="146"/>
      <c r="M1679" s="544"/>
      <c r="N1679" s="544"/>
      <c r="O1679" s="544"/>
      <c r="P1679" s="544"/>
      <c r="R1679" s="543" t="str">
        <f t="shared" si="81"/>
        <v>:</v>
      </c>
      <c r="S1679" s="544">
        <f t="shared" si="80"/>
        <v>0</v>
      </c>
    </row>
    <row r="1680" spans="2:19">
      <c r="B1680" s="146"/>
      <c r="C1680" s="146"/>
      <c r="D1680" s="543" t="str">
        <f t="shared" si="79"/>
        <v/>
      </c>
      <c r="I1680" s="146"/>
      <c r="J1680" s="146"/>
      <c r="K1680" s="146"/>
      <c r="L1680" s="146"/>
      <c r="M1680" s="544"/>
      <c r="N1680" s="544"/>
      <c r="O1680" s="544"/>
      <c r="P1680" s="544"/>
      <c r="R1680" s="543" t="str">
        <f t="shared" si="81"/>
        <v>:</v>
      </c>
      <c r="S1680" s="544">
        <f t="shared" si="80"/>
        <v>0</v>
      </c>
    </row>
    <row r="1681" spans="2:19">
      <c r="B1681" s="146"/>
      <c r="C1681" s="146"/>
      <c r="D1681" s="543" t="str">
        <f t="shared" si="79"/>
        <v/>
      </c>
      <c r="I1681" s="146"/>
      <c r="J1681" s="146"/>
      <c r="K1681" s="146"/>
      <c r="L1681" s="146"/>
      <c r="M1681" s="544"/>
      <c r="N1681" s="544"/>
      <c r="O1681" s="544"/>
      <c r="P1681" s="544"/>
      <c r="R1681" s="543" t="str">
        <f t="shared" si="81"/>
        <v>:</v>
      </c>
      <c r="S1681" s="544">
        <f t="shared" si="80"/>
        <v>0</v>
      </c>
    </row>
    <row r="1682" spans="2:19">
      <c r="B1682" s="146"/>
      <c r="C1682" s="146"/>
      <c r="D1682" s="543" t="str">
        <f t="shared" si="79"/>
        <v/>
      </c>
      <c r="I1682" s="146"/>
      <c r="J1682" s="146"/>
      <c r="K1682" s="146"/>
      <c r="L1682" s="146"/>
      <c r="M1682" s="544"/>
      <c r="N1682" s="544"/>
      <c r="O1682" s="544"/>
      <c r="P1682" s="544"/>
      <c r="R1682" s="543" t="str">
        <f t="shared" si="81"/>
        <v>:</v>
      </c>
      <c r="S1682" s="544">
        <f t="shared" si="80"/>
        <v>0</v>
      </c>
    </row>
    <row r="1683" spans="2:19">
      <c r="B1683" s="146"/>
      <c r="C1683" s="146"/>
      <c r="D1683" s="543" t="str">
        <f t="shared" si="79"/>
        <v/>
      </c>
      <c r="I1683" s="146"/>
      <c r="J1683" s="146"/>
      <c r="K1683" s="146"/>
      <c r="L1683" s="146"/>
      <c r="M1683" s="544"/>
      <c r="N1683" s="544"/>
      <c r="O1683" s="544"/>
      <c r="P1683" s="544"/>
      <c r="R1683" s="543" t="str">
        <f t="shared" si="81"/>
        <v>:</v>
      </c>
      <c r="S1683" s="544">
        <f t="shared" si="80"/>
        <v>0</v>
      </c>
    </row>
    <row r="1684" spans="2:19">
      <c r="B1684" s="146"/>
      <c r="C1684" s="146"/>
      <c r="D1684" s="543" t="str">
        <f t="shared" si="79"/>
        <v/>
      </c>
      <c r="I1684" s="146"/>
      <c r="J1684" s="146"/>
      <c r="K1684" s="146"/>
      <c r="L1684" s="146"/>
      <c r="M1684" s="544"/>
      <c r="N1684" s="544"/>
      <c r="O1684" s="544"/>
      <c r="P1684" s="544"/>
      <c r="R1684" s="543" t="str">
        <f t="shared" si="81"/>
        <v>:</v>
      </c>
      <c r="S1684" s="544">
        <f t="shared" si="80"/>
        <v>0</v>
      </c>
    </row>
    <row r="1685" spans="2:19">
      <c r="B1685" s="146"/>
      <c r="C1685" s="146"/>
      <c r="D1685" s="543" t="str">
        <f t="shared" si="79"/>
        <v/>
      </c>
      <c r="I1685" s="146"/>
      <c r="J1685" s="146"/>
      <c r="K1685" s="146"/>
      <c r="L1685" s="146"/>
      <c r="M1685" s="544"/>
      <c r="N1685" s="544"/>
      <c r="O1685" s="544"/>
      <c r="P1685" s="544"/>
      <c r="R1685" s="543" t="str">
        <f t="shared" si="81"/>
        <v>:</v>
      </c>
      <c r="S1685" s="544">
        <f t="shared" si="80"/>
        <v>0</v>
      </c>
    </row>
    <row r="1686" spans="2:19">
      <c r="B1686" s="146"/>
      <c r="C1686" s="146"/>
      <c r="D1686" s="543" t="str">
        <f t="shared" si="79"/>
        <v/>
      </c>
      <c r="I1686" s="146"/>
      <c r="J1686" s="146"/>
      <c r="K1686" s="146"/>
      <c r="L1686" s="146"/>
      <c r="M1686" s="544"/>
      <c r="N1686" s="544"/>
      <c r="O1686" s="544"/>
      <c r="P1686" s="544"/>
      <c r="R1686" s="543" t="str">
        <f t="shared" si="81"/>
        <v>:</v>
      </c>
      <c r="S1686" s="544">
        <f t="shared" si="80"/>
        <v>0</v>
      </c>
    </row>
    <row r="1687" spans="2:19">
      <c r="B1687" s="146"/>
      <c r="C1687" s="146"/>
      <c r="D1687" s="543" t="str">
        <f t="shared" si="79"/>
        <v/>
      </c>
      <c r="I1687" s="146"/>
      <c r="J1687" s="146"/>
      <c r="K1687" s="146"/>
      <c r="L1687" s="146"/>
      <c r="M1687" s="544"/>
      <c r="N1687" s="544"/>
      <c r="O1687" s="544"/>
      <c r="P1687" s="544"/>
      <c r="R1687" s="543" t="str">
        <f t="shared" si="81"/>
        <v>:</v>
      </c>
      <c r="S1687" s="544">
        <f t="shared" si="80"/>
        <v>0</v>
      </c>
    </row>
    <row r="1688" spans="2:19">
      <c r="B1688" s="146"/>
      <c r="C1688" s="146"/>
      <c r="D1688" s="543" t="str">
        <f t="shared" si="79"/>
        <v/>
      </c>
      <c r="I1688" s="146"/>
      <c r="J1688" s="146"/>
      <c r="K1688" s="146"/>
      <c r="L1688" s="146"/>
      <c r="M1688" s="544"/>
      <c r="N1688" s="544"/>
      <c r="O1688" s="544"/>
      <c r="P1688" s="544"/>
      <c r="R1688" s="543" t="str">
        <f t="shared" si="81"/>
        <v>:</v>
      </c>
      <c r="S1688" s="544">
        <f t="shared" si="80"/>
        <v>0</v>
      </c>
    </row>
    <row r="1689" spans="2:19">
      <c r="B1689" s="146"/>
      <c r="C1689" s="146"/>
      <c r="D1689" s="543" t="str">
        <f t="shared" si="79"/>
        <v/>
      </c>
      <c r="I1689" s="146"/>
      <c r="J1689" s="146"/>
      <c r="K1689" s="146"/>
      <c r="L1689" s="146"/>
      <c r="M1689" s="544"/>
      <c r="N1689" s="544"/>
      <c r="O1689" s="544"/>
      <c r="P1689" s="544"/>
      <c r="R1689" s="543" t="str">
        <f t="shared" si="81"/>
        <v>:</v>
      </c>
      <c r="S1689" s="544">
        <f t="shared" si="80"/>
        <v>0</v>
      </c>
    </row>
    <row r="1690" spans="2:19">
      <c r="B1690" s="146"/>
      <c r="C1690" s="146"/>
      <c r="D1690" s="543" t="str">
        <f t="shared" si="79"/>
        <v/>
      </c>
      <c r="I1690" s="146"/>
      <c r="J1690" s="146"/>
      <c r="K1690" s="146"/>
      <c r="L1690" s="146"/>
      <c r="M1690" s="544"/>
      <c r="N1690" s="544"/>
      <c r="O1690" s="544"/>
      <c r="P1690" s="544"/>
      <c r="R1690" s="543" t="str">
        <f t="shared" si="81"/>
        <v>:</v>
      </c>
      <c r="S1690" s="544">
        <f t="shared" si="80"/>
        <v>0</v>
      </c>
    </row>
    <row r="1691" spans="2:19">
      <c r="B1691" s="146"/>
      <c r="C1691" s="146"/>
      <c r="D1691" s="543" t="str">
        <f t="shared" si="79"/>
        <v/>
      </c>
      <c r="I1691" s="146"/>
      <c r="J1691" s="146"/>
      <c r="K1691" s="146"/>
      <c r="L1691" s="146"/>
      <c r="M1691" s="544"/>
      <c r="N1691" s="544"/>
      <c r="O1691" s="544"/>
      <c r="P1691" s="544"/>
      <c r="R1691" s="543" t="str">
        <f t="shared" si="81"/>
        <v>:</v>
      </c>
      <c r="S1691" s="544">
        <f t="shared" si="80"/>
        <v>0</v>
      </c>
    </row>
    <row r="1692" spans="2:19">
      <c r="B1692" s="146"/>
      <c r="C1692" s="146"/>
      <c r="D1692" s="543" t="str">
        <f t="shared" si="79"/>
        <v/>
      </c>
      <c r="I1692" s="146"/>
      <c r="J1692" s="146"/>
      <c r="K1692" s="146"/>
      <c r="L1692" s="146"/>
      <c r="M1692" s="544"/>
      <c r="N1692" s="544"/>
      <c r="O1692" s="544"/>
      <c r="P1692" s="544"/>
      <c r="R1692" s="543" t="str">
        <f t="shared" si="81"/>
        <v>:</v>
      </c>
      <c r="S1692" s="544">
        <f t="shared" si="80"/>
        <v>0</v>
      </c>
    </row>
    <row r="1693" spans="2:19">
      <c r="B1693" s="146"/>
      <c r="C1693" s="146"/>
      <c r="D1693" s="543" t="str">
        <f t="shared" si="79"/>
        <v/>
      </c>
      <c r="I1693" s="146"/>
      <c r="J1693" s="146"/>
      <c r="K1693" s="146"/>
      <c r="L1693" s="146"/>
      <c r="M1693" s="544"/>
      <c r="N1693" s="544"/>
      <c r="O1693" s="544"/>
      <c r="P1693" s="544"/>
      <c r="R1693" s="543" t="str">
        <f t="shared" si="81"/>
        <v>:</v>
      </c>
      <c r="S1693" s="544">
        <f t="shared" si="80"/>
        <v>0</v>
      </c>
    </row>
    <row r="1694" spans="2:19">
      <c r="B1694" s="146"/>
      <c r="C1694" s="146"/>
      <c r="D1694" s="543" t="str">
        <f t="shared" si="79"/>
        <v/>
      </c>
      <c r="I1694" s="146"/>
      <c r="J1694" s="146"/>
      <c r="K1694" s="146"/>
      <c r="L1694" s="146"/>
      <c r="M1694" s="544"/>
      <c r="N1694" s="544"/>
      <c r="O1694" s="544"/>
      <c r="P1694" s="544"/>
      <c r="R1694" s="543" t="str">
        <f t="shared" si="81"/>
        <v>:</v>
      </c>
      <c r="S1694" s="544">
        <f t="shared" si="80"/>
        <v>0</v>
      </c>
    </row>
    <row r="1695" spans="2:19">
      <c r="B1695" s="146"/>
      <c r="C1695" s="146"/>
      <c r="D1695" s="543" t="str">
        <f t="shared" si="79"/>
        <v/>
      </c>
      <c r="I1695" s="146"/>
      <c r="J1695" s="146"/>
      <c r="K1695" s="146"/>
      <c r="L1695" s="146"/>
      <c r="M1695" s="544"/>
      <c r="N1695" s="544"/>
      <c r="O1695" s="544"/>
      <c r="P1695" s="544"/>
      <c r="R1695" s="543" t="str">
        <f t="shared" si="81"/>
        <v>:</v>
      </c>
      <c r="S1695" s="544">
        <f t="shared" si="80"/>
        <v>0</v>
      </c>
    </row>
    <row r="1696" spans="2:19">
      <c r="B1696" s="146"/>
      <c r="C1696" s="146"/>
      <c r="D1696" s="543" t="str">
        <f t="shared" si="79"/>
        <v/>
      </c>
      <c r="I1696" s="146"/>
      <c r="J1696" s="146"/>
      <c r="K1696" s="146"/>
      <c r="L1696" s="146"/>
      <c r="M1696" s="544"/>
      <c r="N1696" s="544"/>
      <c r="O1696" s="544"/>
      <c r="P1696" s="544"/>
      <c r="R1696" s="543" t="str">
        <f t="shared" si="81"/>
        <v>:</v>
      </c>
      <c r="S1696" s="544">
        <f t="shared" si="80"/>
        <v>0</v>
      </c>
    </row>
    <row r="1697" spans="2:19">
      <c r="B1697" s="146"/>
      <c r="C1697" s="146"/>
      <c r="D1697" s="543" t="str">
        <f t="shared" si="79"/>
        <v/>
      </c>
      <c r="I1697" s="146"/>
      <c r="J1697" s="146"/>
      <c r="K1697" s="146"/>
      <c r="L1697" s="146"/>
      <c r="M1697" s="544"/>
      <c r="N1697" s="544"/>
      <c r="O1697" s="544"/>
      <c r="P1697" s="544"/>
      <c r="R1697" s="543" t="str">
        <f t="shared" si="81"/>
        <v>:</v>
      </c>
      <c r="S1697" s="544">
        <f t="shared" si="80"/>
        <v>0</v>
      </c>
    </row>
    <row r="1698" spans="2:19">
      <c r="B1698" s="146"/>
      <c r="C1698" s="146"/>
      <c r="D1698" s="543" t="str">
        <f t="shared" si="79"/>
        <v/>
      </c>
      <c r="I1698" s="146"/>
      <c r="J1698" s="146"/>
      <c r="K1698" s="146"/>
      <c r="L1698" s="146"/>
      <c r="M1698" s="544"/>
      <c r="N1698" s="544"/>
      <c r="O1698" s="544"/>
      <c r="P1698" s="544"/>
      <c r="R1698" s="543" t="str">
        <f t="shared" si="81"/>
        <v>:</v>
      </c>
      <c r="S1698" s="544">
        <f t="shared" si="80"/>
        <v>0</v>
      </c>
    </row>
    <row r="1699" spans="2:19">
      <c r="B1699" s="146"/>
      <c r="C1699" s="146"/>
      <c r="D1699" s="543" t="str">
        <f t="shared" si="79"/>
        <v/>
      </c>
      <c r="I1699" s="146"/>
      <c r="J1699" s="146"/>
      <c r="K1699" s="146"/>
      <c r="L1699" s="146"/>
      <c r="M1699" s="544"/>
      <c r="N1699" s="544"/>
      <c r="O1699" s="544"/>
      <c r="P1699" s="544"/>
      <c r="R1699" s="543" t="str">
        <f t="shared" si="81"/>
        <v>:</v>
      </c>
      <c r="S1699" s="544">
        <f t="shared" si="80"/>
        <v>0</v>
      </c>
    </row>
    <row r="1700" spans="2:19">
      <c r="B1700" s="146"/>
      <c r="C1700" s="146"/>
      <c r="D1700" s="543" t="str">
        <f t="shared" si="79"/>
        <v/>
      </c>
      <c r="I1700" s="146"/>
      <c r="J1700" s="146"/>
      <c r="K1700" s="146"/>
      <c r="L1700" s="146"/>
      <c r="M1700" s="544"/>
      <c r="N1700" s="544"/>
      <c r="O1700" s="544"/>
      <c r="P1700" s="544"/>
      <c r="R1700" s="543" t="str">
        <f t="shared" si="81"/>
        <v>:</v>
      </c>
      <c r="S1700" s="544">
        <f t="shared" si="80"/>
        <v>0</v>
      </c>
    </row>
    <row r="1701" spans="2:19">
      <c r="B1701" s="146"/>
      <c r="C1701" s="146"/>
      <c r="D1701" s="543" t="str">
        <f t="shared" si="79"/>
        <v/>
      </c>
      <c r="I1701" s="146"/>
      <c r="J1701" s="146"/>
      <c r="K1701" s="146"/>
      <c r="L1701" s="146"/>
      <c r="M1701" s="544"/>
      <c r="N1701" s="544"/>
      <c r="O1701" s="544"/>
      <c r="P1701" s="544"/>
      <c r="R1701" s="543" t="str">
        <f t="shared" si="81"/>
        <v>:</v>
      </c>
      <c r="S1701" s="544">
        <f t="shared" si="80"/>
        <v>0</v>
      </c>
    </row>
    <row r="1702" spans="2:19">
      <c r="B1702" s="146"/>
      <c r="C1702" s="146"/>
      <c r="D1702" s="543" t="str">
        <f t="shared" si="79"/>
        <v/>
      </c>
      <c r="I1702" s="146"/>
      <c r="J1702" s="146"/>
      <c r="K1702" s="146"/>
      <c r="L1702" s="146"/>
      <c r="M1702" s="544"/>
      <c r="N1702" s="544"/>
      <c r="O1702" s="544"/>
      <c r="P1702" s="544"/>
      <c r="R1702" s="543" t="str">
        <f t="shared" si="81"/>
        <v>:</v>
      </c>
      <c r="S1702" s="544">
        <f t="shared" si="80"/>
        <v>0</v>
      </c>
    </row>
    <row r="1703" spans="2:19">
      <c r="B1703" s="146"/>
      <c r="C1703" s="146"/>
      <c r="D1703" s="543" t="str">
        <f t="shared" si="79"/>
        <v/>
      </c>
      <c r="I1703" s="146"/>
      <c r="J1703" s="146"/>
      <c r="K1703" s="146"/>
      <c r="L1703" s="146"/>
      <c r="M1703" s="544"/>
      <c r="N1703" s="544"/>
      <c r="O1703" s="544"/>
      <c r="P1703" s="544"/>
      <c r="R1703" s="543" t="str">
        <f t="shared" si="81"/>
        <v>:</v>
      </c>
      <c r="S1703" s="544">
        <f t="shared" si="80"/>
        <v>0</v>
      </c>
    </row>
    <row r="1704" spans="2:19">
      <c r="B1704" s="146"/>
      <c r="C1704" s="146"/>
      <c r="D1704" s="543" t="str">
        <f t="shared" si="79"/>
        <v/>
      </c>
      <c r="I1704" s="146"/>
      <c r="J1704" s="146"/>
      <c r="K1704" s="146"/>
      <c r="L1704" s="146"/>
      <c r="M1704" s="544"/>
      <c r="N1704" s="544"/>
      <c r="O1704" s="544"/>
      <c r="P1704" s="544"/>
      <c r="R1704" s="543" t="str">
        <f t="shared" si="81"/>
        <v>:</v>
      </c>
      <c r="S1704" s="544">
        <f t="shared" si="80"/>
        <v>0</v>
      </c>
    </row>
    <row r="1705" spans="2:19">
      <c r="B1705" s="146"/>
      <c r="C1705" s="146"/>
      <c r="D1705" s="543" t="str">
        <f t="shared" si="79"/>
        <v/>
      </c>
      <c r="I1705" s="146"/>
      <c r="J1705" s="146"/>
      <c r="K1705" s="146"/>
      <c r="L1705" s="146"/>
      <c r="M1705" s="544"/>
      <c r="N1705" s="544"/>
      <c r="O1705" s="544"/>
      <c r="P1705" s="544"/>
      <c r="R1705" s="543" t="str">
        <f t="shared" si="81"/>
        <v>:</v>
      </c>
      <c r="S1705" s="544">
        <f t="shared" si="80"/>
        <v>0</v>
      </c>
    </row>
    <row r="1706" spans="2:19">
      <c r="B1706" s="146"/>
      <c r="C1706" s="146"/>
      <c r="D1706" s="543" t="str">
        <f t="shared" si="79"/>
        <v/>
      </c>
      <c r="I1706" s="146"/>
      <c r="J1706" s="146"/>
      <c r="K1706" s="146"/>
      <c r="L1706" s="146"/>
      <c r="M1706" s="544"/>
      <c r="N1706" s="544"/>
      <c r="O1706" s="544"/>
      <c r="P1706" s="544"/>
      <c r="R1706" s="543" t="str">
        <f t="shared" si="81"/>
        <v>:</v>
      </c>
      <c r="S1706" s="544">
        <f t="shared" si="80"/>
        <v>0</v>
      </c>
    </row>
    <row r="1707" spans="2:19">
      <c r="B1707" s="146"/>
      <c r="C1707" s="146"/>
      <c r="D1707" s="543" t="str">
        <f t="shared" si="79"/>
        <v/>
      </c>
      <c r="I1707" s="146"/>
      <c r="J1707" s="146"/>
      <c r="K1707" s="146"/>
      <c r="L1707" s="146"/>
      <c r="M1707" s="544"/>
      <c r="N1707" s="544"/>
      <c r="O1707" s="544"/>
      <c r="P1707" s="544"/>
      <c r="R1707" s="543" t="str">
        <f t="shared" si="81"/>
        <v>:</v>
      </c>
      <c r="S1707" s="544">
        <f t="shared" si="80"/>
        <v>0</v>
      </c>
    </row>
    <row r="1708" spans="2:19">
      <c r="B1708" s="146"/>
      <c r="C1708" s="146"/>
      <c r="D1708" s="543" t="str">
        <f t="shared" si="79"/>
        <v/>
      </c>
      <c r="I1708" s="146"/>
      <c r="J1708" s="146"/>
      <c r="K1708" s="146"/>
      <c r="L1708" s="146"/>
      <c r="M1708" s="544"/>
      <c r="N1708" s="544"/>
      <c r="O1708" s="544"/>
      <c r="P1708" s="544"/>
      <c r="R1708" s="543" t="str">
        <f t="shared" si="81"/>
        <v>:</v>
      </c>
      <c r="S1708" s="544">
        <f t="shared" si="80"/>
        <v>0</v>
      </c>
    </row>
    <row r="1709" spans="2:19">
      <c r="B1709" s="146"/>
      <c r="C1709" s="146"/>
      <c r="D1709" s="543" t="str">
        <f t="shared" si="79"/>
        <v/>
      </c>
      <c r="I1709" s="146"/>
      <c r="J1709" s="146"/>
      <c r="K1709" s="146"/>
      <c r="L1709" s="146"/>
      <c r="M1709" s="544"/>
      <c r="N1709" s="544"/>
      <c r="O1709" s="544"/>
      <c r="P1709" s="544"/>
      <c r="R1709" s="543" t="str">
        <f t="shared" si="81"/>
        <v>:</v>
      </c>
      <c r="S1709" s="544">
        <f t="shared" si="80"/>
        <v>0</v>
      </c>
    </row>
    <row r="1710" spans="2:19">
      <c r="B1710" s="146"/>
      <c r="C1710" s="146"/>
      <c r="D1710" s="543" t="str">
        <f t="shared" si="79"/>
        <v/>
      </c>
      <c r="I1710" s="146"/>
      <c r="J1710" s="146"/>
      <c r="K1710" s="146"/>
      <c r="L1710" s="146"/>
      <c r="M1710" s="544"/>
      <c r="N1710" s="544"/>
      <c r="O1710" s="544"/>
      <c r="P1710" s="544"/>
      <c r="R1710" s="543" t="str">
        <f t="shared" si="81"/>
        <v>:</v>
      </c>
      <c r="S1710" s="544">
        <f t="shared" si="80"/>
        <v>0</v>
      </c>
    </row>
    <row r="1711" spans="2:19">
      <c r="B1711" s="146"/>
      <c r="C1711" s="146"/>
      <c r="D1711" s="543" t="str">
        <f t="shared" si="79"/>
        <v/>
      </c>
      <c r="I1711" s="146"/>
      <c r="J1711" s="146"/>
      <c r="K1711" s="146"/>
      <c r="L1711" s="146"/>
      <c r="M1711" s="544"/>
      <c r="N1711" s="544"/>
      <c r="O1711" s="544"/>
      <c r="P1711" s="544"/>
      <c r="R1711" s="543" t="str">
        <f t="shared" si="81"/>
        <v>:</v>
      </c>
      <c r="S1711" s="544">
        <f t="shared" si="80"/>
        <v>0</v>
      </c>
    </row>
    <row r="1712" spans="2:19">
      <c r="B1712" s="146"/>
      <c r="C1712" s="146"/>
      <c r="D1712" s="543" t="str">
        <f t="shared" si="79"/>
        <v/>
      </c>
      <c r="I1712" s="146"/>
      <c r="J1712" s="146"/>
      <c r="K1712" s="146"/>
      <c r="L1712" s="146"/>
      <c r="M1712" s="544"/>
      <c r="N1712" s="544"/>
      <c r="O1712" s="544"/>
      <c r="P1712" s="544"/>
      <c r="R1712" s="543" t="str">
        <f t="shared" si="81"/>
        <v>:</v>
      </c>
      <c r="S1712" s="544">
        <f t="shared" si="80"/>
        <v>0</v>
      </c>
    </row>
    <row r="1713" spans="2:19">
      <c r="B1713" s="146"/>
      <c r="C1713" s="146"/>
      <c r="D1713" s="543" t="str">
        <f t="shared" si="79"/>
        <v/>
      </c>
      <c r="I1713" s="146"/>
      <c r="J1713" s="146"/>
      <c r="K1713" s="146"/>
      <c r="L1713" s="146"/>
      <c r="M1713" s="544"/>
      <c r="N1713" s="544"/>
      <c r="O1713" s="544"/>
      <c r="P1713" s="544"/>
      <c r="R1713" s="543" t="str">
        <f t="shared" si="81"/>
        <v>:</v>
      </c>
      <c r="S1713" s="544">
        <f t="shared" si="80"/>
        <v>0</v>
      </c>
    </row>
    <row r="1714" spans="2:19">
      <c r="B1714" s="146"/>
      <c r="C1714" s="146"/>
      <c r="D1714" s="543" t="str">
        <f t="shared" si="79"/>
        <v/>
      </c>
      <c r="I1714" s="146"/>
      <c r="J1714" s="146"/>
      <c r="K1714" s="146"/>
      <c r="L1714" s="146"/>
      <c r="M1714" s="544"/>
      <c r="N1714" s="544"/>
      <c r="O1714" s="544"/>
      <c r="P1714" s="544"/>
      <c r="R1714" s="543" t="str">
        <f t="shared" si="81"/>
        <v>:</v>
      </c>
      <c r="S1714" s="544">
        <f t="shared" si="80"/>
        <v>0</v>
      </c>
    </row>
    <row r="1715" spans="2:19">
      <c r="B1715" s="146"/>
      <c r="C1715" s="146"/>
      <c r="D1715" s="543" t="str">
        <f t="shared" si="79"/>
        <v/>
      </c>
      <c r="I1715" s="146"/>
      <c r="J1715" s="146"/>
      <c r="K1715" s="146"/>
      <c r="L1715" s="146"/>
      <c r="M1715" s="544"/>
      <c r="N1715" s="544"/>
      <c r="O1715" s="544"/>
      <c r="P1715" s="544"/>
      <c r="R1715" s="543" t="str">
        <f t="shared" si="81"/>
        <v>:</v>
      </c>
      <c r="S1715" s="544">
        <f t="shared" si="80"/>
        <v>0</v>
      </c>
    </row>
    <row r="1716" spans="2:19">
      <c r="B1716" s="146"/>
      <c r="C1716" s="146"/>
      <c r="D1716" s="543" t="str">
        <f t="shared" si="79"/>
        <v/>
      </c>
      <c r="I1716" s="146"/>
      <c r="J1716" s="146"/>
      <c r="K1716" s="146"/>
      <c r="L1716" s="146"/>
      <c r="M1716" s="544"/>
      <c r="N1716" s="544"/>
      <c r="O1716" s="544"/>
      <c r="P1716" s="544"/>
      <c r="R1716" s="543" t="str">
        <f t="shared" si="81"/>
        <v>:</v>
      </c>
      <c r="S1716" s="544">
        <f t="shared" si="80"/>
        <v>0</v>
      </c>
    </row>
    <row r="1717" spans="2:19">
      <c r="B1717" s="146"/>
      <c r="C1717" s="146"/>
      <c r="D1717" s="543" t="str">
        <f t="shared" si="79"/>
        <v/>
      </c>
      <c r="I1717" s="146"/>
      <c r="J1717" s="146"/>
      <c r="K1717" s="146"/>
      <c r="L1717" s="146"/>
      <c r="M1717" s="544"/>
      <c r="N1717" s="544"/>
      <c r="O1717" s="544"/>
      <c r="P1717" s="544"/>
      <c r="R1717" s="543" t="str">
        <f t="shared" si="81"/>
        <v>:</v>
      </c>
      <c r="S1717" s="544">
        <f t="shared" si="80"/>
        <v>0</v>
      </c>
    </row>
    <row r="1718" spans="2:19">
      <c r="B1718" s="146"/>
      <c r="C1718" s="146"/>
      <c r="D1718" s="543" t="str">
        <f t="shared" si="79"/>
        <v/>
      </c>
      <c r="I1718" s="146"/>
      <c r="J1718" s="146"/>
      <c r="K1718" s="146"/>
      <c r="L1718" s="146"/>
      <c r="M1718" s="544"/>
      <c r="N1718" s="544"/>
      <c r="O1718" s="544"/>
      <c r="P1718" s="544"/>
      <c r="R1718" s="543" t="str">
        <f t="shared" si="81"/>
        <v>:</v>
      </c>
      <c r="S1718" s="544">
        <f t="shared" si="80"/>
        <v>0</v>
      </c>
    </row>
    <row r="1719" spans="2:19">
      <c r="B1719" s="146"/>
      <c r="C1719" s="146"/>
      <c r="D1719" s="543" t="str">
        <f t="shared" si="79"/>
        <v/>
      </c>
      <c r="I1719" s="146"/>
      <c r="J1719" s="146"/>
      <c r="K1719" s="146"/>
      <c r="L1719" s="146"/>
      <c r="M1719" s="544"/>
      <c r="N1719" s="544"/>
      <c r="O1719" s="544"/>
      <c r="P1719" s="544"/>
      <c r="R1719" s="543" t="str">
        <f t="shared" si="81"/>
        <v>:</v>
      </c>
      <c r="S1719" s="544">
        <f t="shared" si="80"/>
        <v>0</v>
      </c>
    </row>
    <row r="1720" spans="2:19">
      <c r="B1720" s="146"/>
      <c r="C1720" s="146"/>
      <c r="D1720" s="543" t="str">
        <f t="shared" si="79"/>
        <v/>
      </c>
      <c r="I1720" s="146"/>
      <c r="J1720" s="146"/>
      <c r="K1720" s="146"/>
      <c r="L1720" s="146"/>
      <c r="M1720" s="544"/>
      <c r="N1720" s="544"/>
      <c r="O1720" s="544"/>
      <c r="P1720" s="544"/>
      <c r="R1720" s="543" t="str">
        <f t="shared" si="81"/>
        <v>:</v>
      </c>
      <c r="S1720" s="544">
        <f t="shared" si="80"/>
        <v>0</v>
      </c>
    </row>
    <row r="1721" spans="2:19">
      <c r="B1721" s="146"/>
      <c r="C1721" s="146"/>
      <c r="D1721" s="543" t="str">
        <f t="shared" si="79"/>
        <v/>
      </c>
      <c r="I1721" s="146"/>
      <c r="J1721" s="146"/>
      <c r="K1721" s="146"/>
      <c r="L1721" s="146"/>
      <c r="M1721" s="544"/>
      <c r="N1721" s="544"/>
      <c r="O1721" s="544"/>
      <c r="P1721" s="544"/>
      <c r="R1721" s="543" t="str">
        <f t="shared" si="81"/>
        <v>:</v>
      </c>
      <c r="S1721" s="544">
        <f t="shared" si="80"/>
        <v>0</v>
      </c>
    </row>
    <row r="1722" spans="2:19">
      <c r="B1722" s="146"/>
      <c r="C1722" s="146"/>
      <c r="D1722" s="543" t="str">
        <f t="shared" si="79"/>
        <v/>
      </c>
      <c r="I1722" s="146"/>
      <c r="J1722" s="146"/>
      <c r="K1722" s="146"/>
      <c r="L1722" s="146"/>
      <c r="M1722" s="544"/>
      <c r="N1722" s="544"/>
      <c r="O1722" s="544"/>
      <c r="P1722" s="544"/>
      <c r="R1722" s="543" t="str">
        <f t="shared" si="81"/>
        <v>:</v>
      </c>
      <c r="S1722" s="544">
        <f t="shared" si="80"/>
        <v>0</v>
      </c>
    </row>
    <row r="1723" spans="2:19">
      <c r="B1723" s="146"/>
      <c r="C1723" s="146"/>
      <c r="D1723" s="543" t="str">
        <f t="shared" si="79"/>
        <v/>
      </c>
      <c r="I1723" s="146"/>
      <c r="J1723" s="146"/>
      <c r="K1723" s="146"/>
      <c r="L1723" s="146"/>
      <c r="M1723" s="544"/>
      <c r="N1723" s="544"/>
      <c r="O1723" s="544"/>
      <c r="P1723" s="544"/>
      <c r="R1723" s="543" t="str">
        <f t="shared" si="81"/>
        <v>:</v>
      </c>
      <c r="S1723" s="544">
        <f t="shared" si="80"/>
        <v>0</v>
      </c>
    </row>
    <row r="1724" spans="2:19">
      <c r="B1724" s="146"/>
      <c r="C1724" s="146"/>
      <c r="D1724" s="543" t="str">
        <f t="shared" si="79"/>
        <v/>
      </c>
      <c r="I1724" s="146"/>
      <c r="J1724" s="146"/>
      <c r="K1724" s="146"/>
      <c r="L1724" s="146"/>
      <c r="M1724" s="544"/>
      <c r="N1724" s="544"/>
      <c r="O1724" s="544"/>
      <c r="P1724" s="544"/>
      <c r="R1724" s="543" t="str">
        <f t="shared" si="81"/>
        <v>:</v>
      </c>
      <c r="S1724" s="544">
        <f t="shared" si="80"/>
        <v>0</v>
      </c>
    </row>
    <row r="1725" spans="2:19">
      <c r="B1725" s="146"/>
      <c r="C1725" s="146"/>
      <c r="D1725" s="543" t="str">
        <f t="shared" si="79"/>
        <v/>
      </c>
      <c r="I1725" s="146"/>
      <c r="J1725" s="146"/>
      <c r="K1725" s="146"/>
      <c r="L1725" s="146"/>
      <c r="M1725" s="544"/>
      <c r="N1725" s="544"/>
      <c r="O1725" s="544"/>
      <c r="P1725" s="544"/>
      <c r="R1725" s="543" t="str">
        <f t="shared" si="81"/>
        <v>:</v>
      </c>
      <c r="S1725" s="544">
        <f t="shared" si="80"/>
        <v>0</v>
      </c>
    </row>
    <row r="1726" spans="2:19">
      <c r="B1726" s="146"/>
      <c r="C1726" s="146"/>
      <c r="D1726" s="543" t="str">
        <f t="shared" si="79"/>
        <v/>
      </c>
      <c r="I1726" s="146"/>
      <c r="J1726" s="146"/>
      <c r="K1726" s="146"/>
      <c r="L1726" s="146"/>
      <c r="M1726" s="544"/>
      <c r="N1726" s="544"/>
      <c r="O1726" s="544"/>
      <c r="P1726" s="544"/>
      <c r="R1726" s="543" t="str">
        <f t="shared" si="81"/>
        <v>:</v>
      </c>
      <c r="S1726" s="544">
        <f t="shared" si="80"/>
        <v>0</v>
      </c>
    </row>
    <row r="1727" spans="2:19">
      <c r="B1727" s="146"/>
      <c r="C1727" s="146"/>
      <c r="D1727" s="543" t="str">
        <f t="shared" si="79"/>
        <v/>
      </c>
      <c r="I1727" s="146"/>
      <c r="J1727" s="146"/>
      <c r="K1727" s="146"/>
      <c r="L1727" s="146"/>
      <c r="M1727" s="544"/>
      <c r="N1727" s="544"/>
      <c r="O1727" s="544"/>
      <c r="P1727" s="544"/>
      <c r="R1727" s="543" t="str">
        <f t="shared" si="81"/>
        <v>:</v>
      </c>
      <c r="S1727" s="544">
        <f t="shared" si="80"/>
        <v>0</v>
      </c>
    </row>
    <row r="1728" spans="2:19">
      <c r="B1728" s="146"/>
      <c r="C1728" s="146"/>
      <c r="D1728" s="543" t="str">
        <f t="shared" si="79"/>
        <v/>
      </c>
      <c r="I1728" s="146"/>
      <c r="J1728" s="146"/>
      <c r="K1728" s="146"/>
      <c r="L1728" s="146"/>
      <c r="M1728" s="544"/>
      <c r="N1728" s="544"/>
      <c r="O1728" s="544"/>
      <c r="P1728" s="544"/>
      <c r="R1728" s="543" t="str">
        <f t="shared" si="81"/>
        <v>:</v>
      </c>
      <c r="S1728" s="544">
        <f t="shared" si="80"/>
        <v>0</v>
      </c>
    </row>
    <row r="1729" spans="2:19">
      <c r="B1729" s="146"/>
      <c r="C1729" s="146"/>
      <c r="D1729" s="543" t="str">
        <f t="shared" si="79"/>
        <v/>
      </c>
      <c r="I1729" s="146"/>
      <c r="J1729" s="146"/>
      <c r="K1729" s="146"/>
      <c r="L1729" s="146"/>
      <c r="M1729" s="544"/>
      <c r="N1729" s="544"/>
      <c r="O1729" s="544"/>
      <c r="P1729" s="544"/>
      <c r="R1729" s="543" t="str">
        <f t="shared" si="81"/>
        <v>:</v>
      </c>
      <c r="S1729" s="544">
        <f t="shared" si="80"/>
        <v>0</v>
      </c>
    </row>
    <row r="1730" spans="2:19">
      <c r="B1730" s="146"/>
      <c r="C1730" s="146"/>
      <c r="D1730" s="543" t="str">
        <f t="shared" si="79"/>
        <v/>
      </c>
      <c r="I1730" s="146"/>
      <c r="J1730" s="146"/>
      <c r="K1730" s="146"/>
      <c r="L1730" s="146"/>
      <c r="M1730" s="544"/>
      <c r="N1730" s="544"/>
      <c r="O1730" s="544"/>
      <c r="P1730" s="544"/>
      <c r="R1730" s="543" t="str">
        <f t="shared" si="81"/>
        <v>:</v>
      </c>
      <c r="S1730" s="544">
        <f t="shared" si="80"/>
        <v>0</v>
      </c>
    </row>
    <row r="1731" spans="2:19">
      <c r="B1731" s="146"/>
      <c r="C1731" s="146"/>
      <c r="D1731" s="543" t="str">
        <f t="shared" si="79"/>
        <v/>
      </c>
      <c r="I1731" s="146"/>
      <c r="J1731" s="146"/>
      <c r="K1731" s="146"/>
      <c r="L1731" s="146"/>
      <c r="M1731" s="544"/>
      <c r="N1731" s="544"/>
      <c r="O1731" s="544"/>
      <c r="P1731" s="544"/>
      <c r="R1731" s="543" t="str">
        <f t="shared" si="81"/>
        <v>:</v>
      </c>
      <c r="S1731" s="544">
        <f t="shared" si="80"/>
        <v>0</v>
      </c>
    </row>
    <row r="1732" spans="2:19">
      <c r="B1732" s="146"/>
      <c r="C1732" s="146"/>
      <c r="D1732" s="543" t="str">
        <f t="shared" si="79"/>
        <v/>
      </c>
      <c r="I1732" s="146"/>
      <c r="J1732" s="146"/>
      <c r="K1732" s="146"/>
      <c r="L1732" s="146"/>
      <c r="M1732" s="544"/>
      <c r="N1732" s="544"/>
      <c r="O1732" s="544"/>
      <c r="P1732" s="544"/>
      <c r="R1732" s="543" t="str">
        <f t="shared" si="81"/>
        <v>:</v>
      </c>
      <c r="S1732" s="544">
        <f t="shared" si="80"/>
        <v>0</v>
      </c>
    </row>
    <row r="1733" spans="2:19">
      <c r="B1733" s="146"/>
      <c r="C1733" s="146"/>
      <c r="D1733" s="543" t="str">
        <f t="shared" si="79"/>
        <v/>
      </c>
      <c r="I1733" s="146"/>
      <c r="J1733" s="146"/>
      <c r="K1733" s="146"/>
      <c r="L1733" s="146"/>
      <c r="M1733" s="544"/>
      <c r="N1733" s="544"/>
      <c r="O1733" s="544"/>
      <c r="P1733" s="544"/>
      <c r="R1733" s="543" t="str">
        <f t="shared" si="81"/>
        <v>:</v>
      </c>
      <c r="S1733" s="544">
        <f t="shared" si="80"/>
        <v>0</v>
      </c>
    </row>
    <row r="1734" spans="2:19">
      <c r="B1734" s="146"/>
      <c r="C1734" s="146"/>
      <c r="D1734" s="543" t="str">
        <f t="shared" si="79"/>
        <v/>
      </c>
      <c r="I1734" s="146"/>
      <c r="J1734" s="146"/>
      <c r="K1734" s="146"/>
      <c r="L1734" s="146"/>
      <c r="M1734" s="544"/>
      <c r="N1734" s="544"/>
      <c r="O1734" s="544"/>
      <c r="P1734" s="544"/>
      <c r="R1734" s="543" t="str">
        <f t="shared" si="81"/>
        <v>:</v>
      </c>
      <c r="S1734" s="544">
        <f t="shared" si="80"/>
        <v>0</v>
      </c>
    </row>
    <row r="1735" spans="2:19">
      <c r="B1735" s="146"/>
      <c r="C1735" s="146"/>
      <c r="D1735" s="543" t="str">
        <f t="shared" si="79"/>
        <v/>
      </c>
      <c r="I1735" s="146"/>
      <c r="J1735" s="146"/>
      <c r="K1735" s="146"/>
      <c r="L1735" s="146"/>
      <c r="M1735" s="544"/>
      <c r="N1735" s="544"/>
      <c r="O1735" s="544"/>
      <c r="P1735" s="544"/>
      <c r="R1735" s="543" t="str">
        <f t="shared" si="81"/>
        <v>:</v>
      </c>
      <c r="S1735" s="544">
        <f t="shared" si="80"/>
        <v>0</v>
      </c>
    </row>
    <row r="1736" spans="2:19">
      <c r="B1736" s="146"/>
      <c r="C1736" s="146"/>
      <c r="D1736" s="543" t="str">
        <f t="shared" si="79"/>
        <v/>
      </c>
      <c r="I1736" s="146"/>
      <c r="J1736" s="146"/>
      <c r="K1736" s="146"/>
      <c r="L1736" s="146"/>
      <c r="M1736" s="544"/>
      <c r="N1736" s="544"/>
      <c r="O1736" s="544"/>
      <c r="P1736" s="544"/>
      <c r="R1736" s="543" t="str">
        <f t="shared" si="81"/>
        <v>:</v>
      </c>
      <c r="S1736" s="544">
        <f t="shared" si="80"/>
        <v>0</v>
      </c>
    </row>
    <row r="1737" spans="2:19">
      <c r="B1737" s="146"/>
      <c r="C1737" s="146"/>
      <c r="D1737" s="543" t="str">
        <f t="shared" si="79"/>
        <v/>
      </c>
      <c r="I1737" s="146"/>
      <c r="J1737" s="146"/>
      <c r="K1737" s="146"/>
      <c r="L1737" s="146"/>
      <c r="M1737" s="544"/>
      <c r="N1737" s="544"/>
      <c r="O1737" s="544"/>
      <c r="P1737" s="544"/>
      <c r="R1737" s="543" t="str">
        <f t="shared" si="81"/>
        <v>:</v>
      </c>
      <c r="S1737" s="544">
        <f t="shared" si="80"/>
        <v>0</v>
      </c>
    </row>
    <row r="1738" spans="2:19">
      <c r="B1738" s="146"/>
      <c r="C1738" s="146"/>
      <c r="D1738" s="543" t="str">
        <f t="shared" ref="D1738:D1801" si="82">IF(B1738="","",B1738&amp;":"&amp;C1738)</f>
        <v/>
      </c>
      <c r="I1738" s="146"/>
      <c r="J1738" s="146"/>
      <c r="K1738" s="146"/>
      <c r="L1738" s="146"/>
      <c r="M1738" s="544"/>
      <c r="N1738" s="544"/>
      <c r="O1738" s="544"/>
      <c r="P1738" s="544"/>
      <c r="R1738" s="543" t="str">
        <f t="shared" si="81"/>
        <v>:</v>
      </c>
      <c r="S1738" s="544">
        <f t="shared" ref="S1738:S1801" si="83">HLOOKUP($S$8,$L$8:$P$2000,ROW()-7,FALSE)</f>
        <v>0</v>
      </c>
    </row>
    <row r="1739" spans="2:19">
      <c r="B1739" s="146"/>
      <c r="C1739" s="146"/>
      <c r="D1739" s="543" t="str">
        <f t="shared" si="82"/>
        <v/>
      </c>
      <c r="I1739" s="146"/>
      <c r="J1739" s="146"/>
      <c r="K1739" s="146"/>
      <c r="L1739" s="146"/>
      <c r="M1739" s="544"/>
      <c r="N1739" s="544"/>
      <c r="O1739" s="544"/>
      <c r="P1739" s="544"/>
      <c r="R1739" s="543" t="str">
        <f t="shared" si="81"/>
        <v>:</v>
      </c>
      <c r="S1739" s="544">
        <f t="shared" si="83"/>
        <v>0</v>
      </c>
    </row>
    <row r="1740" spans="2:19">
      <c r="B1740" s="146"/>
      <c r="C1740" s="146"/>
      <c r="D1740" s="543" t="str">
        <f t="shared" si="82"/>
        <v/>
      </c>
      <c r="I1740" s="146"/>
      <c r="J1740" s="146"/>
      <c r="K1740" s="146"/>
      <c r="L1740" s="146"/>
      <c r="M1740" s="544"/>
      <c r="N1740" s="544"/>
      <c r="O1740" s="544"/>
      <c r="P1740" s="544"/>
      <c r="R1740" s="543" t="str">
        <f t="shared" si="81"/>
        <v>:</v>
      </c>
      <c r="S1740" s="544">
        <f t="shared" si="83"/>
        <v>0</v>
      </c>
    </row>
    <row r="1741" spans="2:19">
      <c r="B1741" s="146"/>
      <c r="C1741" s="146"/>
      <c r="D1741" s="543" t="str">
        <f t="shared" si="82"/>
        <v/>
      </c>
      <c r="I1741" s="146"/>
      <c r="J1741" s="146"/>
      <c r="K1741" s="146"/>
      <c r="L1741" s="146"/>
      <c r="M1741" s="544"/>
      <c r="N1741" s="544"/>
      <c r="O1741" s="544"/>
      <c r="P1741" s="544"/>
      <c r="R1741" s="543" t="str">
        <f t="shared" ref="R1741:R1804" si="84">I1741&amp;":"&amp;J1741&amp;K1741</f>
        <v>:</v>
      </c>
      <c r="S1741" s="544">
        <f t="shared" si="83"/>
        <v>0</v>
      </c>
    </row>
    <row r="1742" spans="2:19">
      <c r="B1742" s="146"/>
      <c r="C1742" s="146"/>
      <c r="D1742" s="543" t="str">
        <f t="shared" si="82"/>
        <v/>
      </c>
      <c r="I1742" s="146"/>
      <c r="J1742" s="146"/>
      <c r="K1742" s="146"/>
      <c r="L1742" s="146"/>
      <c r="M1742" s="544"/>
      <c r="N1742" s="544"/>
      <c r="O1742" s="544"/>
      <c r="P1742" s="544"/>
      <c r="R1742" s="543" t="str">
        <f t="shared" si="84"/>
        <v>:</v>
      </c>
      <c r="S1742" s="544">
        <f t="shared" si="83"/>
        <v>0</v>
      </c>
    </row>
    <row r="1743" spans="2:19">
      <c r="B1743" s="146"/>
      <c r="C1743" s="146"/>
      <c r="D1743" s="543" t="str">
        <f t="shared" si="82"/>
        <v/>
      </c>
      <c r="I1743" s="146"/>
      <c r="J1743" s="146"/>
      <c r="K1743" s="146"/>
      <c r="L1743" s="146"/>
      <c r="M1743" s="544"/>
      <c r="N1743" s="544"/>
      <c r="O1743" s="544"/>
      <c r="P1743" s="544"/>
      <c r="R1743" s="543" t="str">
        <f t="shared" si="84"/>
        <v>:</v>
      </c>
      <c r="S1743" s="544">
        <f t="shared" si="83"/>
        <v>0</v>
      </c>
    </row>
    <row r="1744" spans="2:19">
      <c r="B1744" s="146"/>
      <c r="C1744" s="146"/>
      <c r="D1744" s="543" t="str">
        <f t="shared" si="82"/>
        <v/>
      </c>
      <c r="I1744" s="146"/>
      <c r="J1744" s="146"/>
      <c r="K1744" s="146"/>
      <c r="L1744" s="146"/>
      <c r="M1744" s="544"/>
      <c r="N1744" s="544"/>
      <c r="O1744" s="544"/>
      <c r="P1744" s="544"/>
      <c r="R1744" s="543" t="str">
        <f t="shared" si="84"/>
        <v>:</v>
      </c>
      <c r="S1744" s="544">
        <f t="shared" si="83"/>
        <v>0</v>
      </c>
    </row>
    <row r="1745" spans="2:19">
      <c r="B1745" s="146"/>
      <c r="C1745" s="146"/>
      <c r="D1745" s="543" t="str">
        <f t="shared" si="82"/>
        <v/>
      </c>
      <c r="I1745" s="146"/>
      <c r="J1745" s="146"/>
      <c r="K1745" s="146"/>
      <c r="L1745" s="146"/>
      <c r="M1745" s="544"/>
      <c r="N1745" s="544"/>
      <c r="O1745" s="544"/>
      <c r="P1745" s="544"/>
      <c r="R1745" s="543" t="str">
        <f t="shared" si="84"/>
        <v>:</v>
      </c>
      <c r="S1745" s="544">
        <f t="shared" si="83"/>
        <v>0</v>
      </c>
    </row>
    <row r="1746" spans="2:19">
      <c r="B1746" s="146"/>
      <c r="C1746" s="146"/>
      <c r="D1746" s="543" t="str">
        <f t="shared" si="82"/>
        <v/>
      </c>
      <c r="I1746" s="146"/>
      <c r="J1746" s="146"/>
      <c r="K1746" s="146"/>
      <c r="L1746" s="146"/>
      <c r="M1746" s="544"/>
      <c r="N1746" s="544"/>
      <c r="O1746" s="544"/>
      <c r="P1746" s="544"/>
      <c r="R1746" s="543" t="str">
        <f t="shared" si="84"/>
        <v>:</v>
      </c>
      <c r="S1746" s="544">
        <f t="shared" si="83"/>
        <v>0</v>
      </c>
    </row>
    <row r="1747" spans="2:19">
      <c r="B1747" s="146"/>
      <c r="C1747" s="146"/>
      <c r="D1747" s="543" t="str">
        <f t="shared" si="82"/>
        <v/>
      </c>
      <c r="I1747" s="146"/>
      <c r="J1747" s="146"/>
      <c r="K1747" s="146"/>
      <c r="L1747" s="146"/>
      <c r="M1747" s="544"/>
      <c r="N1747" s="544"/>
      <c r="O1747" s="544"/>
      <c r="P1747" s="544"/>
      <c r="R1747" s="543" t="str">
        <f t="shared" si="84"/>
        <v>:</v>
      </c>
      <c r="S1747" s="544">
        <f t="shared" si="83"/>
        <v>0</v>
      </c>
    </row>
    <row r="1748" spans="2:19">
      <c r="B1748" s="146"/>
      <c r="C1748" s="146"/>
      <c r="D1748" s="543" t="str">
        <f t="shared" si="82"/>
        <v/>
      </c>
      <c r="I1748" s="146"/>
      <c r="J1748" s="146"/>
      <c r="K1748" s="146"/>
      <c r="L1748" s="146"/>
      <c r="M1748" s="544"/>
      <c r="N1748" s="544"/>
      <c r="O1748" s="544"/>
      <c r="P1748" s="544"/>
      <c r="R1748" s="543" t="str">
        <f t="shared" si="84"/>
        <v>:</v>
      </c>
      <c r="S1748" s="544">
        <f t="shared" si="83"/>
        <v>0</v>
      </c>
    </row>
    <row r="1749" spans="2:19">
      <c r="B1749" s="146"/>
      <c r="C1749" s="146"/>
      <c r="D1749" s="543" t="str">
        <f t="shared" si="82"/>
        <v/>
      </c>
      <c r="I1749" s="146"/>
      <c r="J1749" s="146"/>
      <c r="K1749" s="146"/>
      <c r="L1749" s="146"/>
      <c r="M1749" s="544"/>
      <c r="N1749" s="544"/>
      <c r="O1749" s="544"/>
      <c r="P1749" s="544"/>
      <c r="R1749" s="543" t="str">
        <f t="shared" si="84"/>
        <v>:</v>
      </c>
      <c r="S1749" s="544">
        <f t="shared" si="83"/>
        <v>0</v>
      </c>
    </row>
    <row r="1750" spans="2:19">
      <c r="B1750" s="146"/>
      <c r="C1750" s="146"/>
      <c r="D1750" s="543" t="str">
        <f t="shared" si="82"/>
        <v/>
      </c>
      <c r="I1750" s="146"/>
      <c r="J1750" s="146"/>
      <c r="K1750" s="146"/>
      <c r="L1750" s="146"/>
      <c r="M1750" s="544"/>
      <c r="N1750" s="544"/>
      <c r="O1750" s="544"/>
      <c r="P1750" s="544"/>
      <c r="R1750" s="543" t="str">
        <f t="shared" si="84"/>
        <v>:</v>
      </c>
      <c r="S1750" s="544">
        <f t="shared" si="83"/>
        <v>0</v>
      </c>
    </row>
    <row r="1751" spans="2:19">
      <c r="B1751" s="146"/>
      <c r="C1751" s="146"/>
      <c r="D1751" s="543" t="str">
        <f t="shared" si="82"/>
        <v/>
      </c>
      <c r="I1751" s="146"/>
      <c r="J1751" s="146"/>
      <c r="K1751" s="146"/>
      <c r="L1751" s="146"/>
      <c r="M1751" s="544"/>
      <c r="N1751" s="544"/>
      <c r="O1751" s="544"/>
      <c r="P1751" s="544"/>
      <c r="R1751" s="543" t="str">
        <f t="shared" si="84"/>
        <v>:</v>
      </c>
      <c r="S1751" s="544">
        <f t="shared" si="83"/>
        <v>0</v>
      </c>
    </row>
    <row r="1752" spans="2:19">
      <c r="B1752" s="146"/>
      <c r="C1752" s="146"/>
      <c r="D1752" s="543" t="str">
        <f t="shared" si="82"/>
        <v/>
      </c>
      <c r="I1752" s="146"/>
      <c r="J1752" s="146"/>
      <c r="K1752" s="146"/>
      <c r="L1752" s="146"/>
      <c r="M1752" s="544"/>
      <c r="N1752" s="544"/>
      <c r="O1752" s="544"/>
      <c r="P1752" s="544"/>
      <c r="R1752" s="543" t="str">
        <f t="shared" si="84"/>
        <v>:</v>
      </c>
      <c r="S1752" s="544">
        <f t="shared" si="83"/>
        <v>0</v>
      </c>
    </row>
    <row r="1753" spans="2:19">
      <c r="B1753" s="146"/>
      <c r="C1753" s="146"/>
      <c r="D1753" s="543" t="str">
        <f t="shared" si="82"/>
        <v/>
      </c>
      <c r="I1753" s="146"/>
      <c r="J1753" s="146"/>
      <c r="K1753" s="146"/>
      <c r="L1753" s="146"/>
      <c r="M1753" s="544"/>
      <c r="N1753" s="544"/>
      <c r="O1753" s="544"/>
      <c r="P1753" s="544"/>
      <c r="R1753" s="543" t="str">
        <f t="shared" si="84"/>
        <v>:</v>
      </c>
      <c r="S1753" s="544">
        <f t="shared" si="83"/>
        <v>0</v>
      </c>
    </row>
    <row r="1754" spans="2:19">
      <c r="B1754" s="146"/>
      <c r="C1754" s="146"/>
      <c r="D1754" s="543" t="str">
        <f t="shared" si="82"/>
        <v/>
      </c>
      <c r="I1754" s="146"/>
      <c r="J1754" s="146"/>
      <c r="K1754" s="146"/>
      <c r="L1754" s="146"/>
      <c r="M1754" s="544"/>
      <c r="N1754" s="544"/>
      <c r="O1754" s="544"/>
      <c r="P1754" s="544"/>
      <c r="R1754" s="543" t="str">
        <f t="shared" si="84"/>
        <v>:</v>
      </c>
      <c r="S1754" s="544">
        <f t="shared" si="83"/>
        <v>0</v>
      </c>
    </row>
    <row r="1755" spans="2:19">
      <c r="B1755" s="146"/>
      <c r="C1755" s="146"/>
      <c r="D1755" s="543" t="str">
        <f t="shared" si="82"/>
        <v/>
      </c>
      <c r="I1755" s="146"/>
      <c r="J1755" s="146"/>
      <c r="K1755" s="146"/>
      <c r="L1755" s="146"/>
      <c r="M1755" s="544"/>
      <c r="N1755" s="544"/>
      <c r="O1755" s="544"/>
      <c r="P1755" s="544"/>
      <c r="R1755" s="543" t="str">
        <f t="shared" si="84"/>
        <v>:</v>
      </c>
      <c r="S1755" s="544">
        <f t="shared" si="83"/>
        <v>0</v>
      </c>
    </row>
    <row r="1756" spans="2:19">
      <c r="B1756" s="146"/>
      <c r="C1756" s="146"/>
      <c r="D1756" s="543" t="str">
        <f t="shared" si="82"/>
        <v/>
      </c>
      <c r="I1756" s="146"/>
      <c r="J1756" s="146"/>
      <c r="K1756" s="146"/>
      <c r="L1756" s="146"/>
      <c r="M1756" s="544"/>
      <c r="N1756" s="544"/>
      <c r="O1756" s="544"/>
      <c r="P1756" s="544"/>
      <c r="R1756" s="543" t="str">
        <f t="shared" si="84"/>
        <v>:</v>
      </c>
      <c r="S1756" s="544">
        <f t="shared" si="83"/>
        <v>0</v>
      </c>
    </row>
    <row r="1757" spans="2:19">
      <c r="B1757" s="146"/>
      <c r="C1757" s="146"/>
      <c r="D1757" s="543" t="str">
        <f t="shared" si="82"/>
        <v/>
      </c>
      <c r="I1757" s="146"/>
      <c r="J1757" s="146"/>
      <c r="K1757" s="146"/>
      <c r="L1757" s="146"/>
      <c r="M1757" s="544"/>
      <c r="N1757" s="544"/>
      <c r="O1757" s="544"/>
      <c r="P1757" s="544"/>
      <c r="R1757" s="543" t="str">
        <f t="shared" si="84"/>
        <v>:</v>
      </c>
      <c r="S1757" s="544">
        <f t="shared" si="83"/>
        <v>0</v>
      </c>
    </row>
    <row r="1758" spans="2:19">
      <c r="B1758" s="146"/>
      <c r="C1758" s="146"/>
      <c r="D1758" s="543" t="str">
        <f t="shared" si="82"/>
        <v/>
      </c>
      <c r="I1758" s="146"/>
      <c r="J1758" s="146"/>
      <c r="K1758" s="146"/>
      <c r="L1758" s="146"/>
      <c r="M1758" s="544"/>
      <c r="N1758" s="544"/>
      <c r="O1758" s="544"/>
      <c r="P1758" s="544"/>
      <c r="R1758" s="543" t="str">
        <f t="shared" si="84"/>
        <v>:</v>
      </c>
      <c r="S1758" s="544">
        <f t="shared" si="83"/>
        <v>0</v>
      </c>
    </row>
    <row r="1759" spans="2:19">
      <c r="B1759" s="146"/>
      <c r="C1759" s="146"/>
      <c r="D1759" s="543" t="str">
        <f t="shared" si="82"/>
        <v/>
      </c>
      <c r="I1759" s="146"/>
      <c r="J1759" s="146"/>
      <c r="K1759" s="146"/>
      <c r="L1759" s="146"/>
      <c r="M1759" s="544"/>
      <c r="N1759" s="544"/>
      <c r="O1759" s="544"/>
      <c r="P1759" s="544"/>
      <c r="R1759" s="543" t="str">
        <f t="shared" si="84"/>
        <v>:</v>
      </c>
      <c r="S1759" s="544">
        <f t="shared" si="83"/>
        <v>0</v>
      </c>
    </row>
    <row r="1760" spans="2:19">
      <c r="B1760" s="146"/>
      <c r="C1760" s="146"/>
      <c r="D1760" s="543" t="str">
        <f t="shared" si="82"/>
        <v/>
      </c>
      <c r="I1760" s="146"/>
      <c r="J1760" s="146"/>
      <c r="K1760" s="146"/>
      <c r="L1760" s="146"/>
      <c r="M1760" s="544"/>
      <c r="N1760" s="544"/>
      <c r="O1760" s="544"/>
      <c r="P1760" s="544"/>
      <c r="R1760" s="543" t="str">
        <f t="shared" si="84"/>
        <v>:</v>
      </c>
      <c r="S1760" s="544">
        <f t="shared" si="83"/>
        <v>0</v>
      </c>
    </row>
    <row r="1761" spans="2:19">
      <c r="B1761" s="146"/>
      <c r="C1761" s="146"/>
      <c r="D1761" s="543" t="str">
        <f t="shared" si="82"/>
        <v/>
      </c>
      <c r="I1761" s="146"/>
      <c r="J1761" s="146"/>
      <c r="K1761" s="146"/>
      <c r="L1761" s="146"/>
      <c r="M1761" s="544"/>
      <c r="N1761" s="544"/>
      <c r="O1761" s="544"/>
      <c r="P1761" s="544"/>
      <c r="R1761" s="543" t="str">
        <f t="shared" si="84"/>
        <v>:</v>
      </c>
      <c r="S1761" s="544">
        <f t="shared" si="83"/>
        <v>0</v>
      </c>
    </row>
    <row r="1762" spans="2:19">
      <c r="B1762" s="146"/>
      <c r="C1762" s="146"/>
      <c r="D1762" s="543" t="str">
        <f t="shared" si="82"/>
        <v/>
      </c>
      <c r="I1762" s="146"/>
      <c r="J1762" s="146"/>
      <c r="K1762" s="146"/>
      <c r="L1762" s="146"/>
      <c r="M1762" s="544"/>
      <c r="N1762" s="544"/>
      <c r="O1762" s="544"/>
      <c r="P1762" s="544"/>
      <c r="R1762" s="543" t="str">
        <f t="shared" si="84"/>
        <v>:</v>
      </c>
      <c r="S1762" s="544">
        <f t="shared" si="83"/>
        <v>0</v>
      </c>
    </row>
    <row r="1763" spans="2:19">
      <c r="B1763" s="146"/>
      <c r="C1763" s="146"/>
      <c r="D1763" s="543" t="str">
        <f t="shared" si="82"/>
        <v/>
      </c>
      <c r="I1763" s="146"/>
      <c r="J1763" s="146"/>
      <c r="K1763" s="146"/>
      <c r="L1763" s="146"/>
      <c r="M1763" s="544"/>
      <c r="N1763" s="544"/>
      <c r="O1763" s="544"/>
      <c r="P1763" s="544"/>
      <c r="R1763" s="543" t="str">
        <f t="shared" si="84"/>
        <v>:</v>
      </c>
      <c r="S1763" s="544">
        <f t="shared" si="83"/>
        <v>0</v>
      </c>
    </row>
    <row r="1764" spans="2:19">
      <c r="B1764" s="146"/>
      <c r="C1764" s="146"/>
      <c r="D1764" s="543" t="str">
        <f t="shared" si="82"/>
        <v/>
      </c>
      <c r="I1764" s="146"/>
      <c r="J1764" s="146"/>
      <c r="K1764" s="146"/>
      <c r="L1764" s="146"/>
      <c r="M1764" s="544"/>
      <c r="N1764" s="544"/>
      <c r="O1764" s="544"/>
      <c r="P1764" s="544"/>
      <c r="R1764" s="543" t="str">
        <f t="shared" si="84"/>
        <v>:</v>
      </c>
      <c r="S1764" s="544">
        <f t="shared" si="83"/>
        <v>0</v>
      </c>
    </row>
    <row r="1765" spans="2:19">
      <c r="B1765" s="146"/>
      <c r="C1765" s="146"/>
      <c r="D1765" s="543" t="str">
        <f t="shared" si="82"/>
        <v/>
      </c>
      <c r="I1765" s="146"/>
      <c r="J1765" s="146"/>
      <c r="K1765" s="146"/>
      <c r="L1765" s="146"/>
      <c r="M1765" s="544"/>
      <c r="N1765" s="544"/>
      <c r="O1765" s="544"/>
      <c r="P1765" s="544"/>
      <c r="R1765" s="543" t="str">
        <f t="shared" si="84"/>
        <v>:</v>
      </c>
      <c r="S1765" s="544">
        <f t="shared" si="83"/>
        <v>0</v>
      </c>
    </row>
    <row r="1766" spans="2:19">
      <c r="B1766" s="146"/>
      <c r="C1766" s="146"/>
      <c r="D1766" s="543" t="str">
        <f t="shared" si="82"/>
        <v/>
      </c>
      <c r="I1766" s="146"/>
      <c r="J1766" s="146"/>
      <c r="K1766" s="146"/>
      <c r="L1766" s="146"/>
      <c r="M1766" s="544"/>
      <c r="N1766" s="544"/>
      <c r="O1766" s="544"/>
      <c r="P1766" s="544"/>
      <c r="R1766" s="543" t="str">
        <f t="shared" si="84"/>
        <v>:</v>
      </c>
      <c r="S1766" s="544">
        <f t="shared" si="83"/>
        <v>0</v>
      </c>
    </row>
    <row r="1767" spans="2:19">
      <c r="B1767" s="146"/>
      <c r="C1767" s="146"/>
      <c r="D1767" s="543" t="str">
        <f t="shared" si="82"/>
        <v/>
      </c>
      <c r="I1767" s="146"/>
      <c r="J1767" s="146"/>
      <c r="K1767" s="146"/>
      <c r="L1767" s="146"/>
      <c r="M1767" s="544"/>
      <c r="N1767" s="544"/>
      <c r="O1767" s="544"/>
      <c r="P1767" s="544"/>
      <c r="R1767" s="543" t="str">
        <f t="shared" si="84"/>
        <v>:</v>
      </c>
      <c r="S1767" s="544">
        <f t="shared" si="83"/>
        <v>0</v>
      </c>
    </row>
    <row r="1768" spans="2:19">
      <c r="B1768" s="146"/>
      <c r="C1768" s="146"/>
      <c r="D1768" s="543" t="str">
        <f t="shared" si="82"/>
        <v/>
      </c>
      <c r="I1768" s="146"/>
      <c r="J1768" s="146"/>
      <c r="K1768" s="146"/>
      <c r="L1768" s="146"/>
      <c r="M1768" s="544"/>
      <c r="N1768" s="544"/>
      <c r="O1768" s="544"/>
      <c r="P1768" s="544"/>
      <c r="R1768" s="543" t="str">
        <f t="shared" si="84"/>
        <v>:</v>
      </c>
      <c r="S1768" s="544">
        <f t="shared" si="83"/>
        <v>0</v>
      </c>
    </row>
    <row r="1769" spans="2:19">
      <c r="B1769" s="146"/>
      <c r="C1769" s="146"/>
      <c r="D1769" s="543" t="str">
        <f t="shared" si="82"/>
        <v/>
      </c>
      <c r="I1769" s="146"/>
      <c r="J1769" s="146"/>
      <c r="K1769" s="146"/>
      <c r="L1769" s="146"/>
      <c r="M1769" s="544"/>
      <c r="N1769" s="544"/>
      <c r="O1769" s="544"/>
      <c r="P1769" s="544"/>
      <c r="R1769" s="543" t="str">
        <f t="shared" si="84"/>
        <v>:</v>
      </c>
      <c r="S1769" s="544">
        <f t="shared" si="83"/>
        <v>0</v>
      </c>
    </row>
    <row r="1770" spans="2:19">
      <c r="B1770" s="146"/>
      <c r="C1770" s="146"/>
      <c r="D1770" s="543" t="str">
        <f t="shared" si="82"/>
        <v/>
      </c>
      <c r="I1770" s="146"/>
      <c r="J1770" s="146"/>
      <c r="K1770" s="146"/>
      <c r="L1770" s="146"/>
      <c r="M1770" s="544"/>
      <c r="N1770" s="544"/>
      <c r="O1770" s="544"/>
      <c r="P1770" s="544"/>
      <c r="R1770" s="543" t="str">
        <f t="shared" si="84"/>
        <v>:</v>
      </c>
      <c r="S1770" s="544">
        <f t="shared" si="83"/>
        <v>0</v>
      </c>
    </row>
    <row r="1771" spans="2:19">
      <c r="B1771" s="146"/>
      <c r="C1771" s="146"/>
      <c r="D1771" s="543" t="str">
        <f t="shared" si="82"/>
        <v/>
      </c>
      <c r="I1771" s="146"/>
      <c r="J1771" s="146"/>
      <c r="K1771" s="146"/>
      <c r="L1771" s="146"/>
      <c r="M1771" s="544"/>
      <c r="N1771" s="544"/>
      <c r="O1771" s="544"/>
      <c r="P1771" s="544"/>
      <c r="R1771" s="543" t="str">
        <f t="shared" si="84"/>
        <v>:</v>
      </c>
      <c r="S1771" s="544">
        <f t="shared" si="83"/>
        <v>0</v>
      </c>
    </row>
    <row r="1772" spans="2:19">
      <c r="B1772" s="146"/>
      <c r="C1772" s="146"/>
      <c r="D1772" s="543" t="str">
        <f t="shared" si="82"/>
        <v/>
      </c>
      <c r="I1772" s="146"/>
      <c r="J1772" s="146"/>
      <c r="K1772" s="146"/>
      <c r="L1772" s="146"/>
      <c r="M1772" s="544"/>
      <c r="N1772" s="544"/>
      <c r="O1772" s="544"/>
      <c r="P1772" s="544"/>
      <c r="R1772" s="543" t="str">
        <f t="shared" si="84"/>
        <v>:</v>
      </c>
      <c r="S1772" s="544">
        <f t="shared" si="83"/>
        <v>0</v>
      </c>
    </row>
    <row r="1773" spans="2:19">
      <c r="B1773" s="146"/>
      <c r="C1773" s="146"/>
      <c r="D1773" s="543" t="str">
        <f t="shared" si="82"/>
        <v/>
      </c>
      <c r="I1773" s="146"/>
      <c r="J1773" s="146"/>
      <c r="K1773" s="146"/>
      <c r="L1773" s="146"/>
      <c r="M1773" s="544"/>
      <c r="N1773" s="544"/>
      <c r="O1773" s="544"/>
      <c r="P1773" s="544"/>
      <c r="R1773" s="543" t="str">
        <f t="shared" si="84"/>
        <v>:</v>
      </c>
      <c r="S1773" s="544">
        <f t="shared" si="83"/>
        <v>0</v>
      </c>
    </row>
    <row r="1774" spans="2:19">
      <c r="B1774" s="146"/>
      <c r="C1774" s="146"/>
      <c r="D1774" s="543" t="str">
        <f t="shared" si="82"/>
        <v/>
      </c>
      <c r="I1774" s="146"/>
      <c r="J1774" s="146"/>
      <c r="K1774" s="146"/>
      <c r="L1774" s="146"/>
      <c r="M1774" s="544"/>
      <c r="N1774" s="544"/>
      <c r="O1774" s="544"/>
      <c r="P1774" s="544"/>
      <c r="R1774" s="543" t="str">
        <f t="shared" si="84"/>
        <v>:</v>
      </c>
      <c r="S1774" s="544">
        <f t="shared" si="83"/>
        <v>0</v>
      </c>
    </row>
    <row r="1775" spans="2:19">
      <c r="B1775" s="146"/>
      <c r="C1775" s="146"/>
      <c r="D1775" s="543" t="str">
        <f t="shared" si="82"/>
        <v/>
      </c>
      <c r="I1775" s="146"/>
      <c r="J1775" s="146"/>
      <c r="K1775" s="146"/>
      <c r="L1775" s="146"/>
      <c r="M1775" s="544"/>
      <c r="N1775" s="544"/>
      <c r="O1775" s="544"/>
      <c r="P1775" s="544"/>
      <c r="R1775" s="543" t="str">
        <f t="shared" si="84"/>
        <v>:</v>
      </c>
      <c r="S1775" s="544">
        <f t="shared" si="83"/>
        <v>0</v>
      </c>
    </row>
    <row r="1776" spans="2:19">
      <c r="B1776" s="146"/>
      <c r="C1776" s="146"/>
      <c r="D1776" s="543" t="str">
        <f t="shared" si="82"/>
        <v/>
      </c>
      <c r="I1776" s="146"/>
      <c r="J1776" s="146"/>
      <c r="K1776" s="146"/>
      <c r="L1776" s="146"/>
      <c r="M1776" s="544"/>
      <c r="N1776" s="544"/>
      <c r="O1776" s="544"/>
      <c r="P1776" s="544"/>
      <c r="R1776" s="543" t="str">
        <f t="shared" si="84"/>
        <v>:</v>
      </c>
      <c r="S1776" s="544">
        <f t="shared" si="83"/>
        <v>0</v>
      </c>
    </row>
    <row r="1777" spans="2:19">
      <c r="B1777" s="146"/>
      <c r="C1777" s="146"/>
      <c r="D1777" s="543" t="str">
        <f t="shared" si="82"/>
        <v/>
      </c>
      <c r="I1777" s="146"/>
      <c r="J1777" s="146"/>
      <c r="K1777" s="146"/>
      <c r="L1777" s="146"/>
      <c r="M1777" s="544"/>
      <c r="N1777" s="544"/>
      <c r="O1777" s="544"/>
      <c r="P1777" s="544"/>
      <c r="R1777" s="543" t="str">
        <f t="shared" si="84"/>
        <v>:</v>
      </c>
      <c r="S1777" s="544">
        <f t="shared" si="83"/>
        <v>0</v>
      </c>
    </row>
    <row r="1778" spans="2:19">
      <c r="B1778" s="146"/>
      <c r="C1778" s="146"/>
      <c r="D1778" s="543" t="str">
        <f t="shared" si="82"/>
        <v/>
      </c>
      <c r="I1778" s="146"/>
      <c r="J1778" s="146"/>
      <c r="K1778" s="146"/>
      <c r="L1778" s="146"/>
      <c r="M1778" s="544"/>
      <c r="N1778" s="544"/>
      <c r="O1778" s="544"/>
      <c r="P1778" s="544"/>
      <c r="R1778" s="543" t="str">
        <f t="shared" si="84"/>
        <v>:</v>
      </c>
      <c r="S1778" s="544">
        <f t="shared" si="83"/>
        <v>0</v>
      </c>
    </row>
    <row r="1779" spans="2:19">
      <c r="B1779" s="146"/>
      <c r="C1779" s="146"/>
      <c r="D1779" s="543" t="str">
        <f t="shared" si="82"/>
        <v/>
      </c>
      <c r="I1779" s="146"/>
      <c r="J1779" s="146"/>
      <c r="K1779" s="146"/>
      <c r="L1779" s="146"/>
      <c r="M1779" s="544"/>
      <c r="N1779" s="544"/>
      <c r="O1779" s="544"/>
      <c r="P1779" s="544"/>
      <c r="R1779" s="543" t="str">
        <f t="shared" si="84"/>
        <v>:</v>
      </c>
      <c r="S1779" s="544">
        <f t="shared" si="83"/>
        <v>0</v>
      </c>
    </row>
    <row r="1780" spans="2:19">
      <c r="B1780" s="146"/>
      <c r="C1780" s="146"/>
      <c r="D1780" s="543" t="str">
        <f t="shared" si="82"/>
        <v/>
      </c>
      <c r="I1780" s="146"/>
      <c r="J1780" s="146"/>
      <c r="K1780" s="146"/>
      <c r="L1780" s="146"/>
      <c r="M1780" s="544"/>
      <c r="N1780" s="544"/>
      <c r="O1780" s="544"/>
      <c r="P1780" s="544"/>
      <c r="R1780" s="543" t="str">
        <f t="shared" si="84"/>
        <v>:</v>
      </c>
      <c r="S1780" s="544">
        <f t="shared" si="83"/>
        <v>0</v>
      </c>
    </row>
    <row r="1781" spans="2:19">
      <c r="B1781" s="146"/>
      <c r="C1781" s="146"/>
      <c r="D1781" s="543" t="str">
        <f t="shared" si="82"/>
        <v/>
      </c>
      <c r="I1781" s="146"/>
      <c r="J1781" s="146"/>
      <c r="K1781" s="146"/>
      <c r="L1781" s="146"/>
      <c r="M1781" s="544"/>
      <c r="N1781" s="544"/>
      <c r="O1781" s="544"/>
      <c r="P1781" s="544"/>
      <c r="R1781" s="543" t="str">
        <f t="shared" si="84"/>
        <v>:</v>
      </c>
      <c r="S1781" s="544">
        <f t="shared" si="83"/>
        <v>0</v>
      </c>
    </row>
    <row r="1782" spans="2:19">
      <c r="B1782" s="146"/>
      <c r="C1782" s="146"/>
      <c r="D1782" s="543" t="str">
        <f t="shared" si="82"/>
        <v/>
      </c>
      <c r="I1782" s="146"/>
      <c r="J1782" s="146"/>
      <c r="K1782" s="146"/>
      <c r="L1782" s="146"/>
      <c r="M1782" s="544"/>
      <c r="N1782" s="544"/>
      <c r="O1782" s="544"/>
      <c r="P1782" s="544"/>
      <c r="R1782" s="543" t="str">
        <f t="shared" si="84"/>
        <v>:</v>
      </c>
      <c r="S1782" s="544">
        <f t="shared" si="83"/>
        <v>0</v>
      </c>
    </row>
    <row r="1783" spans="2:19">
      <c r="B1783" s="146"/>
      <c r="C1783" s="146"/>
      <c r="D1783" s="543" t="str">
        <f t="shared" si="82"/>
        <v/>
      </c>
      <c r="I1783" s="146"/>
      <c r="J1783" s="146"/>
      <c r="K1783" s="146"/>
      <c r="L1783" s="146"/>
      <c r="M1783" s="544"/>
      <c r="N1783" s="544"/>
      <c r="O1783" s="544"/>
      <c r="P1783" s="544"/>
      <c r="R1783" s="543" t="str">
        <f t="shared" si="84"/>
        <v>:</v>
      </c>
      <c r="S1783" s="544">
        <f t="shared" si="83"/>
        <v>0</v>
      </c>
    </row>
    <row r="1784" spans="2:19">
      <c r="B1784" s="146"/>
      <c r="C1784" s="146"/>
      <c r="D1784" s="543" t="str">
        <f t="shared" si="82"/>
        <v/>
      </c>
      <c r="I1784" s="146"/>
      <c r="J1784" s="146"/>
      <c r="K1784" s="146"/>
      <c r="L1784" s="146"/>
      <c r="M1784" s="544"/>
      <c r="N1784" s="544"/>
      <c r="O1784" s="544"/>
      <c r="P1784" s="544"/>
      <c r="R1784" s="543" t="str">
        <f t="shared" si="84"/>
        <v>:</v>
      </c>
      <c r="S1784" s="544">
        <f t="shared" si="83"/>
        <v>0</v>
      </c>
    </row>
    <row r="1785" spans="2:19">
      <c r="B1785" s="146"/>
      <c r="C1785" s="146"/>
      <c r="D1785" s="543" t="str">
        <f t="shared" si="82"/>
        <v/>
      </c>
      <c r="I1785" s="146"/>
      <c r="J1785" s="146"/>
      <c r="K1785" s="146"/>
      <c r="L1785" s="146"/>
      <c r="M1785" s="544"/>
      <c r="N1785" s="544"/>
      <c r="O1785" s="544"/>
      <c r="P1785" s="544"/>
      <c r="R1785" s="543" t="str">
        <f t="shared" si="84"/>
        <v>:</v>
      </c>
      <c r="S1785" s="544">
        <f t="shared" si="83"/>
        <v>0</v>
      </c>
    </row>
    <row r="1786" spans="2:19">
      <c r="B1786" s="146"/>
      <c r="C1786" s="146"/>
      <c r="D1786" s="543" t="str">
        <f t="shared" si="82"/>
        <v/>
      </c>
      <c r="I1786" s="146"/>
      <c r="J1786" s="146"/>
      <c r="K1786" s="146"/>
      <c r="L1786" s="146"/>
      <c r="M1786" s="544"/>
      <c r="N1786" s="544"/>
      <c r="O1786" s="544"/>
      <c r="P1786" s="544"/>
      <c r="R1786" s="543" t="str">
        <f t="shared" si="84"/>
        <v>:</v>
      </c>
      <c r="S1786" s="544">
        <f t="shared" si="83"/>
        <v>0</v>
      </c>
    </row>
    <row r="1787" spans="2:19">
      <c r="B1787" s="146"/>
      <c r="C1787" s="146"/>
      <c r="D1787" s="543" t="str">
        <f t="shared" si="82"/>
        <v/>
      </c>
      <c r="I1787" s="146"/>
      <c r="J1787" s="146"/>
      <c r="K1787" s="146"/>
      <c r="L1787" s="146"/>
      <c r="M1787" s="544"/>
      <c r="N1787" s="544"/>
      <c r="O1787" s="544"/>
      <c r="P1787" s="544"/>
      <c r="R1787" s="543" t="str">
        <f t="shared" si="84"/>
        <v>:</v>
      </c>
      <c r="S1787" s="544">
        <f t="shared" si="83"/>
        <v>0</v>
      </c>
    </row>
    <row r="1788" spans="2:19">
      <c r="B1788" s="146"/>
      <c r="C1788" s="146"/>
      <c r="D1788" s="543" t="str">
        <f t="shared" si="82"/>
        <v/>
      </c>
      <c r="I1788" s="146"/>
      <c r="J1788" s="146"/>
      <c r="K1788" s="146"/>
      <c r="L1788" s="146"/>
      <c r="M1788" s="544"/>
      <c r="N1788" s="544"/>
      <c r="O1788" s="544"/>
      <c r="P1788" s="544"/>
      <c r="R1788" s="543" t="str">
        <f t="shared" si="84"/>
        <v>:</v>
      </c>
      <c r="S1788" s="544">
        <f t="shared" si="83"/>
        <v>0</v>
      </c>
    </row>
    <row r="1789" spans="2:19">
      <c r="B1789" s="146"/>
      <c r="C1789" s="146"/>
      <c r="D1789" s="543" t="str">
        <f t="shared" si="82"/>
        <v/>
      </c>
      <c r="I1789" s="146"/>
      <c r="J1789" s="146"/>
      <c r="K1789" s="146"/>
      <c r="L1789" s="146"/>
      <c r="M1789" s="544"/>
      <c r="N1789" s="544"/>
      <c r="O1789" s="544"/>
      <c r="P1789" s="544"/>
      <c r="R1789" s="543" t="str">
        <f t="shared" si="84"/>
        <v>:</v>
      </c>
      <c r="S1789" s="544">
        <f t="shared" si="83"/>
        <v>0</v>
      </c>
    </row>
    <row r="1790" spans="2:19">
      <c r="B1790" s="146"/>
      <c r="C1790" s="146"/>
      <c r="D1790" s="543" t="str">
        <f t="shared" si="82"/>
        <v/>
      </c>
      <c r="I1790" s="146"/>
      <c r="J1790" s="146"/>
      <c r="K1790" s="146"/>
      <c r="L1790" s="146"/>
      <c r="M1790" s="544"/>
      <c r="N1790" s="544"/>
      <c r="O1790" s="544"/>
      <c r="P1790" s="544"/>
      <c r="R1790" s="543" t="str">
        <f t="shared" si="84"/>
        <v>:</v>
      </c>
      <c r="S1790" s="544">
        <f t="shared" si="83"/>
        <v>0</v>
      </c>
    </row>
    <row r="1791" spans="2:19">
      <c r="B1791" s="146"/>
      <c r="C1791" s="146"/>
      <c r="D1791" s="543" t="str">
        <f t="shared" si="82"/>
        <v/>
      </c>
      <c r="I1791" s="146"/>
      <c r="J1791" s="146"/>
      <c r="K1791" s="146"/>
      <c r="L1791" s="146"/>
      <c r="M1791" s="544"/>
      <c r="N1791" s="544"/>
      <c r="O1791" s="544"/>
      <c r="P1791" s="544"/>
      <c r="R1791" s="543" t="str">
        <f t="shared" si="84"/>
        <v>:</v>
      </c>
      <c r="S1791" s="544">
        <f t="shared" si="83"/>
        <v>0</v>
      </c>
    </row>
    <row r="1792" spans="2:19">
      <c r="B1792" s="146"/>
      <c r="C1792" s="146"/>
      <c r="D1792" s="543" t="str">
        <f t="shared" si="82"/>
        <v/>
      </c>
      <c r="I1792" s="146"/>
      <c r="J1792" s="146"/>
      <c r="K1792" s="146"/>
      <c r="L1792" s="146"/>
      <c r="M1792" s="544"/>
      <c r="N1792" s="544"/>
      <c r="O1792" s="544"/>
      <c r="P1792" s="544"/>
      <c r="R1792" s="543" t="str">
        <f t="shared" si="84"/>
        <v>:</v>
      </c>
      <c r="S1792" s="544">
        <f t="shared" si="83"/>
        <v>0</v>
      </c>
    </row>
    <row r="1793" spans="2:19">
      <c r="B1793" s="146"/>
      <c r="C1793" s="146"/>
      <c r="D1793" s="543" t="str">
        <f t="shared" si="82"/>
        <v/>
      </c>
      <c r="I1793" s="146"/>
      <c r="J1793" s="146"/>
      <c r="K1793" s="146"/>
      <c r="L1793" s="146"/>
      <c r="M1793" s="544"/>
      <c r="N1793" s="544"/>
      <c r="O1793" s="544"/>
      <c r="P1793" s="544"/>
      <c r="R1793" s="543" t="str">
        <f t="shared" si="84"/>
        <v>:</v>
      </c>
      <c r="S1793" s="544">
        <f t="shared" si="83"/>
        <v>0</v>
      </c>
    </row>
    <row r="1794" spans="2:19">
      <c r="B1794" s="146"/>
      <c r="C1794" s="146"/>
      <c r="D1794" s="543" t="str">
        <f t="shared" si="82"/>
        <v/>
      </c>
      <c r="I1794" s="146"/>
      <c r="J1794" s="146"/>
      <c r="K1794" s="146"/>
      <c r="L1794" s="146"/>
      <c r="M1794" s="544"/>
      <c r="N1794" s="544"/>
      <c r="O1794" s="544"/>
      <c r="P1794" s="544"/>
      <c r="R1794" s="543" t="str">
        <f t="shared" si="84"/>
        <v>:</v>
      </c>
      <c r="S1794" s="544">
        <f t="shared" si="83"/>
        <v>0</v>
      </c>
    </row>
    <row r="1795" spans="2:19">
      <c r="B1795" s="146"/>
      <c r="C1795" s="146"/>
      <c r="D1795" s="543" t="str">
        <f t="shared" si="82"/>
        <v/>
      </c>
      <c r="I1795" s="146"/>
      <c r="J1795" s="146"/>
      <c r="K1795" s="146"/>
      <c r="L1795" s="146"/>
      <c r="M1795" s="544"/>
      <c r="N1795" s="544"/>
      <c r="O1795" s="544"/>
      <c r="P1795" s="544"/>
      <c r="R1795" s="543" t="str">
        <f t="shared" si="84"/>
        <v>:</v>
      </c>
      <c r="S1795" s="544">
        <f t="shared" si="83"/>
        <v>0</v>
      </c>
    </row>
    <row r="1796" spans="2:19">
      <c r="B1796" s="146"/>
      <c r="C1796" s="146"/>
      <c r="D1796" s="543" t="str">
        <f t="shared" si="82"/>
        <v/>
      </c>
      <c r="I1796" s="146"/>
      <c r="J1796" s="146"/>
      <c r="K1796" s="146"/>
      <c r="L1796" s="146"/>
      <c r="M1796" s="544"/>
      <c r="N1796" s="544"/>
      <c r="O1796" s="544"/>
      <c r="P1796" s="544"/>
      <c r="R1796" s="543" t="str">
        <f t="shared" si="84"/>
        <v>:</v>
      </c>
      <c r="S1796" s="544">
        <f t="shared" si="83"/>
        <v>0</v>
      </c>
    </row>
    <row r="1797" spans="2:19">
      <c r="B1797" s="146"/>
      <c r="C1797" s="146"/>
      <c r="D1797" s="543" t="str">
        <f t="shared" si="82"/>
        <v/>
      </c>
      <c r="I1797" s="146"/>
      <c r="J1797" s="146"/>
      <c r="K1797" s="146"/>
      <c r="L1797" s="146"/>
      <c r="M1797" s="544"/>
      <c r="N1797" s="544"/>
      <c r="O1797" s="544"/>
      <c r="P1797" s="544"/>
      <c r="R1797" s="543" t="str">
        <f t="shared" si="84"/>
        <v>:</v>
      </c>
      <c r="S1797" s="544">
        <f t="shared" si="83"/>
        <v>0</v>
      </c>
    </row>
    <row r="1798" spans="2:19">
      <c r="B1798" s="146"/>
      <c r="C1798" s="146"/>
      <c r="D1798" s="543" t="str">
        <f t="shared" si="82"/>
        <v/>
      </c>
      <c r="I1798" s="146"/>
      <c r="J1798" s="146"/>
      <c r="K1798" s="146"/>
      <c r="L1798" s="146"/>
      <c r="M1798" s="544"/>
      <c r="N1798" s="544"/>
      <c r="O1798" s="544"/>
      <c r="P1798" s="544"/>
      <c r="R1798" s="543" t="str">
        <f t="shared" si="84"/>
        <v>:</v>
      </c>
      <c r="S1798" s="544">
        <f t="shared" si="83"/>
        <v>0</v>
      </c>
    </row>
    <row r="1799" spans="2:19">
      <c r="B1799" s="146"/>
      <c r="C1799" s="146"/>
      <c r="D1799" s="543" t="str">
        <f t="shared" si="82"/>
        <v/>
      </c>
      <c r="I1799" s="146"/>
      <c r="J1799" s="146"/>
      <c r="K1799" s="146"/>
      <c r="L1799" s="146"/>
      <c r="M1799" s="544"/>
      <c r="N1799" s="544"/>
      <c r="O1799" s="544"/>
      <c r="P1799" s="544"/>
      <c r="R1799" s="543" t="str">
        <f t="shared" si="84"/>
        <v>:</v>
      </c>
      <c r="S1799" s="544">
        <f t="shared" si="83"/>
        <v>0</v>
      </c>
    </row>
    <row r="1800" spans="2:19">
      <c r="B1800" s="146"/>
      <c r="C1800" s="146"/>
      <c r="D1800" s="543" t="str">
        <f t="shared" si="82"/>
        <v/>
      </c>
      <c r="I1800" s="146"/>
      <c r="J1800" s="146"/>
      <c r="K1800" s="146"/>
      <c r="L1800" s="146"/>
      <c r="M1800" s="544"/>
      <c r="N1800" s="544"/>
      <c r="O1800" s="544"/>
      <c r="P1800" s="544"/>
      <c r="R1800" s="543" t="str">
        <f t="shared" si="84"/>
        <v>:</v>
      </c>
      <c r="S1800" s="544">
        <f t="shared" si="83"/>
        <v>0</v>
      </c>
    </row>
    <row r="1801" spans="2:19">
      <c r="B1801" s="146"/>
      <c r="C1801" s="146"/>
      <c r="D1801" s="543" t="str">
        <f t="shared" si="82"/>
        <v/>
      </c>
      <c r="I1801" s="146"/>
      <c r="J1801" s="146"/>
      <c r="K1801" s="146"/>
      <c r="L1801" s="146"/>
      <c r="M1801" s="544"/>
      <c r="N1801" s="544"/>
      <c r="O1801" s="544"/>
      <c r="P1801" s="544"/>
      <c r="R1801" s="543" t="str">
        <f t="shared" si="84"/>
        <v>:</v>
      </c>
      <c r="S1801" s="544">
        <f t="shared" si="83"/>
        <v>0</v>
      </c>
    </row>
    <row r="1802" spans="2:19">
      <c r="B1802" s="146"/>
      <c r="C1802" s="146"/>
      <c r="D1802" s="543" t="str">
        <f t="shared" ref="D1802:D1865" si="85">IF(B1802="","",B1802&amp;":"&amp;C1802)</f>
        <v/>
      </c>
      <c r="I1802" s="146"/>
      <c r="J1802" s="146"/>
      <c r="K1802" s="146"/>
      <c r="L1802" s="146"/>
      <c r="M1802" s="544"/>
      <c r="N1802" s="544"/>
      <c r="O1802" s="544"/>
      <c r="P1802" s="544"/>
      <c r="R1802" s="543" t="str">
        <f t="shared" si="84"/>
        <v>:</v>
      </c>
      <c r="S1802" s="544">
        <f t="shared" ref="S1802:S1865" si="86">HLOOKUP($S$8,$L$8:$P$2000,ROW()-7,FALSE)</f>
        <v>0</v>
      </c>
    </row>
    <row r="1803" spans="2:19">
      <c r="B1803" s="146"/>
      <c r="C1803" s="146"/>
      <c r="D1803" s="543" t="str">
        <f t="shared" si="85"/>
        <v/>
      </c>
      <c r="I1803" s="146"/>
      <c r="J1803" s="146"/>
      <c r="K1803" s="146"/>
      <c r="L1803" s="146"/>
      <c r="M1803" s="544"/>
      <c r="N1803" s="544"/>
      <c r="O1803" s="544"/>
      <c r="P1803" s="544"/>
      <c r="R1803" s="543" t="str">
        <f t="shared" si="84"/>
        <v>:</v>
      </c>
      <c r="S1803" s="544">
        <f t="shared" si="86"/>
        <v>0</v>
      </c>
    </row>
    <row r="1804" spans="2:19">
      <c r="B1804" s="146"/>
      <c r="C1804" s="146"/>
      <c r="D1804" s="543" t="str">
        <f t="shared" si="85"/>
        <v/>
      </c>
      <c r="I1804" s="146"/>
      <c r="J1804" s="146"/>
      <c r="K1804" s="146"/>
      <c r="L1804" s="146"/>
      <c r="M1804" s="544"/>
      <c r="N1804" s="544"/>
      <c r="O1804" s="544"/>
      <c r="P1804" s="544"/>
      <c r="R1804" s="543" t="str">
        <f t="shared" si="84"/>
        <v>:</v>
      </c>
      <c r="S1804" s="544">
        <f t="shared" si="86"/>
        <v>0</v>
      </c>
    </row>
    <row r="1805" spans="2:19">
      <c r="B1805" s="146"/>
      <c r="C1805" s="146"/>
      <c r="D1805" s="543" t="str">
        <f t="shared" si="85"/>
        <v/>
      </c>
      <c r="I1805" s="146"/>
      <c r="J1805" s="146"/>
      <c r="K1805" s="146"/>
      <c r="L1805" s="146"/>
      <c r="M1805" s="544"/>
      <c r="N1805" s="544"/>
      <c r="O1805" s="544"/>
      <c r="P1805" s="544"/>
      <c r="R1805" s="543" t="str">
        <f t="shared" ref="R1805:R1868" si="87">I1805&amp;":"&amp;J1805&amp;K1805</f>
        <v>:</v>
      </c>
      <c r="S1805" s="544">
        <f t="shared" si="86"/>
        <v>0</v>
      </c>
    </row>
    <row r="1806" spans="2:19">
      <c r="B1806" s="146"/>
      <c r="C1806" s="146"/>
      <c r="D1806" s="543" t="str">
        <f t="shared" si="85"/>
        <v/>
      </c>
      <c r="I1806" s="146"/>
      <c r="J1806" s="146"/>
      <c r="K1806" s="146"/>
      <c r="L1806" s="146"/>
      <c r="M1806" s="544"/>
      <c r="N1806" s="544"/>
      <c r="O1806" s="544"/>
      <c r="P1806" s="544"/>
      <c r="R1806" s="543" t="str">
        <f t="shared" si="87"/>
        <v>:</v>
      </c>
      <c r="S1806" s="544">
        <f t="shared" si="86"/>
        <v>0</v>
      </c>
    </row>
    <row r="1807" spans="2:19">
      <c r="B1807" s="146"/>
      <c r="C1807" s="146"/>
      <c r="D1807" s="543" t="str">
        <f t="shared" si="85"/>
        <v/>
      </c>
      <c r="I1807" s="146"/>
      <c r="J1807" s="146"/>
      <c r="K1807" s="146"/>
      <c r="L1807" s="146"/>
      <c r="M1807" s="544"/>
      <c r="N1807" s="544"/>
      <c r="O1807" s="544"/>
      <c r="P1807" s="544"/>
      <c r="R1807" s="543" t="str">
        <f t="shared" si="87"/>
        <v>:</v>
      </c>
      <c r="S1807" s="544">
        <f t="shared" si="86"/>
        <v>0</v>
      </c>
    </row>
    <row r="1808" spans="2:19">
      <c r="B1808" s="146"/>
      <c r="C1808" s="146"/>
      <c r="D1808" s="543" t="str">
        <f t="shared" si="85"/>
        <v/>
      </c>
      <c r="I1808" s="146"/>
      <c r="J1808" s="146"/>
      <c r="K1808" s="146"/>
      <c r="L1808" s="146"/>
      <c r="M1808" s="544"/>
      <c r="N1808" s="544"/>
      <c r="O1808" s="544"/>
      <c r="P1808" s="544"/>
      <c r="R1808" s="543" t="str">
        <f t="shared" si="87"/>
        <v>:</v>
      </c>
      <c r="S1808" s="544">
        <f t="shared" si="86"/>
        <v>0</v>
      </c>
    </row>
    <row r="1809" spans="2:19">
      <c r="B1809" s="146"/>
      <c r="C1809" s="146"/>
      <c r="D1809" s="543" t="str">
        <f t="shared" si="85"/>
        <v/>
      </c>
      <c r="I1809" s="146"/>
      <c r="J1809" s="146"/>
      <c r="K1809" s="146"/>
      <c r="L1809" s="146"/>
      <c r="M1809" s="544"/>
      <c r="N1809" s="544"/>
      <c r="O1809" s="544"/>
      <c r="P1809" s="544"/>
      <c r="R1809" s="543" t="str">
        <f t="shared" si="87"/>
        <v>:</v>
      </c>
      <c r="S1809" s="544">
        <f t="shared" si="86"/>
        <v>0</v>
      </c>
    </row>
    <row r="1810" spans="2:19">
      <c r="B1810" s="146"/>
      <c r="C1810" s="146"/>
      <c r="D1810" s="543" t="str">
        <f t="shared" si="85"/>
        <v/>
      </c>
      <c r="I1810" s="146"/>
      <c r="J1810" s="146"/>
      <c r="K1810" s="146"/>
      <c r="L1810" s="146"/>
      <c r="M1810" s="544"/>
      <c r="N1810" s="544"/>
      <c r="O1810" s="544"/>
      <c r="P1810" s="544"/>
      <c r="R1810" s="543" t="str">
        <f t="shared" si="87"/>
        <v>:</v>
      </c>
      <c r="S1810" s="544">
        <f t="shared" si="86"/>
        <v>0</v>
      </c>
    </row>
    <row r="1811" spans="2:19">
      <c r="B1811" s="146"/>
      <c r="C1811" s="146"/>
      <c r="D1811" s="543" t="str">
        <f t="shared" si="85"/>
        <v/>
      </c>
      <c r="I1811" s="146"/>
      <c r="J1811" s="146"/>
      <c r="K1811" s="146"/>
      <c r="L1811" s="146"/>
      <c r="M1811" s="544"/>
      <c r="N1811" s="544"/>
      <c r="O1811" s="544"/>
      <c r="P1811" s="544"/>
      <c r="R1811" s="543" t="str">
        <f t="shared" si="87"/>
        <v>:</v>
      </c>
      <c r="S1811" s="544">
        <f t="shared" si="86"/>
        <v>0</v>
      </c>
    </row>
    <row r="1812" spans="2:19">
      <c r="B1812" s="146"/>
      <c r="C1812" s="146"/>
      <c r="D1812" s="543" t="str">
        <f t="shared" si="85"/>
        <v/>
      </c>
      <c r="I1812" s="146"/>
      <c r="J1812" s="146"/>
      <c r="K1812" s="146"/>
      <c r="L1812" s="146"/>
      <c r="M1812" s="544"/>
      <c r="N1812" s="544"/>
      <c r="O1812" s="544"/>
      <c r="P1812" s="544"/>
      <c r="R1812" s="543" t="str">
        <f t="shared" si="87"/>
        <v>:</v>
      </c>
      <c r="S1812" s="544">
        <f t="shared" si="86"/>
        <v>0</v>
      </c>
    </row>
    <row r="1813" spans="2:19">
      <c r="B1813" s="146"/>
      <c r="C1813" s="146"/>
      <c r="D1813" s="543" t="str">
        <f t="shared" si="85"/>
        <v/>
      </c>
      <c r="I1813" s="146"/>
      <c r="J1813" s="146"/>
      <c r="K1813" s="146"/>
      <c r="L1813" s="146"/>
      <c r="M1813" s="544"/>
      <c r="N1813" s="544"/>
      <c r="O1813" s="544"/>
      <c r="P1813" s="544"/>
      <c r="R1813" s="543" t="str">
        <f t="shared" si="87"/>
        <v>:</v>
      </c>
      <c r="S1813" s="544">
        <f t="shared" si="86"/>
        <v>0</v>
      </c>
    </row>
    <row r="1814" spans="2:19">
      <c r="B1814" s="146"/>
      <c r="C1814" s="146"/>
      <c r="D1814" s="543" t="str">
        <f t="shared" si="85"/>
        <v/>
      </c>
      <c r="I1814" s="146"/>
      <c r="J1814" s="146"/>
      <c r="K1814" s="146"/>
      <c r="L1814" s="146"/>
      <c r="M1814" s="544"/>
      <c r="N1814" s="544"/>
      <c r="O1814" s="544"/>
      <c r="P1814" s="544"/>
      <c r="R1814" s="543" t="str">
        <f t="shared" si="87"/>
        <v>:</v>
      </c>
      <c r="S1814" s="544">
        <f t="shared" si="86"/>
        <v>0</v>
      </c>
    </row>
    <row r="1815" spans="2:19">
      <c r="B1815" s="146"/>
      <c r="C1815" s="146"/>
      <c r="D1815" s="543" t="str">
        <f t="shared" si="85"/>
        <v/>
      </c>
      <c r="I1815" s="146"/>
      <c r="J1815" s="146"/>
      <c r="K1815" s="146"/>
      <c r="L1815" s="146"/>
      <c r="M1815" s="544"/>
      <c r="N1815" s="544"/>
      <c r="O1815" s="544"/>
      <c r="P1815" s="544"/>
      <c r="R1815" s="543" t="str">
        <f t="shared" si="87"/>
        <v>:</v>
      </c>
      <c r="S1815" s="544">
        <f t="shared" si="86"/>
        <v>0</v>
      </c>
    </row>
    <row r="1816" spans="2:19">
      <c r="B1816" s="146"/>
      <c r="C1816" s="146"/>
      <c r="D1816" s="543" t="str">
        <f t="shared" si="85"/>
        <v/>
      </c>
      <c r="I1816" s="146"/>
      <c r="J1816" s="146"/>
      <c r="K1816" s="146"/>
      <c r="L1816" s="146"/>
      <c r="M1816" s="544"/>
      <c r="N1816" s="544"/>
      <c r="O1816" s="544"/>
      <c r="P1816" s="544"/>
      <c r="R1816" s="543" t="str">
        <f t="shared" si="87"/>
        <v>:</v>
      </c>
      <c r="S1816" s="544">
        <f t="shared" si="86"/>
        <v>0</v>
      </c>
    </row>
    <row r="1817" spans="2:19">
      <c r="B1817" s="146"/>
      <c r="C1817" s="146"/>
      <c r="D1817" s="543" t="str">
        <f t="shared" si="85"/>
        <v/>
      </c>
      <c r="I1817" s="146"/>
      <c r="J1817" s="146"/>
      <c r="K1817" s="146"/>
      <c r="L1817" s="146"/>
      <c r="M1817" s="544"/>
      <c r="N1817" s="544"/>
      <c r="O1817" s="544"/>
      <c r="P1817" s="544"/>
      <c r="R1817" s="543" t="str">
        <f t="shared" si="87"/>
        <v>:</v>
      </c>
      <c r="S1817" s="544">
        <f t="shared" si="86"/>
        <v>0</v>
      </c>
    </row>
    <row r="1818" spans="2:19">
      <c r="B1818" s="146"/>
      <c r="C1818" s="146"/>
      <c r="D1818" s="543" t="str">
        <f t="shared" si="85"/>
        <v/>
      </c>
      <c r="I1818" s="146"/>
      <c r="J1818" s="146"/>
      <c r="K1818" s="146"/>
      <c r="L1818" s="146"/>
      <c r="M1818" s="544"/>
      <c r="N1818" s="544"/>
      <c r="O1818" s="544"/>
      <c r="P1818" s="544"/>
      <c r="R1818" s="543" t="str">
        <f t="shared" si="87"/>
        <v>:</v>
      </c>
      <c r="S1818" s="544">
        <f t="shared" si="86"/>
        <v>0</v>
      </c>
    </row>
    <row r="1819" spans="2:19">
      <c r="B1819" s="146"/>
      <c r="C1819" s="146"/>
      <c r="D1819" s="543" t="str">
        <f t="shared" si="85"/>
        <v/>
      </c>
      <c r="I1819" s="146"/>
      <c r="J1819" s="146"/>
      <c r="K1819" s="146"/>
      <c r="L1819" s="146"/>
      <c r="M1819" s="544"/>
      <c r="N1819" s="544"/>
      <c r="O1819" s="544"/>
      <c r="P1819" s="544"/>
      <c r="R1819" s="543" t="str">
        <f t="shared" si="87"/>
        <v>:</v>
      </c>
      <c r="S1819" s="544">
        <f t="shared" si="86"/>
        <v>0</v>
      </c>
    </row>
    <row r="1820" spans="2:19">
      <c r="B1820" s="146"/>
      <c r="C1820" s="146"/>
      <c r="D1820" s="543" t="str">
        <f t="shared" si="85"/>
        <v/>
      </c>
      <c r="I1820" s="146"/>
      <c r="J1820" s="146"/>
      <c r="K1820" s="146"/>
      <c r="L1820" s="146"/>
      <c r="M1820" s="544"/>
      <c r="N1820" s="544"/>
      <c r="O1820" s="544"/>
      <c r="P1820" s="544"/>
      <c r="R1820" s="543" t="str">
        <f t="shared" si="87"/>
        <v>:</v>
      </c>
      <c r="S1820" s="544">
        <f t="shared" si="86"/>
        <v>0</v>
      </c>
    </row>
    <row r="1821" spans="2:19">
      <c r="B1821" s="146"/>
      <c r="C1821" s="146"/>
      <c r="D1821" s="543" t="str">
        <f t="shared" si="85"/>
        <v/>
      </c>
      <c r="I1821" s="146"/>
      <c r="J1821" s="146"/>
      <c r="K1821" s="146"/>
      <c r="L1821" s="146"/>
      <c r="M1821" s="544"/>
      <c r="N1821" s="544"/>
      <c r="O1821" s="544"/>
      <c r="P1821" s="544"/>
      <c r="R1821" s="543" t="str">
        <f t="shared" si="87"/>
        <v>:</v>
      </c>
      <c r="S1821" s="544">
        <f t="shared" si="86"/>
        <v>0</v>
      </c>
    </row>
    <row r="1822" spans="2:19">
      <c r="B1822" s="146"/>
      <c r="C1822" s="146"/>
      <c r="D1822" s="543" t="str">
        <f t="shared" si="85"/>
        <v/>
      </c>
      <c r="I1822" s="146"/>
      <c r="J1822" s="146"/>
      <c r="K1822" s="146"/>
      <c r="L1822" s="146"/>
      <c r="M1822" s="544"/>
      <c r="N1822" s="544"/>
      <c r="O1822" s="544"/>
      <c r="P1822" s="544"/>
      <c r="R1822" s="543" t="str">
        <f t="shared" si="87"/>
        <v>:</v>
      </c>
      <c r="S1822" s="544">
        <f t="shared" si="86"/>
        <v>0</v>
      </c>
    </row>
    <row r="1823" spans="2:19">
      <c r="B1823" s="146"/>
      <c r="C1823" s="146"/>
      <c r="D1823" s="543" t="str">
        <f t="shared" si="85"/>
        <v/>
      </c>
      <c r="I1823" s="146"/>
      <c r="J1823" s="146"/>
      <c r="K1823" s="146"/>
      <c r="L1823" s="146"/>
      <c r="M1823" s="544"/>
      <c r="N1823" s="544"/>
      <c r="O1823" s="544"/>
      <c r="P1823" s="544"/>
      <c r="R1823" s="543" t="str">
        <f t="shared" si="87"/>
        <v>:</v>
      </c>
      <c r="S1823" s="544">
        <f t="shared" si="86"/>
        <v>0</v>
      </c>
    </row>
    <row r="1824" spans="2:19">
      <c r="B1824" s="146"/>
      <c r="C1824" s="146"/>
      <c r="D1824" s="543" t="str">
        <f t="shared" si="85"/>
        <v/>
      </c>
      <c r="I1824" s="146"/>
      <c r="J1824" s="146"/>
      <c r="K1824" s="146"/>
      <c r="L1824" s="146"/>
      <c r="M1824" s="544"/>
      <c r="N1824" s="544"/>
      <c r="O1824" s="544"/>
      <c r="P1824" s="544"/>
      <c r="R1824" s="543" t="str">
        <f t="shared" si="87"/>
        <v>:</v>
      </c>
      <c r="S1824" s="544">
        <f t="shared" si="86"/>
        <v>0</v>
      </c>
    </row>
    <row r="1825" spans="2:19">
      <c r="B1825" s="146"/>
      <c r="C1825" s="146"/>
      <c r="D1825" s="543" t="str">
        <f t="shared" si="85"/>
        <v/>
      </c>
      <c r="I1825" s="146"/>
      <c r="J1825" s="146"/>
      <c r="K1825" s="146"/>
      <c r="L1825" s="146"/>
      <c r="M1825" s="544"/>
      <c r="N1825" s="544"/>
      <c r="O1825" s="544"/>
      <c r="P1825" s="544"/>
      <c r="R1825" s="543" t="str">
        <f t="shared" si="87"/>
        <v>:</v>
      </c>
      <c r="S1825" s="544">
        <f t="shared" si="86"/>
        <v>0</v>
      </c>
    </row>
    <row r="1826" spans="2:19">
      <c r="B1826" s="146"/>
      <c r="C1826" s="146"/>
      <c r="D1826" s="543" t="str">
        <f t="shared" si="85"/>
        <v/>
      </c>
      <c r="I1826" s="146"/>
      <c r="J1826" s="146"/>
      <c r="K1826" s="146"/>
      <c r="L1826" s="146"/>
      <c r="M1826" s="544"/>
      <c r="N1826" s="544"/>
      <c r="O1826" s="544"/>
      <c r="P1826" s="544"/>
      <c r="R1826" s="543" t="str">
        <f t="shared" si="87"/>
        <v>:</v>
      </c>
      <c r="S1826" s="544">
        <f t="shared" si="86"/>
        <v>0</v>
      </c>
    </row>
    <row r="1827" spans="2:19">
      <c r="B1827" s="146"/>
      <c r="C1827" s="146"/>
      <c r="D1827" s="543" t="str">
        <f t="shared" si="85"/>
        <v/>
      </c>
      <c r="I1827" s="146"/>
      <c r="J1827" s="146"/>
      <c r="K1827" s="146"/>
      <c r="L1827" s="146"/>
      <c r="M1827" s="544"/>
      <c r="N1827" s="544"/>
      <c r="O1827" s="544"/>
      <c r="P1827" s="544"/>
      <c r="R1827" s="543" t="str">
        <f t="shared" si="87"/>
        <v>:</v>
      </c>
      <c r="S1827" s="544">
        <f t="shared" si="86"/>
        <v>0</v>
      </c>
    </row>
    <row r="1828" spans="2:19">
      <c r="B1828" s="146"/>
      <c r="C1828" s="146"/>
      <c r="D1828" s="543" t="str">
        <f t="shared" si="85"/>
        <v/>
      </c>
      <c r="I1828" s="146"/>
      <c r="J1828" s="146"/>
      <c r="K1828" s="146"/>
      <c r="L1828" s="146"/>
      <c r="M1828" s="544"/>
      <c r="N1828" s="544"/>
      <c r="O1828" s="544"/>
      <c r="P1828" s="544"/>
      <c r="R1828" s="543" t="str">
        <f t="shared" si="87"/>
        <v>:</v>
      </c>
      <c r="S1828" s="544">
        <f t="shared" si="86"/>
        <v>0</v>
      </c>
    </row>
    <row r="1829" spans="2:19">
      <c r="B1829" s="146"/>
      <c r="C1829" s="146"/>
      <c r="D1829" s="543" t="str">
        <f t="shared" si="85"/>
        <v/>
      </c>
      <c r="I1829" s="146"/>
      <c r="J1829" s="146"/>
      <c r="K1829" s="146"/>
      <c r="L1829" s="146"/>
      <c r="M1829" s="544"/>
      <c r="N1829" s="544"/>
      <c r="O1829" s="544"/>
      <c r="P1829" s="544"/>
      <c r="R1829" s="543" t="str">
        <f t="shared" si="87"/>
        <v>:</v>
      </c>
      <c r="S1829" s="544">
        <f t="shared" si="86"/>
        <v>0</v>
      </c>
    </row>
    <row r="1830" spans="2:19">
      <c r="B1830" s="146"/>
      <c r="C1830" s="146"/>
      <c r="D1830" s="543" t="str">
        <f t="shared" si="85"/>
        <v/>
      </c>
      <c r="I1830" s="146"/>
      <c r="J1830" s="146"/>
      <c r="K1830" s="146"/>
      <c r="L1830" s="146"/>
      <c r="M1830" s="544"/>
      <c r="N1830" s="544"/>
      <c r="O1830" s="544"/>
      <c r="P1830" s="544"/>
      <c r="R1830" s="543" t="str">
        <f t="shared" si="87"/>
        <v>:</v>
      </c>
      <c r="S1830" s="544">
        <f t="shared" si="86"/>
        <v>0</v>
      </c>
    </row>
    <row r="1831" spans="2:19">
      <c r="B1831" s="146"/>
      <c r="C1831" s="146"/>
      <c r="D1831" s="543" t="str">
        <f t="shared" si="85"/>
        <v/>
      </c>
      <c r="I1831" s="146"/>
      <c r="J1831" s="146"/>
      <c r="K1831" s="146"/>
      <c r="L1831" s="146"/>
      <c r="M1831" s="544"/>
      <c r="N1831" s="544"/>
      <c r="O1831" s="544"/>
      <c r="P1831" s="544"/>
      <c r="R1831" s="543" t="str">
        <f t="shared" si="87"/>
        <v>:</v>
      </c>
      <c r="S1831" s="544">
        <f t="shared" si="86"/>
        <v>0</v>
      </c>
    </row>
    <row r="1832" spans="2:19">
      <c r="B1832" s="146"/>
      <c r="C1832" s="146"/>
      <c r="D1832" s="543" t="str">
        <f t="shared" si="85"/>
        <v/>
      </c>
      <c r="I1832" s="146"/>
      <c r="J1832" s="146"/>
      <c r="K1832" s="146"/>
      <c r="L1832" s="146"/>
      <c r="M1832" s="544"/>
      <c r="N1832" s="544"/>
      <c r="O1832" s="544"/>
      <c r="P1832" s="544"/>
      <c r="R1832" s="543" t="str">
        <f t="shared" si="87"/>
        <v>:</v>
      </c>
      <c r="S1832" s="544">
        <f t="shared" si="86"/>
        <v>0</v>
      </c>
    </row>
    <row r="1833" spans="2:19">
      <c r="B1833" s="146"/>
      <c r="C1833" s="146"/>
      <c r="D1833" s="543" t="str">
        <f t="shared" si="85"/>
        <v/>
      </c>
      <c r="I1833" s="146"/>
      <c r="J1833" s="146"/>
      <c r="K1833" s="146"/>
      <c r="L1833" s="146"/>
      <c r="M1833" s="544"/>
      <c r="N1833" s="544"/>
      <c r="O1833" s="544"/>
      <c r="P1833" s="544"/>
      <c r="R1833" s="543" t="str">
        <f t="shared" si="87"/>
        <v>:</v>
      </c>
      <c r="S1833" s="544">
        <f t="shared" si="86"/>
        <v>0</v>
      </c>
    </row>
    <row r="1834" spans="2:19">
      <c r="B1834" s="146"/>
      <c r="C1834" s="146"/>
      <c r="D1834" s="543" t="str">
        <f t="shared" si="85"/>
        <v/>
      </c>
      <c r="I1834" s="146"/>
      <c r="J1834" s="146"/>
      <c r="K1834" s="146"/>
      <c r="L1834" s="146"/>
      <c r="M1834" s="544"/>
      <c r="N1834" s="544"/>
      <c r="O1834" s="544"/>
      <c r="P1834" s="544"/>
      <c r="R1834" s="543" t="str">
        <f t="shared" si="87"/>
        <v>:</v>
      </c>
      <c r="S1834" s="544">
        <f t="shared" si="86"/>
        <v>0</v>
      </c>
    </row>
    <row r="1835" spans="2:19">
      <c r="B1835" s="146"/>
      <c r="C1835" s="146"/>
      <c r="D1835" s="543" t="str">
        <f t="shared" si="85"/>
        <v/>
      </c>
      <c r="I1835" s="146"/>
      <c r="J1835" s="146"/>
      <c r="K1835" s="146"/>
      <c r="L1835" s="146"/>
      <c r="M1835" s="544"/>
      <c r="N1835" s="544"/>
      <c r="O1835" s="544"/>
      <c r="P1835" s="544"/>
      <c r="R1835" s="543" t="str">
        <f t="shared" si="87"/>
        <v>:</v>
      </c>
      <c r="S1835" s="544">
        <f t="shared" si="86"/>
        <v>0</v>
      </c>
    </row>
    <row r="1836" spans="2:19">
      <c r="B1836" s="146"/>
      <c r="C1836" s="146"/>
      <c r="D1836" s="543" t="str">
        <f t="shared" si="85"/>
        <v/>
      </c>
      <c r="I1836" s="146"/>
      <c r="J1836" s="146"/>
      <c r="K1836" s="146"/>
      <c r="L1836" s="146"/>
      <c r="M1836" s="544"/>
      <c r="N1836" s="544"/>
      <c r="O1836" s="544"/>
      <c r="P1836" s="544"/>
      <c r="R1836" s="543" t="str">
        <f t="shared" si="87"/>
        <v>:</v>
      </c>
      <c r="S1836" s="544">
        <f t="shared" si="86"/>
        <v>0</v>
      </c>
    </row>
    <row r="1837" spans="2:19">
      <c r="B1837" s="146"/>
      <c r="C1837" s="146"/>
      <c r="D1837" s="543" t="str">
        <f t="shared" si="85"/>
        <v/>
      </c>
      <c r="I1837" s="146"/>
      <c r="J1837" s="146"/>
      <c r="K1837" s="146"/>
      <c r="L1837" s="146"/>
      <c r="M1837" s="544"/>
      <c r="N1837" s="544"/>
      <c r="O1837" s="544"/>
      <c r="P1837" s="544"/>
      <c r="R1837" s="543" t="str">
        <f t="shared" si="87"/>
        <v>:</v>
      </c>
      <c r="S1837" s="544">
        <f t="shared" si="86"/>
        <v>0</v>
      </c>
    </row>
    <row r="1838" spans="2:19">
      <c r="B1838" s="146"/>
      <c r="C1838" s="146"/>
      <c r="D1838" s="543" t="str">
        <f t="shared" si="85"/>
        <v/>
      </c>
      <c r="I1838" s="146"/>
      <c r="J1838" s="146"/>
      <c r="K1838" s="146"/>
      <c r="L1838" s="146"/>
      <c r="M1838" s="544"/>
      <c r="N1838" s="544"/>
      <c r="O1838" s="544"/>
      <c r="P1838" s="544"/>
      <c r="R1838" s="543" t="str">
        <f t="shared" si="87"/>
        <v>:</v>
      </c>
      <c r="S1838" s="544">
        <f t="shared" si="86"/>
        <v>0</v>
      </c>
    </row>
    <row r="1839" spans="2:19">
      <c r="B1839" s="146"/>
      <c r="C1839" s="146"/>
      <c r="D1839" s="543" t="str">
        <f t="shared" si="85"/>
        <v/>
      </c>
      <c r="I1839" s="146"/>
      <c r="J1839" s="146"/>
      <c r="K1839" s="146"/>
      <c r="L1839" s="146"/>
      <c r="M1839" s="544"/>
      <c r="N1839" s="544"/>
      <c r="O1839" s="544"/>
      <c r="P1839" s="544"/>
      <c r="R1839" s="543" t="str">
        <f t="shared" si="87"/>
        <v>:</v>
      </c>
      <c r="S1839" s="544">
        <f t="shared" si="86"/>
        <v>0</v>
      </c>
    </row>
    <row r="1840" spans="2:19">
      <c r="B1840" s="146"/>
      <c r="C1840" s="146"/>
      <c r="D1840" s="543" t="str">
        <f t="shared" si="85"/>
        <v/>
      </c>
      <c r="I1840" s="146"/>
      <c r="J1840" s="146"/>
      <c r="K1840" s="146"/>
      <c r="L1840" s="146"/>
      <c r="M1840" s="544"/>
      <c r="N1840" s="544"/>
      <c r="O1840" s="544"/>
      <c r="P1840" s="544"/>
      <c r="R1840" s="543" t="str">
        <f t="shared" si="87"/>
        <v>:</v>
      </c>
      <c r="S1840" s="544">
        <f t="shared" si="86"/>
        <v>0</v>
      </c>
    </row>
    <row r="1841" spans="2:19">
      <c r="B1841" s="146"/>
      <c r="C1841" s="146"/>
      <c r="D1841" s="543" t="str">
        <f t="shared" si="85"/>
        <v/>
      </c>
      <c r="I1841" s="146"/>
      <c r="J1841" s="146"/>
      <c r="K1841" s="146"/>
      <c r="L1841" s="146"/>
      <c r="M1841" s="544"/>
      <c r="N1841" s="544"/>
      <c r="O1841" s="544"/>
      <c r="P1841" s="544"/>
      <c r="R1841" s="543" t="str">
        <f t="shared" si="87"/>
        <v>:</v>
      </c>
      <c r="S1841" s="544">
        <f t="shared" si="86"/>
        <v>0</v>
      </c>
    </row>
    <row r="1842" spans="2:19">
      <c r="B1842" s="146"/>
      <c r="C1842" s="146"/>
      <c r="D1842" s="543" t="str">
        <f t="shared" si="85"/>
        <v/>
      </c>
      <c r="I1842" s="146"/>
      <c r="J1842" s="146"/>
      <c r="K1842" s="146"/>
      <c r="L1842" s="146"/>
      <c r="M1842" s="544"/>
      <c r="N1842" s="544"/>
      <c r="O1842" s="544"/>
      <c r="P1842" s="544"/>
      <c r="R1842" s="543" t="str">
        <f t="shared" si="87"/>
        <v>:</v>
      </c>
      <c r="S1842" s="544">
        <f t="shared" si="86"/>
        <v>0</v>
      </c>
    </row>
    <row r="1843" spans="2:19">
      <c r="B1843" s="146"/>
      <c r="C1843" s="146"/>
      <c r="D1843" s="543" t="str">
        <f t="shared" si="85"/>
        <v/>
      </c>
      <c r="I1843" s="146"/>
      <c r="J1843" s="146"/>
      <c r="K1843" s="146"/>
      <c r="L1843" s="146"/>
      <c r="M1843" s="544"/>
      <c r="N1843" s="544"/>
      <c r="O1843" s="544"/>
      <c r="P1843" s="544"/>
      <c r="R1843" s="543" t="str">
        <f t="shared" si="87"/>
        <v>:</v>
      </c>
      <c r="S1843" s="544">
        <f t="shared" si="86"/>
        <v>0</v>
      </c>
    </row>
    <row r="1844" spans="2:19">
      <c r="B1844" s="146"/>
      <c r="C1844" s="146"/>
      <c r="D1844" s="543" t="str">
        <f t="shared" si="85"/>
        <v/>
      </c>
      <c r="I1844" s="146"/>
      <c r="J1844" s="146"/>
      <c r="K1844" s="146"/>
      <c r="L1844" s="146"/>
      <c r="M1844" s="544"/>
      <c r="N1844" s="544"/>
      <c r="O1844" s="544"/>
      <c r="P1844" s="544"/>
      <c r="R1844" s="543" t="str">
        <f t="shared" si="87"/>
        <v>:</v>
      </c>
      <c r="S1844" s="544">
        <f t="shared" si="86"/>
        <v>0</v>
      </c>
    </row>
    <row r="1845" spans="2:19">
      <c r="B1845" s="146"/>
      <c r="C1845" s="146"/>
      <c r="D1845" s="543" t="str">
        <f t="shared" si="85"/>
        <v/>
      </c>
      <c r="I1845" s="146"/>
      <c r="J1845" s="146"/>
      <c r="K1845" s="146"/>
      <c r="L1845" s="146"/>
      <c r="M1845" s="544"/>
      <c r="N1845" s="544"/>
      <c r="O1845" s="544"/>
      <c r="P1845" s="544"/>
      <c r="R1845" s="543" t="str">
        <f t="shared" si="87"/>
        <v>:</v>
      </c>
      <c r="S1845" s="544">
        <f t="shared" si="86"/>
        <v>0</v>
      </c>
    </row>
    <row r="1846" spans="2:19">
      <c r="B1846" s="146"/>
      <c r="C1846" s="146"/>
      <c r="D1846" s="543" t="str">
        <f t="shared" si="85"/>
        <v/>
      </c>
      <c r="I1846" s="146"/>
      <c r="J1846" s="146"/>
      <c r="K1846" s="146"/>
      <c r="L1846" s="146"/>
      <c r="M1846" s="544"/>
      <c r="N1846" s="544"/>
      <c r="O1846" s="544"/>
      <c r="P1846" s="544"/>
      <c r="R1846" s="543" t="str">
        <f t="shared" si="87"/>
        <v>:</v>
      </c>
      <c r="S1846" s="544">
        <f t="shared" si="86"/>
        <v>0</v>
      </c>
    </row>
    <row r="1847" spans="2:19">
      <c r="B1847" s="146"/>
      <c r="C1847" s="146"/>
      <c r="D1847" s="543" t="str">
        <f t="shared" si="85"/>
        <v/>
      </c>
      <c r="I1847" s="146"/>
      <c r="J1847" s="146"/>
      <c r="K1847" s="146"/>
      <c r="L1847" s="146"/>
      <c r="M1847" s="544"/>
      <c r="N1847" s="544"/>
      <c r="O1847" s="544"/>
      <c r="P1847" s="544"/>
      <c r="R1847" s="543" t="str">
        <f t="shared" si="87"/>
        <v>:</v>
      </c>
      <c r="S1847" s="544">
        <f t="shared" si="86"/>
        <v>0</v>
      </c>
    </row>
    <row r="1848" spans="2:19">
      <c r="B1848" s="146"/>
      <c r="C1848" s="146"/>
      <c r="D1848" s="543" t="str">
        <f t="shared" si="85"/>
        <v/>
      </c>
      <c r="I1848" s="146"/>
      <c r="J1848" s="146"/>
      <c r="K1848" s="146"/>
      <c r="L1848" s="146"/>
      <c r="M1848" s="544"/>
      <c r="N1848" s="544"/>
      <c r="O1848" s="544"/>
      <c r="P1848" s="544"/>
      <c r="R1848" s="543" t="str">
        <f t="shared" si="87"/>
        <v>:</v>
      </c>
      <c r="S1848" s="544">
        <f t="shared" si="86"/>
        <v>0</v>
      </c>
    </row>
    <row r="1849" spans="2:19">
      <c r="B1849" s="146"/>
      <c r="C1849" s="146"/>
      <c r="D1849" s="543" t="str">
        <f t="shared" si="85"/>
        <v/>
      </c>
      <c r="I1849" s="146"/>
      <c r="J1849" s="146"/>
      <c r="K1849" s="146"/>
      <c r="L1849" s="146"/>
      <c r="M1849" s="544"/>
      <c r="N1849" s="544"/>
      <c r="O1849" s="544"/>
      <c r="P1849" s="544"/>
      <c r="R1849" s="543" t="str">
        <f t="shared" si="87"/>
        <v>:</v>
      </c>
      <c r="S1849" s="544">
        <f t="shared" si="86"/>
        <v>0</v>
      </c>
    </row>
    <row r="1850" spans="2:19">
      <c r="B1850" s="146"/>
      <c r="C1850" s="146"/>
      <c r="D1850" s="543" t="str">
        <f t="shared" si="85"/>
        <v/>
      </c>
      <c r="I1850" s="146"/>
      <c r="J1850" s="146"/>
      <c r="K1850" s="146"/>
      <c r="L1850" s="146"/>
      <c r="M1850" s="544"/>
      <c r="N1850" s="544"/>
      <c r="O1850" s="544"/>
      <c r="P1850" s="544"/>
      <c r="R1850" s="543" t="str">
        <f t="shared" si="87"/>
        <v>:</v>
      </c>
      <c r="S1850" s="544">
        <f t="shared" si="86"/>
        <v>0</v>
      </c>
    </row>
    <row r="1851" spans="2:19">
      <c r="B1851" s="146"/>
      <c r="C1851" s="146"/>
      <c r="D1851" s="543" t="str">
        <f t="shared" si="85"/>
        <v/>
      </c>
      <c r="I1851" s="146"/>
      <c r="J1851" s="146"/>
      <c r="K1851" s="146"/>
      <c r="L1851" s="146"/>
      <c r="M1851" s="544"/>
      <c r="N1851" s="544"/>
      <c r="O1851" s="544"/>
      <c r="P1851" s="544"/>
      <c r="R1851" s="543" t="str">
        <f t="shared" si="87"/>
        <v>:</v>
      </c>
      <c r="S1851" s="544">
        <f t="shared" si="86"/>
        <v>0</v>
      </c>
    </row>
    <row r="1852" spans="2:19">
      <c r="B1852" s="146"/>
      <c r="C1852" s="146"/>
      <c r="D1852" s="543" t="str">
        <f t="shared" si="85"/>
        <v/>
      </c>
      <c r="I1852" s="146"/>
      <c r="J1852" s="146"/>
      <c r="K1852" s="146"/>
      <c r="L1852" s="146"/>
      <c r="M1852" s="544"/>
      <c r="N1852" s="544"/>
      <c r="O1852" s="544"/>
      <c r="P1852" s="544"/>
      <c r="R1852" s="543" t="str">
        <f t="shared" si="87"/>
        <v>:</v>
      </c>
      <c r="S1852" s="544">
        <f t="shared" si="86"/>
        <v>0</v>
      </c>
    </row>
    <row r="1853" spans="2:19">
      <c r="B1853" s="146"/>
      <c r="C1853" s="146"/>
      <c r="D1853" s="543" t="str">
        <f t="shared" si="85"/>
        <v/>
      </c>
      <c r="I1853" s="146"/>
      <c r="J1853" s="146"/>
      <c r="K1853" s="146"/>
      <c r="L1853" s="146"/>
      <c r="M1853" s="544"/>
      <c r="N1853" s="544"/>
      <c r="O1853" s="544"/>
      <c r="P1853" s="544"/>
      <c r="R1853" s="543" t="str">
        <f t="shared" si="87"/>
        <v>:</v>
      </c>
      <c r="S1853" s="544">
        <f t="shared" si="86"/>
        <v>0</v>
      </c>
    </row>
    <row r="1854" spans="2:19">
      <c r="B1854" s="146"/>
      <c r="C1854" s="146"/>
      <c r="D1854" s="543" t="str">
        <f t="shared" si="85"/>
        <v/>
      </c>
      <c r="I1854" s="146"/>
      <c r="J1854" s="146"/>
      <c r="K1854" s="146"/>
      <c r="L1854" s="146"/>
      <c r="M1854" s="544"/>
      <c r="N1854" s="544"/>
      <c r="O1854" s="544"/>
      <c r="P1854" s="544"/>
      <c r="R1854" s="543" t="str">
        <f t="shared" si="87"/>
        <v>:</v>
      </c>
      <c r="S1854" s="544">
        <f t="shared" si="86"/>
        <v>0</v>
      </c>
    </row>
    <row r="1855" spans="2:19">
      <c r="B1855" s="146"/>
      <c r="C1855" s="146"/>
      <c r="D1855" s="543" t="str">
        <f t="shared" si="85"/>
        <v/>
      </c>
      <c r="I1855" s="146"/>
      <c r="J1855" s="146"/>
      <c r="K1855" s="146"/>
      <c r="L1855" s="146"/>
      <c r="M1855" s="544"/>
      <c r="N1855" s="544"/>
      <c r="O1855" s="544"/>
      <c r="P1855" s="544"/>
      <c r="R1855" s="543" t="str">
        <f t="shared" si="87"/>
        <v>:</v>
      </c>
      <c r="S1855" s="544">
        <f t="shared" si="86"/>
        <v>0</v>
      </c>
    </row>
    <row r="1856" spans="2:19">
      <c r="B1856" s="146"/>
      <c r="C1856" s="146"/>
      <c r="D1856" s="543" t="str">
        <f t="shared" si="85"/>
        <v/>
      </c>
      <c r="I1856" s="146"/>
      <c r="J1856" s="146"/>
      <c r="K1856" s="146"/>
      <c r="L1856" s="146"/>
      <c r="M1856" s="544"/>
      <c r="N1856" s="544"/>
      <c r="O1856" s="544"/>
      <c r="P1856" s="544"/>
      <c r="R1856" s="543" t="str">
        <f t="shared" si="87"/>
        <v>:</v>
      </c>
      <c r="S1856" s="544">
        <f t="shared" si="86"/>
        <v>0</v>
      </c>
    </row>
    <row r="1857" spans="2:19">
      <c r="B1857" s="146"/>
      <c r="C1857" s="146"/>
      <c r="D1857" s="543" t="str">
        <f t="shared" si="85"/>
        <v/>
      </c>
      <c r="I1857" s="146"/>
      <c r="J1857" s="146"/>
      <c r="K1857" s="146"/>
      <c r="L1857" s="146"/>
      <c r="M1857" s="544"/>
      <c r="N1857" s="544"/>
      <c r="O1857" s="544"/>
      <c r="P1857" s="544"/>
      <c r="R1857" s="543" t="str">
        <f t="shared" si="87"/>
        <v>:</v>
      </c>
      <c r="S1857" s="544">
        <f t="shared" si="86"/>
        <v>0</v>
      </c>
    </row>
    <row r="1858" spans="2:19">
      <c r="B1858" s="146"/>
      <c r="C1858" s="146"/>
      <c r="D1858" s="543" t="str">
        <f t="shared" si="85"/>
        <v/>
      </c>
      <c r="I1858" s="146"/>
      <c r="J1858" s="146"/>
      <c r="K1858" s="146"/>
      <c r="L1858" s="146"/>
      <c r="M1858" s="544"/>
      <c r="N1858" s="544"/>
      <c r="O1858" s="544"/>
      <c r="P1858" s="544"/>
      <c r="R1858" s="543" t="str">
        <f t="shared" si="87"/>
        <v>:</v>
      </c>
      <c r="S1858" s="544">
        <f t="shared" si="86"/>
        <v>0</v>
      </c>
    </row>
    <row r="1859" spans="2:19">
      <c r="B1859" s="146"/>
      <c r="C1859" s="146"/>
      <c r="D1859" s="543" t="str">
        <f t="shared" si="85"/>
        <v/>
      </c>
      <c r="I1859" s="146"/>
      <c r="J1859" s="146"/>
      <c r="K1859" s="146"/>
      <c r="L1859" s="146"/>
      <c r="M1859" s="544"/>
      <c r="N1859" s="544"/>
      <c r="O1859" s="544"/>
      <c r="P1859" s="544"/>
      <c r="R1859" s="543" t="str">
        <f t="shared" si="87"/>
        <v>:</v>
      </c>
      <c r="S1859" s="544">
        <f t="shared" si="86"/>
        <v>0</v>
      </c>
    </row>
    <row r="1860" spans="2:19">
      <c r="B1860" s="146"/>
      <c r="C1860" s="146"/>
      <c r="D1860" s="543" t="str">
        <f t="shared" si="85"/>
        <v/>
      </c>
      <c r="I1860" s="146"/>
      <c r="J1860" s="146"/>
      <c r="K1860" s="146"/>
      <c r="L1860" s="146"/>
      <c r="M1860" s="544"/>
      <c r="N1860" s="544"/>
      <c r="O1860" s="544"/>
      <c r="P1860" s="544"/>
      <c r="R1860" s="543" t="str">
        <f t="shared" si="87"/>
        <v>:</v>
      </c>
      <c r="S1860" s="544">
        <f t="shared" si="86"/>
        <v>0</v>
      </c>
    </row>
    <row r="1861" spans="2:19">
      <c r="B1861" s="146"/>
      <c r="C1861" s="146"/>
      <c r="D1861" s="543" t="str">
        <f t="shared" si="85"/>
        <v/>
      </c>
      <c r="I1861" s="146"/>
      <c r="J1861" s="146"/>
      <c r="K1861" s="146"/>
      <c r="L1861" s="146"/>
      <c r="M1861" s="544"/>
      <c r="N1861" s="544"/>
      <c r="O1861" s="544"/>
      <c r="P1861" s="544"/>
      <c r="R1861" s="543" t="str">
        <f t="shared" si="87"/>
        <v>:</v>
      </c>
      <c r="S1861" s="544">
        <f t="shared" si="86"/>
        <v>0</v>
      </c>
    </row>
    <row r="1862" spans="2:19">
      <c r="B1862" s="146"/>
      <c r="C1862" s="146"/>
      <c r="D1862" s="543" t="str">
        <f t="shared" si="85"/>
        <v/>
      </c>
      <c r="I1862" s="146"/>
      <c r="J1862" s="146"/>
      <c r="K1862" s="146"/>
      <c r="L1862" s="146"/>
      <c r="M1862" s="544"/>
      <c r="N1862" s="544"/>
      <c r="O1862" s="544"/>
      <c r="P1862" s="544"/>
      <c r="R1862" s="543" t="str">
        <f t="shared" si="87"/>
        <v>:</v>
      </c>
      <c r="S1862" s="544">
        <f t="shared" si="86"/>
        <v>0</v>
      </c>
    </row>
    <row r="1863" spans="2:19">
      <c r="B1863" s="146"/>
      <c r="C1863" s="146"/>
      <c r="D1863" s="543" t="str">
        <f t="shared" si="85"/>
        <v/>
      </c>
      <c r="I1863" s="146"/>
      <c r="J1863" s="146"/>
      <c r="K1863" s="146"/>
      <c r="L1863" s="146"/>
      <c r="M1863" s="544"/>
      <c r="N1863" s="544"/>
      <c r="O1863" s="544"/>
      <c r="P1863" s="544"/>
      <c r="R1863" s="543" t="str">
        <f t="shared" si="87"/>
        <v>:</v>
      </c>
      <c r="S1863" s="544">
        <f t="shared" si="86"/>
        <v>0</v>
      </c>
    </row>
    <row r="1864" spans="2:19">
      <c r="B1864" s="146"/>
      <c r="C1864" s="146"/>
      <c r="D1864" s="543" t="str">
        <f t="shared" si="85"/>
        <v/>
      </c>
      <c r="I1864" s="146"/>
      <c r="J1864" s="146"/>
      <c r="K1864" s="146"/>
      <c r="L1864" s="146"/>
      <c r="M1864" s="544"/>
      <c r="N1864" s="544"/>
      <c r="O1864" s="544"/>
      <c r="P1864" s="544"/>
      <c r="R1864" s="543" t="str">
        <f t="shared" si="87"/>
        <v>:</v>
      </c>
      <c r="S1864" s="544">
        <f t="shared" si="86"/>
        <v>0</v>
      </c>
    </row>
    <row r="1865" spans="2:19">
      <c r="B1865" s="146"/>
      <c r="C1865" s="146"/>
      <c r="D1865" s="543" t="str">
        <f t="shared" si="85"/>
        <v/>
      </c>
      <c r="I1865" s="146"/>
      <c r="J1865" s="146"/>
      <c r="K1865" s="146"/>
      <c r="L1865" s="146"/>
      <c r="M1865" s="544"/>
      <c r="N1865" s="544"/>
      <c r="O1865" s="544"/>
      <c r="P1865" s="544"/>
      <c r="R1865" s="543" t="str">
        <f t="shared" si="87"/>
        <v>:</v>
      </c>
      <c r="S1865" s="544">
        <f t="shared" si="86"/>
        <v>0</v>
      </c>
    </row>
    <row r="1866" spans="2:19">
      <c r="B1866" s="146"/>
      <c r="C1866" s="146"/>
      <c r="D1866" s="543" t="str">
        <f t="shared" ref="D1866:D1929" si="88">IF(B1866="","",B1866&amp;":"&amp;C1866)</f>
        <v/>
      </c>
      <c r="I1866" s="146"/>
      <c r="J1866" s="146"/>
      <c r="K1866" s="146"/>
      <c r="L1866" s="146"/>
      <c r="M1866" s="544"/>
      <c r="N1866" s="544"/>
      <c r="O1866" s="544"/>
      <c r="P1866" s="544"/>
      <c r="R1866" s="543" t="str">
        <f t="shared" si="87"/>
        <v>:</v>
      </c>
      <c r="S1866" s="544">
        <f t="shared" ref="S1866:S1929" si="89">HLOOKUP($S$8,$L$8:$P$2000,ROW()-7,FALSE)</f>
        <v>0</v>
      </c>
    </row>
    <row r="1867" spans="2:19">
      <c r="B1867" s="146"/>
      <c r="C1867" s="146"/>
      <c r="D1867" s="543" t="str">
        <f t="shared" si="88"/>
        <v/>
      </c>
      <c r="I1867" s="146"/>
      <c r="J1867" s="146"/>
      <c r="K1867" s="146"/>
      <c r="L1867" s="146"/>
      <c r="M1867" s="544"/>
      <c r="N1867" s="544"/>
      <c r="O1867" s="544"/>
      <c r="P1867" s="544"/>
      <c r="R1867" s="543" t="str">
        <f t="shared" si="87"/>
        <v>:</v>
      </c>
      <c r="S1867" s="544">
        <f t="shared" si="89"/>
        <v>0</v>
      </c>
    </row>
    <row r="1868" spans="2:19">
      <c r="B1868" s="146"/>
      <c r="C1868" s="146"/>
      <c r="D1868" s="543" t="str">
        <f t="shared" si="88"/>
        <v/>
      </c>
      <c r="I1868" s="146"/>
      <c r="J1868" s="146"/>
      <c r="K1868" s="146"/>
      <c r="L1868" s="146"/>
      <c r="M1868" s="544"/>
      <c r="N1868" s="544"/>
      <c r="O1868" s="544"/>
      <c r="P1868" s="544"/>
      <c r="R1868" s="543" t="str">
        <f t="shared" si="87"/>
        <v>:</v>
      </c>
      <c r="S1868" s="544">
        <f t="shared" si="89"/>
        <v>0</v>
      </c>
    </row>
    <row r="1869" spans="2:19">
      <c r="B1869" s="146"/>
      <c r="C1869" s="146"/>
      <c r="D1869" s="543" t="str">
        <f t="shared" si="88"/>
        <v/>
      </c>
      <c r="I1869" s="146"/>
      <c r="J1869" s="146"/>
      <c r="K1869" s="146"/>
      <c r="L1869" s="146"/>
      <c r="M1869" s="544"/>
      <c r="N1869" s="544"/>
      <c r="O1869" s="544"/>
      <c r="P1869" s="544"/>
      <c r="R1869" s="543" t="str">
        <f t="shared" ref="R1869:R1932" si="90">I1869&amp;":"&amp;J1869&amp;K1869</f>
        <v>:</v>
      </c>
      <c r="S1869" s="544">
        <f t="shared" si="89"/>
        <v>0</v>
      </c>
    </row>
    <row r="1870" spans="2:19">
      <c r="B1870" s="146"/>
      <c r="C1870" s="146"/>
      <c r="D1870" s="543" t="str">
        <f t="shared" si="88"/>
        <v/>
      </c>
      <c r="I1870" s="146"/>
      <c r="J1870" s="146"/>
      <c r="K1870" s="146"/>
      <c r="L1870" s="146"/>
      <c r="M1870" s="544"/>
      <c r="N1870" s="544"/>
      <c r="O1870" s="544"/>
      <c r="P1870" s="544"/>
      <c r="R1870" s="543" t="str">
        <f t="shared" si="90"/>
        <v>:</v>
      </c>
      <c r="S1870" s="544">
        <f t="shared" si="89"/>
        <v>0</v>
      </c>
    </row>
    <row r="1871" spans="2:19">
      <c r="B1871" s="146"/>
      <c r="C1871" s="146"/>
      <c r="D1871" s="543" t="str">
        <f t="shared" si="88"/>
        <v/>
      </c>
      <c r="I1871" s="146"/>
      <c r="J1871" s="146"/>
      <c r="K1871" s="146"/>
      <c r="L1871" s="146"/>
      <c r="M1871" s="544"/>
      <c r="N1871" s="544"/>
      <c r="O1871" s="544"/>
      <c r="P1871" s="544"/>
      <c r="R1871" s="543" t="str">
        <f t="shared" si="90"/>
        <v>:</v>
      </c>
      <c r="S1871" s="544">
        <f t="shared" si="89"/>
        <v>0</v>
      </c>
    </row>
    <row r="1872" spans="2:19">
      <c r="B1872" s="146"/>
      <c r="C1872" s="146"/>
      <c r="D1872" s="543" t="str">
        <f t="shared" si="88"/>
        <v/>
      </c>
      <c r="I1872" s="146"/>
      <c r="J1872" s="146"/>
      <c r="K1872" s="146"/>
      <c r="L1872" s="146"/>
      <c r="M1872" s="544"/>
      <c r="N1872" s="544"/>
      <c r="O1872" s="544"/>
      <c r="P1872" s="544"/>
      <c r="R1872" s="543" t="str">
        <f t="shared" si="90"/>
        <v>:</v>
      </c>
      <c r="S1872" s="544">
        <f t="shared" si="89"/>
        <v>0</v>
      </c>
    </row>
    <row r="1873" spans="2:19">
      <c r="B1873" s="146"/>
      <c r="C1873" s="146"/>
      <c r="D1873" s="543" t="str">
        <f t="shared" si="88"/>
        <v/>
      </c>
      <c r="I1873" s="146"/>
      <c r="J1873" s="146"/>
      <c r="K1873" s="146"/>
      <c r="L1873" s="146"/>
      <c r="M1873" s="544"/>
      <c r="N1873" s="544"/>
      <c r="O1873" s="544"/>
      <c r="P1873" s="544"/>
      <c r="R1873" s="543" t="str">
        <f t="shared" si="90"/>
        <v>:</v>
      </c>
      <c r="S1873" s="544">
        <f t="shared" si="89"/>
        <v>0</v>
      </c>
    </row>
    <row r="1874" spans="2:19">
      <c r="B1874" s="146"/>
      <c r="C1874" s="146"/>
      <c r="D1874" s="543" t="str">
        <f t="shared" si="88"/>
        <v/>
      </c>
      <c r="I1874" s="146"/>
      <c r="J1874" s="146"/>
      <c r="K1874" s="146"/>
      <c r="L1874" s="146"/>
      <c r="M1874" s="544"/>
      <c r="N1874" s="544"/>
      <c r="O1874" s="544"/>
      <c r="P1874" s="544"/>
      <c r="R1874" s="543" t="str">
        <f t="shared" si="90"/>
        <v>:</v>
      </c>
      <c r="S1874" s="544">
        <f t="shared" si="89"/>
        <v>0</v>
      </c>
    </row>
    <row r="1875" spans="2:19">
      <c r="B1875" s="146"/>
      <c r="C1875" s="146"/>
      <c r="D1875" s="543" t="str">
        <f t="shared" si="88"/>
        <v/>
      </c>
      <c r="I1875" s="146"/>
      <c r="J1875" s="146"/>
      <c r="K1875" s="146"/>
      <c r="L1875" s="146"/>
      <c r="M1875" s="544"/>
      <c r="N1875" s="544"/>
      <c r="O1875" s="544"/>
      <c r="P1875" s="544"/>
      <c r="R1875" s="543" t="str">
        <f t="shared" si="90"/>
        <v>:</v>
      </c>
      <c r="S1875" s="544">
        <f t="shared" si="89"/>
        <v>0</v>
      </c>
    </row>
    <row r="1876" spans="2:19">
      <c r="B1876" s="146"/>
      <c r="C1876" s="146"/>
      <c r="D1876" s="543" t="str">
        <f t="shared" si="88"/>
        <v/>
      </c>
      <c r="I1876" s="146"/>
      <c r="J1876" s="146"/>
      <c r="K1876" s="146"/>
      <c r="L1876" s="146"/>
      <c r="M1876" s="544"/>
      <c r="N1876" s="544"/>
      <c r="O1876" s="544"/>
      <c r="P1876" s="544"/>
      <c r="R1876" s="543" t="str">
        <f t="shared" si="90"/>
        <v>:</v>
      </c>
      <c r="S1876" s="544">
        <f t="shared" si="89"/>
        <v>0</v>
      </c>
    </row>
    <row r="1877" spans="2:19">
      <c r="B1877" s="146"/>
      <c r="C1877" s="146"/>
      <c r="D1877" s="543" t="str">
        <f t="shared" si="88"/>
        <v/>
      </c>
      <c r="I1877" s="146"/>
      <c r="J1877" s="146"/>
      <c r="K1877" s="146"/>
      <c r="L1877" s="146"/>
      <c r="M1877" s="544"/>
      <c r="N1877" s="544"/>
      <c r="O1877" s="544"/>
      <c r="P1877" s="544"/>
      <c r="R1877" s="543" t="str">
        <f t="shared" si="90"/>
        <v>:</v>
      </c>
      <c r="S1877" s="544">
        <f t="shared" si="89"/>
        <v>0</v>
      </c>
    </row>
    <row r="1878" spans="2:19">
      <c r="B1878" s="146"/>
      <c r="C1878" s="146"/>
      <c r="D1878" s="543" t="str">
        <f t="shared" si="88"/>
        <v/>
      </c>
      <c r="I1878" s="146"/>
      <c r="J1878" s="146"/>
      <c r="K1878" s="146"/>
      <c r="L1878" s="146"/>
      <c r="M1878" s="544"/>
      <c r="N1878" s="544"/>
      <c r="O1878" s="544"/>
      <c r="P1878" s="544"/>
      <c r="R1878" s="543" t="str">
        <f t="shared" si="90"/>
        <v>:</v>
      </c>
      <c r="S1878" s="544">
        <f t="shared" si="89"/>
        <v>0</v>
      </c>
    </row>
    <row r="1879" spans="2:19">
      <c r="B1879" s="146"/>
      <c r="C1879" s="146"/>
      <c r="D1879" s="543" t="str">
        <f t="shared" si="88"/>
        <v/>
      </c>
      <c r="I1879" s="146"/>
      <c r="J1879" s="146"/>
      <c r="K1879" s="146"/>
      <c r="L1879" s="146"/>
      <c r="M1879" s="544"/>
      <c r="N1879" s="544"/>
      <c r="O1879" s="544"/>
      <c r="P1879" s="544"/>
      <c r="R1879" s="543" t="str">
        <f t="shared" si="90"/>
        <v>:</v>
      </c>
      <c r="S1879" s="544">
        <f t="shared" si="89"/>
        <v>0</v>
      </c>
    </row>
    <row r="1880" spans="2:19">
      <c r="B1880" s="146"/>
      <c r="C1880" s="146"/>
      <c r="D1880" s="543" t="str">
        <f t="shared" si="88"/>
        <v/>
      </c>
      <c r="I1880" s="146"/>
      <c r="J1880" s="146"/>
      <c r="K1880" s="146"/>
      <c r="L1880" s="146"/>
      <c r="M1880" s="544"/>
      <c r="N1880" s="544"/>
      <c r="O1880" s="544"/>
      <c r="P1880" s="544"/>
      <c r="R1880" s="543" t="str">
        <f t="shared" si="90"/>
        <v>:</v>
      </c>
      <c r="S1880" s="544">
        <f t="shared" si="89"/>
        <v>0</v>
      </c>
    </row>
    <row r="1881" spans="2:19">
      <c r="B1881" s="146"/>
      <c r="C1881" s="146"/>
      <c r="D1881" s="543" t="str">
        <f t="shared" si="88"/>
        <v/>
      </c>
      <c r="I1881" s="146"/>
      <c r="J1881" s="146"/>
      <c r="K1881" s="146"/>
      <c r="L1881" s="146"/>
      <c r="M1881" s="544"/>
      <c r="N1881" s="544"/>
      <c r="O1881" s="544"/>
      <c r="P1881" s="544"/>
      <c r="R1881" s="543" t="str">
        <f t="shared" si="90"/>
        <v>:</v>
      </c>
      <c r="S1881" s="544">
        <f t="shared" si="89"/>
        <v>0</v>
      </c>
    </row>
    <row r="1882" spans="2:19">
      <c r="B1882" s="146"/>
      <c r="C1882" s="146"/>
      <c r="D1882" s="543" t="str">
        <f t="shared" si="88"/>
        <v/>
      </c>
      <c r="I1882" s="146"/>
      <c r="J1882" s="146"/>
      <c r="K1882" s="146"/>
      <c r="L1882" s="146"/>
      <c r="M1882" s="544"/>
      <c r="N1882" s="544"/>
      <c r="O1882" s="544"/>
      <c r="P1882" s="544"/>
      <c r="R1882" s="543" t="str">
        <f t="shared" si="90"/>
        <v>:</v>
      </c>
      <c r="S1882" s="544">
        <f t="shared" si="89"/>
        <v>0</v>
      </c>
    </row>
    <row r="1883" spans="2:19">
      <c r="B1883" s="146"/>
      <c r="C1883" s="146"/>
      <c r="D1883" s="543" t="str">
        <f t="shared" si="88"/>
        <v/>
      </c>
      <c r="I1883" s="146"/>
      <c r="J1883" s="146"/>
      <c r="K1883" s="146"/>
      <c r="L1883" s="146"/>
      <c r="M1883" s="544"/>
      <c r="N1883" s="544"/>
      <c r="O1883" s="544"/>
      <c r="P1883" s="544"/>
      <c r="R1883" s="543" t="str">
        <f t="shared" si="90"/>
        <v>:</v>
      </c>
      <c r="S1883" s="544">
        <f t="shared" si="89"/>
        <v>0</v>
      </c>
    </row>
    <row r="1884" spans="2:19">
      <c r="B1884" s="146"/>
      <c r="C1884" s="146"/>
      <c r="D1884" s="543" t="str">
        <f t="shared" si="88"/>
        <v/>
      </c>
      <c r="I1884" s="146"/>
      <c r="J1884" s="146"/>
      <c r="K1884" s="146"/>
      <c r="L1884" s="146"/>
      <c r="M1884" s="544"/>
      <c r="N1884" s="544"/>
      <c r="O1884" s="544"/>
      <c r="P1884" s="544"/>
      <c r="R1884" s="543" t="str">
        <f t="shared" si="90"/>
        <v>:</v>
      </c>
      <c r="S1884" s="544">
        <f t="shared" si="89"/>
        <v>0</v>
      </c>
    </row>
    <row r="1885" spans="2:19">
      <c r="B1885" s="146"/>
      <c r="C1885" s="146"/>
      <c r="D1885" s="543" t="str">
        <f t="shared" si="88"/>
        <v/>
      </c>
      <c r="I1885" s="146"/>
      <c r="J1885" s="146"/>
      <c r="K1885" s="146"/>
      <c r="L1885" s="146"/>
      <c r="M1885" s="544"/>
      <c r="N1885" s="544"/>
      <c r="O1885" s="544"/>
      <c r="P1885" s="544"/>
      <c r="R1885" s="543" t="str">
        <f t="shared" si="90"/>
        <v>:</v>
      </c>
      <c r="S1885" s="544">
        <f t="shared" si="89"/>
        <v>0</v>
      </c>
    </row>
    <row r="1886" spans="2:19">
      <c r="B1886" s="146"/>
      <c r="C1886" s="146"/>
      <c r="D1886" s="543" t="str">
        <f t="shared" si="88"/>
        <v/>
      </c>
      <c r="I1886" s="146"/>
      <c r="J1886" s="146"/>
      <c r="K1886" s="146"/>
      <c r="L1886" s="146"/>
      <c r="M1886" s="544"/>
      <c r="N1886" s="544"/>
      <c r="O1886" s="544"/>
      <c r="P1886" s="544"/>
      <c r="R1886" s="543" t="str">
        <f t="shared" si="90"/>
        <v>:</v>
      </c>
      <c r="S1886" s="544">
        <f t="shared" si="89"/>
        <v>0</v>
      </c>
    </row>
    <row r="1887" spans="2:19">
      <c r="B1887" s="146"/>
      <c r="C1887" s="146"/>
      <c r="D1887" s="543" t="str">
        <f t="shared" si="88"/>
        <v/>
      </c>
      <c r="I1887" s="146"/>
      <c r="J1887" s="146"/>
      <c r="K1887" s="146"/>
      <c r="L1887" s="146"/>
      <c r="M1887" s="544"/>
      <c r="N1887" s="544"/>
      <c r="O1887" s="544"/>
      <c r="P1887" s="544"/>
      <c r="R1887" s="543" t="str">
        <f t="shared" si="90"/>
        <v>:</v>
      </c>
      <c r="S1887" s="544">
        <f t="shared" si="89"/>
        <v>0</v>
      </c>
    </row>
    <row r="1888" spans="2:19">
      <c r="B1888" s="146"/>
      <c r="C1888" s="146"/>
      <c r="D1888" s="543" t="str">
        <f t="shared" si="88"/>
        <v/>
      </c>
      <c r="I1888" s="146"/>
      <c r="J1888" s="146"/>
      <c r="K1888" s="146"/>
      <c r="L1888" s="146"/>
      <c r="M1888" s="544"/>
      <c r="N1888" s="544"/>
      <c r="O1888" s="544"/>
      <c r="P1888" s="544"/>
      <c r="R1888" s="543" t="str">
        <f t="shared" si="90"/>
        <v>:</v>
      </c>
      <c r="S1888" s="544">
        <f t="shared" si="89"/>
        <v>0</v>
      </c>
    </row>
    <row r="1889" spans="2:19">
      <c r="B1889" s="146"/>
      <c r="C1889" s="146"/>
      <c r="D1889" s="543" t="str">
        <f t="shared" si="88"/>
        <v/>
      </c>
      <c r="I1889" s="146"/>
      <c r="J1889" s="146"/>
      <c r="K1889" s="146"/>
      <c r="L1889" s="146"/>
      <c r="M1889" s="544"/>
      <c r="N1889" s="544"/>
      <c r="O1889" s="544"/>
      <c r="P1889" s="544"/>
      <c r="R1889" s="543" t="str">
        <f t="shared" si="90"/>
        <v>:</v>
      </c>
      <c r="S1889" s="544">
        <f t="shared" si="89"/>
        <v>0</v>
      </c>
    </row>
    <row r="1890" spans="2:19">
      <c r="B1890" s="146"/>
      <c r="C1890" s="146"/>
      <c r="D1890" s="543" t="str">
        <f t="shared" si="88"/>
        <v/>
      </c>
      <c r="I1890" s="146"/>
      <c r="J1890" s="146"/>
      <c r="K1890" s="146"/>
      <c r="L1890" s="146"/>
      <c r="M1890" s="544"/>
      <c r="N1890" s="544"/>
      <c r="O1890" s="544"/>
      <c r="P1890" s="544"/>
      <c r="R1890" s="543" t="str">
        <f t="shared" si="90"/>
        <v>:</v>
      </c>
      <c r="S1890" s="544">
        <f t="shared" si="89"/>
        <v>0</v>
      </c>
    </row>
    <row r="1891" spans="2:19">
      <c r="B1891" s="146"/>
      <c r="C1891" s="146"/>
      <c r="D1891" s="543" t="str">
        <f t="shared" si="88"/>
        <v/>
      </c>
      <c r="I1891" s="146"/>
      <c r="J1891" s="146"/>
      <c r="K1891" s="146"/>
      <c r="L1891" s="146"/>
      <c r="M1891" s="544"/>
      <c r="N1891" s="544"/>
      <c r="O1891" s="544"/>
      <c r="P1891" s="544"/>
      <c r="R1891" s="543" t="str">
        <f t="shared" si="90"/>
        <v>:</v>
      </c>
      <c r="S1891" s="544">
        <f t="shared" si="89"/>
        <v>0</v>
      </c>
    </row>
    <row r="1892" spans="2:19">
      <c r="B1892" s="146"/>
      <c r="C1892" s="146"/>
      <c r="D1892" s="543" t="str">
        <f t="shared" si="88"/>
        <v/>
      </c>
      <c r="I1892" s="146"/>
      <c r="J1892" s="146"/>
      <c r="K1892" s="146"/>
      <c r="L1892" s="146"/>
      <c r="M1892" s="544"/>
      <c r="N1892" s="544"/>
      <c r="O1892" s="544"/>
      <c r="P1892" s="544"/>
      <c r="R1892" s="543" t="str">
        <f t="shared" si="90"/>
        <v>:</v>
      </c>
      <c r="S1892" s="544">
        <f t="shared" si="89"/>
        <v>0</v>
      </c>
    </row>
    <row r="1893" spans="2:19">
      <c r="B1893" s="146"/>
      <c r="C1893" s="146"/>
      <c r="D1893" s="543" t="str">
        <f t="shared" si="88"/>
        <v/>
      </c>
      <c r="I1893" s="146"/>
      <c r="J1893" s="146"/>
      <c r="K1893" s="146"/>
      <c r="L1893" s="146"/>
      <c r="M1893" s="544"/>
      <c r="N1893" s="544"/>
      <c r="O1893" s="544"/>
      <c r="P1893" s="544"/>
      <c r="R1893" s="543" t="str">
        <f t="shared" si="90"/>
        <v>:</v>
      </c>
      <c r="S1893" s="544">
        <f t="shared" si="89"/>
        <v>0</v>
      </c>
    </row>
    <row r="1894" spans="2:19">
      <c r="B1894" s="146"/>
      <c r="C1894" s="146"/>
      <c r="D1894" s="543" t="str">
        <f t="shared" si="88"/>
        <v/>
      </c>
      <c r="I1894" s="146"/>
      <c r="J1894" s="146"/>
      <c r="K1894" s="146"/>
      <c r="L1894" s="146"/>
      <c r="M1894" s="544"/>
      <c r="N1894" s="544"/>
      <c r="O1894" s="544"/>
      <c r="P1894" s="544"/>
      <c r="R1894" s="543" t="str">
        <f t="shared" si="90"/>
        <v>:</v>
      </c>
      <c r="S1894" s="544">
        <f t="shared" si="89"/>
        <v>0</v>
      </c>
    </row>
    <row r="1895" spans="2:19">
      <c r="B1895" s="146"/>
      <c r="C1895" s="146"/>
      <c r="D1895" s="543" t="str">
        <f t="shared" si="88"/>
        <v/>
      </c>
      <c r="I1895" s="146"/>
      <c r="J1895" s="146"/>
      <c r="K1895" s="146"/>
      <c r="L1895" s="146"/>
      <c r="M1895" s="544"/>
      <c r="N1895" s="544"/>
      <c r="O1895" s="544"/>
      <c r="P1895" s="544"/>
      <c r="R1895" s="543" t="str">
        <f t="shared" si="90"/>
        <v>:</v>
      </c>
      <c r="S1895" s="544">
        <f t="shared" si="89"/>
        <v>0</v>
      </c>
    </row>
    <row r="1896" spans="2:19">
      <c r="B1896" s="146"/>
      <c r="C1896" s="146"/>
      <c r="D1896" s="543" t="str">
        <f t="shared" si="88"/>
        <v/>
      </c>
      <c r="I1896" s="146"/>
      <c r="J1896" s="146"/>
      <c r="K1896" s="146"/>
      <c r="L1896" s="146"/>
      <c r="M1896" s="544"/>
      <c r="N1896" s="544"/>
      <c r="O1896" s="544"/>
      <c r="P1896" s="544"/>
      <c r="R1896" s="543" t="str">
        <f t="shared" si="90"/>
        <v>:</v>
      </c>
      <c r="S1896" s="544">
        <f t="shared" si="89"/>
        <v>0</v>
      </c>
    </row>
    <row r="1897" spans="2:19">
      <c r="B1897" s="146"/>
      <c r="C1897" s="146"/>
      <c r="D1897" s="543" t="str">
        <f t="shared" si="88"/>
        <v/>
      </c>
      <c r="I1897" s="146"/>
      <c r="J1897" s="146"/>
      <c r="K1897" s="146"/>
      <c r="L1897" s="146"/>
      <c r="M1897" s="544"/>
      <c r="N1897" s="544"/>
      <c r="O1897" s="544"/>
      <c r="P1897" s="544"/>
      <c r="R1897" s="543" t="str">
        <f t="shared" si="90"/>
        <v>:</v>
      </c>
      <c r="S1897" s="544">
        <f t="shared" si="89"/>
        <v>0</v>
      </c>
    </row>
    <row r="1898" spans="2:19">
      <c r="B1898" s="146"/>
      <c r="C1898" s="146"/>
      <c r="D1898" s="543" t="str">
        <f t="shared" si="88"/>
        <v/>
      </c>
      <c r="I1898" s="146"/>
      <c r="J1898" s="146"/>
      <c r="K1898" s="146"/>
      <c r="L1898" s="146"/>
      <c r="M1898" s="544"/>
      <c r="N1898" s="544"/>
      <c r="O1898" s="544"/>
      <c r="P1898" s="544"/>
      <c r="R1898" s="543" t="str">
        <f t="shared" si="90"/>
        <v>:</v>
      </c>
      <c r="S1898" s="544">
        <f t="shared" si="89"/>
        <v>0</v>
      </c>
    </row>
    <row r="1899" spans="2:19">
      <c r="B1899" s="146"/>
      <c r="C1899" s="146"/>
      <c r="D1899" s="543" t="str">
        <f t="shared" si="88"/>
        <v/>
      </c>
      <c r="I1899" s="146"/>
      <c r="J1899" s="146"/>
      <c r="K1899" s="146"/>
      <c r="L1899" s="146"/>
      <c r="M1899" s="544"/>
      <c r="N1899" s="544"/>
      <c r="O1899" s="544"/>
      <c r="P1899" s="544"/>
      <c r="R1899" s="543" t="str">
        <f t="shared" si="90"/>
        <v>:</v>
      </c>
      <c r="S1899" s="544">
        <f t="shared" si="89"/>
        <v>0</v>
      </c>
    </row>
    <row r="1900" spans="2:19">
      <c r="B1900" s="146"/>
      <c r="C1900" s="146"/>
      <c r="D1900" s="543" t="str">
        <f t="shared" si="88"/>
        <v/>
      </c>
      <c r="I1900" s="146"/>
      <c r="J1900" s="146"/>
      <c r="K1900" s="146"/>
      <c r="L1900" s="146"/>
      <c r="M1900" s="544"/>
      <c r="N1900" s="544"/>
      <c r="O1900" s="544"/>
      <c r="P1900" s="544"/>
      <c r="R1900" s="543" t="str">
        <f t="shared" si="90"/>
        <v>:</v>
      </c>
      <c r="S1900" s="544">
        <f t="shared" si="89"/>
        <v>0</v>
      </c>
    </row>
    <row r="1901" spans="2:19">
      <c r="B1901" s="146"/>
      <c r="C1901" s="146"/>
      <c r="D1901" s="543" t="str">
        <f t="shared" si="88"/>
        <v/>
      </c>
      <c r="I1901" s="146"/>
      <c r="J1901" s="146"/>
      <c r="K1901" s="146"/>
      <c r="L1901" s="146"/>
      <c r="M1901" s="544"/>
      <c r="N1901" s="544"/>
      <c r="O1901" s="544"/>
      <c r="P1901" s="544"/>
      <c r="R1901" s="543" t="str">
        <f t="shared" si="90"/>
        <v>:</v>
      </c>
      <c r="S1901" s="544">
        <f t="shared" si="89"/>
        <v>0</v>
      </c>
    </row>
    <row r="1902" spans="2:19">
      <c r="B1902" s="146"/>
      <c r="C1902" s="146"/>
      <c r="D1902" s="543" t="str">
        <f t="shared" si="88"/>
        <v/>
      </c>
      <c r="I1902" s="146"/>
      <c r="J1902" s="146"/>
      <c r="K1902" s="146"/>
      <c r="L1902" s="146"/>
      <c r="M1902" s="544"/>
      <c r="N1902" s="544"/>
      <c r="O1902" s="544"/>
      <c r="P1902" s="544"/>
      <c r="R1902" s="543" t="str">
        <f t="shared" si="90"/>
        <v>:</v>
      </c>
      <c r="S1902" s="544">
        <f t="shared" si="89"/>
        <v>0</v>
      </c>
    </row>
    <row r="1903" spans="2:19">
      <c r="B1903" s="146"/>
      <c r="C1903" s="146"/>
      <c r="D1903" s="543" t="str">
        <f t="shared" si="88"/>
        <v/>
      </c>
      <c r="I1903" s="146"/>
      <c r="J1903" s="146"/>
      <c r="K1903" s="146"/>
      <c r="L1903" s="146"/>
      <c r="M1903" s="544"/>
      <c r="N1903" s="544"/>
      <c r="O1903" s="544"/>
      <c r="P1903" s="544"/>
      <c r="R1903" s="543" t="str">
        <f t="shared" si="90"/>
        <v>:</v>
      </c>
      <c r="S1903" s="544">
        <f t="shared" si="89"/>
        <v>0</v>
      </c>
    </row>
    <row r="1904" spans="2:19">
      <c r="B1904" s="146"/>
      <c r="C1904" s="146"/>
      <c r="D1904" s="543" t="str">
        <f t="shared" si="88"/>
        <v/>
      </c>
      <c r="I1904" s="146"/>
      <c r="J1904" s="146"/>
      <c r="K1904" s="146"/>
      <c r="L1904" s="146"/>
      <c r="M1904" s="544"/>
      <c r="N1904" s="544"/>
      <c r="O1904" s="544"/>
      <c r="P1904" s="544"/>
      <c r="R1904" s="543" t="str">
        <f t="shared" si="90"/>
        <v>:</v>
      </c>
      <c r="S1904" s="544">
        <f t="shared" si="89"/>
        <v>0</v>
      </c>
    </row>
    <row r="1905" spans="2:19">
      <c r="B1905" s="146"/>
      <c r="C1905" s="146"/>
      <c r="D1905" s="543" t="str">
        <f t="shared" si="88"/>
        <v/>
      </c>
      <c r="I1905" s="146"/>
      <c r="J1905" s="146"/>
      <c r="K1905" s="146"/>
      <c r="L1905" s="146"/>
      <c r="M1905" s="544"/>
      <c r="N1905" s="544"/>
      <c r="O1905" s="544"/>
      <c r="P1905" s="544"/>
      <c r="R1905" s="543" t="str">
        <f t="shared" si="90"/>
        <v>:</v>
      </c>
      <c r="S1905" s="544">
        <f t="shared" si="89"/>
        <v>0</v>
      </c>
    </row>
    <row r="1906" spans="2:19">
      <c r="B1906" s="146"/>
      <c r="C1906" s="146"/>
      <c r="D1906" s="543" t="str">
        <f t="shared" si="88"/>
        <v/>
      </c>
      <c r="I1906" s="146"/>
      <c r="J1906" s="146"/>
      <c r="K1906" s="146"/>
      <c r="L1906" s="146"/>
      <c r="M1906" s="544"/>
      <c r="N1906" s="544"/>
      <c r="O1906" s="544"/>
      <c r="P1906" s="544"/>
      <c r="R1906" s="543" t="str">
        <f t="shared" si="90"/>
        <v>:</v>
      </c>
      <c r="S1906" s="544">
        <f t="shared" si="89"/>
        <v>0</v>
      </c>
    </row>
    <row r="1907" spans="2:19">
      <c r="B1907" s="146"/>
      <c r="C1907" s="146"/>
      <c r="D1907" s="543" t="str">
        <f t="shared" si="88"/>
        <v/>
      </c>
      <c r="I1907" s="146"/>
      <c r="J1907" s="146"/>
      <c r="K1907" s="146"/>
      <c r="L1907" s="146"/>
      <c r="M1907" s="544"/>
      <c r="N1907" s="544"/>
      <c r="O1907" s="544"/>
      <c r="P1907" s="544"/>
      <c r="R1907" s="543" t="str">
        <f t="shared" si="90"/>
        <v>:</v>
      </c>
      <c r="S1907" s="544">
        <f t="shared" si="89"/>
        <v>0</v>
      </c>
    </row>
    <row r="1908" spans="2:19">
      <c r="B1908" s="146"/>
      <c r="C1908" s="146"/>
      <c r="D1908" s="543" t="str">
        <f t="shared" si="88"/>
        <v/>
      </c>
      <c r="I1908" s="146"/>
      <c r="J1908" s="146"/>
      <c r="K1908" s="146"/>
      <c r="L1908" s="146"/>
      <c r="M1908" s="544"/>
      <c r="N1908" s="544"/>
      <c r="O1908" s="544"/>
      <c r="P1908" s="544"/>
      <c r="R1908" s="543" t="str">
        <f t="shared" si="90"/>
        <v>:</v>
      </c>
      <c r="S1908" s="544">
        <f t="shared" si="89"/>
        <v>0</v>
      </c>
    </row>
    <row r="1909" spans="2:19">
      <c r="B1909" s="146"/>
      <c r="C1909" s="146"/>
      <c r="D1909" s="543" t="str">
        <f t="shared" si="88"/>
        <v/>
      </c>
      <c r="I1909" s="146"/>
      <c r="J1909" s="146"/>
      <c r="K1909" s="146"/>
      <c r="L1909" s="146"/>
      <c r="M1909" s="544"/>
      <c r="N1909" s="544"/>
      <c r="O1909" s="544"/>
      <c r="P1909" s="544"/>
      <c r="R1909" s="543" t="str">
        <f t="shared" si="90"/>
        <v>:</v>
      </c>
      <c r="S1909" s="544">
        <f t="shared" si="89"/>
        <v>0</v>
      </c>
    </row>
    <row r="1910" spans="2:19">
      <c r="B1910" s="146"/>
      <c r="C1910" s="146"/>
      <c r="D1910" s="543" t="str">
        <f t="shared" si="88"/>
        <v/>
      </c>
      <c r="I1910" s="146"/>
      <c r="J1910" s="146"/>
      <c r="K1910" s="146"/>
      <c r="L1910" s="146"/>
      <c r="M1910" s="544"/>
      <c r="N1910" s="544"/>
      <c r="O1910" s="544"/>
      <c r="P1910" s="544"/>
      <c r="R1910" s="543" t="str">
        <f t="shared" si="90"/>
        <v>:</v>
      </c>
      <c r="S1910" s="544">
        <f t="shared" si="89"/>
        <v>0</v>
      </c>
    </row>
    <row r="1911" spans="2:19">
      <c r="B1911" s="146"/>
      <c r="C1911" s="146"/>
      <c r="D1911" s="543" t="str">
        <f t="shared" si="88"/>
        <v/>
      </c>
      <c r="I1911" s="146"/>
      <c r="J1911" s="146"/>
      <c r="K1911" s="146"/>
      <c r="L1911" s="146"/>
      <c r="M1911" s="544"/>
      <c r="N1911" s="544"/>
      <c r="O1911" s="544"/>
      <c r="P1911" s="544"/>
      <c r="R1911" s="543" t="str">
        <f t="shared" si="90"/>
        <v>:</v>
      </c>
      <c r="S1911" s="544">
        <f t="shared" si="89"/>
        <v>0</v>
      </c>
    </row>
    <row r="1912" spans="2:19">
      <c r="B1912" s="146"/>
      <c r="C1912" s="146"/>
      <c r="D1912" s="543" t="str">
        <f t="shared" si="88"/>
        <v/>
      </c>
      <c r="I1912" s="146"/>
      <c r="J1912" s="146"/>
      <c r="K1912" s="146"/>
      <c r="L1912" s="146"/>
      <c r="M1912" s="544"/>
      <c r="N1912" s="544"/>
      <c r="O1912" s="544"/>
      <c r="P1912" s="544"/>
      <c r="R1912" s="543" t="str">
        <f t="shared" si="90"/>
        <v>:</v>
      </c>
      <c r="S1912" s="544">
        <f t="shared" si="89"/>
        <v>0</v>
      </c>
    </row>
    <row r="1913" spans="2:19">
      <c r="B1913" s="146"/>
      <c r="C1913" s="146"/>
      <c r="D1913" s="543" t="str">
        <f t="shared" si="88"/>
        <v/>
      </c>
      <c r="I1913" s="146"/>
      <c r="J1913" s="146"/>
      <c r="K1913" s="146"/>
      <c r="L1913" s="146"/>
      <c r="M1913" s="544"/>
      <c r="N1913" s="544"/>
      <c r="O1913" s="544"/>
      <c r="P1913" s="544"/>
      <c r="R1913" s="543" t="str">
        <f t="shared" si="90"/>
        <v>:</v>
      </c>
      <c r="S1913" s="544">
        <f t="shared" si="89"/>
        <v>0</v>
      </c>
    </row>
    <row r="1914" spans="2:19">
      <c r="B1914" s="146"/>
      <c r="C1914" s="146"/>
      <c r="D1914" s="543" t="str">
        <f t="shared" si="88"/>
        <v/>
      </c>
      <c r="I1914" s="146"/>
      <c r="J1914" s="146"/>
      <c r="K1914" s="146"/>
      <c r="L1914" s="146"/>
      <c r="M1914" s="544"/>
      <c r="N1914" s="544"/>
      <c r="O1914" s="544"/>
      <c r="P1914" s="544"/>
      <c r="R1914" s="543" t="str">
        <f t="shared" si="90"/>
        <v>:</v>
      </c>
      <c r="S1914" s="544">
        <f t="shared" si="89"/>
        <v>0</v>
      </c>
    </row>
    <row r="1915" spans="2:19">
      <c r="B1915" s="146"/>
      <c r="C1915" s="146"/>
      <c r="D1915" s="543" t="str">
        <f t="shared" si="88"/>
        <v/>
      </c>
      <c r="I1915" s="146"/>
      <c r="J1915" s="146"/>
      <c r="K1915" s="146"/>
      <c r="L1915" s="146"/>
      <c r="M1915" s="544"/>
      <c r="N1915" s="544"/>
      <c r="O1915" s="544"/>
      <c r="P1915" s="544"/>
      <c r="R1915" s="543" t="str">
        <f t="shared" si="90"/>
        <v>:</v>
      </c>
      <c r="S1915" s="544">
        <f t="shared" si="89"/>
        <v>0</v>
      </c>
    </row>
    <row r="1916" spans="2:19">
      <c r="B1916" s="146"/>
      <c r="C1916" s="146"/>
      <c r="D1916" s="543" t="str">
        <f t="shared" si="88"/>
        <v/>
      </c>
      <c r="I1916" s="146"/>
      <c r="J1916" s="146"/>
      <c r="K1916" s="146"/>
      <c r="L1916" s="146"/>
      <c r="M1916" s="544"/>
      <c r="N1916" s="544"/>
      <c r="O1916" s="544"/>
      <c r="P1916" s="544"/>
      <c r="R1916" s="543" t="str">
        <f t="shared" si="90"/>
        <v>:</v>
      </c>
      <c r="S1916" s="544">
        <f t="shared" si="89"/>
        <v>0</v>
      </c>
    </row>
    <row r="1917" spans="2:19">
      <c r="B1917" s="146"/>
      <c r="C1917" s="146"/>
      <c r="D1917" s="543" t="str">
        <f t="shared" si="88"/>
        <v/>
      </c>
      <c r="I1917" s="146"/>
      <c r="J1917" s="146"/>
      <c r="K1917" s="146"/>
      <c r="L1917" s="146"/>
      <c r="M1917" s="544"/>
      <c r="N1917" s="544"/>
      <c r="O1917" s="544"/>
      <c r="P1917" s="544"/>
      <c r="R1917" s="543" t="str">
        <f t="shared" si="90"/>
        <v>:</v>
      </c>
      <c r="S1917" s="544">
        <f t="shared" si="89"/>
        <v>0</v>
      </c>
    </row>
    <row r="1918" spans="2:19">
      <c r="B1918" s="146"/>
      <c r="C1918" s="146"/>
      <c r="D1918" s="543" t="str">
        <f t="shared" si="88"/>
        <v/>
      </c>
      <c r="I1918" s="146"/>
      <c r="J1918" s="146"/>
      <c r="K1918" s="146"/>
      <c r="L1918" s="146"/>
      <c r="M1918" s="544"/>
      <c r="N1918" s="544"/>
      <c r="O1918" s="544"/>
      <c r="P1918" s="544"/>
      <c r="R1918" s="543" t="str">
        <f t="shared" si="90"/>
        <v>:</v>
      </c>
      <c r="S1918" s="544">
        <f t="shared" si="89"/>
        <v>0</v>
      </c>
    </row>
    <row r="1919" spans="2:19">
      <c r="B1919" s="146"/>
      <c r="C1919" s="146"/>
      <c r="D1919" s="543" t="str">
        <f t="shared" si="88"/>
        <v/>
      </c>
      <c r="I1919" s="146"/>
      <c r="J1919" s="146"/>
      <c r="K1919" s="146"/>
      <c r="L1919" s="146"/>
      <c r="M1919" s="544"/>
      <c r="N1919" s="544"/>
      <c r="O1919" s="544"/>
      <c r="P1919" s="544"/>
      <c r="R1919" s="543" t="str">
        <f t="shared" si="90"/>
        <v>:</v>
      </c>
      <c r="S1919" s="544">
        <f t="shared" si="89"/>
        <v>0</v>
      </c>
    </row>
    <row r="1920" spans="2:19">
      <c r="B1920" s="146"/>
      <c r="C1920" s="146"/>
      <c r="D1920" s="543" t="str">
        <f t="shared" si="88"/>
        <v/>
      </c>
      <c r="I1920" s="146"/>
      <c r="J1920" s="146"/>
      <c r="K1920" s="146"/>
      <c r="L1920" s="146"/>
      <c r="M1920" s="544"/>
      <c r="N1920" s="544"/>
      <c r="O1920" s="544"/>
      <c r="P1920" s="544"/>
      <c r="R1920" s="543" t="str">
        <f t="shared" si="90"/>
        <v>:</v>
      </c>
      <c r="S1920" s="544">
        <f t="shared" si="89"/>
        <v>0</v>
      </c>
    </row>
    <row r="1921" spans="2:19">
      <c r="B1921" s="146"/>
      <c r="C1921" s="146"/>
      <c r="D1921" s="543" t="str">
        <f t="shared" si="88"/>
        <v/>
      </c>
      <c r="I1921" s="146"/>
      <c r="J1921" s="146"/>
      <c r="K1921" s="146"/>
      <c r="L1921" s="146"/>
      <c r="M1921" s="544"/>
      <c r="N1921" s="544"/>
      <c r="O1921" s="544"/>
      <c r="P1921" s="544"/>
      <c r="R1921" s="543" t="str">
        <f t="shared" si="90"/>
        <v>:</v>
      </c>
      <c r="S1921" s="544">
        <f t="shared" si="89"/>
        <v>0</v>
      </c>
    </row>
    <row r="1922" spans="2:19">
      <c r="B1922" s="146"/>
      <c r="C1922" s="146"/>
      <c r="D1922" s="543" t="str">
        <f t="shared" si="88"/>
        <v/>
      </c>
      <c r="I1922" s="146"/>
      <c r="J1922" s="146"/>
      <c r="K1922" s="146"/>
      <c r="L1922" s="146"/>
      <c r="M1922" s="544"/>
      <c r="N1922" s="544"/>
      <c r="O1922" s="544"/>
      <c r="P1922" s="544"/>
      <c r="R1922" s="543" t="str">
        <f t="shared" si="90"/>
        <v>:</v>
      </c>
      <c r="S1922" s="544">
        <f t="shared" si="89"/>
        <v>0</v>
      </c>
    </row>
    <row r="1923" spans="2:19">
      <c r="B1923" s="146"/>
      <c r="C1923" s="146"/>
      <c r="D1923" s="543" t="str">
        <f t="shared" si="88"/>
        <v/>
      </c>
      <c r="I1923" s="146"/>
      <c r="J1923" s="146"/>
      <c r="K1923" s="146"/>
      <c r="L1923" s="146"/>
      <c r="M1923" s="544"/>
      <c r="N1923" s="544"/>
      <c r="O1923" s="544"/>
      <c r="P1923" s="544"/>
      <c r="R1923" s="543" t="str">
        <f t="shared" si="90"/>
        <v>:</v>
      </c>
      <c r="S1923" s="544">
        <f t="shared" si="89"/>
        <v>0</v>
      </c>
    </row>
    <row r="1924" spans="2:19">
      <c r="B1924" s="146"/>
      <c r="C1924" s="146"/>
      <c r="D1924" s="543" t="str">
        <f t="shared" si="88"/>
        <v/>
      </c>
      <c r="I1924" s="146"/>
      <c r="J1924" s="146"/>
      <c r="K1924" s="146"/>
      <c r="L1924" s="146"/>
      <c r="M1924" s="544"/>
      <c r="N1924" s="544"/>
      <c r="O1924" s="544"/>
      <c r="P1924" s="544"/>
      <c r="R1924" s="543" t="str">
        <f t="shared" si="90"/>
        <v>:</v>
      </c>
      <c r="S1924" s="544">
        <f t="shared" si="89"/>
        <v>0</v>
      </c>
    </row>
    <row r="1925" spans="2:19">
      <c r="B1925" s="146"/>
      <c r="C1925" s="146"/>
      <c r="D1925" s="543" t="str">
        <f t="shared" si="88"/>
        <v/>
      </c>
      <c r="I1925" s="146"/>
      <c r="J1925" s="146"/>
      <c r="K1925" s="146"/>
      <c r="L1925" s="146"/>
      <c r="M1925" s="544"/>
      <c r="N1925" s="544"/>
      <c r="O1925" s="544"/>
      <c r="P1925" s="544"/>
      <c r="R1925" s="543" t="str">
        <f t="shared" si="90"/>
        <v>:</v>
      </c>
      <c r="S1925" s="544">
        <f t="shared" si="89"/>
        <v>0</v>
      </c>
    </row>
    <row r="1926" spans="2:19">
      <c r="B1926" s="146"/>
      <c r="C1926" s="146"/>
      <c r="D1926" s="543" t="str">
        <f t="shared" si="88"/>
        <v/>
      </c>
      <c r="I1926" s="146"/>
      <c r="J1926" s="146"/>
      <c r="K1926" s="146"/>
      <c r="L1926" s="146"/>
      <c r="M1926" s="544"/>
      <c r="N1926" s="544"/>
      <c r="O1926" s="544"/>
      <c r="P1926" s="544"/>
      <c r="R1926" s="543" t="str">
        <f t="shared" si="90"/>
        <v>:</v>
      </c>
      <c r="S1926" s="544">
        <f t="shared" si="89"/>
        <v>0</v>
      </c>
    </row>
    <row r="1927" spans="2:19">
      <c r="B1927" s="146"/>
      <c r="C1927" s="146"/>
      <c r="D1927" s="543" t="str">
        <f t="shared" si="88"/>
        <v/>
      </c>
      <c r="I1927" s="146"/>
      <c r="J1927" s="146"/>
      <c r="K1927" s="146"/>
      <c r="L1927" s="146"/>
      <c r="M1927" s="544"/>
      <c r="N1927" s="544"/>
      <c r="O1927" s="544"/>
      <c r="P1927" s="544"/>
      <c r="R1927" s="543" t="str">
        <f t="shared" si="90"/>
        <v>:</v>
      </c>
      <c r="S1927" s="544">
        <f t="shared" si="89"/>
        <v>0</v>
      </c>
    </row>
    <row r="1928" spans="2:19">
      <c r="B1928" s="146"/>
      <c r="C1928" s="146"/>
      <c r="D1928" s="543" t="str">
        <f t="shared" si="88"/>
        <v/>
      </c>
      <c r="I1928" s="146"/>
      <c r="J1928" s="146"/>
      <c r="K1928" s="146"/>
      <c r="L1928" s="146"/>
      <c r="M1928" s="544"/>
      <c r="N1928" s="544"/>
      <c r="O1928" s="544"/>
      <c r="P1928" s="544"/>
      <c r="R1928" s="543" t="str">
        <f t="shared" si="90"/>
        <v>:</v>
      </c>
      <c r="S1928" s="544">
        <f t="shared" si="89"/>
        <v>0</v>
      </c>
    </row>
    <row r="1929" spans="2:19">
      <c r="B1929" s="146"/>
      <c r="C1929" s="146"/>
      <c r="D1929" s="543" t="str">
        <f t="shared" si="88"/>
        <v/>
      </c>
      <c r="I1929" s="146"/>
      <c r="J1929" s="146"/>
      <c r="K1929" s="146"/>
      <c r="L1929" s="146"/>
      <c r="M1929" s="544"/>
      <c r="N1929" s="544"/>
      <c r="O1929" s="544"/>
      <c r="P1929" s="544"/>
      <c r="R1929" s="543" t="str">
        <f t="shared" si="90"/>
        <v>:</v>
      </c>
      <c r="S1929" s="544">
        <f t="shared" si="89"/>
        <v>0</v>
      </c>
    </row>
    <row r="1930" spans="2:19">
      <c r="B1930" s="146"/>
      <c r="C1930" s="146"/>
      <c r="D1930" s="543" t="str">
        <f t="shared" ref="D1930:D1993" si="91">IF(B1930="","",B1930&amp;":"&amp;C1930)</f>
        <v/>
      </c>
      <c r="I1930" s="146"/>
      <c r="J1930" s="146"/>
      <c r="K1930" s="146"/>
      <c r="L1930" s="146"/>
      <c r="M1930" s="544"/>
      <c r="N1930" s="544"/>
      <c r="O1930" s="544"/>
      <c r="P1930" s="544"/>
      <c r="R1930" s="543" t="str">
        <f t="shared" si="90"/>
        <v>:</v>
      </c>
      <c r="S1930" s="544">
        <f t="shared" ref="S1930:S1993" si="92">HLOOKUP($S$8,$L$8:$P$2000,ROW()-7,FALSE)</f>
        <v>0</v>
      </c>
    </row>
    <row r="1931" spans="2:19">
      <c r="B1931" s="146"/>
      <c r="C1931" s="146"/>
      <c r="D1931" s="543" t="str">
        <f t="shared" si="91"/>
        <v/>
      </c>
      <c r="I1931" s="146"/>
      <c r="J1931" s="146"/>
      <c r="K1931" s="146"/>
      <c r="L1931" s="146"/>
      <c r="M1931" s="544"/>
      <c r="N1931" s="544"/>
      <c r="O1931" s="544"/>
      <c r="P1931" s="544"/>
      <c r="R1931" s="543" t="str">
        <f t="shared" si="90"/>
        <v>:</v>
      </c>
      <c r="S1931" s="544">
        <f t="shared" si="92"/>
        <v>0</v>
      </c>
    </row>
    <row r="1932" spans="2:19">
      <c r="B1932" s="146"/>
      <c r="C1932" s="146"/>
      <c r="D1932" s="543" t="str">
        <f t="shared" si="91"/>
        <v/>
      </c>
      <c r="I1932" s="146"/>
      <c r="J1932" s="146"/>
      <c r="K1932" s="146"/>
      <c r="L1932" s="146"/>
      <c r="M1932" s="544"/>
      <c r="N1932" s="544"/>
      <c r="O1932" s="544"/>
      <c r="P1932" s="544"/>
      <c r="R1932" s="543" t="str">
        <f t="shared" si="90"/>
        <v>:</v>
      </c>
      <c r="S1932" s="544">
        <f t="shared" si="92"/>
        <v>0</v>
      </c>
    </row>
    <row r="1933" spans="2:19">
      <c r="B1933" s="146"/>
      <c r="C1933" s="146"/>
      <c r="D1933" s="543" t="str">
        <f t="shared" si="91"/>
        <v/>
      </c>
      <c r="I1933" s="146"/>
      <c r="J1933" s="146"/>
      <c r="K1933" s="146"/>
      <c r="L1933" s="146"/>
      <c r="M1933" s="544"/>
      <c r="N1933" s="544"/>
      <c r="O1933" s="544"/>
      <c r="P1933" s="544"/>
      <c r="R1933" s="543" t="str">
        <f t="shared" ref="R1933:R1996" si="93">I1933&amp;":"&amp;J1933&amp;K1933</f>
        <v>:</v>
      </c>
      <c r="S1933" s="544">
        <f t="shared" si="92"/>
        <v>0</v>
      </c>
    </row>
    <row r="1934" spans="2:19">
      <c r="B1934" s="146"/>
      <c r="C1934" s="146"/>
      <c r="D1934" s="543" t="str">
        <f t="shared" si="91"/>
        <v/>
      </c>
      <c r="I1934" s="146"/>
      <c r="J1934" s="146"/>
      <c r="K1934" s="146"/>
      <c r="L1934" s="146"/>
      <c r="M1934" s="544"/>
      <c r="N1934" s="544"/>
      <c r="O1934" s="544"/>
      <c r="P1934" s="544"/>
      <c r="R1934" s="543" t="str">
        <f t="shared" si="93"/>
        <v>:</v>
      </c>
      <c r="S1934" s="544">
        <f t="shared" si="92"/>
        <v>0</v>
      </c>
    </row>
    <row r="1935" spans="2:19">
      <c r="B1935" s="146"/>
      <c r="C1935" s="146"/>
      <c r="D1935" s="543" t="str">
        <f t="shared" si="91"/>
        <v/>
      </c>
      <c r="I1935" s="146"/>
      <c r="J1935" s="146"/>
      <c r="K1935" s="146"/>
      <c r="L1935" s="146"/>
      <c r="M1935" s="544"/>
      <c r="N1935" s="544"/>
      <c r="O1935" s="544"/>
      <c r="P1935" s="544"/>
      <c r="R1935" s="543" t="str">
        <f t="shared" si="93"/>
        <v>:</v>
      </c>
      <c r="S1935" s="544">
        <f t="shared" si="92"/>
        <v>0</v>
      </c>
    </row>
    <row r="1936" spans="2:19">
      <c r="B1936" s="146"/>
      <c r="C1936" s="146"/>
      <c r="D1936" s="543" t="str">
        <f t="shared" si="91"/>
        <v/>
      </c>
      <c r="I1936" s="146"/>
      <c r="J1936" s="146"/>
      <c r="K1936" s="146"/>
      <c r="L1936" s="146"/>
      <c r="M1936" s="544"/>
      <c r="N1936" s="544"/>
      <c r="O1936" s="544"/>
      <c r="P1936" s="544"/>
      <c r="R1936" s="543" t="str">
        <f t="shared" si="93"/>
        <v>:</v>
      </c>
      <c r="S1936" s="544">
        <f t="shared" si="92"/>
        <v>0</v>
      </c>
    </row>
    <row r="1937" spans="2:19">
      <c r="B1937" s="146"/>
      <c r="C1937" s="146"/>
      <c r="D1937" s="543" t="str">
        <f t="shared" si="91"/>
        <v/>
      </c>
      <c r="I1937" s="146"/>
      <c r="J1937" s="146"/>
      <c r="K1937" s="146"/>
      <c r="L1937" s="146"/>
      <c r="M1937" s="544"/>
      <c r="N1937" s="544"/>
      <c r="O1937" s="544"/>
      <c r="P1937" s="544"/>
      <c r="R1937" s="543" t="str">
        <f t="shared" si="93"/>
        <v>:</v>
      </c>
      <c r="S1937" s="544">
        <f t="shared" si="92"/>
        <v>0</v>
      </c>
    </row>
    <row r="1938" spans="2:19">
      <c r="B1938" s="146"/>
      <c r="C1938" s="146"/>
      <c r="D1938" s="543" t="str">
        <f t="shared" si="91"/>
        <v/>
      </c>
      <c r="I1938" s="146"/>
      <c r="J1938" s="146"/>
      <c r="K1938" s="146"/>
      <c r="L1938" s="146"/>
      <c r="M1938" s="544"/>
      <c r="N1938" s="544"/>
      <c r="O1938" s="544"/>
      <c r="P1938" s="544"/>
      <c r="R1938" s="543" t="str">
        <f t="shared" si="93"/>
        <v>:</v>
      </c>
      <c r="S1938" s="544">
        <f t="shared" si="92"/>
        <v>0</v>
      </c>
    </row>
    <row r="1939" spans="2:19">
      <c r="B1939" s="146"/>
      <c r="C1939" s="146"/>
      <c r="D1939" s="543" t="str">
        <f t="shared" si="91"/>
        <v/>
      </c>
      <c r="I1939" s="146"/>
      <c r="J1939" s="146"/>
      <c r="K1939" s="146"/>
      <c r="L1939" s="146"/>
      <c r="M1939" s="544"/>
      <c r="N1939" s="544"/>
      <c r="O1939" s="544"/>
      <c r="P1939" s="544"/>
      <c r="R1939" s="543" t="str">
        <f t="shared" si="93"/>
        <v>:</v>
      </c>
      <c r="S1939" s="544">
        <f t="shared" si="92"/>
        <v>0</v>
      </c>
    </row>
    <row r="1940" spans="2:19">
      <c r="B1940" s="146"/>
      <c r="C1940" s="146"/>
      <c r="D1940" s="543" t="str">
        <f t="shared" si="91"/>
        <v/>
      </c>
      <c r="I1940" s="146"/>
      <c r="J1940" s="146"/>
      <c r="K1940" s="146"/>
      <c r="L1940" s="146"/>
      <c r="M1940" s="544"/>
      <c r="N1940" s="544"/>
      <c r="O1940" s="544"/>
      <c r="P1940" s="544"/>
      <c r="R1940" s="543" t="str">
        <f t="shared" si="93"/>
        <v>:</v>
      </c>
      <c r="S1940" s="544">
        <f t="shared" si="92"/>
        <v>0</v>
      </c>
    </row>
    <row r="1941" spans="2:19">
      <c r="B1941" s="146"/>
      <c r="C1941" s="146"/>
      <c r="D1941" s="543" t="str">
        <f t="shared" si="91"/>
        <v/>
      </c>
      <c r="I1941" s="146"/>
      <c r="J1941" s="146"/>
      <c r="K1941" s="146"/>
      <c r="L1941" s="146"/>
      <c r="M1941" s="544"/>
      <c r="N1941" s="544"/>
      <c r="O1941" s="544"/>
      <c r="P1941" s="544"/>
      <c r="R1941" s="543" t="str">
        <f t="shared" si="93"/>
        <v>:</v>
      </c>
      <c r="S1941" s="544">
        <f t="shared" si="92"/>
        <v>0</v>
      </c>
    </row>
    <row r="1942" spans="2:19">
      <c r="B1942" s="146"/>
      <c r="C1942" s="146"/>
      <c r="D1942" s="543" t="str">
        <f t="shared" si="91"/>
        <v/>
      </c>
      <c r="I1942" s="146"/>
      <c r="J1942" s="146"/>
      <c r="K1942" s="146"/>
      <c r="L1942" s="146"/>
      <c r="M1942" s="544"/>
      <c r="N1942" s="544"/>
      <c r="O1942" s="544"/>
      <c r="P1942" s="544"/>
      <c r="R1942" s="543" t="str">
        <f t="shared" si="93"/>
        <v>:</v>
      </c>
      <c r="S1942" s="544">
        <f t="shared" si="92"/>
        <v>0</v>
      </c>
    </row>
    <row r="1943" spans="2:19">
      <c r="B1943" s="146"/>
      <c r="C1943" s="146"/>
      <c r="D1943" s="543" t="str">
        <f t="shared" si="91"/>
        <v/>
      </c>
      <c r="I1943" s="146"/>
      <c r="J1943" s="146"/>
      <c r="K1943" s="146"/>
      <c r="L1943" s="146"/>
      <c r="M1943" s="544"/>
      <c r="N1943" s="544"/>
      <c r="O1943" s="544"/>
      <c r="P1943" s="544"/>
      <c r="R1943" s="543" t="str">
        <f t="shared" si="93"/>
        <v>:</v>
      </c>
      <c r="S1943" s="544">
        <f t="shared" si="92"/>
        <v>0</v>
      </c>
    </row>
    <row r="1944" spans="2:19">
      <c r="B1944" s="146"/>
      <c r="C1944" s="146"/>
      <c r="D1944" s="543" t="str">
        <f t="shared" si="91"/>
        <v/>
      </c>
      <c r="I1944" s="146"/>
      <c r="J1944" s="146"/>
      <c r="K1944" s="146"/>
      <c r="L1944" s="146"/>
      <c r="M1944" s="544"/>
      <c r="N1944" s="544"/>
      <c r="O1944" s="544"/>
      <c r="P1944" s="544"/>
      <c r="R1944" s="543" t="str">
        <f t="shared" si="93"/>
        <v>:</v>
      </c>
      <c r="S1944" s="544">
        <f t="shared" si="92"/>
        <v>0</v>
      </c>
    </row>
    <row r="1945" spans="2:19">
      <c r="B1945" s="146"/>
      <c r="C1945" s="146"/>
      <c r="D1945" s="543" t="str">
        <f t="shared" si="91"/>
        <v/>
      </c>
      <c r="I1945" s="146"/>
      <c r="J1945" s="146"/>
      <c r="K1945" s="146"/>
      <c r="L1945" s="146"/>
      <c r="M1945" s="544"/>
      <c r="N1945" s="544"/>
      <c r="O1945" s="544"/>
      <c r="P1945" s="544"/>
      <c r="R1945" s="543" t="str">
        <f t="shared" si="93"/>
        <v>:</v>
      </c>
      <c r="S1945" s="544">
        <f t="shared" si="92"/>
        <v>0</v>
      </c>
    </row>
    <row r="1946" spans="2:19">
      <c r="B1946" s="146"/>
      <c r="C1946" s="146"/>
      <c r="D1946" s="543" t="str">
        <f t="shared" si="91"/>
        <v/>
      </c>
      <c r="I1946" s="146"/>
      <c r="J1946" s="146"/>
      <c r="K1946" s="146"/>
      <c r="L1946" s="146"/>
      <c r="M1946" s="544"/>
      <c r="N1946" s="544"/>
      <c r="O1946" s="544"/>
      <c r="P1946" s="544"/>
      <c r="R1946" s="543" t="str">
        <f t="shared" si="93"/>
        <v>:</v>
      </c>
      <c r="S1946" s="544">
        <f t="shared" si="92"/>
        <v>0</v>
      </c>
    </row>
    <row r="1947" spans="2:19">
      <c r="B1947" s="146"/>
      <c r="C1947" s="146"/>
      <c r="D1947" s="543" t="str">
        <f t="shared" si="91"/>
        <v/>
      </c>
      <c r="I1947" s="146"/>
      <c r="J1947" s="146"/>
      <c r="K1947" s="146"/>
      <c r="L1947" s="146"/>
      <c r="M1947" s="544"/>
      <c r="N1947" s="544"/>
      <c r="O1947" s="544"/>
      <c r="P1947" s="544"/>
      <c r="R1947" s="543" t="str">
        <f t="shared" si="93"/>
        <v>:</v>
      </c>
      <c r="S1947" s="544">
        <f t="shared" si="92"/>
        <v>0</v>
      </c>
    </row>
    <row r="1948" spans="2:19">
      <c r="B1948" s="146"/>
      <c r="C1948" s="146"/>
      <c r="D1948" s="543" t="str">
        <f t="shared" si="91"/>
        <v/>
      </c>
      <c r="I1948" s="146"/>
      <c r="J1948" s="146"/>
      <c r="K1948" s="146"/>
      <c r="L1948" s="146"/>
      <c r="M1948" s="544"/>
      <c r="N1948" s="544"/>
      <c r="O1948" s="544"/>
      <c r="P1948" s="544"/>
      <c r="R1948" s="543" t="str">
        <f t="shared" si="93"/>
        <v>:</v>
      </c>
      <c r="S1948" s="544">
        <f t="shared" si="92"/>
        <v>0</v>
      </c>
    </row>
    <row r="1949" spans="2:19">
      <c r="B1949" s="146"/>
      <c r="C1949" s="146"/>
      <c r="D1949" s="543" t="str">
        <f t="shared" si="91"/>
        <v/>
      </c>
      <c r="I1949" s="146"/>
      <c r="J1949" s="146"/>
      <c r="K1949" s="146"/>
      <c r="L1949" s="146"/>
      <c r="M1949" s="544"/>
      <c r="N1949" s="544"/>
      <c r="O1949" s="544"/>
      <c r="P1949" s="544"/>
      <c r="R1949" s="543" t="str">
        <f t="shared" si="93"/>
        <v>:</v>
      </c>
      <c r="S1949" s="544">
        <f t="shared" si="92"/>
        <v>0</v>
      </c>
    </row>
    <row r="1950" spans="2:19">
      <c r="B1950" s="146"/>
      <c r="C1950" s="146"/>
      <c r="D1950" s="543" t="str">
        <f t="shared" si="91"/>
        <v/>
      </c>
      <c r="I1950" s="146"/>
      <c r="J1950" s="146"/>
      <c r="K1950" s="146"/>
      <c r="L1950" s="146"/>
      <c r="M1950" s="544"/>
      <c r="N1950" s="544"/>
      <c r="O1950" s="544"/>
      <c r="P1950" s="544"/>
      <c r="R1950" s="543" t="str">
        <f t="shared" si="93"/>
        <v>:</v>
      </c>
      <c r="S1950" s="544">
        <f t="shared" si="92"/>
        <v>0</v>
      </c>
    </row>
    <row r="1951" spans="2:19">
      <c r="B1951" s="146"/>
      <c r="C1951" s="146"/>
      <c r="D1951" s="543" t="str">
        <f t="shared" si="91"/>
        <v/>
      </c>
      <c r="I1951" s="146"/>
      <c r="J1951" s="146"/>
      <c r="K1951" s="146"/>
      <c r="L1951" s="146"/>
      <c r="M1951" s="544"/>
      <c r="N1951" s="544"/>
      <c r="O1951" s="544"/>
      <c r="P1951" s="544"/>
      <c r="R1951" s="543" t="str">
        <f t="shared" si="93"/>
        <v>:</v>
      </c>
      <c r="S1951" s="544">
        <f t="shared" si="92"/>
        <v>0</v>
      </c>
    </row>
    <row r="1952" spans="2:19">
      <c r="B1952" s="146"/>
      <c r="C1952" s="146"/>
      <c r="D1952" s="543" t="str">
        <f t="shared" si="91"/>
        <v/>
      </c>
      <c r="I1952" s="146"/>
      <c r="J1952" s="146"/>
      <c r="K1952" s="146"/>
      <c r="L1952" s="146"/>
      <c r="M1952" s="544"/>
      <c r="N1952" s="544"/>
      <c r="O1952" s="544"/>
      <c r="P1952" s="544"/>
      <c r="R1952" s="543" t="str">
        <f t="shared" si="93"/>
        <v>:</v>
      </c>
      <c r="S1952" s="544">
        <f t="shared" si="92"/>
        <v>0</v>
      </c>
    </row>
    <row r="1953" spans="2:19">
      <c r="B1953" s="146"/>
      <c r="C1953" s="146"/>
      <c r="D1953" s="543" t="str">
        <f t="shared" si="91"/>
        <v/>
      </c>
      <c r="I1953" s="146"/>
      <c r="J1953" s="146"/>
      <c r="K1953" s="146"/>
      <c r="L1953" s="146"/>
      <c r="M1953" s="544"/>
      <c r="N1953" s="544"/>
      <c r="O1953" s="544"/>
      <c r="P1953" s="544"/>
      <c r="R1953" s="543" t="str">
        <f t="shared" si="93"/>
        <v>:</v>
      </c>
      <c r="S1953" s="544">
        <f t="shared" si="92"/>
        <v>0</v>
      </c>
    </row>
    <row r="1954" spans="2:19">
      <c r="B1954" s="146"/>
      <c r="C1954" s="146"/>
      <c r="D1954" s="543" t="str">
        <f t="shared" si="91"/>
        <v/>
      </c>
      <c r="I1954" s="146"/>
      <c r="J1954" s="146"/>
      <c r="K1954" s="146"/>
      <c r="L1954" s="146"/>
      <c r="M1954" s="544"/>
      <c r="N1954" s="544"/>
      <c r="O1954" s="544"/>
      <c r="P1954" s="544"/>
      <c r="R1954" s="543" t="str">
        <f t="shared" si="93"/>
        <v>:</v>
      </c>
      <c r="S1954" s="544">
        <f t="shared" si="92"/>
        <v>0</v>
      </c>
    </row>
    <row r="1955" spans="2:19">
      <c r="B1955" s="146"/>
      <c r="C1955" s="146"/>
      <c r="D1955" s="543" t="str">
        <f t="shared" si="91"/>
        <v/>
      </c>
      <c r="I1955" s="146"/>
      <c r="J1955" s="146"/>
      <c r="K1955" s="146"/>
      <c r="L1955" s="146"/>
      <c r="M1955" s="544"/>
      <c r="N1955" s="544"/>
      <c r="O1955" s="544"/>
      <c r="P1955" s="544"/>
      <c r="R1955" s="543" t="str">
        <f t="shared" si="93"/>
        <v>:</v>
      </c>
      <c r="S1955" s="544">
        <f t="shared" si="92"/>
        <v>0</v>
      </c>
    </row>
    <row r="1956" spans="2:19">
      <c r="B1956" s="146"/>
      <c r="C1956" s="146"/>
      <c r="D1956" s="543" t="str">
        <f t="shared" si="91"/>
        <v/>
      </c>
      <c r="I1956" s="146"/>
      <c r="J1956" s="146"/>
      <c r="K1956" s="146"/>
      <c r="L1956" s="146"/>
      <c r="M1956" s="544"/>
      <c r="N1956" s="544"/>
      <c r="O1956" s="544"/>
      <c r="P1956" s="544"/>
      <c r="R1956" s="543" t="str">
        <f t="shared" si="93"/>
        <v>:</v>
      </c>
      <c r="S1956" s="544">
        <f t="shared" si="92"/>
        <v>0</v>
      </c>
    </row>
    <row r="1957" spans="2:19">
      <c r="B1957" s="146"/>
      <c r="C1957" s="146"/>
      <c r="D1957" s="543" t="str">
        <f t="shared" si="91"/>
        <v/>
      </c>
      <c r="I1957" s="146"/>
      <c r="J1957" s="146"/>
      <c r="K1957" s="146"/>
      <c r="L1957" s="146"/>
      <c r="M1957" s="544"/>
      <c r="N1957" s="544"/>
      <c r="O1957" s="544"/>
      <c r="P1957" s="544"/>
      <c r="R1957" s="543" t="str">
        <f t="shared" si="93"/>
        <v>:</v>
      </c>
      <c r="S1957" s="544">
        <f t="shared" si="92"/>
        <v>0</v>
      </c>
    </row>
    <row r="1958" spans="2:19">
      <c r="B1958" s="146"/>
      <c r="C1958" s="146"/>
      <c r="D1958" s="543" t="str">
        <f t="shared" si="91"/>
        <v/>
      </c>
      <c r="I1958" s="146"/>
      <c r="J1958" s="146"/>
      <c r="K1958" s="146"/>
      <c r="L1958" s="146"/>
      <c r="M1958" s="544"/>
      <c r="N1958" s="544"/>
      <c r="O1958" s="544"/>
      <c r="P1958" s="544"/>
      <c r="R1958" s="543" t="str">
        <f t="shared" si="93"/>
        <v>:</v>
      </c>
      <c r="S1958" s="544">
        <f t="shared" si="92"/>
        <v>0</v>
      </c>
    </row>
    <row r="1959" spans="2:19">
      <c r="B1959" s="146"/>
      <c r="C1959" s="146"/>
      <c r="D1959" s="543" t="str">
        <f t="shared" si="91"/>
        <v/>
      </c>
      <c r="I1959" s="146"/>
      <c r="J1959" s="146"/>
      <c r="K1959" s="146"/>
      <c r="L1959" s="146"/>
      <c r="M1959" s="544"/>
      <c r="N1959" s="544"/>
      <c r="O1959" s="544"/>
      <c r="P1959" s="544"/>
      <c r="R1959" s="543" t="str">
        <f t="shared" si="93"/>
        <v>:</v>
      </c>
      <c r="S1959" s="544">
        <f t="shared" si="92"/>
        <v>0</v>
      </c>
    </row>
    <row r="1960" spans="2:19">
      <c r="B1960" s="146"/>
      <c r="C1960" s="146"/>
      <c r="D1960" s="543" t="str">
        <f t="shared" si="91"/>
        <v/>
      </c>
      <c r="I1960" s="146"/>
      <c r="J1960" s="146"/>
      <c r="K1960" s="146"/>
      <c r="L1960" s="146"/>
      <c r="M1960" s="544"/>
      <c r="N1960" s="544"/>
      <c r="O1960" s="544"/>
      <c r="P1960" s="544"/>
      <c r="R1960" s="543" t="str">
        <f t="shared" si="93"/>
        <v>:</v>
      </c>
      <c r="S1960" s="544">
        <f t="shared" si="92"/>
        <v>0</v>
      </c>
    </row>
    <row r="1961" spans="2:19">
      <c r="B1961" s="146"/>
      <c r="C1961" s="146"/>
      <c r="D1961" s="543" t="str">
        <f t="shared" si="91"/>
        <v/>
      </c>
      <c r="I1961" s="146"/>
      <c r="J1961" s="146"/>
      <c r="K1961" s="146"/>
      <c r="L1961" s="146"/>
      <c r="M1961" s="544"/>
      <c r="N1961" s="544"/>
      <c r="O1961" s="544"/>
      <c r="P1961" s="544"/>
      <c r="R1961" s="543" t="str">
        <f t="shared" si="93"/>
        <v>:</v>
      </c>
      <c r="S1961" s="544">
        <f t="shared" si="92"/>
        <v>0</v>
      </c>
    </row>
    <row r="1962" spans="2:19">
      <c r="B1962" s="146"/>
      <c r="C1962" s="146"/>
      <c r="D1962" s="543" t="str">
        <f t="shared" si="91"/>
        <v/>
      </c>
      <c r="I1962" s="146"/>
      <c r="J1962" s="146"/>
      <c r="K1962" s="146"/>
      <c r="L1962" s="146"/>
      <c r="M1962" s="544"/>
      <c r="N1962" s="544"/>
      <c r="O1962" s="544"/>
      <c r="P1962" s="544"/>
      <c r="R1962" s="543" t="str">
        <f t="shared" si="93"/>
        <v>:</v>
      </c>
      <c r="S1962" s="544">
        <f t="shared" si="92"/>
        <v>0</v>
      </c>
    </row>
    <row r="1963" spans="2:19">
      <c r="B1963" s="146"/>
      <c r="C1963" s="146"/>
      <c r="D1963" s="543" t="str">
        <f t="shared" si="91"/>
        <v/>
      </c>
      <c r="I1963" s="146"/>
      <c r="J1963" s="146"/>
      <c r="K1963" s="146"/>
      <c r="L1963" s="146"/>
      <c r="M1963" s="544"/>
      <c r="N1963" s="544"/>
      <c r="O1963" s="544"/>
      <c r="P1963" s="544"/>
      <c r="R1963" s="543" t="str">
        <f t="shared" si="93"/>
        <v>:</v>
      </c>
      <c r="S1963" s="544">
        <f t="shared" si="92"/>
        <v>0</v>
      </c>
    </row>
    <row r="1964" spans="2:19">
      <c r="B1964" s="146"/>
      <c r="C1964" s="146"/>
      <c r="D1964" s="543" t="str">
        <f t="shared" si="91"/>
        <v/>
      </c>
      <c r="I1964" s="146"/>
      <c r="J1964" s="146"/>
      <c r="K1964" s="146"/>
      <c r="L1964" s="146"/>
      <c r="M1964" s="544"/>
      <c r="N1964" s="544"/>
      <c r="O1964" s="544"/>
      <c r="P1964" s="544"/>
      <c r="R1964" s="543" t="str">
        <f t="shared" si="93"/>
        <v>:</v>
      </c>
      <c r="S1964" s="544">
        <f t="shared" si="92"/>
        <v>0</v>
      </c>
    </row>
    <row r="1965" spans="2:19">
      <c r="B1965" s="146"/>
      <c r="C1965" s="146"/>
      <c r="D1965" s="543" t="str">
        <f t="shared" si="91"/>
        <v/>
      </c>
      <c r="I1965" s="146"/>
      <c r="J1965" s="146"/>
      <c r="K1965" s="146"/>
      <c r="L1965" s="146"/>
      <c r="M1965" s="544"/>
      <c r="N1965" s="544"/>
      <c r="O1965" s="544"/>
      <c r="P1965" s="544"/>
      <c r="R1965" s="543" t="str">
        <f t="shared" si="93"/>
        <v>:</v>
      </c>
      <c r="S1965" s="544">
        <f t="shared" si="92"/>
        <v>0</v>
      </c>
    </row>
    <row r="1966" spans="2:19">
      <c r="B1966" s="146"/>
      <c r="C1966" s="146"/>
      <c r="D1966" s="543" t="str">
        <f t="shared" si="91"/>
        <v/>
      </c>
      <c r="I1966" s="146"/>
      <c r="J1966" s="146"/>
      <c r="K1966" s="146"/>
      <c r="L1966" s="146"/>
      <c r="M1966" s="544"/>
      <c r="N1966" s="544"/>
      <c r="O1966" s="544"/>
      <c r="P1966" s="544"/>
      <c r="R1966" s="543" t="str">
        <f t="shared" si="93"/>
        <v>:</v>
      </c>
      <c r="S1966" s="544">
        <f t="shared" si="92"/>
        <v>0</v>
      </c>
    </row>
    <row r="1967" spans="2:19">
      <c r="B1967" s="146"/>
      <c r="C1967" s="146"/>
      <c r="D1967" s="543" t="str">
        <f t="shared" si="91"/>
        <v/>
      </c>
      <c r="I1967" s="146"/>
      <c r="J1967" s="146"/>
      <c r="K1967" s="146"/>
      <c r="L1967" s="146"/>
      <c r="M1967" s="544"/>
      <c r="N1967" s="544"/>
      <c r="O1967" s="544"/>
      <c r="P1967" s="544"/>
      <c r="R1967" s="543" t="str">
        <f t="shared" si="93"/>
        <v>:</v>
      </c>
      <c r="S1967" s="544">
        <f t="shared" si="92"/>
        <v>0</v>
      </c>
    </row>
    <row r="1968" spans="2:19">
      <c r="B1968" s="146"/>
      <c r="C1968" s="146"/>
      <c r="D1968" s="543" t="str">
        <f t="shared" si="91"/>
        <v/>
      </c>
      <c r="I1968" s="146"/>
      <c r="J1968" s="146"/>
      <c r="K1968" s="146"/>
      <c r="L1968" s="146"/>
      <c r="M1968" s="544"/>
      <c r="N1968" s="544"/>
      <c r="O1968" s="544"/>
      <c r="P1968" s="544"/>
      <c r="R1968" s="543" t="str">
        <f t="shared" si="93"/>
        <v>:</v>
      </c>
      <c r="S1968" s="544">
        <f t="shared" si="92"/>
        <v>0</v>
      </c>
    </row>
    <row r="1969" spans="2:19">
      <c r="B1969" s="146"/>
      <c r="C1969" s="146"/>
      <c r="D1969" s="543" t="str">
        <f t="shared" si="91"/>
        <v/>
      </c>
      <c r="I1969" s="146"/>
      <c r="J1969" s="146"/>
      <c r="K1969" s="146"/>
      <c r="L1969" s="146"/>
      <c r="M1969" s="544"/>
      <c r="N1969" s="544"/>
      <c r="O1969" s="544"/>
      <c r="P1969" s="544"/>
      <c r="R1969" s="543" t="str">
        <f t="shared" si="93"/>
        <v>:</v>
      </c>
      <c r="S1969" s="544">
        <f t="shared" si="92"/>
        <v>0</v>
      </c>
    </row>
    <row r="1970" spans="2:19">
      <c r="B1970" s="146"/>
      <c r="C1970" s="146"/>
      <c r="D1970" s="543" t="str">
        <f t="shared" si="91"/>
        <v/>
      </c>
      <c r="I1970" s="146"/>
      <c r="J1970" s="146"/>
      <c r="K1970" s="146"/>
      <c r="L1970" s="146"/>
      <c r="M1970" s="544"/>
      <c r="N1970" s="544"/>
      <c r="O1970" s="544"/>
      <c r="P1970" s="544"/>
      <c r="R1970" s="543" t="str">
        <f t="shared" si="93"/>
        <v>:</v>
      </c>
      <c r="S1970" s="544">
        <f t="shared" si="92"/>
        <v>0</v>
      </c>
    </row>
    <row r="1971" spans="2:19">
      <c r="B1971" s="146"/>
      <c r="C1971" s="146"/>
      <c r="D1971" s="543" t="str">
        <f t="shared" si="91"/>
        <v/>
      </c>
      <c r="I1971" s="146"/>
      <c r="J1971" s="146"/>
      <c r="K1971" s="146"/>
      <c r="L1971" s="146"/>
      <c r="M1971" s="544"/>
      <c r="N1971" s="544"/>
      <c r="O1971" s="544"/>
      <c r="P1971" s="544"/>
      <c r="R1971" s="543" t="str">
        <f t="shared" si="93"/>
        <v>:</v>
      </c>
      <c r="S1971" s="544">
        <f t="shared" si="92"/>
        <v>0</v>
      </c>
    </row>
    <row r="1972" spans="2:19">
      <c r="B1972" s="146"/>
      <c r="C1972" s="146"/>
      <c r="D1972" s="543" t="str">
        <f t="shared" si="91"/>
        <v/>
      </c>
      <c r="I1972" s="146"/>
      <c r="J1972" s="146"/>
      <c r="K1972" s="146"/>
      <c r="L1972" s="146"/>
      <c r="M1972" s="544"/>
      <c r="N1972" s="544"/>
      <c r="O1972" s="544"/>
      <c r="P1972" s="544"/>
      <c r="R1972" s="543" t="str">
        <f t="shared" si="93"/>
        <v>:</v>
      </c>
      <c r="S1972" s="544">
        <f t="shared" si="92"/>
        <v>0</v>
      </c>
    </row>
    <row r="1973" spans="2:19">
      <c r="B1973" s="146"/>
      <c r="C1973" s="146"/>
      <c r="D1973" s="543" t="str">
        <f t="shared" si="91"/>
        <v/>
      </c>
      <c r="I1973" s="146"/>
      <c r="J1973" s="146"/>
      <c r="K1973" s="146"/>
      <c r="L1973" s="146"/>
      <c r="M1973" s="544"/>
      <c r="N1973" s="544"/>
      <c r="O1973" s="544"/>
      <c r="P1973" s="544"/>
      <c r="R1973" s="543" t="str">
        <f t="shared" si="93"/>
        <v>:</v>
      </c>
      <c r="S1973" s="544">
        <f t="shared" si="92"/>
        <v>0</v>
      </c>
    </row>
    <row r="1974" spans="2:19">
      <c r="B1974" s="146"/>
      <c r="C1974" s="146"/>
      <c r="D1974" s="543" t="str">
        <f t="shared" si="91"/>
        <v/>
      </c>
      <c r="I1974" s="146"/>
      <c r="J1974" s="146"/>
      <c r="K1974" s="146"/>
      <c r="L1974" s="146"/>
      <c r="M1974" s="544"/>
      <c r="N1974" s="544"/>
      <c r="O1974" s="544"/>
      <c r="P1974" s="544"/>
      <c r="R1974" s="543" t="str">
        <f t="shared" si="93"/>
        <v>:</v>
      </c>
      <c r="S1974" s="544">
        <f t="shared" si="92"/>
        <v>0</v>
      </c>
    </row>
    <row r="1975" spans="2:19">
      <c r="B1975" s="146"/>
      <c r="C1975" s="146"/>
      <c r="D1975" s="543" t="str">
        <f t="shared" si="91"/>
        <v/>
      </c>
      <c r="I1975" s="146"/>
      <c r="J1975" s="146"/>
      <c r="K1975" s="146"/>
      <c r="L1975" s="146"/>
      <c r="M1975" s="544"/>
      <c r="N1975" s="544"/>
      <c r="O1975" s="544"/>
      <c r="P1975" s="544"/>
      <c r="R1975" s="543" t="str">
        <f t="shared" si="93"/>
        <v>:</v>
      </c>
      <c r="S1975" s="544">
        <f t="shared" si="92"/>
        <v>0</v>
      </c>
    </row>
    <row r="1976" spans="2:19">
      <c r="B1976" s="146"/>
      <c r="C1976" s="146"/>
      <c r="D1976" s="543" t="str">
        <f t="shared" si="91"/>
        <v/>
      </c>
      <c r="I1976" s="146"/>
      <c r="J1976" s="146"/>
      <c r="K1976" s="146"/>
      <c r="L1976" s="146"/>
      <c r="M1976" s="544"/>
      <c r="N1976" s="544"/>
      <c r="O1976" s="544"/>
      <c r="P1976" s="544"/>
      <c r="R1976" s="543" t="str">
        <f t="shared" si="93"/>
        <v>:</v>
      </c>
      <c r="S1976" s="544">
        <f t="shared" si="92"/>
        <v>0</v>
      </c>
    </row>
    <row r="1977" spans="2:19">
      <c r="B1977" s="146"/>
      <c r="C1977" s="146"/>
      <c r="D1977" s="543" t="str">
        <f t="shared" si="91"/>
        <v/>
      </c>
      <c r="I1977" s="146"/>
      <c r="J1977" s="146"/>
      <c r="K1977" s="146"/>
      <c r="L1977" s="146"/>
      <c r="M1977" s="544"/>
      <c r="N1977" s="544"/>
      <c r="O1977" s="544"/>
      <c r="P1977" s="544"/>
      <c r="R1977" s="543" t="str">
        <f t="shared" si="93"/>
        <v>:</v>
      </c>
      <c r="S1977" s="544">
        <f t="shared" si="92"/>
        <v>0</v>
      </c>
    </row>
    <row r="1978" spans="2:19">
      <c r="B1978" s="146"/>
      <c r="C1978" s="146"/>
      <c r="D1978" s="543" t="str">
        <f t="shared" si="91"/>
        <v/>
      </c>
      <c r="I1978" s="146"/>
      <c r="J1978" s="146"/>
      <c r="K1978" s="146"/>
      <c r="L1978" s="146"/>
      <c r="M1978" s="544"/>
      <c r="N1978" s="544"/>
      <c r="O1978" s="544"/>
      <c r="P1978" s="544"/>
      <c r="R1978" s="543" t="str">
        <f t="shared" si="93"/>
        <v>:</v>
      </c>
      <c r="S1978" s="544">
        <f t="shared" si="92"/>
        <v>0</v>
      </c>
    </row>
    <row r="1979" spans="2:19">
      <c r="B1979" s="146"/>
      <c r="C1979" s="146"/>
      <c r="D1979" s="543" t="str">
        <f t="shared" si="91"/>
        <v/>
      </c>
      <c r="I1979" s="146"/>
      <c r="J1979" s="146"/>
      <c r="K1979" s="146"/>
      <c r="L1979" s="146"/>
      <c r="M1979" s="544"/>
      <c r="N1979" s="544"/>
      <c r="O1979" s="544"/>
      <c r="P1979" s="544"/>
      <c r="R1979" s="543" t="str">
        <f t="shared" si="93"/>
        <v>:</v>
      </c>
      <c r="S1979" s="544">
        <f t="shared" si="92"/>
        <v>0</v>
      </c>
    </row>
    <row r="1980" spans="2:19">
      <c r="B1980" s="146"/>
      <c r="C1980" s="146"/>
      <c r="D1980" s="543" t="str">
        <f t="shared" si="91"/>
        <v/>
      </c>
      <c r="I1980" s="146"/>
      <c r="J1980" s="146"/>
      <c r="K1980" s="146"/>
      <c r="L1980" s="146"/>
      <c r="M1980" s="544"/>
      <c r="N1980" s="544"/>
      <c r="O1980" s="544"/>
      <c r="P1980" s="544"/>
      <c r="R1980" s="543" t="str">
        <f t="shared" si="93"/>
        <v>:</v>
      </c>
      <c r="S1980" s="544">
        <f t="shared" si="92"/>
        <v>0</v>
      </c>
    </row>
    <row r="1981" spans="2:19">
      <c r="B1981" s="146"/>
      <c r="C1981" s="146"/>
      <c r="D1981" s="543" t="str">
        <f t="shared" si="91"/>
        <v/>
      </c>
      <c r="I1981" s="146"/>
      <c r="J1981" s="146"/>
      <c r="K1981" s="146"/>
      <c r="L1981" s="146"/>
      <c r="M1981" s="544"/>
      <c r="N1981" s="544"/>
      <c r="O1981" s="544"/>
      <c r="P1981" s="544"/>
      <c r="R1981" s="543" t="str">
        <f t="shared" si="93"/>
        <v>:</v>
      </c>
      <c r="S1981" s="544">
        <f t="shared" si="92"/>
        <v>0</v>
      </c>
    </row>
    <row r="1982" spans="2:19">
      <c r="B1982" s="146"/>
      <c r="C1982" s="146"/>
      <c r="D1982" s="543" t="str">
        <f t="shared" si="91"/>
        <v/>
      </c>
      <c r="I1982" s="146"/>
      <c r="J1982" s="146"/>
      <c r="K1982" s="146"/>
      <c r="L1982" s="146"/>
      <c r="M1982" s="544"/>
      <c r="N1982" s="544"/>
      <c r="O1982" s="544"/>
      <c r="P1982" s="544"/>
      <c r="R1982" s="543" t="str">
        <f t="shared" si="93"/>
        <v>:</v>
      </c>
      <c r="S1982" s="544">
        <f t="shared" si="92"/>
        <v>0</v>
      </c>
    </row>
    <row r="1983" spans="2:19">
      <c r="B1983" s="146"/>
      <c r="C1983" s="146"/>
      <c r="D1983" s="543" t="str">
        <f t="shared" si="91"/>
        <v/>
      </c>
      <c r="I1983" s="146"/>
      <c r="J1983" s="146"/>
      <c r="K1983" s="146"/>
      <c r="L1983" s="146"/>
      <c r="M1983" s="544"/>
      <c r="N1983" s="544"/>
      <c r="O1983" s="544"/>
      <c r="P1983" s="544"/>
      <c r="R1983" s="543" t="str">
        <f t="shared" si="93"/>
        <v>:</v>
      </c>
      <c r="S1983" s="544">
        <f t="shared" si="92"/>
        <v>0</v>
      </c>
    </row>
    <row r="1984" spans="2:19">
      <c r="B1984" s="146"/>
      <c r="C1984" s="146"/>
      <c r="D1984" s="543" t="str">
        <f t="shared" si="91"/>
        <v/>
      </c>
      <c r="I1984" s="146"/>
      <c r="J1984" s="146"/>
      <c r="K1984" s="146"/>
      <c r="L1984" s="146"/>
      <c r="M1984" s="544"/>
      <c r="N1984" s="544"/>
      <c r="O1984" s="544"/>
      <c r="P1984" s="544"/>
      <c r="R1984" s="543" t="str">
        <f t="shared" si="93"/>
        <v>:</v>
      </c>
      <c r="S1984" s="544">
        <f t="shared" si="92"/>
        <v>0</v>
      </c>
    </row>
    <row r="1985" spans="1:19">
      <c r="B1985" s="146"/>
      <c r="C1985" s="146"/>
      <c r="D1985" s="543" t="str">
        <f t="shared" si="91"/>
        <v/>
      </c>
      <c r="I1985" s="146"/>
      <c r="J1985" s="146"/>
      <c r="K1985" s="146"/>
      <c r="L1985" s="146"/>
      <c r="M1985" s="544"/>
      <c r="N1985" s="544"/>
      <c r="O1985" s="544"/>
      <c r="P1985" s="544"/>
      <c r="R1985" s="543" t="str">
        <f t="shared" si="93"/>
        <v>:</v>
      </c>
      <c r="S1985" s="544">
        <f t="shared" si="92"/>
        <v>0</v>
      </c>
    </row>
    <row r="1986" spans="1:19">
      <c r="B1986" s="146"/>
      <c r="C1986" s="146"/>
      <c r="D1986" s="543" t="str">
        <f t="shared" si="91"/>
        <v/>
      </c>
      <c r="I1986" s="146"/>
      <c r="J1986" s="146"/>
      <c r="K1986" s="146"/>
      <c r="L1986" s="146"/>
      <c r="M1986" s="544"/>
      <c r="N1986" s="544"/>
      <c r="O1986" s="544"/>
      <c r="P1986" s="544"/>
      <c r="R1986" s="543" t="str">
        <f t="shared" si="93"/>
        <v>:</v>
      </c>
      <c r="S1986" s="544">
        <f t="shared" si="92"/>
        <v>0</v>
      </c>
    </row>
    <row r="1987" spans="1:19">
      <c r="B1987" s="146"/>
      <c r="C1987" s="146"/>
      <c r="D1987" s="543" t="str">
        <f t="shared" si="91"/>
        <v/>
      </c>
      <c r="I1987" s="146"/>
      <c r="J1987" s="146"/>
      <c r="K1987" s="146"/>
      <c r="L1987" s="146"/>
      <c r="M1987" s="544"/>
      <c r="N1987" s="544"/>
      <c r="O1987" s="544"/>
      <c r="P1987" s="544"/>
      <c r="R1987" s="543" t="str">
        <f t="shared" si="93"/>
        <v>:</v>
      </c>
      <c r="S1987" s="544">
        <f t="shared" si="92"/>
        <v>0</v>
      </c>
    </row>
    <row r="1988" spans="1:19">
      <c r="B1988" s="146"/>
      <c r="C1988" s="146"/>
      <c r="D1988" s="543" t="str">
        <f t="shared" si="91"/>
        <v/>
      </c>
      <c r="I1988" s="146"/>
      <c r="J1988" s="146"/>
      <c r="K1988" s="146"/>
      <c r="L1988" s="146"/>
      <c r="M1988" s="544"/>
      <c r="N1988" s="544"/>
      <c r="O1988" s="544"/>
      <c r="P1988" s="544"/>
      <c r="R1988" s="543" t="str">
        <f t="shared" si="93"/>
        <v>:</v>
      </c>
      <c r="S1988" s="544">
        <f t="shared" si="92"/>
        <v>0</v>
      </c>
    </row>
    <row r="1989" spans="1:19">
      <c r="B1989" s="146"/>
      <c r="C1989" s="146"/>
      <c r="D1989" s="543" t="str">
        <f t="shared" si="91"/>
        <v/>
      </c>
      <c r="I1989" s="146"/>
      <c r="J1989" s="146"/>
      <c r="K1989" s="146"/>
      <c r="L1989" s="146"/>
      <c r="M1989" s="544"/>
      <c r="N1989" s="544"/>
      <c r="O1989" s="544"/>
      <c r="P1989" s="544"/>
      <c r="R1989" s="543" t="str">
        <f t="shared" si="93"/>
        <v>:</v>
      </c>
      <c r="S1989" s="544">
        <f t="shared" si="92"/>
        <v>0</v>
      </c>
    </row>
    <row r="1990" spans="1:19">
      <c r="B1990" s="146"/>
      <c r="C1990" s="146"/>
      <c r="D1990" s="543" t="str">
        <f t="shared" si="91"/>
        <v/>
      </c>
      <c r="I1990" s="146"/>
      <c r="J1990" s="146"/>
      <c r="K1990" s="146"/>
      <c r="L1990" s="146"/>
      <c r="M1990" s="544"/>
      <c r="N1990" s="544"/>
      <c r="O1990" s="544"/>
      <c r="P1990" s="544"/>
      <c r="R1990" s="543" t="str">
        <f t="shared" si="93"/>
        <v>:</v>
      </c>
      <c r="S1990" s="544">
        <f t="shared" si="92"/>
        <v>0</v>
      </c>
    </row>
    <row r="1991" spans="1:19">
      <c r="B1991" s="146"/>
      <c r="C1991" s="146"/>
      <c r="D1991" s="543" t="str">
        <f t="shared" si="91"/>
        <v/>
      </c>
      <c r="I1991" s="146"/>
      <c r="J1991" s="146"/>
      <c r="K1991" s="146"/>
      <c r="L1991" s="146"/>
      <c r="M1991" s="544"/>
      <c r="N1991" s="544"/>
      <c r="O1991" s="544"/>
      <c r="P1991" s="544"/>
      <c r="R1991" s="543" t="str">
        <f t="shared" si="93"/>
        <v>:</v>
      </c>
      <c r="S1991" s="544">
        <f t="shared" si="92"/>
        <v>0</v>
      </c>
    </row>
    <row r="1992" spans="1:19">
      <c r="B1992" s="146"/>
      <c r="C1992" s="146"/>
      <c r="D1992" s="543" t="str">
        <f t="shared" si="91"/>
        <v/>
      </c>
      <c r="I1992" s="146"/>
      <c r="J1992" s="146"/>
      <c r="K1992" s="146"/>
      <c r="L1992" s="146"/>
      <c r="M1992" s="544"/>
      <c r="N1992" s="544"/>
      <c r="O1992" s="544"/>
      <c r="P1992" s="544"/>
      <c r="R1992" s="543" t="str">
        <f t="shared" si="93"/>
        <v>:</v>
      </c>
      <c r="S1992" s="544">
        <f t="shared" si="92"/>
        <v>0</v>
      </c>
    </row>
    <row r="1993" spans="1:19">
      <c r="B1993" s="146"/>
      <c r="C1993" s="146"/>
      <c r="D1993" s="543" t="str">
        <f t="shared" si="91"/>
        <v/>
      </c>
      <c r="I1993" s="146"/>
      <c r="J1993" s="146"/>
      <c r="K1993" s="146"/>
      <c r="L1993" s="146"/>
      <c r="M1993" s="544"/>
      <c r="N1993" s="544"/>
      <c r="O1993" s="544"/>
      <c r="P1993" s="544"/>
      <c r="R1993" s="543" t="str">
        <f t="shared" si="93"/>
        <v>:</v>
      </c>
      <c r="S1993" s="544">
        <f t="shared" si="92"/>
        <v>0</v>
      </c>
    </row>
    <row r="1994" spans="1:19">
      <c r="B1994" s="146"/>
      <c r="C1994" s="146"/>
      <c r="D1994" s="543" t="str">
        <f t="shared" ref="D1994:D2000" si="94">IF(B1994="","",B1994&amp;":"&amp;C1994)</f>
        <v/>
      </c>
      <c r="I1994" s="146"/>
      <c r="J1994" s="146"/>
      <c r="K1994" s="146"/>
      <c r="L1994" s="146"/>
      <c r="M1994" s="544"/>
      <c r="N1994" s="544"/>
      <c r="O1994" s="544"/>
      <c r="P1994" s="544"/>
      <c r="R1994" s="543" t="str">
        <f t="shared" si="93"/>
        <v>:</v>
      </c>
      <c r="S1994" s="544">
        <f t="shared" ref="S1994:S2000" si="95">HLOOKUP($S$8,$L$8:$P$2000,ROW()-7,FALSE)</f>
        <v>0</v>
      </c>
    </row>
    <row r="1995" spans="1:19">
      <c r="B1995" s="146"/>
      <c r="C1995" s="146"/>
      <c r="D1995" s="543" t="str">
        <f t="shared" si="94"/>
        <v/>
      </c>
      <c r="I1995" s="146"/>
      <c r="J1995" s="146"/>
      <c r="K1995" s="146"/>
      <c r="L1995" s="146"/>
      <c r="M1995" s="544"/>
      <c r="N1995" s="544"/>
      <c r="O1995" s="544"/>
      <c r="P1995" s="544"/>
      <c r="R1995" s="543" t="str">
        <f t="shared" si="93"/>
        <v>:</v>
      </c>
      <c r="S1995" s="544">
        <f t="shared" si="95"/>
        <v>0</v>
      </c>
    </row>
    <row r="1996" spans="1:19">
      <c r="B1996" s="146"/>
      <c r="C1996" s="146"/>
      <c r="D1996" s="543" t="str">
        <f t="shared" si="94"/>
        <v/>
      </c>
      <c r="I1996" s="146"/>
      <c r="J1996" s="146"/>
      <c r="K1996" s="146"/>
      <c r="L1996" s="146"/>
      <c r="M1996" s="544"/>
      <c r="N1996" s="544"/>
      <c r="O1996" s="544"/>
      <c r="P1996" s="544"/>
      <c r="R1996" s="543" t="str">
        <f t="shared" si="93"/>
        <v>:</v>
      </c>
      <c r="S1996" s="544">
        <f t="shared" si="95"/>
        <v>0</v>
      </c>
    </row>
    <row r="1997" spans="1:19">
      <c r="B1997" s="146"/>
      <c r="C1997" s="146"/>
      <c r="D1997" s="543" t="str">
        <f t="shared" si="94"/>
        <v/>
      </c>
      <c r="I1997" s="146"/>
      <c r="J1997" s="146"/>
      <c r="K1997" s="146"/>
      <c r="L1997" s="146"/>
      <c r="M1997" s="544"/>
      <c r="N1997" s="544"/>
      <c r="O1997" s="544"/>
      <c r="P1997" s="544"/>
      <c r="R1997" s="543" t="str">
        <f t="shared" ref="R1997:R2000" si="96">I1997&amp;":"&amp;J1997&amp;K1997</f>
        <v>:</v>
      </c>
      <c r="S1997" s="544">
        <f t="shared" si="95"/>
        <v>0</v>
      </c>
    </row>
    <row r="1998" spans="1:19">
      <c r="B1998" s="146"/>
      <c r="C1998" s="146"/>
      <c r="D1998" s="543" t="str">
        <f t="shared" si="94"/>
        <v/>
      </c>
      <c r="I1998" s="146"/>
      <c r="J1998" s="146"/>
      <c r="K1998" s="146"/>
      <c r="L1998" s="146"/>
      <c r="M1998" s="544"/>
      <c r="N1998" s="544"/>
      <c r="O1998" s="544"/>
      <c r="P1998" s="544"/>
      <c r="R1998" s="543" t="str">
        <f t="shared" si="96"/>
        <v>:</v>
      </c>
      <c r="S1998" s="544">
        <f t="shared" si="95"/>
        <v>0</v>
      </c>
    </row>
    <row r="1999" spans="1:19">
      <c r="B1999" s="146"/>
      <c r="C1999" s="146"/>
      <c r="D1999" s="543" t="str">
        <f t="shared" si="94"/>
        <v/>
      </c>
      <c r="I1999" s="146"/>
      <c r="J1999" s="146"/>
      <c r="K1999" s="146"/>
      <c r="L1999" s="146"/>
      <c r="M1999" s="544"/>
      <c r="N1999" s="544"/>
      <c r="O1999" s="544"/>
      <c r="P1999" s="544"/>
      <c r="R1999" s="543" t="str">
        <f t="shared" si="96"/>
        <v>:</v>
      </c>
      <c r="S1999" s="544">
        <f t="shared" si="95"/>
        <v>0</v>
      </c>
    </row>
    <row r="2000" spans="1:19">
      <c r="A2000" t="s">
        <v>1038</v>
      </c>
      <c r="B2000" s="146"/>
      <c r="C2000" s="146"/>
      <c r="D2000" s="543" t="str">
        <f t="shared" si="94"/>
        <v/>
      </c>
      <c r="I2000" s="146"/>
      <c r="J2000" s="146"/>
      <c r="K2000" s="146"/>
      <c r="L2000" s="146"/>
      <c r="M2000" s="544"/>
      <c r="N2000" s="544"/>
      <c r="O2000" s="544"/>
      <c r="P2000" s="544"/>
      <c r="R2000" s="543" t="str">
        <f t="shared" si="96"/>
        <v>:</v>
      </c>
      <c r="S2000" s="544">
        <f t="shared" si="95"/>
        <v>0</v>
      </c>
    </row>
  </sheetData>
  <sheetProtection algorithmName="SHA-512" hashValue="octu6wXym0OuWar/lmuKLtit9sGdT6pEQPESWHKmZgLkkY5RsrP0owX71eV+O2MlHDiDCxqn4gLyM/mv9t4Kfw==" saltValue="gFmT/acJHxs9wMwmsa+WeQ==" spinCount="100000" sheet="1" objects="1" scenarios="1"/>
  <mergeCells count="10">
    <mergeCell ref="R2:R3"/>
    <mergeCell ref="R7:R8"/>
    <mergeCell ref="I2:J3"/>
    <mergeCell ref="B7:B8"/>
    <mergeCell ref="C7:C8"/>
    <mergeCell ref="F7:F8"/>
    <mergeCell ref="K2:K3"/>
    <mergeCell ref="D7:D8"/>
    <mergeCell ref="K7:K8"/>
    <mergeCell ref="I7:J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78"/>
  <sheetViews>
    <sheetView showGridLines="0" zoomScaleNormal="100" zoomScaleSheetLayoutView="100" workbookViewId="0"/>
  </sheetViews>
  <sheetFormatPr defaultColWidth="5.625" defaultRowHeight="18"/>
  <cols>
    <col min="1" max="11" width="5.625" style="67"/>
    <col min="12" max="15" width="10.375" style="67" customWidth="1"/>
    <col min="16" max="26" width="5.625" style="67"/>
    <col min="27" max="27" width="35.5" style="67" hidden="1" customWidth="1"/>
    <col min="28" max="16384" width="5.625" style="67"/>
  </cols>
  <sheetData>
    <row r="1" spans="1:16">
      <c r="A1" s="3" t="s">
        <v>299</v>
      </c>
      <c r="B1" s="3"/>
      <c r="C1" s="3"/>
      <c r="D1" s="3"/>
      <c r="E1" s="3"/>
      <c r="F1" s="3"/>
      <c r="G1" s="3"/>
      <c r="H1" s="3"/>
      <c r="I1" s="3"/>
      <c r="J1" s="3"/>
      <c r="K1" s="3"/>
      <c r="L1" s="743" t="s">
        <v>0</v>
      </c>
      <c r="M1" s="744"/>
      <c r="N1" s="745" t="str">
        <f>IF(事業所概要_算定体制!D13="","",事業所概要_算定体制!D13)</f>
        <v/>
      </c>
      <c r="O1" s="746"/>
    </row>
    <row r="2" spans="1:16">
      <c r="A2" s="3"/>
      <c r="B2" s="3"/>
      <c r="C2" s="3"/>
      <c r="D2" s="3"/>
      <c r="E2" s="3"/>
      <c r="F2" s="3"/>
      <c r="G2" s="3"/>
      <c r="H2" s="3"/>
      <c r="I2" s="3"/>
      <c r="J2" s="3"/>
      <c r="K2" s="3"/>
      <c r="L2" s="3"/>
      <c r="M2" s="3"/>
      <c r="N2" s="747" t="str">
        <f>CONCATENATE(事業所概要_算定体制!$B$3,事業所概要_算定体制!$C$3,"年度")</f>
        <v>令和７年度</v>
      </c>
      <c r="O2" s="747"/>
    </row>
    <row r="3" spans="1:16">
      <c r="A3" s="3" t="s">
        <v>266</v>
      </c>
      <c r="B3" s="3"/>
      <c r="C3" s="3"/>
      <c r="D3" s="3"/>
      <c r="E3" s="3"/>
      <c r="F3" s="3"/>
      <c r="G3" s="3"/>
      <c r="H3" s="3"/>
      <c r="I3" s="3"/>
      <c r="J3" s="3"/>
      <c r="K3" s="3"/>
      <c r="L3" s="3"/>
      <c r="M3" s="3"/>
      <c r="N3" s="3"/>
      <c r="O3" s="3"/>
    </row>
    <row r="4" spans="1:16" ht="8.25" customHeight="1">
      <c r="A4" s="3"/>
      <c r="B4" s="3"/>
      <c r="C4" s="3"/>
      <c r="D4" s="3"/>
      <c r="E4" s="3"/>
      <c r="F4" s="3"/>
      <c r="G4" s="3"/>
      <c r="H4" s="3"/>
      <c r="I4" s="3"/>
      <c r="J4" s="3"/>
      <c r="K4" s="3"/>
      <c r="L4" s="3"/>
      <c r="M4" s="3"/>
      <c r="N4" s="3"/>
      <c r="O4" s="3"/>
    </row>
    <row r="5" spans="1:16" ht="29.25" customHeight="1">
      <c r="A5" s="106"/>
      <c r="B5" s="107"/>
      <c r="C5" s="107"/>
      <c r="D5" s="107"/>
      <c r="E5" s="107"/>
      <c r="F5" s="107"/>
      <c r="G5" s="107"/>
      <c r="H5" s="107"/>
      <c r="I5" s="107"/>
      <c r="J5" s="107"/>
      <c r="K5" s="107"/>
      <c r="L5" s="107"/>
      <c r="M5" s="107"/>
      <c r="N5" s="107"/>
      <c r="O5" s="108"/>
      <c r="P5" s="72" t="s">
        <v>267</v>
      </c>
    </row>
    <row r="6" spans="1:16" ht="29.25" customHeight="1">
      <c r="A6" s="109"/>
      <c r="B6" s="110"/>
      <c r="C6" s="110"/>
      <c r="D6" s="110"/>
      <c r="E6" s="110"/>
      <c r="F6" s="110"/>
      <c r="G6" s="110"/>
      <c r="H6" s="110"/>
      <c r="I6" s="110"/>
      <c r="J6" s="110"/>
      <c r="K6" s="110"/>
      <c r="L6" s="110"/>
      <c r="M6" s="110"/>
      <c r="N6" s="110"/>
      <c r="O6" s="111"/>
    </row>
    <row r="7" spans="1:16" ht="29.25" customHeight="1">
      <c r="A7" s="109"/>
      <c r="B7" s="110"/>
      <c r="C7" s="110"/>
      <c r="D7" s="110"/>
      <c r="E7" s="110"/>
      <c r="F7" s="110"/>
      <c r="G7" s="110"/>
      <c r="H7" s="110"/>
      <c r="I7" s="110"/>
      <c r="J7" s="110"/>
      <c r="K7" s="110"/>
      <c r="L7" s="110"/>
      <c r="M7" s="110"/>
      <c r="N7" s="110"/>
      <c r="O7" s="111"/>
    </row>
    <row r="8" spans="1:16" ht="29.25" customHeight="1">
      <c r="A8" s="109"/>
      <c r="B8" s="110"/>
      <c r="C8" s="110"/>
      <c r="D8" s="110"/>
      <c r="E8" s="110"/>
      <c r="F8" s="110"/>
      <c r="G8" s="110"/>
      <c r="H8" s="110"/>
      <c r="I8" s="110"/>
      <c r="J8" s="110"/>
      <c r="K8" s="110"/>
      <c r="L8" s="110"/>
      <c r="M8" s="110"/>
      <c r="N8" s="110"/>
      <c r="O8" s="111"/>
    </row>
    <row r="9" spans="1:16" ht="29.25" customHeight="1">
      <c r="A9" s="109"/>
      <c r="B9" s="110"/>
      <c r="C9" s="110"/>
      <c r="D9" s="110"/>
      <c r="E9" s="110"/>
      <c r="F9" s="110"/>
      <c r="G9" s="110"/>
      <c r="H9" s="110"/>
      <c r="I9" s="110"/>
      <c r="J9" s="110"/>
      <c r="K9" s="110"/>
      <c r="L9" s="110"/>
      <c r="M9" s="110"/>
      <c r="N9" s="110"/>
      <c r="O9" s="111"/>
    </row>
    <row r="10" spans="1:16" ht="29.25" customHeight="1">
      <c r="A10" s="109"/>
      <c r="B10" s="110"/>
      <c r="C10" s="110"/>
      <c r="D10" s="110"/>
      <c r="E10" s="110"/>
      <c r="F10" s="110"/>
      <c r="G10" s="110"/>
      <c r="H10" s="110"/>
      <c r="I10" s="110"/>
      <c r="J10" s="110"/>
      <c r="K10" s="110"/>
      <c r="L10" s="110"/>
      <c r="M10" s="110"/>
      <c r="N10" s="110"/>
      <c r="O10" s="111"/>
    </row>
    <row r="11" spans="1:16" ht="29.25" customHeight="1">
      <c r="A11" s="109"/>
      <c r="B11" s="110"/>
      <c r="C11" s="110"/>
      <c r="D11" s="110"/>
      <c r="E11" s="110"/>
      <c r="F11" s="110"/>
      <c r="G11" s="110"/>
      <c r="H11" s="110"/>
      <c r="I11" s="110"/>
      <c r="J11" s="110"/>
      <c r="K11" s="110"/>
      <c r="L11" s="110"/>
      <c r="M11" s="110"/>
      <c r="N11" s="110"/>
      <c r="O11" s="111"/>
    </row>
    <row r="12" spans="1:16" ht="29.25" customHeight="1">
      <c r="A12" s="109"/>
      <c r="B12" s="110"/>
      <c r="C12" s="110"/>
      <c r="D12" s="110"/>
      <c r="E12" s="110"/>
      <c r="F12" s="110"/>
      <c r="G12" s="110"/>
      <c r="H12" s="110"/>
      <c r="I12" s="110"/>
      <c r="J12" s="110"/>
      <c r="K12" s="110"/>
      <c r="L12" s="110"/>
      <c r="M12" s="110"/>
      <c r="N12" s="110"/>
      <c r="O12" s="111"/>
    </row>
    <row r="13" spans="1:16" ht="29.25" customHeight="1">
      <c r="A13" s="109"/>
      <c r="B13" s="110"/>
      <c r="C13" s="110"/>
      <c r="D13" s="110"/>
      <c r="E13" s="110"/>
      <c r="F13" s="110"/>
      <c r="G13" s="110"/>
      <c r="H13" s="110"/>
      <c r="I13" s="110"/>
      <c r="J13" s="110"/>
      <c r="K13" s="110"/>
      <c r="L13" s="110"/>
      <c r="M13" s="110"/>
      <c r="N13" s="110"/>
      <c r="O13" s="111"/>
    </row>
    <row r="14" spans="1:16" ht="29.25" customHeight="1">
      <c r="A14" s="109"/>
      <c r="B14" s="110"/>
      <c r="C14" s="110"/>
      <c r="D14" s="110"/>
      <c r="E14" s="110"/>
      <c r="F14" s="110"/>
      <c r="G14" s="110"/>
      <c r="H14" s="110"/>
      <c r="I14" s="110"/>
      <c r="J14" s="110"/>
      <c r="K14" s="110"/>
      <c r="L14" s="110"/>
      <c r="M14" s="110"/>
      <c r="N14" s="110"/>
      <c r="O14" s="111"/>
    </row>
    <row r="15" spans="1:16" ht="29.25" customHeight="1">
      <c r="A15" s="109"/>
      <c r="B15" s="110"/>
      <c r="C15" s="110"/>
      <c r="D15" s="110"/>
      <c r="E15" s="110"/>
      <c r="F15" s="110"/>
      <c r="G15" s="110"/>
      <c r="H15" s="110"/>
      <c r="I15" s="110"/>
      <c r="J15" s="110"/>
      <c r="K15" s="110"/>
      <c r="L15" s="110"/>
      <c r="M15" s="110"/>
      <c r="N15" s="110"/>
      <c r="O15" s="111"/>
    </row>
    <row r="16" spans="1:16" ht="29.25" customHeight="1">
      <c r="A16" s="109"/>
      <c r="B16" s="110"/>
      <c r="C16" s="110"/>
      <c r="D16" s="110"/>
      <c r="E16" s="110"/>
      <c r="F16" s="110"/>
      <c r="G16" s="110"/>
      <c r="H16" s="110"/>
      <c r="I16" s="110"/>
      <c r="J16" s="110"/>
      <c r="K16" s="110"/>
      <c r="L16" s="110"/>
      <c r="M16" s="110"/>
      <c r="N16" s="110"/>
      <c r="O16" s="111"/>
    </row>
    <row r="17" spans="1:15" ht="29.25" customHeight="1">
      <c r="A17" s="109"/>
      <c r="B17" s="110"/>
      <c r="C17" s="110"/>
      <c r="D17" s="110"/>
      <c r="E17" s="110"/>
      <c r="F17" s="110"/>
      <c r="G17" s="110"/>
      <c r="H17" s="110"/>
      <c r="I17" s="110"/>
      <c r="J17" s="110"/>
      <c r="K17" s="110"/>
      <c r="L17" s="110"/>
      <c r="M17" s="110"/>
      <c r="N17" s="110"/>
      <c r="O17" s="111"/>
    </row>
    <row r="18" spans="1:15" ht="29.25" customHeight="1">
      <c r="A18" s="109"/>
      <c r="B18" s="110"/>
      <c r="C18" s="110"/>
      <c r="D18" s="110"/>
      <c r="E18" s="110"/>
      <c r="F18" s="110"/>
      <c r="G18" s="110"/>
      <c r="H18" s="110"/>
      <c r="I18" s="110"/>
      <c r="J18" s="110"/>
      <c r="K18" s="110"/>
      <c r="L18" s="110"/>
      <c r="M18" s="110"/>
      <c r="N18" s="110"/>
      <c r="O18" s="111"/>
    </row>
    <row r="19" spans="1:15" ht="29.25" customHeight="1">
      <c r="A19" s="109"/>
      <c r="B19" s="110"/>
      <c r="C19" s="110"/>
      <c r="D19" s="110"/>
      <c r="E19" s="110"/>
      <c r="F19" s="110"/>
      <c r="G19" s="110"/>
      <c r="H19" s="110"/>
      <c r="I19" s="110"/>
      <c r="J19" s="110"/>
      <c r="K19" s="110"/>
      <c r="L19" s="110"/>
      <c r="M19" s="110"/>
      <c r="N19" s="110"/>
      <c r="O19" s="111"/>
    </row>
    <row r="20" spans="1:15" ht="29.25" customHeight="1">
      <c r="A20" s="109"/>
      <c r="B20" s="110"/>
      <c r="C20" s="110"/>
      <c r="D20" s="110"/>
      <c r="E20" s="110"/>
      <c r="F20" s="110"/>
      <c r="G20" s="110"/>
      <c r="H20" s="110"/>
      <c r="I20" s="110"/>
      <c r="J20" s="110"/>
      <c r="K20" s="110"/>
      <c r="L20" s="110"/>
      <c r="M20" s="110"/>
      <c r="N20" s="110"/>
      <c r="O20" s="111"/>
    </row>
    <row r="21" spans="1:15" ht="29.25" customHeight="1">
      <c r="A21" s="109"/>
      <c r="B21" s="110"/>
      <c r="C21" s="110"/>
      <c r="D21" s="110"/>
      <c r="E21" s="110"/>
      <c r="F21" s="110"/>
      <c r="G21" s="110"/>
      <c r="H21" s="110"/>
      <c r="I21" s="110"/>
      <c r="J21" s="110"/>
      <c r="K21" s="110"/>
      <c r="L21" s="110"/>
      <c r="M21" s="110"/>
      <c r="N21" s="110"/>
      <c r="O21" s="111"/>
    </row>
    <row r="22" spans="1:15" ht="29.25" customHeight="1">
      <c r="A22" s="109"/>
      <c r="B22" s="110"/>
      <c r="C22" s="110"/>
      <c r="D22" s="110"/>
      <c r="E22" s="110"/>
      <c r="F22" s="110"/>
      <c r="G22" s="110"/>
      <c r="H22" s="110"/>
      <c r="I22" s="110"/>
      <c r="J22" s="110"/>
      <c r="K22" s="110"/>
      <c r="L22" s="110"/>
      <c r="M22" s="110"/>
      <c r="N22" s="110"/>
      <c r="O22" s="111"/>
    </row>
    <row r="23" spans="1:15" ht="29.25" customHeight="1">
      <c r="A23" s="109"/>
      <c r="B23" s="110"/>
      <c r="C23" s="110"/>
      <c r="D23" s="110"/>
      <c r="E23" s="110"/>
      <c r="F23" s="110"/>
      <c r="G23" s="110"/>
      <c r="H23" s="110"/>
      <c r="I23" s="110"/>
      <c r="J23" s="110"/>
      <c r="K23" s="110"/>
      <c r="L23" s="110"/>
      <c r="M23" s="110"/>
      <c r="N23" s="110"/>
      <c r="O23" s="111"/>
    </row>
    <row r="24" spans="1:15" ht="29.25" customHeight="1">
      <c r="A24" s="109"/>
      <c r="B24" s="110"/>
      <c r="C24" s="110"/>
      <c r="D24" s="110"/>
      <c r="E24" s="110"/>
      <c r="F24" s="110"/>
      <c r="G24" s="110"/>
      <c r="H24" s="110"/>
      <c r="I24" s="110"/>
      <c r="J24" s="110"/>
      <c r="K24" s="110"/>
      <c r="L24" s="110"/>
      <c r="M24" s="110"/>
      <c r="N24" s="110"/>
      <c r="O24" s="111"/>
    </row>
    <row r="25" spans="1:15" ht="29.25" customHeight="1">
      <c r="A25" s="109"/>
      <c r="B25" s="110"/>
      <c r="C25" s="110"/>
      <c r="D25" s="110"/>
      <c r="E25" s="110"/>
      <c r="F25" s="110"/>
      <c r="G25" s="110"/>
      <c r="H25" s="110"/>
      <c r="I25" s="110"/>
      <c r="J25" s="110"/>
      <c r="K25" s="110"/>
      <c r="L25" s="110"/>
      <c r="M25" s="110"/>
      <c r="N25" s="110"/>
      <c r="O25" s="111"/>
    </row>
    <row r="26" spans="1:15" ht="29.25" customHeight="1">
      <c r="A26" s="109"/>
      <c r="B26" s="110"/>
      <c r="C26" s="110"/>
      <c r="D26" s="110"/>
      <c r="E26" s="110"/>
      <c r="F26" s="110"/>
      <c r="G26" s="110"/>
      <c r="H26" s="110"/>
      <c r="I26" s="110"/>
      <c r="J26" s="110"/>
      <c r="K26" s="110"/>
      <c r="L26" s="110"/>
      <c r="M26" s="110"/>
      <c r="N26" s="110"/>
      <c r="O26" s="111"/>
    </row>
    <row r="27" spans="1:15" ht="29.25" customHeight="1">
      <c r="A27" s="109"/>
      <c r="B27" s="110"/>
      <c r="C27" s="110"/>
      <c r="D27" s="110"/>
      <c r="E27" s="110"/>
      <c r="F27" s="110"/>
      <c r="G27" s="110"/>
      <c r="H27" s="110"/>
      <c r="I27" s="110"/>
      <c r="J27" s="110"/>
      <c r="K27" s="110"/>
      <c r="L27" s="110"/>
      <c r="M27" s="110"/>
      <c r="N27" s="110"/>
      <c r="O27" s="111"/>
    </row>
    <row r="28" spans="1:15" ht="29.25" customHeight="1">
      <c r="A28" s="109"/>
      <c r="B28" s="110"/>
      <c r="C28" s="110"/>
      <c r="D28" s="110"/>
      <c r="E28" s="110"/>
      <c r="F28" s="110"/>
      <c r="G28" s="110"/>
      <c r="H28" s="110"/>
      <c r="I28" s="110"/>
      <c r="J28" s="110"/>
      <c r="K28" s="110"/>
      <c r="L28" s="110"/>
      <c r="M28" s="110"/>
      <c r="N28" s="110"/>
      <c r="O28" s="111"/>
    </row>
    <row r="29" spans="1:15" ht="29.25" customHeight="1">
      <c r="A29" s="109"/>
      <c r="B29" s="110"/>
      <c r="C29" s="110"/>
      <c r="D29" s="110"/>
      <c r="E29" s="110"/>
      <c r="F29" s="110"/>
      <c r="G29" s="110"/>
      <c r="H29" s="110"/>
      <c r="I29" s="110"/>
      <c r="J29" s="110"/>
      <c r="K29" s="110"/>
      <c r="L29" s="110"/>
      <c r="M29" s="110"/>
      <c r="N29" s="110"/>
      <c r="O29" s="111"/>
    </row>
    <row r="30" spans="1:15" ht="29.25" customHeight="1">
      <c r="A30" s="109"/>
      <c r="B30" s="110"/>
      <c r="C30" s="110"/>
      <c r="D30" s="110"/>
      <c r="E30" s="110"/>
      <c r="F30" s="110"/>
      <c r="G30" s="110"/>
      <c r="H30" s="110"/>
      <c r="I30" s="110"/>
      <c r="J30" s="110"/>
      <c r="K30" s="110"/>
      <c r="L30" s="110"/>
      <c r="M30" s="110"/>
      <c r="N30" s="110"/>
      <c r="O30" s="111"/>
    </row>
    <row r="31" spans="1:15" ht="29.25" customHeight="1">
      <c r="A31" s="109"/>
      <c r="B31" s="110"/>
      <c r="C31" s="110"/>
      <c r="D31" s="110"/>
      <c r="E31" s="110"/>
      <c r="F31" s="110"/>
      <c r="G31" s="110"/>
      <c r="H31" s="110"/>
      <c r="I31" s="110"/>
      <c r="J31" s="110"/>
      <c r="K31" s="110"/>
      <c r="L31" s="110"/>
      <c r="M31" s="110"/>
      <c r="N31" s="110"/>
      <c r="O31" s="111"/>
    </row>
    <row r="32" spans="1:15" ht="29.25" customHeight="1">
      <c r="A32" s="109"/>
      <c r="B32" s="110"/>
      <c r="C32" s="110"/>
      <c r="D32" s="110"/>
      <c r="E32" s="110"/>
      <c r="F32" s="110"/>
      <c r="G32" s="110"/>
      <c r="H32" s="110"/>
      <c r="I32" s="110"/>
      <c r="J32" s="110"/>
      <c r="K32" s="110"/>
      <c r="L32" s="110"/>
      <c r="M32" s="110"/>
      <c r="N32" s="110"/>
      <c r="O32" s="111"/>
    </row>
    <row r="33" spans="1:15" ht="29.25" customHeight="1">
      <c r="A33" s="109"/>
      <c r="B33" s="110"/>
      <c r="C33" s="110"/>
      <c r="D33" s="110"/>
      <c r="E33" s="110"/>
      <c r="F33" s="110"/>
      <c r="G33" s="110"/>
      <c r="H33" s="110"/>
      <c r="I33" s="110"/>
      <c r="J33" s="110"/>
      <c r="K33" s="110"/>
      <c r="L33" s="110"/>
      <c r="M33" s="110"/>
      <c r="N33" s="110"/>
      <c r="O33" s="111"/>
    </row>
    <row r="34" spans="1:15" ht="29.25" customHeight="1">
      <c r="A34" s="112"/>
      <c r="B34" s="113"/>
      <c r="C34" s="113"/>
      <c r="D34" s="113"/>
      <c r="E34" s="113"/>
      <c r="F34" s="113"/>
      <c r="G34" s="113"/>
      <c r="H34" s="113"/>
      <c r="I34" s="113"/>
      <c r="J34" s="113"/>
      <c r="K34" s="113"/>
      <c r="L34" s="113"/>
      <c r="M34" s="113"/>
      <c r="N34" s="113"/>
      <c r="O34" s="114"/>
    </row>
    <row r="35" spans="1:15" ht="18" customHeight="1"/>
    <row r="36" spans="1:15" ht="18" customHeight="1"/>
    <row r="37" spans="1:15" ht="18" customHeight="1"/>
    <row r="38" spans="1:15" ht="18" customHeight="1"/>
    <row r="39" spans="1:15" ht="18" customHeight="1"/>
    <row r="40" spans="1:15" ht="18" customHeight="1"/>
    <row r="41" spans="1:15" ht="18" customHeight="1"/>
    <row r="42" spans="1:15" ht="18" customHeight="1"/>
    <row r="43" spans="1:15" ht="18" customHeight="1"/>
    <row r="44" spans="1:15" ht="18" customHeight="1"/>
    <row r="45" spans="1:15" ht="18" customHeight="1"/>
    <row r="46" spans="1:15" ht="18" customHeight="1"/>
    <row r="47" spans="1:15" ht="18" customHeight="1"/>
    <row r="48" spans="1:1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sheetData>
  <sheetProtection algorithmName="SHA-512" hashValue="IkqhKO1CDfnSpy57XDzoZ30ivjOs6YiUYUMoiLfnEVqL3aJdyexlWSoAtW+62qOHwIqBkrUp7W1b3LOXLdHDgw==" saltValue="qyKY/1PgcPB5CZsUhGNXkQ==" spinCount="100000" sheet="1" scenarios="1"/>
  <mergeCells count="3">
    <mergeCell ref="L1:M1"/>
    <mergeCell ref="N1:O1"/>
    <mergeCell ref="N2:O2"/>
  </mergeCells>
  <phoneticPr fontId="5"/>
  <pageMargins left="0.78740157480314965" right="0.59055118110236227" top="0.78740157480314965" bottom="0.59055118110236227" header="0.31496062992125984" footer="0.31496062992125984"/>
  <pageSetup paperSize="9" scale="7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0.14999847407452621"/>
  </sheetPr>
  <dimension ref="B1:AB200"/>
  <sheetViews>
    <sheetView zoomScaleNormal="100" workbookViewId="0"/>
  </sheetViews>
  <sheetFormatPr defaultRowHeight="18.75"/>
  <cols>
    <col min="3" max="3" width="33.125" bestFit="1" customWidth="1"/>
    <col min="4" max="4" width="38.125" customWidth="1"/>
    <col min="6" max="6" width="20.625" customWidth="1"/>
    <col min="8" max="8" width="36.125" bestFit="1" customWidth="1"/>
    <col min="9" max="11" width="11.5" bestFit="1" customWidth="1"/>
    <col min="12" max="13" width="13.75" bestFit="1" customWidth="1"/>
    <col min="14" max="14" width="5.75" customWidth="1"/>
    <col min="15" max="15" width="36.125" bestFit="1" customWidth="1"/>
    <col min="16" max="16" width="13.75" customWidth="1"/>
    <col min="17" max="17" width="5.5" customWidth="1"/>
    <col min="18" max="18" width="9.25" bestFit="1" customWidth="1"/>
    <col min="19" max="19" width="31.375" bestFit="1" customWidth="1"/>
    <col min="20" max="20" width="34.875" customWidth="1"/>
    <col min="21" max="23" width="11.5" bestFit="1" customWidth="1"/>
    <col min="24" max="25" width="13.75" bestFit="1" customWidth="1"/>
    <col min="27" max="27" width="31.375" bestFit="1" customWidth="1"/>
    <col min="28" max="28" width="16.5" customWidth="1"/>
  </cols>
  <sheetData>
    <row r="1" spans="2:28">
      <c r="P1" t="s">
        <v>800</v>
      </c>
      <c r="AB1" t="s">
        <v>800</v>
      </c>
    </row>
    <row r="2" spans="2:28" ht="18.75" customHeight="1">
      <c r="H2" s="1130" t="s">
        <v>668</v>
      </c>
      <c r="I2" s="213" t="s">
        <v>665</v>
      </c>
      <c r="J2" s="213" t="s">
        <v>665</v>
      </c>
      <c r="K2" s="213" t="s">
        <v>665</v>
      </c>
      <c r="L2" s="213" t="s">
        <v>665</v>
      </c>
      <c r="M2" s="213" t="s">
        <v>665</v>
      </c>
      <c r="N2" s="219"/>
      <c r="O2" s="1125" t="s">
        <v>668</v>
      </c>
      <c r="P2" s="218" t="s">
        <v>665</v>
      </c>
      <c r="Q2" s="219"/>
      <c r="T2" s="1130" t="s">
        <v>667</v>
      </c>
      <c r="U2" s="213" t="s">
        <v>665</v>
      </c>
      <c r="V2" s="213" t="s">
        <v>665</v>
      </c>
      <c r="W2" s="213" t="s">
        <v>665</v>
      </c>
      <c r="X2" s="213" t="s">
        <v>665</v>
      </c>
      <c r="Y2" s="213" t="s">
        <v>665</v>
      </c>
      <c r="AA2" s="1125" t="s">
        <v>667</v>
      </c>
      <c r="AB2" s="218" t="s">
        <v>665</v>
      </c>
    </row>
    <row r="3" spans="2:28">
      <c r="H3" s="1129"/>
      <c r="I3" s="213" t="s">
        <v>792</v>
      </c>
      <c r="J3" s="213" t="s">
        <v>793</v>
      </c>
      <c r="K3" s="213" t="s">
        <v>794</v>
      </c>
      <c r="L3" s="213" t="s">
        <v>795</v>
      </c>
      <c r="M3" s="213" t="s">
        <v>796</v>
      </c>
      <c r="N3" s="219"/>
      <c r="O3" s="1126"/>
      <c r="P3" s="218" t="str">
        <f>CONCATENATE(事業所概要_算定体制!$B$3,事業所概要_算定体制!$C$3,"年度")</f>
        <v>令和７年度</v>
      </c>
      <c r="Q3" s="219"/>
      <c r="T3" s="1129"/>
      <c r="U3" s="213" t="s">
        <v>792</v>
      </c>
      <c r="V3" s="213" t="s">
        <v>793</v>
      </c>
      <c r="W3" s="213" t="s">
        <v>794</v>
      </c>
      <c r="X3" s="213" t="s">
        <v>795</v>
      </c>
      <c r="Y3" s="213" t="s">
        <v>796</v>
      </c>
      <c r="AA3" s="1126"/>
      <c r="AB3" s="218" t="str">
        <f>CONCATENATE(事業所概要_算定体制!$B$3,事業所概要_算定体制!$C$3,"年度")</f>
        <v>令和７年度</v>
      </c>
    </row>
    <row r="4" spans="2:28">
      <c r="H4" s="146" t="s">
        <v>669</v>
      </c>
      <c r="I4" s="146">
        <v>40</v>
      </c>
      <c r="J4" s="146">
        <v>40</v>
      </c>
      <c r="K4" s="146">
        <v>40</v>
      </c>
      <c r="L4" s="146">
        <v>40</v>
      </c>
      <c r="M4" s="146">
        <v>40</v>
      </c>
      <c r="O4" s="146" t="s">
        <v>669</v>
      </c>
      <c r="P4" s="146">
        <f>HLOOKUP($P$3,$I$3:$M$4,2,FALSE)</f>
        <v>40</v>
      </c>
      <c r="T4" s="146" t="s">
        <v>533</v>
      </c>
      <c r="U4" s="146">
        <v>2.0499999999999998</v>
      </c>
      <c r="V4" s="146">
        <v>2.0499999999999998</v>
      </c>
      <c r="W4" s="146">
        <v>2.0499999999999998</v>
      </c>
      <c r="X4" s="146">
        <v>2.0499999999999998</v>
      </c>
      <c r="Y4" s="146">
        <v>2.0499999999999998</v>
      </c>
      <c r="AA4" s="146" t="s">
        <v>533</v>
      </c>
      <c r="AB4" s="146">
        <f>HLOOKUP($AB$3,$U$3:$Y$4,2,FALSE)</f>
        <v>2.0499999999999998</v>
      </c>
    </row>
    <row r="6" spans="2:28" ht="20.25">
      <c r="B6" s="1136" t="s">
        <v>464</v>
      </c>
      <c r="C6" s="1136" t="s">
        <v>713</v>
      </c>
      <c r="D6" s="1129" t="s">
        <v>714</v>
      </c>
      <c r="F6" s="1129" t="s">
        <v>679</v>
      </c>
      <c r="H6" s="213" t="s">
        <v>666</v>
      </c>
      <c r="I6" s="213" t="s">
        <v>665</v>
      </c>
      <c r="J6" s="213" t="s">
        <v>665</v>
      </c>
      <c r="K6" s="213" t="s">
        <v>665</v>
      </c>
      <c r="L6" s="213" t="s">
        <v>665</v>
      </c>
      <c r="M6" s="213" t="s">
        <v>665</v>
      </c>
      <c r="N6" s="219"/>
      <c r="O6" s="1133" t="s">
        <v>802</v>
      </c>
      <c r="P6" s="218" t="s">
        <v>665</v>
      </c>
      <c r="Q6" s="219"/>
      <c r="R6" s="1129" t="s">
        <v>704</v>
      </c>
      <c r="S6" s="1138" t="s">
        <v>674</v>
      </c>
      <c r="T6" s="1134" t="s">
        <v>709</v>
      </c>
      <c r="U6" s="213" t="s">
        <v>665</v>
      </c>
      <c r="V6" s="213" t="s">
        <v>665</v>
      </c>
      <c r="W6" s="213" t="s">
        <v>665</v>
      </c>
      <c r="X6" s="213" t="s">
        <v>665</v>
      </c>
      <c r="Y6" s="213" t="s">
        <v>665</v>
      </c>
      <c r="AA6" s="1133" t="s">
        <v>802</v>
      </c>
      <c r="AB6" s="218" t="s">
        <v>665</v>
      </c>
    </row>
    <row r="7" spans="2:28">
      <c r="B7" s="1137"/>
      <c r="C7" s="1137"/>
      <c r="D7" s="1129"/>
      <c r="F7" s="1129"/>
      <c r="H7" s="213" t="s">
        <v>664</v>
      </c>
      <c r="I7" s="213" t="s">
        <v>792</v>
      </c>
      <c r="J7" s="213" t="s">
        <v>793</v>
      </c>
      <c r="K7" s="213" t="s">
        <v>794</v>
      </c>
      <c r="L7" s="213" t="s">
        <v>795</v>
      </c>
      <c r="M7" s="213" t="s">
        <v>796</v>
      </c>
      <c r="N7" s="219"/>
      <c r="O7" s="1133"/>
      <c r="P7" s="218" t="str">
        <f>CONCATENATE(事業所概要_算定体制!$B$3,事業所概要_算定体制!$C$3,"年度")</f>
        <v>令和７年度</v>
      </c>
      <c r="Q7" s="219"/>
      <c r="R7" s="1129"/>
      <c r="S7" s="1139"/>
      <c r="T7" s="1135"/>
      <c r="U7" s="213" t="s">
        <v>792</v>
      </c>
      <c r="V7" s="213" t="s">
        <v>793</v>
      </c>
      <c r="W7" s="213" t="s">
        <v>794</v>
      </c>
      <c r="X7" s="213" t="s">
        <v>795</v>
      </c>
      <c r="Y7" s="213" t="s">
        <v>796</v>
      </c>
      <c r="AA7" s="1133"/>
      <c r="AB7" s="218" t="str">
        <f>CONCATENATE(事業所概要_算定体制!$B$3,事業所概要_算定体制!$C$3,"年度")</f>
        <v>令和７年度</v>
      </c>
    </row>
    <row r="8" spans="2:28">
      <c r="B8" s="146" t="s">
        <v>705</v>
      </c>
      <c r="C8" s="146" t="s">
        <v>701</v>
      </c>
      <c r="D8" s="146" t="str">
        <f>IF(C8="","",IF(B8="",C8,B8&amp;":"&amp;C8))</f>
        <v>A0020:東京ガス(株)_13A</v>
      </c>
      <c r="F8" s="149"/>
      <c r="H8" s="146" t="s">
        <v>701</v>
      </c>
      <c r="I8" s="146">
        <v>45</v>
      </c>
      <c r="J8" s="146">
        <v>45</v>
      </c>
      <c r="K8" s="146">
        <v>45</v>
      </c>
      <c r="L8" s="146">
        <v>45</v>
      </c>
      <c r="M8" s="146">
        <v>45</v>
      </c>
      <c r="O8" s="149" t="str">
        <f>IF(B8="",C8,B8&amp;":"&amp;C8)</f>
        <v>A0020:東京ガス(株)_13A</v>
      </c>
      <c r="P8" s="149">
        <f>HLOOKUP($P$7,$I$7:$M$200,ROW()-6,FALSE)</f>
        <v>45</v>
      </c>
      <c r="R8" s="146" t="s">
        <v>705</v>
      </c>
      <c r="S8" s="146" t="s">
        <v>701</v>
      </c>
      <c r="T8" s="146" t="s">
        <v>710</v>
      </c>
      <c r="U8" s="146">
        <v>0</v>
      </c>
      <c r="V8" s="146">
        <v>0</v>
      </c>
      <c r="W8" s="146">
        <v>0</v>
      </c>
      <c r="X8" s="146">
        <v>0</v>
      </c>
      <c r="Y8" s="146">
        <v>0</v>
      </c>
      <c r="AA8" s="146" t="str">
        <f>IF(R8="",S8,R8&amp;":"&amp;S8)&amp;T8</f>
        <v>A0020:東京ガス(株)_13AメニューA</v>
      </c>
      <c r="AB8" s="146">
        <f>IF(HLOOKUP($AB$7,$U$7:$Y$200,ROW()-6,FALSE)="","",HLOOKUP($AB$7,$U$7:$Y$200,ROW()-6,FALSE))</f>
        <v>0</v>
      </c>
    </row>
    <row r="9" spans="2:28">
      <c r="B9" s="146"/>
      <c r="C9" s="146" t="s">
        <v>684</v>
      </c>
      <c r="D9" s="146" t="str">
        <f t="shared" ref="D9:D72" si="0">IF(C9="","",IF(B9="",C9,B9&amp;":"&amp;C9))</f>
        <v>伊奈都市ガス(株)_13A</v>
      </c>
      <c r="F9" s="150" t="s">
        <v>710</v>
      </c>
      <c r="H9" s="146" t="s">
        <v>684</v>
      </c>
      <c r="I9" s="146">
        <v>45</v>
      </c>
      <c r="J9" s="146">
        <v>45</v>
      </c>
      <c r="K9" s="146">
        <v>45</v>
      </c>
      <c r="L9" s="146">
        <v>45</v>
      </c>
      <c r="M9" s="146">
        <v>45</v>
      </c>
      <c r="O9" s="150" t="str">
        <f t="shared" ref="O9:O27" si="1">IF(B9="",C9,B9&amp;":"&amp;C9)</f>
        <v>伊奈都市ガス(株)_13A</v>
      </c>
      <c r="P9" s="149">
        <f t="shared" ref="P9:P72" si="2">HLOOKUP($P$7,$I$7:$M$200,ROW()-6,FALSE)</f>
        <v>45</v>
      </c>
      <c r="R9" s="146" t="s">
        <v>705</v>
      </c>
      <c r="S9" s="146" t="s">
        <v>701</v>
      </c>
      <c r="T9" s="146" t="s">
        <v>712</v>
      </c>
      <c r="U9" s="146">
        <v>2.0499999999999998</v>
      </c>
      <c r="V9" s="146">
        <v>2.0499999999999998</v>
      </c>
      <c r="W9" s="146">
        <v>2.0499999999999998</v>
      </c>
      <c r="X9" s="146">
        <v>2.0499999999999998</v>
      </c>
      <c r="Y9" s="146">
        <v>2.0499999999999998</v>
      </c>
      <c r="AA9" s="146" t="str">
        <f t="shared" ref="AA9:AA29" si="3">IF(R9="",S9,R9&amp;":"&amp;S9)&amp;T9</f>
        <v>A0020:東京ガス(株)_13A残差</v>
      </c>
      <c r="AB9" s="146">
        <f t="shared" ref="AB9:AB72" si="4">IF(HLOOKUP($AB$7,$U$7:$Y$200,ROW()-6,FALSE)="","",HLOOKUP($AB$7,$U$7:$Y$200,ROW()-6,FALSE))</f>
        <v>2.0499999999999998</v>
      </c>
    </row>
    <row r="10" spans="2:28">
      <c r="B10" s="146"/>
      <c r="C10" s="146" t="s">
        <v>685</v>
      </c>
      <c r="D10" s="146" t="str">
        <f t="shared" si="0"/>
        <v>入間ガス(株)_13A</v>
      </c>
      <c r="F10" s="150" t="s">
        <v>787</v>
      </c>
      <c r="H10" s="146" t="s">
        <v>685</v>
      </c>
      <c r="I10" s="146">
        <v>45</v>
      </c>
      <c r="J10" s="146">
        <v>45</v>
      </c>
      <c r="K10" s="146">
        <v>45</v>
      </c>
      <c r="L10" s="146">
        <v>45</v>
      </c>
      <c r="M10" s="146">
        <v>45</v>
      </c>
      <c r="O10" s="150" t="str">
        <f t="shared" si="1"/>
        <v>入間ガス(株)_13A</v>
      </c>
      <c r="P10" s="149">
        <f t="shared" si="2"/>
        <v>45</v>
      </c>
      <c r="R10" s="146"/>
      <c r="S10" s="146" t="s">
        <v>684</v>
      </c>
      <c r="T10" s="146"/>
      <c r="U10" s="146" t="s">
        <v>850</v>
      </c>
      <c r="V10" s="146" t="s">
        <v>850</v>
      </c>
      <c r="W10" s="146" t="s">
        <v>850</v>
      </c>
      <c r="X10" s="146" t="s">
        <v>850</v>
      </c>
      <c r="Y10" s="146" t="s">
        <v>850</v>
      </c>
      <c r="AA10" s="146" t="str">
        <f t="shared" si="3"/>
        <v>伊奈都市ガス(株)_13A</v>
      </c>
      <c r="AB10" s="146" t="str">
        <f t="shared" si="4"/>
        <v>要記入</v>
      </c>
    </row>
    <row r="11" spans="2:28">
      <c r="B11" s="146"/>
      <c r="C11" s="146" t="s">
        <v>686</v>
      </c>
      <c r="D11" s="146" t="str">
        <f t="shared" si="0"/>
        <v>太田都市ガス(株)_13A</v>
      </c>
      <c r="F11" s="150" t="s">
        <v>788</v>
      </c>
      <c r="H11" s="146" t="s">
        <v>686</v>
      </c>
      <c r="I11" s="146">
        <v>45</v>
      </c>
      <c r="J11" s="146">
        <v>45</v>
      </c>
      <c r="K11" s="146">
        <v>45</v>
      </c>
      <c r="L11" s="146">
        <v>45</v>
      </c>
      <c r="M11" s="146">
        <v>45</v>
      </c>
      <c r="O11" s="150" t="str">
        <f t="shared" si="1"/>
        <v>太田都市ガス(株)_13A</v>
      </c>
      <c r="P11" s="149">
        <f t="shared" si="2"/>
        <v>45</v>
      </c>
      <c r="R11" s="146"/>
      <c r="S11" s="146" t="s">
        <v>685</v>
      </c>
      <c r="T11" s="146"/>
      <c r="U11" s="146" t="s">
        <v>850</v>
      </c>
      <c r="V11" s="146" t="s">
        <v>850</v>
      </c>
      <c r="W11" s="146" t="s">
        <v>850</v>
      </c>
      <c r="X11" s="146" t="s">
        <v>850</v>
      </c>
      <c r="Y11" s="146" t="s">
        <v>850</v>
      </c>
      <c r="AA11" s="146" t="str">
        <f t="shared" si="3"/>
        <v>入間ガス(株)_13A</v>
      </c>
      <c r="AB11" s="146" t="str">
        <f t="shared" si="4"/>
        <v>要記入</v>
      </c>
    </row>
    <row r="12" spans="2:28">
      <c r="B12" s="146"/>
      <c r="C12" s="146" t="s">
        <v>687</v>
      </c>
      <c r="D12" s="146" t="str">
        <f t="shared" si="0"/>
        <v>角栄ガス(株)_13A</v>
      </c>
      <c r="F12" s="150" t="s">
        <v>974</v>
      </c>
      <c r="H12" s="146" t="s">
        <v>687</v>
      </c>
      <c r="I12" s="146">
        <v>45</v>
      </c>
      <c r="J12" s="146">
        <v>45</v>
      </c>
      <c r="K12" s="146">
        <v>45</v>
      </c>
      <c r="L12" s="146">
        <v>45</v>
      </c>
      <c r="M12" s="146">
        <v>45</v>
      </c>
      <c r="O12" s="150" t="str">
        <f t="shared" si="1"/>
        <v>角栄ガス(株)_13A</v>
      </c>
      <c r="P12" s="149">
        <f t="shared" si="2"/>
        <v>45</v>
      </c>
      <c r="R12" s="146"/>
      <c r="S12" s="146" t="s">
        <v>686</v>
      </c>
      <c r="T12" s="146"/>
      <c r="U12" s="146" t="s">
        <v>850</v>
      </c>
      <c r="V12" s="146" t="s">
        <v>850</v>
      </c>
      <c r="W12" s="146" t="s">
        <v>850</v>
      </c>
      <c r="X12" s="146" t="s">
        <v>850</v>
      </c>
      <c r="Y12" s="146" t="s">
        <v>850</v>
      </c>
      <c r="AA12" s="146" t="str">
        <f t="shared" si="3"/>
        <v>太田都市ガス(株)_13A</v>
      </c>
      <c r="AB12" s="146" t="str">
        <f t="shared" si="4"/>
        <v>要記入</v>
      </c>
    </row>
    <row r="13" spans="2:28">
      <c r="B13" s="146"/>
      <c r="C13" s="146" t="s">
        <v>688</v>
      </c>
      <c r="D13" s="146" t="str">
        <f t="shared" si="0"/>
        <v>埼玉ガス(株)_13A</v>
      </c>
      <c r="F13" s="150" t="s">
        <v>975</v>
      </c>
      <c r="H13" s="146" t="s">
        <v>688</v>
      </c>
      <c r="I13" s="146">
        <v>45</v>
      </c>
      <c r="J13" s="146">
        <v>45</v>
      </c>
      <c r="K13" s="146">
        <v>45</v>
      </c>
      <c r="L13" s="146">
        <v>45</v>
      </c>
      <c r="M13" s="146">
        <v>45</v>
      </c>
      <c r="O13" s="150" t="str">
        <f t="shared" si="1"/>
        <v>埼玉ガス(株)_13A</v>
      </c>
      <c r="P13" s="149">
        <f t="shared" si="2"/>
        <v>45</v>
      </c>
      <c r="R13" s="146"/>
      <c r="S13" s="146" t="s">
        <v>687</v>
      </c>
      <c r="T13" s="146"/>
      <c r="U13" s="146" t="s">
        <v>850</v>
      </c>
      <c r="V13" s="146" t="s">
        <v>850</v>
      </c>
      <c r="W13" s="146" t="s">
        <v>850</v>
      </c>
      <c r="X13" s="146" t="s">
        <v>850</v>
      </c>
      <c r="Y13" s="146" t="s">
        <v>850</v>
      </c>
      <c r="AA13" s="146" t="str">
        <f t="shared" si="3"/>
        <v>角栄ガス(株)_13A</v>
      </c>
      <c r="AB13" s="146" t="str">
        <f t="shared" si="4"/>
        <v>要記入</v>
      </c>
    </row>
    <row r="14" spans="2:28">
      <c r="B14" s="146"/>
      <c r="C14" s="146" t="s">
        <v>689</v>
      </c>
      <c r="D14" s="146" t="str">
        <f t="shared" si="0"/>
        <v>坂戸ガス(株)_13A</v>
      </c>
      <c r="F14" s="153" t="s">
        <v>712</v>
      </c>
      <c r="H14" s="146" t="s">
        <v>689</v>
      </c>
      <c r="I14" s="146">
        <v>45</v>
      </c>
      <c r="J14" s="146">
        <v>45</v>
      </c>
      <c r="K14" s="146">
        <v>45</v>
      </c>
      <c r="L14" s="146">
        <v>45</v>
      </c>
      <c r="M14" s="146">
        <v>45</v>
      </c>
      <c r="O14" s="150" t="str">
        <f t="shared" si="1"/>
        <v>坂戸ガス(株)_13A</v>
      </c>
      <c r="P14" s="149">
        <f t="shared" si="2"/>
        <v>45</v>
      </c>
      <c r="R14" s="146"/>
      <c r="S14" s="146" t="s">
        <v>688</v>
      </c>
      <c r="T14" s="146"/>
      <c r="U14" s="146" t="s">
        <v>850</v>
      </c>
      <c r="V14" s="146" t="s">
        <v>850</v>
      </c>
      <c r="W14" s="146" t="s">
        <v>850</v>
      </c>
      <c r="X14" s="146" t="s">
        <v>850</v>
      </c>
      <c r="Y14" s="146" t="s">
        <v>850</v>
      </c>
      <c r="AA14" s="146" t="str">
        <f t="shared" si="3"/>
        <v>埼玉ガス(株)_13A</v>
      </c>
      <c r="AB14" s="146" t="str">
        <f t="shared" si="4"/>
        <v>要記入</v>
      </c>
    </row>
    <row r="15" spans="2:28">
      <c r="B15" s="146"/>
      <c r="C15" s="146" t="s">
        <v>690</v>
      </c>
      <c r="D15" s="146" t="str">
        <f t="shared" si="0"/>
        <v>幸手都市ガス(株)_13A</v>
      </c>
      <c r="H15" s="146" t="s">
        <v>690</v>
      </c>
      <c r="I15" s="146">
        <v>45</v>
      </c>
      <c r="J15" s="146">
        <v>45</v>
      </c>
      <c r="K15" s="146">
        <v>45</v>
      </c>
      <c r="L15" s="146">
        <v>45</v>
      </c>
      <c r="M15" s="146">
        <v>45</v>
      </c>
      <c r="O15" s="150" t="str">
        <f t="shared" si="1"/>
        <v>幸手都市ガス(株)_13A</v>
      </c>
      <c r="P15" s="149">
        <f t="shared" si="2"/>
        <v>45</v>
      </c>
      <c r="R15" s="146"/>
      <c r="S15" s="146" t="s">
        <v>689</v>
      </c>
      <c r="T15" s="146"/>
      <c r="U15" s="146" t="s">
        <v>850</v>
      </c>
      <c r="V15" s="146" t="s">
        <v>850</v>
      </c>
      <c r="W15" s="146" t="s">
        <v>850</v>
      </c>
      <c r="X15" s="146" t="s">
        <v>850</v>
      </c>
      <c r="Y15" s="146" t="s">
        <v>850</v>
      </c>
      <c r="AA15" s="146" t="str">
        <f t="shared" si="3"/>
        <v>坂戸ガス(株)_13A</v>
      </c>
      <c r="AB15" s="146" t="str">
        <f t="shared" si="4"/>
        <v>要記入</v>
      </c>
    </row>
    <row r="16" spans="2:28">
      <c r="B16" s="146"/>
      <c r="C16" s="146" t="s">
        <v>691</v>
      </c>
      <c r="D16" s="146" t="str">
        <f t="shared" si="0"/>
        <v>松栄ガス(株)_13A</v>
      </c>
      <c r="H16" s="146" t="s">
        <v>691</v>
      </c>
      <c r="I16" s="146">
        <v>45</v>
      </c>
      <c r="J16" s="146">
        <v>45</v>
      </c>
      <c r="K16" s="146">
        <v>45</v>
      </c>
      <c r="L16" s="146">
        <v>45</v>
      </c>
      <c r="M16" s="146">
        <v>45</v>
      </c>
      <c r="O16" s="150" t="str">
        <f t="shared" si="1"/>
        <v>松栄ガス(株)_13A</v>
      </c>
      <c r="P16" s="149">
        <f t="shared" si="2"/>
        <v>45</v>
      </c>
      <c r="R16" s="146"/>
      <c r="S16" s="146" t="s">
        <v>690</v>
      </c>
      <c r="T16" s="146"/>
      <c r="U16" s="146" t="s">
        <v>850</v>
      </c>
      <c r="V16" s="146" t="s">
        <v>850</v>
      </c>
      <c r="W16" s="146" t="s">
        <v>850</v>
      </c>
      <c r="X16" s="146" t="s">
        <v>850</v>
      </c>
      <c r="Y16" s="146" t="s">
        <v>850</v>
      </c>
      <c r="AA16" s="146" t="str">
        <f t="shared" si="3"/>
        <v>幸手都市ガス(株)_13A</v>
      </c>
      <c r="AB16" s="146" t="str">
        <f t="shared" si="4"/>
        <v>要記入</v>
      </c>
    </row>
    <row r="17" spans="2:28">
      <c r="B17" s="146"/>
      <c r="C17" s="146" t="s">
        <v>692</v>
      </c>
      <c r="D17" s="146" t="str">
        <f t="shared" si="0"/>
        <v>新日本瓦斯(株)_13A</v>
      </c>
      <c r="H17" s="146" t="s">
        <v>692</v>
      </c>
      <c r="I17" s="146">
        <v>45</v>
      </c>
      <c r="J17" s="146">
        <v>45</v>
      </c>
      <c r="K17" s="146">
        <v>45</v>
      </c>
      <c r="L17" s="146">
        <v>45</v>
      </c>
      <c r="M17" s="146">
        <v>45</v>
      </c>
      <c r="O17" s="150" t="str">
        <f t="shared" si="1"/>
        <v>新日本瓦斯(株)_13A</v>
      </c>
      <c r="P17" s="149">
        <f t="shared" si="2"/>
        <v>45</v>
      </c>
      <c r="R17" s="146"/>
      <c r="S17" s="146" t="s">
        <v>691</v>
      </c>
      <c r="T17" s="146"/>
      <c r="U17" s="146" t="s">
        <v>850</v>
      </c>
      <c r="V17" s="146" t="s">
        <v>850</v>
      </c>
      <c r="W17" s="146" t="s">
        <v>850</v>
      </c>
      <c r="X17" s="146" t="s">
        <v>850</v>
      </c>
      <c r="Y17" s="146" t="s">
        <v>850</v>
      </c>
      <c r="AA17" s="146" t="str">
        <f t="shared" si="3"/>
        <v>松栄ガス(株)_13A</v>
      </c>
      <c r="AB17" s="146" t="str">
        <f t="shared" si="4"/>
        <v>要記入</v>
      </c>
    </row>
    <row r="18" spans="2:28">
      <c r="B18" s="146"/>
      <c r="C18" s="146" t="s">
        <v>693</v>
      </c>
      <c r="D18" s="146" t="str">
        <f t="shared" si="0"/>
        <v>西武ガス(株)_13A</v>
      </c>
      <c r="H18" s="146" t="s">
        <v>693</v>
      </c>
      <c r="I18" s="146">
        <v>45</v>
      </c>
      <c r="J18" s="146">
        <v>45</v>
      </c>
      <c r="K18" s="146">
        <v>45</v>
      </c>
      <c r="L18" s="146">
        <v>45</v>
      </c>
      <c r="M18" s="146">
        <v>45</v>
      </c>
      <c r="O18" s="150" t="str">
        <f t="shared" si="1"/>
        <v>西武ガス(株)_13A</v>
      </c>
      <c r="P18" s="149">
        <f t="shared" si="2"/>
        <v>45</v>
      </c>
      <c r="R18" s="146"/>
      <c r="S18" s="146" t="s">
        <v>692</v>
      </c>
      <c r="T18" s="146"/>
      <c r="U18" s="146" t="s">
        <v>850</v>
      </c>
      <c r="V18" s="146" t="s">
        <v>850</v>
      </c>
      <c r="W18" s="146" t="s">
        <v>850</v>
      </c>
      <c r="X18" s="146" t="s">
        <v>850</v>
      </c>
      <c r="Y18" s="146" t="s">
        <v>850</v>
      </c>
      <c r="AA18" s="146" t="str">
        <f t="shared" si="3"/>
        <v>新日本瓦斯(株)_13A</v>
      </c>
      <c r="AB18" s="146" t="str">
        <f t="shared" si="4"/>
        <v>要記入</v>
      </c>
    </row>
    <row r="19" spans="2:28">
      <c r="B19" s="146"/>
      <c r="C19" s="146" t="s">
        <v>694</v>
      </c>
      <c r="D19" s="146" t="str">
        <f t="shared" si="0"/>
        <v>大東ガス(株)_13A</v>
      </c>
      <c r="H19" s="146" t="s">
        <v>694</v>
      </c>
      <c r="I19" s="146">
        <v>45</v>
      </c>
      <c r="J19" s="146">
        <v>45</v>
      </c>
      <c r="K19" s="146">
        <v>45</v>
      </c>
      <c r="L19" s="146">
        <v>45</v>
      </c>
      <c r="M19" s="146">
        <v>45</v>
      </c>
      <c r="O19" s="150" t="str">
        <f t="shared" si="1"/>
        <v>大東ガス(株)_13A</v>
      </c>
      <c r="P19" s="149">
        <f t="shared" si="2"/>
        <v>45</v>
      </c>
      <c r="R19" s="146"/>
      <c r="S19" s="146" t="s">
        <v>693</v>
      </c>
      <c r="T19" s="146"/>
      <c r="U19" s="146" t="s">
        <v>850</v>
      </c>
      <c r="V19" s="146" t="s">
        <v>850</v>
      </c>
      <c r="W19" s="146" t="s">
        <v>850</v>
      </c>
      <c r="X19" s="146" t="s">
        <v>850</v>
      </c>
      <c r="Y19" s="146" t="s">
        <v>850</v>
      </c>
      <c r="AA19" s="146" t="str">
        <f t="shared" si="3"/>
        <v>西武ガス(株)_13A</v>
      </c>
      <c r="AB19" s="146" t="str">
        <f t="shared" si="4"/>
        <v>要記入</v>
      </c>
    </row>
    <row r="20" spans="2:28">
      <c r="B20" s="146"/>
      <c r="C20" s="146" t="s">
        <v>695</v>
      </c>
      <c r="D20" s="146" t="str">
        <f t="shared" si="0"/>
        <v>秩父ガス(株)_13A</v>
      </c>
      <c r="H20" s="146" t="s">
        <v>695</v>
      </c>
      <c r="I20" s="146">
        <v>46.04</v>
      </c>
      <c r="J20" s="146">
        <v>46.04</v>
      </c>
      <c r="K20" s="146">
        <v>46.04</v>
      </c>
      <c r="L20" s="146">
        <v>46.04</v>
      </c>
      <c r="M20" s="146">
        <v>46.04</v>
      </c>
      <c r="O20" s="150" t="str">
        <f t="shared" si="1"/>
        <v>秩父ガス(株)_13A</v>
      </c>
      <c r="P20" s="149">
        <f t="shared" si="2"/>
        <v>46.04</v>
      </c>
      <c r="R20" s="146"/>
      <c r="S20" s="146" t="s">
        <v>694</v>
      </c>
      <c r="T20" s="146"/>
      <c r="U20" s="146" t="s">
        <v>850</v>
      </c>
      <c r="V20" s="146" t="s">
        <v>850</v>
      </c>
      <c r="W20" s="146" t="s">
        <v>850</v>
      </c>
      <c r="X20" s="146" t="s">
        <v>850</v>
      </c>
      <c r="Y20" s="146" t="s">
        <v>850</v>
      </c>
      <c r="AA20" s="146" t="str">
        <f t="shared" si="3"/>
        <v>大東ガス(株)_13A</v>
      </c>
      <c r="AB20" s="146" t="str">
        <f t="shared" si="4"/>
        <v>要記入</v>
      </c>
    </row>
    <row r="21" spans="2:28">
      <c r="B21" s="146"/>
      <c r="C21" s="146" t="s">
        <v>696</v>
      </c>
      <c r="D21" s="146" t="str">
        <f t="shared" si="0"/>
        <v>東彩ガス(株)_13A</v>
      </c>
      <c r="H21" s="146" t="s">
        <v>696</v>
      </c>
      <c r="I21" s="146">
        <v>45</v>
      </c>
      <c r="J21" s="146">
        <v>45</v>
      </c>
      <c r="K21" s="146">
        <v>45</v>
      </c>
      <c r="L21" s="146">
        <v>45</v>
      </c>
      <c r="M21" s="146">
        <v>45</v>
      </c>
      <c r="O21" s="150" t="str">
        <f t="shared" si="1"/>
        <v>東彩ガス(株)_13A</v>
      </c>
      <c r="P21" s="149">
        <f t="shared" si="2"/>
        <v>45</v>
      </c>
      <c r="R21" s="146"/>
      <c r="S21" s="146" t="s">
        <v>695</v>
      </c>
      <c r="T21" s="146"/>
      <c r="U21" s="146" t="s">
        <v>850</v>
      </c>
      <c r="V21" s="146" t="s">
        <v>850</v>
      </c>
      <c r="W21" s="146" t="s">
        <v>850</v>
      </c>
      <c r="X21" s="146" t="s">
        <v>850</v>
      </c>
      <c r="Y21" s="146" t="s">
        <v>850</v>
      </c>
      <c r="AA21" s="146" t="str">
        <f t="shared" si="3"/>
        <v>秩父ガス(株)_13A</v>
      </c>
      <c r="AB21" s="146" t="str">
        <f t="shared" si="4"/>
        <v>要記入</v>
      </c>
    </row>
    <row r="22" spans="2:28">
      <c r="B22" s="146"/>
      <c r="C22" s="146" t="s">
        <v>697</v>
      </c>
      <c r="D22" s="146" t="str">
        <f t="shared" si="0"/>
        <v>日高都市ガス(株)_13A</v>
      </c>
      <c r="H22" s="146" t="s">
        <v>697</v>
      </c>
      <c r="I22" s="146">
        <v>45</v>
      </c>
      <c r="J22" s="146">
        <v>45</v>
      </c>
      <c r="K22" s="146">
        <v>45</v>
      </c>
      <c r="L22" s="146">
        <v>45</v>
      </c>
      <c r="M22" s="146">
        <v>45</v>
      </c>
      <c r="O22" s="150" t="str">
        <f t="shared" si="1"/>
        <v>日高都市ガス(株)_13A</v>
      </c>
      <c r="P22" s="149">
        <f t="shared" si="2"/>
        <v>45</v>
      </c>
      <c r="R22" s="146"/>
      <c r="S22" s="146" t="s">
        <v>696</v>
      </c>
      <c r="T22" s="146"/>
      <c r="U22" s="146" t="s">
        <v>850</v>
      </c>
      <c r="V22" s="146" t="s">
        <v>850</v>
      </c>
      <c r="W22" s="146" t="s">
        <v>850</v>
      </c>
      <c r="X22" s="146" t="s">
        <v>850</v>
      </c>
      <c r="Y22" s="146" t="s">
        <v>850</v>
      </c>
      <c r="AA22" s="146" t="str">
        <f t="shared" si="3"/>
        <v>東彩ガス(株)_13A</v>
      </c>
      <c r="AB22" s="146" t="str">
        <f t="shared" si="4"/>
        <v>要記入</v>
      </c>
    </row>
    <row r="23" spans="2:28">
      <c r="B23" s="146"/>
      <c r="C23" s="146" t="s">
        <v>698</v>
      </c>
      <c r="D23" s="146" t="str">
        <f t="shared" si="0"/>
        <v>武州ガス(株)_13A</v>
      </c>
      <c r="H23" s="146" t="s">
        <v>698</v>
      </c>
      <c r="I23" s="146">
        <v>45</v>
      </c>
      <c r="J23" s="146">
        <v>45</v>
      </c>
      <c r="K23" s="146">
        <v>45</v>
      </c>
      <c r="L23" s="146">
        <v>45</v>
      </c>
      <c r="M23" s="146">
        <v>45</v>
      </c>
      <c r="O23" s="150" t="str">
        <f t="shared" si="1"/>
        <v>武州ガス(株)_13A</v>
      </c>
      <c r="P23" s="149">
        <f t="shared" si="2"/>
        <v>45</v>
      </c>
      <c r="R23" s="146"/>
      <c r="S23" s="146" t="s">
        <v>697</v>
      </c>
      <c r="T23" s="146"/>
      <c r="U23" s="146" t="s">
        <v>850</v>
      </c>
      <c r="V23" s="146" t="s">
        <v>850</v>
      </c>
      <c r="W23" s="146" t="s">
        <v>850</v>
      </c>
      <c r="X23" s="146" t="s">
        <v>850</v>
      </c>
      <c r="Y23" s="146" t="s">
        <v>850</v>
      </c>
      <c r="AA23" s="146" t="str">
        <f t="shared" si="3"/>
        <v>日高都市ガス(株)_13A</v>
      </c>
      <c r="AB23" s="146" t="str">
        <f t="shared" si="4"/>
        <v>要記入</v>
      </c>
    </row>
    <row r="24" spans="2:28">
      <c r="B24" s="146"/>
      <c r="C24" s="146" t="s">
        <v>699</v>
      </c>
      <c r="D24" s="146" t="str">
        <f t="shared" si="0"/>
        <v>本庄ガス(株)_13A</v>
      </c>
      <c r="H24" s="146" t="s">
        <v>699</v>
      </c>
      <c r="I24" s="146">
        <v>45</v>
      </c>
      <c r="J24" s="146">
        <v>45</v>
      </c>
      <c r="K24" s="146">
        <v>45</v>
      </c>
      <c r="L24" s="146">
        <v>45</v>
      </c>
      <c r="M24" s="146">
        <v>45</v>
      </c>
      <c r="O24" s="150" t="str">
        <f t="shared" si="1"/>
        <v>本庄ガス(株)_13A</v>
      </c>
      <c r="P24" s="149">
        <f t="shared" si="2"/>
        <v>45</v>
      </c>
      <c r="R24" s="146"/>
      <c r="S24" s="146" t="s">
        <v>698</v>
      </c>
      <c r="T24" s="146"/>
      <c r="U24" s="146" t="s">
        <v>850</v>
      </c>
      <c r="V24" s="146" t="s">
        <v>850</v>
      </c>
      <c r="W24" s="146" t="s">
        <v>850</v>
      </c>
      <c r="X24" s="146" t="s">
        <v>850</v>
      </c>
      <c r="Y24" s="146" t="s">
        <v>850</v>
      </c>
      <c r="AA24" s="146" t="str">
        <f t="shared" si="3"/>
        <v>武州ガス(株)_13A</v>
      </c>
      <c r="AB24" s="146" t="str">
        <f t="shared" si="4"/>
        <v>要記入</v>
      </c>
    </row>
    <row r="25" spans="2:28">
      <c r="B25" s="146"/>
      <c r="C25" s="146" t="s">
        <v>700</v>
      </c>
      <c r="D25" s="146" t="str">
        <f t="shared" si="0"/>
        <v>武蔵野ガス(株)_13A</v>
      </c>
      <c r="H25" s="146" t="s">
        <v>700</v>
      </c>
      <c r="I25" s="146">
        <v>45</v>
      </c>
      <c r="J25" s="146">
        <v>45</v>
      </c>
      <c r="K25" s="146">
        <v>45</v>
      </c>
      <c r="L25" s="146">
        <v>45</v>
      </c>
      <c r="M25" s="146">
        <v>45</v>
      </c>
      <c r="O25" s="150" t="str">
        <f t="shared" si="1"/>
        <v>武蔵野ガス(株)_13A</v>
      </c>
      <c r="P25" s="149">
        <f t="shared" si="2"/>
        <v>45</v>
      </c>
      <c r="R25" s="146"/>
      <c r="S25" s="146" t="s">
        <v>699</v>
      </c>
      <c r="T25" s="146"/>
      <c r="U25" s="146" t="s">
        <v>850</v>
      </c>
      <c r="V25" s="146" t="s">
        <v>850</v>
      </c>
      <c r="W25" s="146" t="s">
        <v>850</v>
      </c>
      <c r="X25" s="146" t="s">
        <v>850</v>
      </c>
      <c r="Y25" s="146" t="s">
        <v>850</v>
      </c>
      <c r="AA25" s="146" t="str">
        <f t="shared" si="3"/>
        <v>本庄ガス(株)_13A</v>
      </c>
      <c r="AB25" s="146" t="str">
        <f t="shared" si="4"/>
        <v>要記入</v>
      </c>
    </row>
    <row r="26" spans="2:28">
      <c r="B26" s="146"/>
      <c r="C26" s="146" t="s">
        <v>702</v>
      </c>
      <c r="D26" s="146" t="str">
        <f t="shared" si="0"/>
        <v>鷲宮ガス(株)_13A</v>
      </c>
      <c r="H26" s="146" t="s">
        <v>702</v>
      </c>
      <c r="I26" s="146">
        <v>45</v>
      </c>
      <c r="J26" s="146">
        <v>45</v>
      </c>
      <c r="K26" s="146">
        <v>45</v>
      </c>
      <c r="L26" s="146">
        <v>45</v>
      </c>
      <c r="M26" s="146">
        <v>45</v>
      </c>
      <c r="O26" s="150" t="str">
        <f t="shared" si="1"/>
        <v>鷲宮ガス(株)_13A</v>
      </c>
      <c r="P26" s="149">
        <f t="shared" si="2"/>
        <v>45</v>
      </c>
      <c r="R26" s="146"/>
      <c r="S26" s="146" t="s">
        <v>700</v>
      </c>
      <c r="T26" s="146"/>
      <c r="U26" s="146" t="s">
        <v>850</v>
      </c>
      <c r="V26" s="146" t="s">
        <v>850</v>
      </c>
      <c r="W26" s="146" t="s">
        <v>850</v>
      </c>
      <c r="X26" s="146" t="s">
        <v>850</v>
      </c>
      <c r="Y26" s="146" t="s">
        <v>850</v>
      </c>
      <c r="AA26" s="146" t="str">
        <f t="shared" si="3"/>
        <v>武蔵野ガス(株)_13A</v>
      </c>
      <c r="AB26" s="146" t="str">
        <f t="shared" si="4"/>
        <v>要記入</v>
      </c>
    </row>
    <row r="27" spans="2:28">
      <c r="B27" s="146"/>
      <c r="C27" s="146" t="s">
        <v>703</v>
      </c>
      <c r="D27" s="146" t="str">
        <f t="shared" si="0"/>
        <v>堀川産業(株)_13A</v>
      </c>
      <c r="H27" s="146" t="s">
        <v>703</v>
      </c>
      <c r="I27" s="146">
        <v>45</v>
      </c>
      <c r="J27" s="146">
        <v>45</v>
      </c>
      <c r="K27" s="146">
        <v>45</v>
      </c>
      <c r="L27" s="146">
        <v>45</v>
      </c>
      <c r="M27" s="146">
        <v>45</v>
      </c>
      <c r="O27" s="150" t="str">
        <f t="shared" si="1"/>
        <v>堀川産業(株)_13A</v>
      </c>
      <c r="P27" s="149">
        <f t="shared" si="2"/>
        <v>45</v>
      </c>
      <c r="R27" s="146"/>
      <c r="S27" s="146" t="s">
        <v>702</v>
      </c>
      <c r="T27" s="146"/>
      <c r="U27" s="146" t="s">
        <v>850</v>
      </c>
      <c r="V27" s="146" t="s">
        <v>850</v>
      </c>
      <c r="W27" s="146" t="s">
        <v>850</v>
      </c>
      <c r="X27" s="146" t="s">
        <v>850</v>
      </c>
      <c r="Y27" s="146" t="s">
        <v>850</v>
      </c>
      <c r="AA27" s="146" t="str">
        <f t="shared" si="3"/>
        <v>鷲宮ガス(株)_13A</v>
      </c>
      <c r="AB27" s="146" t="str">
        <f t="shared" si="4"/>
        <v>要記入</v>
      </c>
    </row>
    <row r="28" spans="2:28">
      <c r="B28" s="146" t="s">
        <v>706</v>
      </c>
      <c r="C28" s="146" t="s">
        <v>707</v>
      </c>
      <c r="D28" s="146" t="str">
        <f t="shared" si="0"/>
        <v>A0002:東京電力エナジーパートナー(株)</v>
      </c>
      <c r="H28" s="146" t="s">
        <v>708</v>
      </c>
      <c r="I28" s="146">
        <v>45</v>
      </c>
      <c r="J28" s="146">
        <v>45</v>
      </c>
      <c r="K28" s="146">
        <v>45</v>
      </c>
      <c r="L28" s="146">
        <v>45</v>
      </c>
      <c r="M28" s="146">
        <v>45</v>
      </c>
      <c r="O28" s="153" t="str">
        <f>IF(B28="",C28,B28&amp;":"&amp;C28)</f>
        <v>A0002:東京電力エナジーパートナー(株)</v>
      </c>
      <c r="P28" s="149">
        <f t="shared" si="2"/>
        <v>45</v>
      </c>
      <c r="R28" s="146"/>
      <c r="S28" s="146" t="s">
        <v>703</v>
      </c>
      <c r="T28" s="146"/>
      <c r="U28" s="146" t="s">
        <v>850</v>
      </c>
      <c r="V28" s="146" t="s">
        <v>850</v>
      </c>
      <c r="W28" s="146" t="s">
        <v>850</v>
      </c>
      <c r="X28" s="146" t="s">
        <v>850</v>
      </c>
      <c r="Y28" s="146" t="s">
        <v>850</v>
      </c>
      <c r="AA28" s="146" t="str">
        <f t="shared" si="3"/>
        <v>堀川産業(株)_13A</v>
      </c>
      <c r="AB28" s="146" t="str">
        <f t="shared" si="4"/>
        <v>要記入</v>
      </c>
    </row>
    <row r="29" spans="2:28">
      <c r="B29" s="146"/>
      <c r="C29" s="146"/>
      <c r="D29" s="146" t="str">
        <f t="shared" si="0"/>
        <v/>
      </c>
      <c r="H29" s="153"/>
      <c r="I29" s="153"/>
      <c r="J29" s="153"/>
      <c r="K29" s="153"/>
      <c r="L29" s="153"/>
      <c r="M29" s="153"/>
      <c r="O29" s="153">
        <f t="shared" ref="O29:O92" si="5">IF(B29="",C29,B29&amp;":"&amp;C29)</f>
        <v>0</v>
      </c>
      <c r="P29" s="149">
        <f t="shared" si="2"/>
        <v>0</v>
      </c>
      <c r="R29" s="146" t="s">
        <v>706</v>
      </c>
      <c r="S29" s="146" t="s">
        <v>707</v>
      </c>
      <c r="T29" s="146"/>
      <c r="U29" s="146">
        <v>2.0499999999999998</v>
      </c>
      <c r="V29" s="146">
        <v>2.0499999999999998</v>
      </c>
      <c r="W29" s="146">
        <v>2.0499999999999998</v>
      </c>
      <c r="X29" s="146">
        <v>2.0499999999999998</v>
      </c>
      <c r="Y29" s="146">
        <v>2.0499999999999998</v>
      </c>
      <c r="AA29" s="146" t="str">
        <f t="shared" si="3"/>
        <v>A0002:東京電力エナジーパートナー(株)</v>
      </c>
      <c r="AB29" s="146">
        <f t="shared" si="4"/>
        <v>2.0499999999999998</v>
      </c>
    </row>
    <row r="30" spans="2:28">
      <c r="B30" s="146"/>
      <c r="C30" s="146"/>
      <c r="D30" s="146" t="str">
        <f t="shared" si="0"/>
        <v/>
      </c>
      <c r="H30" s="153"/>
      <c r="I30" s="153"/>
      <c r="J30" s="153"/>
      <c r="K30" s="153"/>
      <c r="L30" s="153"/>
      <c r="M30" s="153"/>
      <c r="O30" s="153">
        <f t="shared" si="5"/>
        <v>0</v>
      </c>
      <c r="P30" s="149">
        <f t="shared" si="2"/>
        <v>0</v>
      </c>
      <c r="R30" s="153"/>
      <c r="S30" s="153"/>
      <c r="T30" s="153"/>
      <c r="U30" s="153"/>
      <c r="V30" s="153"/>
      <c r="W30" s="153"/>
      <c r="X30" s="153"/>
      <c r="Y30" s="153"/>
      <c r="AA30" s="146" t="str">
        <f t="shared" ref="AA30:AA93" si="6">IF(R30="",S30,R30&amp;":"&amp;S30)&amp;T30</f>
        <v/>
      </c>
      <c r="AB30" s="146" t="str">
        <f t="shared" si="4"/>
        <v/>
      </c>
    </row>
    <row r="31" spans="2:28">
      <c r="B31" s="146"/>
      <c r="C31" s="146"/>
      <c r="D31" s="146" t="str">
        <f t="shared" si="0"/>
        <v/>
      </c>
      <c r="H31" s="153"/>
      <c r="I31" s="153"/>
      <c r="J31" s="153"/>
      <c r="K31" s="153"/>
      <c r="L31" s="153"/>
      <c r="M31" s="153"/>
      <c r="O31" s="153">
        <f t="shared" si="5"/>
        <v>0</v>
      </c>
      <c r="P31" s="149">
        <f t="shared" si="2"/>
        <v>0</v>
      </c>
      <c r="R31" s="153"/>
      <c r="S31" s="153"/>
      <c r="T31" s="153"/>
      <c r="U31" s="153"/>
      <c r="V31" s="153"/>
      <c r="W31" s="153"/>
      <c r="X31" s="153"/>
      <c r="Y31" s="153"/>
      <c r="AA31" s="146" t="str">
        <f t="shared" si="6"/>
        <v/>
      </c>
      <c r="AB31" s="146" t="str">
        <f t="shared" si="4"/>
        <v/>
      </c>
    </row>
    <row r="32" spans="2:28">
      <c r="B32" s="146"/>
      <c r="C32" s="146"/>
      <c r="D32" s="146" t="str">
        <f t="shared" si="0"/>
        <v/>
      </c>
      <c r="H32" s="153"/>
      <c r="I32" s="153"/>
      <c r="J32" s="153"/>
      <c r="K32" s="153"/>
      <c r="L32" s="153"/>
      <c r="M32" s="153"/>
      <c r="O32" s="153">
        <f t="shared" si="5"/>
        <v>0</v>
      </c>
      <c r="P32" s="149">
        <f t="shared" si="2"/>
        <v>0</v>
      </c>
      <c r="R32" s="153"/>
      <c r="S32" s="153"/>
      <c r="T32" s="153"/>
      <c r="U32" s="153"/>
      <c r="V32" s="153"/>
      <c r="W32" s="153"/>
      <c r="X32" s="153"/>
      <c r="Y32" s="153"/>
      <c r="AA32" s="146" t="str">
        <f t="shared" si="6"/>
        <v/>
      </c>
      <c r="AB32" s="146" t="str">
        <f t="shared" si="4"/>
        <v/>
      </c>
    </row>
    <row r="33" spans="2:28">
      <c r="B33" s="146"/>
      <c r="C33" s="146"/>
      <c r="D33" s="146" t="str">
        <f t="shared" si="0"/>
        <v/>
      </c>
      <c r="H33" s="153"/>
      <c r="I33" s="153"/>
      <c r="J33" s="153"/>
      <c r="K33" s="153"/>
      <c r="L33" s="153"/>
      <c r="M33" s="153"/>
      <c r="O33" s="153">
        <f t="shared" si="5"/>
        <v>0</v>
      </c>
      <c r="P33" s="149">
        <f t="shared" si="2"/>
        <v>0</v>
      </c>
      <c r="R33" s="153"/>
      <c r="S33" s="153"/>
      <c r="T33" s="153"/>
      <c r="U33" s="153"/>
      <c r="V33" s="153"/>
      <c r="W33" s="153"/>
      <c r="X33" s="153"/>
      <c r="Y33" s="153"/>
      <c r="AA33" s="146" t="str">
        <f t="shared" si="6"/>
        <v/>
      </c>
      <c r="AB33" s="146" t="str">
        <f t="shared" si="4"/>
        <v/>
      </c>
    </row>
    <row r="34" spans="2:28">
      <c r="B34" s="146"/>
      <c r="C34" s="146"/>
      <c r="D34" s="146" t="str">
        <f t="shared" si="0"/>
        <v/>
      </c>
      <c r="H34" s="153"/>
      <c r="I34" s="153"/>
      <c r="J34" s="153"/>
      <c r="K34" s="153"/>
      <c r="L34" s="153"/>
      <c r="M34" s="153"/>
      <c r="O34" s="153">
        <f t="shared" si="5"/>
        <v>0</v>
      </c>
      <c r="P34" s="149">
        <f t="shared" si="2"/>
        <v>0</v>
      </c>
      <c r="R34" s="153"/>
      <c r="S34" s="153"/>
      <c r="T34" s="153"/>
      <c r="U34" s="153"/>
      <c r="V34" s="153"/>
      <c r="W34" s="153"/>
      <c r="X34" s="153"/>
      <c r="Y34" s="153"/>
      <c r="AA34" s="146" t="str">
        <f t="shared" si="6"/>
        <v/>
      </c>
      <c r="AB34" s="146" t="str">
        <f t="shared" si="4"/>
        <v/>
      </c>
    </row>
    <row r="35" spans="2:28">
      <c r="B35" s="146"/>
      <c r="C35" s="146"/>
      <c r="D35" s="146" t="str">
        <f t="shared" si="0"/>
        <v/>
      </c>
      <c r="H35" s="153"/>
      <c r="I35" s="153"/>
      <c r="J35" s="153"/>
      <c r="K35" s="153"/>
      <c r="L35" s="153"/>
      <c r="M35" s="153"/>
      <c r="O35" s="153">
        <f t="shared" si="5"/>
        <v>0</v>
      </c>
      <c r="P35" s="149">
        <f t="shared" si="2"/>
        <v>0</v>
      </c>
      <c r="R35" s="153"/>
      <c r="S35" s="153"/>
      <c r="T35" s="153"/>
      <c r="U35" s="153"/>
      <c r="V35" s="153"/>
      <c r="W35" s="153"/>
      <c r="X35" s="153"/>
      <c r="Y35" s="153"/>
      <c r="AA35" s="146" t="str">
        <f t="shared" si="6"/>
        <v/>
      </c>
      <c r="AB35" s="146" t="str">
        <f t="shared" si="4"/>
        <v/>
      </c>
    </row>
    <row r="36" spans="2:28">
      <c r="B36" s="146"/>
      <c r="C36" s="146"/>
      <c r="D36" s="146" t="str">
        <f t="shared" si="0"/>
        <v/>
      </c>
      <c r="H36" s="153"/>
      <c r="I36" s="153"/>
      <c r="J36" s="153"/>
      <c r="K36" s="153"/>
      <c r="L36" s="153"/>
      <c r="M36" s="153"/>
      <c r="O36" s="153">
        <f t="shared" si="5"/>
        <v>0</v>
      </c>
      <c r="P36" s="149">
        <f t="shared" si="2"/>
        <v>0</v>
      </c>
      <c r="R36" s="153"/>
      <c r="S36" s="153"/>
      <c r="T36" s="153"/>
      <c r="U36" s="153"/>
      <c r="V36" s="153"/>
      <c r="W36" s="153"/>
      <c r="X36" s="153"/>
      <c r="Y36" s="153"/>
      <c r="AA36" s="146" t="str">
        <f t="shared" si="6"/>
        <v/>
      </c>
      <c r="AB36" s="146" t="str">
        <f t="shared" si="4"/>
        <v/>
      </c>
    </row>
    <row r="37" spans="2:28">
      <c r="B37" s="146"/>
      <c r="C37" s="146"/>
      <c r="D37" s="146" t="str">
        <f t="shared" si="0"/>
        <v/>
      </c>
      <c r="H37" s="153"/>
      <c r="I37" s="153"/>
      <c r="J37" s="153"/>
      <c r="K37" s="153"/>
      <c r="L37" s="153"/>
      <c r="M37" s="153"/>
      <c r="O37" s="153">
        <f t="shared" si="5"/>
        <v>0</v>
      </c>
      <c r="P37" s="149">
        <f t="shared" si="2"/>
        <v>0</v>
      </c>
      <c r="R37" s="153"/>
      <c r="S37" s="153"/>
      <c r="T37" s="153"/>
      <c r="U37" s="153"/>
      <c r="V37" s="153"/>
      <c r="W37" s="153"/>
      <c r="X37" s="153"/>
      <c r="Y37" s="153"/>
      <c r="AA37" s="146" t="str">
        <f t="shared" si="6"/>
        <v/>
      </c>
      <c r="AB37" s="146" t="str">
        <f t="shared" si="4"/>
        <v/>
      </c>
    </row>
    <row r="38" spans="2:28">
      <c r="B38" s="146"/>
      <c r="C38" s="146"/>
      <c r="D38" s="146" t="str">
        <f t="shared" si="0"/>
        <v/>
      </c>
      <c r="H38" s="153"/>
      <c r="I38" s="153"/>
      <c r="J38" s="153"/>
      <c r="K38" s="153"/>
      <c r="L38" s="153"/>
      <c r="M38" s="153"/>
      <c r="O38" s="153">
        <f t="shared" si="5"/>
        <v>0</v>
      </c>
      <c r="P38" s="149">
        <f t="shared" si="2"/>
        <v>0</v>
      </c>
      <c r="R38" s="153"/>
      <c r="S38" s="153"/>
      <c r="T38" s="153"/>
      <c r="U38" s="153"/>
      <c r="V38" s="153"/>
      <c r="W38" s="153"/>
      <c r="X38" s="153"/>
      <c r="Y38" s="153"/>
      <c r="AA38" s="146" t="str">
        <f t="shared" si="6"/>
        <v/>
      </c>
      <c r="AB38" s="146" t="str">
        <f t="shared" si="4"/>
        <v/>
      </c>
    </row>
    <row r="39" spans="2:28">
      <c r="B39" s="146"/>
      <c r="C39" s="146"/>
      <c r="D39" s="146" t="str">
        <f t="shared" si="0"/>
        <v/>
      </c>
      <c r="H39" s="153"/>
      <c r="I39" s="153"/>
      <c r="J39" s="153"/>
      <c r="K39" s="153"/>
      <c r="L39" s="153"/>
      <c r="M39" s="153"/>
      <c r="O39" s="153">
        <f t="shared" si="5"/>
        <v>0</v>
      </c>
      <c r="P39" s="149">
        <f t="shared" si="2"/>
        <v>0</v>
      </c>
      <c r="R39" s="153"/>
      <c r="S39" s="153"/>
      <c r="T39" s="153"/>
      <c r="U39" s="153"/>
      <c r="V39" s="153"/>
      <c r="W39" s="153"/>
      <c r="X39" s="153"/>
      <c r="Y39" s="153"/>
      <c r="AA39" s="146" t="str">
        <f t="shared" si="6"/>
        <v/>
      </c>
      <c r="AB39" s="146" t="str">
        <f t="shared" si="4"/>
        <v/>
      </c>
    </row>
    <row r="40" spans="2:28">
      <c r="B40" s="146"/>
      <c r="C40" s="146"/>
      <c r="D40" s="146" t="str">
        <f t="shared" si="0"/>
        <v/>
      </c>
      <c r="H40" s="153"/>
      <c r="I40" s="153"/>
      <c r="J40" s="153"/>
      <c r="K40" s="153"/>
      <c r="L40" s="153"/>
      <c r="M40" s="153"/>
      <c r="O40" s="153">
        <f t="shared" si="5"/>
        <v>0</v>
      </c>
      <c r="P40" s="149">
        <f t="shared" si="2"/>
        <v>0</v>
      </c>
      <c r="R40" s="153"/>
      <c r="S40" s="153"/>
      <c r="T40" s="153"/>
      <c r="U40" s="153"/>
      <c r="V40" s="153"/>
      <c r="W40" s="153"/>
      <c r="X40" s="153"/>
      <c r="Y40" s="153"/>
      <c r="AA40" s="146" t="str">
        <f t="shared" si="6"/>
        <v/>
      </c>
      <c r="AB40" s="146" t="str">
        <f t="shared" si="4"/>
        <v/>
      </c>
    </row>
    <row r="41" spans="2:28">
      <c r="B41" s="146"/>
      <c r="C41" s="146"/>
      <c r="D41" s="146" t="str">
        <f t="shared" si="0"/>
        <v/>
      </c>
      <c r="H41" s="153"/>
      <c r="I41" s="153"/>
      <c r="J41" s="153"/>
      <c r="K41" s="153"/>
      <c r="L41" s="153"/>
      <c r="M41" s="153"/>
      <c r="O41" s="153">
        <f t="shared" si="5"/>
        <v>0</v>
      </c>
      <c r="P41" s="149">
        <f t="shared" si="2"/>
        <v>0</v>
      </c>
      <c r="R41" s="153"/>
      <c r="S41" s="153"/>
      <c r="T41" s="153"/>
      <c r="U41" s="153"/>
      <c r="V41" s="153"/>
      <c r="W41" s="153"/>
      <c r="X41" s="153"/>
      <c r="Y41" s="153"/>
      <c r="AA41" s="146" t="str">
        <f t="shared" si="6"/>
        <v/>
      </c>
      <c r="AB41" s="146" t="str">
        <f t="shared" si="4"/>
        <v/>
      </c>
    </row>
    <row r="42" spans="2:28">
      <c r="B42" s="146"/>
      <c r="C42" s="146"/>
      <c r="D42" s="146" t="str">
        <f t="shared" si="0"/>
        <v/>
      </c>
      <c r="H42" s="153"/>
      <c r="I42" s="153"/>
      <c r="J42" s="153"/>
      <c r="K42" s="153"/>
      <c r="L42" s="153"/>
      <c r="M42" s="153"/>
      <c r="O42" s="153">
        <f t="shared" si="5"/>
        <v>0</v>
      </c>
      <c r="P42" s="149">
        <f t="shared" si="2"/>
        <v>0</v>
      </c>
      <c r="R42" s="153"/>
      <c r="S42" s="153"/>
      <c r="T42" s="153"/>
      <c r="U42" s="153"/>
      <c r="V42" s="153"/>
      <c r="W42" s="153"/>
      <c r="X42" s="153"/>
      <c r="Y42" s="153"/>
      <c r="AA42" s="146" t="str">
        <f t="shared" si="6"/>
        <v/>
      </c>
      <c r="AB42" s="146" t="str">
        <f t="shared" si="4"/>
        <v/>
      </c>
    </row>
    <row r="43" spans="2:28">
      <c r="B43" s="146"/>
      <c r="C43" s="146"/>
      <c r="D43" s="146" t="str">
        <f t="shared" si="0"/>
        <v/>
      </c>
      <c r="H43" s="153"/>
      <c r="I43" s="153"/>
      <c r="J43" s="153"/>
      <c r="K43" s="153"/>
      <c r="L43" s="153"/>
      <c r="M43" s="153"/>
      <c r="O43" s="153">
        <f t="shared" si="5"/>
        <v>0</v>
      </c>
      <c r="P43" s="149">
        <f t="shared" si="2"/>
        <v>0</v>
      </c>
      <c r="R43" s="153"/>
      <c r="S43" s="153"/>
      <c r="T43" s="153"/>
      <c r="U43" s="153"/>
      <c r="V43" s="153"/>
      <c r="W43" s="153"/>
      <c r="X43" s="153"/>
      <c r="Y43" s="153"/>
      <c r="AA43" s="146" t="str">
        <f t="shared" si="6"/>
        <v/>
      </c>
      <c r="AB43" s="146" t="str">
        <f t="shared" si="4"/>
        <v/>
      </c>
    </row>
    <row r="44" spans="2:28">
      <c r="B44" s="146"/>
      <c r="C44" s="146"/>
      <c r="D44" s="146" t="str">
        <f t="shared" si="0"/>
        <v/>
      </c>
      <c r="H44" s="153"/>
      <c r="I44" s="153"/>
      <c r="J44" s="153"/>
      <c r="K44" s="153"/>
      <c r="L44" s="153"/>
      <c r="M44" s="153"/>
      <c r="O44" s="153">
        <f t="shared" si="5"/>
        <v>0</v>
      </c>
      <c r="P44" s="149">
        <f t="shared" si="2"/>
        <v>0</v>
      </c>
      <c r="R44" s="153"/>
      <c r="S44" s="153"/>
      <c r="T44" s="153"/>
      <c r="U44" s="153"/>
      <c r="V44" s="153"/>
      <c r="W44" s="153"/>
      <c r="X44" s="153"/>
      <c r="Y44" s="153"/>
      <c r="AA44" s="146" t="str">
        <f t="shared" si="6"/>
        <v/>
      </c>
      <c r="AB44" s="146" t="str">
        <f t="shared" si="4"/>
        <v/>
      </c>
    </row>
    <row r="45" spans="2:28">
      <c r="B45" s="146"/>
      <c r="C45" s="146"/>
      <c r="D45" s="146" t="str">
        <f t="shared" si="0"/>
        <v/>
      </c>
      <c r="H45" s="153"/>
      <c r="I45" s="153"/>
      <c r="J45" s="153"/>
      <c r="K45" s="153"/>
      <c r="L45" s="153"/>
      <c r="M45" s="153"/>
      <c r="O45" s="153">
        <f t="shared" si="5"/>
        <v>0</v>
      </c>
      <c r="P45" s="149">
        <f t="shared" si="2"/>
        <v>0</v>
      </c>
      <c r="R45" s="153"/>
      <c r="S45" s="153"/>
      <c r="T45" s="153"/>
      <c r="U45" s="153"/>
      <c r="V45" s="153"/>
      <c r="W45" s="153"/>
      <c r="X45" s="153"/>
      <c r="Y45" s="153"/>
      <c r="AA45" s="146" t="str">
        <f t="shared" si="6"/>
        <v/>
      </c>
      <c r="AB45" s="146" t="str">
        <f t="shared" si="4"/>
        <v/>
      </c>
    </row>
    <row r="46" spans="2:28">
      <c r="B46" s="146"/>
      <c r="C46" s="146"/>
      <c r="D46" s="146" t="str">
        <f t="shared" si="0"/>
        <v/>
      </c>
      <c r="H46" s="153"/>
      <c r="I46" s="153"/>
      <c r="J46" s="153"/>
      <c r="K46" s="153"/>
      <c r="L46" s="153"/>
      <c r="M46" s="153"/>
      <c r="O46" s="153">
        <f t="shared" si="5"/>
        <v>0</v>
      </c>
      <c r="P46" s="149">
        <f t="shared" si="2"/>
        <v>0</v>
      </c>
      <c r="R46" s="153"/>
      <c r="S46" s="153"/>
      <c r="T46" s="153"/>
      <c r="U46" s="153"/>
      <c r="V46" s="153"/>
      <c r="W46" s="153"/>
      <c r="X46" s="153"/>
      <c r="Y46" s="153"/>
      <c r="AA46" s="146" t="str">
        <f t="shared" si="6"/>
        <v/>
      </c>
      <c r="AB46" s="146" t="str">
        <f t="shared" si="4"/>
        <v/>
      </c>
    </row>
    <row r="47" spans="2:28">
      <c r="B47" s="146"/>
      <c r="C47" s="146"/>
      <c r="D47" s="146" t="str">
        <f t="shared" si="0"/>
        <v/>
      </c>
      <c r="H47" s="153"/>
      <c r="I47" s="153"/>
      <c r="J47" s="153"/>
      <c r="K47" s="153"/>
      <c r="L47" s="153"/>
      <c r="M47" s="153"/>
      <c r="O47" s="153">
        <f t="shared" si="5"/>
        <v>0</v>
      </c>
      <c r="P47" s="149">
        <f t="shared" si="2"/>
        <v>0</v>
      </c>
      <c r="R47" s="153"/>
      <c r="S47" s="153"/>
      <c r="T47" s="153"/>
      <c r="U47" s="153"/>
      <c r="V47" s="153"/>
      <c r="W47" s="153"/>
      <c r="X47" s="153"/>
      <c r="Y47" s="153"/>
      <c r="AA47" s="146" t="str">
        <f t="shared" si="6"/>
        <v/>
      </c>
      <c r="AB47" s="146" t="str">
        <f t="shared" si="4"/>
        <v/>
      </c>
    </row>
    <row r="48" spans="2:28">
      <c r="B48" s="146"/>
      <c r="C48" s="146"/>
      <c r="D48" s="146" t="str">
        <f t="shared" si="0"/>
        <v/>
      </c>
      <c r="H48" s="153"/>
      <c r="I48" s="153"/>
      <c r="J48" s="153"/>
      <c r="K48" s="153"/>
      <c r="L48" s="153"/>
      <c r="M48" s="153"/>
      <c r="O48" s="153">
        <f t="shared" si="5"/>
        <v>0</v>
      </c>
      <c r="P48" s="149">
        <f t="shared" si="2"/>
        <v>0</v>
      </c>
      <c r="R48" s="153"/>
      <c r="S48" s="153"/>
      <c r="T48" s="153"/>
      <c r="U48" s="153"/>
      <c r="V48" s="153"/>
      <c r="W48" s="153"/>
      <c r="X48" s="153"/>
      <c r="Y48" s="153"/>
      <c r="AA48" s="146" t="str">
        <f t="shared" si="6"/>
        <v/>
      </c>
      <c r="AB48" s="146" t="str">
        <f t="shared" si="4"/>
        <v/>
      </c>
    </row>
    <row r="49" spans="2:28">
      <c r="B49" s="146"/>
      <c r="C49" s="146"/>
      <c r="D49" s="146" t="str">
        <f t="shared" si="0"/>
        <v/>
      </c>
      <c r="H49" s="153"/>
      <c r="I49" s="153"/>
      <c r="J49" s="153"/>
      <c r="K49" s="153"/>
      <c r="L49" s="153"/>
      <c r="M49" s="153"/>
      <c r="O49" s="153">
        <f t="shared" si="5"/>
        <v>0</v>
      </c>
      <c r="P49" s="149">
        <f t="shared" si="2"/>
        <v>0</v>
      </c>
      <c r="R49" s="153"/>
      <c r="S49" s="153"/>
      <c r="T49" s="153"/>
      <c r="U49" s="153"/>
      <c r="V49" s="153"/>
      <c r="W49" s="153"/>
      <c r="X49" s="153"/>
      <c r="Y49" s="153"/>
      <c r="AA49" s="146" t="str">
        <f t="shared" si="6"/>
        <v/>
      </c>
      <c r="AB49" s="146" t="str">
        <f t="shared" si="4"/>
        <v/>
      </c>
    </row>
    <row r="50" spans="2:28">
      <c r="B50" s="146"/>
      <c r="C50" s="146"/>
      <c r="D50" s="146" t="str">
        <f t="shared" si="0"/>
        <v/>
      </c>
      <c r="H50" s="153"/>
      <c r="I50" s="153"/>
      <c r="J50" s="153"/>
      <c r="K50" s="153"/>
      <c r="L50" s="153"/>
      <c r="M50" s="153"/>
      <c r="O50" s="153">
        <f t="shared" si="5"/>
        <v>0</v>
      </c>
      <c r="P50" s="149">
        <f t="shared" si="2"/>
        <v>0</v>
      </c>
      <c r="R50" s="153"/>
      <c r="S50" s="153"/>
      <c r="T50" s="153"/>
      <c r="U50" s="153"/>
      <c r="V50" s="153"/>
      <c r="W50" s="153"/>
      <c r="X50" s="153"/>
      <c r="Y50" s="153"/>
      <c r="AA50" s="146" t="str">
        <f t="shared" si="6"/>
        <v/>
      </c>
      <c r="AB50" s="146" t="str">
        <f t="shared" si="4"/>
        <v/>
      </c>
    </row>
    <row r="51" spans="2:28">
      <c r="B51" s="146"/>
      <c r="C51" s="146"/>
      <c r="D51" s="146" t="str">
        <f t="shared" si="0"/>
        <v/>
      </c>
      <c r="H51" s="153"/>
      <c r="I51" s="153"/>
      <c r="J51" s="153"/>
      <c r="K51" s="153"/>
      <c r="L51" s="153"/>
      <c r="M51" s="153"/>
      <c r="O51" s="153">
        <f t="shared" si="5"/>
        <v>0</v>
      </c>
      <c r="P51" s="149">
        <f t="shared" si="2"/>
        <v>0</v>
      </c>
      <c r="R51" s="153"/>
      <c r="S51" s="153"/>
      <c r="T51" s="153"/>
      <c r="U51" s="153"/>
      <c r="V51" s="153"/>
      <c r="W51" s="153"/>
      <c r="X51" s="153"/>
      <c r="Y51" s="153"/>
      <c r="AA51" s="146" t="str">
        <f t="shared" si="6"/>
        <v/>
      </c>
      <c r="AB51" s="146" t="str">
        <f t="shared" si="4"/>
        <v/>
      </c>
    </row>
    <row r="52" spans="2:28">
      <c r="B52" s="146"/>
      <c r="C52" s="146"/>
      <c r="D52" s="146" t="str">
        <f t="shared" si="0"/>
        <v/>
      </c>
      <c r="H52" s="153"/>
      <c r="I52" s="153"/>
      <c r="J52" s="153"/>
      <c r="K52" s="153"/>
      <c r="L52" s="153"/>
      <c r="M52" s="153"/>
      <c r="O52" s="153">
        <f t="shared" si="5"/>
        <v>0</v>
      </c>
      <c r="P52" s="149">
        <f t="shared" si="2"/>
        <v>0</v>
      </c>
      <c r="R52" s="153"/>
      <c r="S52" s="153"/>
      <c r="T52" s="153"/>
      <c r="U52" s="153"/>
      <c r="V52" s="153"/>
      <c r="W52" s="153"/>
      <c r="X52" s="153"/>
      <c r="Y52" s="153"/>
      <c r="AA52" s="146" t="str">
        <f t="shared" si="6"/>
        <v/>
      </c>
      <c r="AB52" s="146" t="str">
        <f t="shared" si="4"/>
        <v/>
      </c>
    </row>
    <row r="53" spans="2:28">
      <c r="B53" s="146"/>
      <c r="C53" s="146"/>
      <c r="D53" s="146" t="str">
        <f t="shared" si="0"/>
        <v/>
      </c>
      <c r="H53" s="153"/>
      <c r="I53" s="153"/>
      <c r="J53" s="153"/>
      <c r="K53" s="153"/>
      <c r="L53" s="153"/>
      <c r="M53" s="153"/>
      <c r="O53" s="153">
        <f t="shared" si="5"/>
        <v>0</v>
      </c>
      <c r="P53" s="149">
        <f t="shared" si="2"/>
        <v>0</v>
      </c>
      <c r="R53" s="153"/>
      <c r="S53" s="153"/>
      <c r="T53" s="153"/>
      <c r="U53" s="153"/>
      <c r="V53" s="153"/>
      <c r="W53" s="153"/>
      <c r="X53" s="153"/>
      <c r="Y53" s="153"/>
      <c r="AA53" s="146" t="str">
        <f t="shared" si="6"/>
        <v/>
      </c>
      <c r="AB53" s="146" t="str">
        <f t="shared" si="4"/>
        <v/>
      </c>
    </row>
    <row r="54" spans="2:28">
      <c r="B54" s="146"/>
      <c r="C54" s="146"/>
      <c r="D54" s="146" t="str">
        <f t="shared" si="0"/>
        <v/>
      </c>
      <c r="H54" s="153"/>
      <c r="I54" s="153"/>
      <c r="J54" s="153"/>
      <c r="K54" s="153"/>
      <c r="L54" s="153"/>
      <c r="M54" s="153"/>
      <c r="O54" s="153">
        <f t="shared" si="5"/>
        <v>0</v>
      </c>
      <c r="P54" s="149">
        <f t="shared" si="2"/>
        <v>0</v>
      </c>
      <c r="R54" s="153"/>
      <c r="S54" s="153"/>
      <c r="T54" s="153"/>
      <c r="U54" s="153"/>
      <c r="V54" s="153"/>
      <c r="W54" s="153"/>
      <c r="X54" s="153"/>
      <c r="Y54" s="153"/>
      <c r="AA54" s="146" t="str">
        <f t="shared" si="6"/>
        <v/>
      </c>
      <c r="AB54" s="146" t="str">
        <f t="shared" si="4"/>
        <v/>
      </c>
    </row>
    <row r="55" spans="2:28">
      <c r="B55" s="146"/>
      <c r="C55" s="146"/>
      <c r="D55" s="146" t="str">
        <f t="shared" si="0"/>
        <v/>
      </c>
      <c r="H55" s="153"/>
      <c r="I55" s="153"/>
      <c r="J55" s="153"/>
      <c r="K55" s="153"/>
      <c r="L55" s="153"/>
      <c r="M55" s="153"/>
      <c r="O55" s="153">
        <f t="shared" si="5"/>
        <v>0</v>
      </c>
      <c r="P55" s="149">
        <f t="shared" si="2"/>
        <v>0</v>
      </c>
      <c r="R55" s="153"/>
      <c r="S55" s="153"/>
      <c r="T55" s="153"/>
      <c r="U55" s="153"/>
      <c r="V55" s="153"/>
      <c r="W55" s="153"/>
      <c r="X55" s="153"/>
      <c r="Y55" s="153"/>
      <c r="AA55" s="146" t="str">
        <f t="shared" si="6"/>
        <v/>
      </c>
      <c r="AB55" s="146" t="str">
        <f t="shared" si="4"/>
        <v/>
      </c>
    </row>
    <row r="56" spans="2:28">
      <c r="B56" s="146"/>
      <c r="C56" s="146"/>
      <c r="D56" s="146" t="str">
        <f t="shared" si="0"/>
        <v/>
      </c>
      <c r="H56" s="153"/>
      <c r="I56" s="153"/>
      <c r="J56" s="153"/>
      <c r="K56" s="153"/>
      <c r="L56" s="153"/>
      <c r="M56" s="153"/>
      <c r="O56" s="153">
        <f t="shared" si="5"/>
        <v>0</v>
      </c>
      <c r="P56" s="149">
        <f t="shared" si="2"/>
        <v>0</v>
      </c>
      <c r="R56" s="153"/>
      <c r="S56" s="153"/>
      <c r="T56" s="153"/>
      <c r="U56" s="153"/>
      <c r="V56" s="153"/>
      <c r="W56" s="153"/>
      <c r="X56" s="153"/>
      <c r="Y56" s="153"/>
      <c r="AA56" s="146" t="str">
        <f t="shared" si="6"/>
        <v/>
      </c>
      <c r="AB56" s="146" t="str">
        <f t="shared" si="4"/>
        <v/>
      </c>
    </row>
    <row r="57" spans="2:28">
      <c r="B57" s="146"/>
      <c r="C57" s="146"/>
      <c r="D57" s="146" t="str">
        <f t="shared" si="0"/>
        <v/>
      </c>
      <c r="H57" s="153"/>
      <c r="I57" s="153"/>
      <c r="J57" s="153"/>
      <c r="K57" s="153"/>
      <c r="L57" s="153"/>
      <c r="M57" s="153"/>
      <c r="O57" s="153">
        <f t="shared" si="5"/>
        <v>0</v>
      </c>
      <c r="P57" s="149">
        <f t="shared" si="2"/>
        <v>0</v>
      </c>
      <c r="R57" s="153"/>
      <c r="S57" s="153"/>
      <c r="T57" s="153"/>
      <c r="U57" s="153"/>
      <c r="V57" s="153"/>
      <c r="W57" s="153"/>
      <c r="X57" s="153"/>
      <c r="Y57" s="153"/>
      <c r="AA57" s="146" t="str">
        <f t="shared" si="6"/>
        <v/>
      </c>
      <c r="AB57" s="146" t="str">
        <f t="shared" si="4"/>
        <v/>
      </c>
    </row>
    <row r="58" spans="2:28">
      <c r="B58" s="146"/>
      <c r="C58" s="146"/>
      <c r="D58" s="146" t="str">
        <f t="shared" si="0"/>
        <v/>
      </c>
      <c r="H58" s="153"/>
      <c r="I58" s="153"/>
      <c r="J58" s="153"/>
      <c r="K58" s="153"/>
      <c r="L58" s="153"/>
      <c r="M58" s="153"/>
      <c r="O58" s="153">
        <f t="shared" si="5"/>
        <v>0</v>
      </c>
      <c r="P58" s="149">
        <f t="shared" si="2"/>
        <v>0</v>
      </c>
      <c r="R58" s="153"/>
      <c r="S58" s="153"/>
      <c r="T58" s="153"/>
      <c r="U58" s="153"/>
      <c r="V58" s="153"/>
      <c r="W58" s="153"/>
      <c r="X58" s="153"/>
      <c r="Y58" s="153"/>
      <c r="AA58" s="146" t="str">
        <f t="shared" si="6"/>
        <v/>
      </c>
      <c r="AB58" s="146" t="str">
        <f t="shared" si="4"/>
        <v/>
      </c>
    </row>
    <row r="59" spans="2:28">
      <c r="B59" s="146"/>
      <c r="C59" s="146"/>
      <c r="D59" s="146" t="str">
        <f t="shared" si="0"/>
        <v/>
      </c>
      <c r="H59" s="153"/>
      <c r="I59" s="153"/>
      <c r="J59" s="153"/>
      <c r="K59" s="153"/>
      <c r="L59" s="153"/>
      <c r="M59" s="153"/>
      <c r="O59" s="153">
        <f t="shared" si="5"/>
        <v>0</v>
      </c>
      <c r="P59" s="149">
        <f t="shared" si="2"/>
        <v>0</v>
      </c>
      <c r="R59" s="153"/>
      <c r="S59" s="153"/>
      <c r="T59" s="153"/>
      <c r="U59" s="153"/>
      <c r="V59" s="153"/>
      <c r="W59" s="153"/>
      <c r="X59" s="153"/>
      <c r="Y59" s="153"/>
      <c r="AA59" s="146" t="str">
        <f t="shared" si="6"/>
        <v/>
      </c>
      <c r="AB59" s="146" t="str">
        <f t="shared" si="4"/>
        <v/>
      </c>
    </row>
    <row r="60" spans="2:28">
      <c r="B60" s="146"/>
      <c r="C60" s="146"/>
      <c r="D60" s="146" t="str">
        <f t="shared" si="0"/>
        <v/>
      </c>
      <c r="H60" s="153"/>
      <c r="I60" s="153"/>
      <c r="J60" s="153"/>
      <c r="K60" s="153"/>
      <c r="L60" s="153"/>
      <c r="M60" s="153"/>
      <c r="O60" s="153">
        <f t="shared" si="5"/>
        <v>0</v>
      </c>
      <c r="P60" s="149">
        <f t="shared" si="2"/>
        <v>0</v>
      </c>
      <c r="R60" s="153"/>
      <c r="S60" s="153"/>
      <c r="T60" s="153"/>
      <c r="U60" s="153"/>
      <c r="V60" s="153"/>
      <c r="W60" s="153"/>
      <c r="X60" s="153"/>
      <c r="Y60" s="153"/>
      <c r="AA60" s="146" t="str">
        <f t="shared" si="6"/>
        <v/>
      </c>
      <c r="AB60" s="146" t="str">
        <f t="shared" si="4"/>
        <v/>
      </c>
    </row>
    <row r="61" spans="2:28">
      <c r="B61" s="146"/>
      <c r="C61" s="146"/>
      <c r="D61" s="146" t="str">
        <f t="shared" si="0"/>
        <v/>
      </c>
      <c r="H61" s="153"/>
      <c r="I61" s="153"/>
      <c r="J61" s="153"/>
      <c r="K61" s="153"/>
      <c r="L61" s="153"/>
      <c r="M61" s="153"/>
      <c r="O61" s="153">
        <f t="shared" si="5"/>
        <v>0</v>
      </c>
      <c r="P61" s="149">
        <f t="shared" si="2"/>
        <v>0</v>
      </c>
      <c r="R61" s="153"/>
      <c r="S61" s="153"/>
      <c r="T61" s="153"/>
      <c r="U61" s="153"/>
      <c r="V61" s="153"/>
      <c r="W61" s="153"/>
      <c r="X61" s="153"/>
      <c r="Y61" s="153"/>
      <c r="AA61" s="146" t="str">
        <f t="shared" si="6"/>
        <v/>
      </c>
      <c r="AB61" s="146" t="str">
        <f t="shared" si="4"/>
        <v/>
      </c>
    </row>
    <row r="62" spans="2:28">
      <c r="B62" s="146"/>
      <c r="C62" s="146"/>
      <c r="D62" s="146" t="str">
        <f t="shared" si="0"/>
        <v/>
      </c>
      <c r="H62" s="153"/>
      <c r="I62" s="153"/>
      <c r="J62" s="153"/>
      <c r="K62" s="153"/>
      <c r="L62" s="153"/>
      <c r="M62" s="153"/>
      <c r="O62" s="153">
        <f t="shared" si="5"/>
        <v>0</v>
      </c>
      <c r="P62" s="149">
        <f t="shared" si="2"/>
        <v>0</v>
      </c>
      <c r="R62" s="153"/>
      <c r="S62" s="153"/>
      <c r="T62" s="153"/>
      <c r="U62" s="153"/>
      <c r="V62" s="153"/>
      <c r="W62" s="153"/>
      <c r="X62" s="153"/>
      <c r="Y62" s="153"/>
      <c r="AA62" s="146" t="str">
        <f t="shared" si="6"/>
        <v/>
      </c>
      <c r="AB62" s="146" t="str">
        <f t="shared" si="4"/>
        <v/>
      </c>
    </row>
    <row r="63" spans="2:28">
      <c r="B63" s="146"/>
      <c r="C63" s="146"/>
      <c r="D63" s="146" t="str">
        <f t="shared" si="0"/>
        <v/>
      </c>
      <c r="H63" s="153"/>
      <c r="I63" s="153"/>
      <c r="J63" s="153"/>
      <c r="K63" s="153"/>
      <c r="L63" s="153"/>
      <c r="M63" s="153"/>
      <c r="O63" s="153">
        <f t="shared" si="5"/>
        <v>0</v>
      </c>
      <c r="P63" s="149">
        <f t="shared" si="2"/>
        <v>0</v>
      </c>
      <c r="R63" s="153"/>
      <c r="S63" s="153"/>
      <c r="T63" s="153"/>
      <c r="U63" s="153"/>
      <c r="V63" s="153"/>
      <c r="W63" s="153"/>
      <c r="X63" s="153"/>
      <c r="Y63" s="153"/>
      <c r="AA63" s="146" t="str">
        <f t="shared" si="6"/>
        <v/>
      </c>
      <c r="AB63" s="146" t="str">
        <f t="shared" si="4"/>
        <v/>
      </c>
    </row>
    <row r="64" spans="2:28">
      <c r="B64" s="146"/>
      <c r="C64" s="146"/>
      <c r="D64" s="146" t="str">
        <f t="shared" si="0"/>
        <v/>
      </c>
      <c r="H64" s="153"/>
      <c r="I64" s="153"/>
      <c r="J64" s="153"/>
      <c r="K64" s="153"/>
      <c r="L64" s="153"/>
      <c r="M64" s="153"/>
      <c r="O64" s="153">
        <f t="shared" si="5"/>
        <v>0</v>
      </c>
      <c r="P64" s="149">
        <f t="shared" si="2"/>
        <v>0</v>
      </c>
      <c r="R64" s="153"/>
      <c r="S64" s="153"/>
      <c r="T64" s="153"/>
      <c r="U64" s="153"/>
      <c r="V64" s="153"/>
      <c r="W64" s="153"/>
      <c r="X64" s="153"/>
      <c r="Y64" s="153"/>
      <c r="AA64" s="146" t="str">
        <f t="shared" si="6"/>
        <v/>
      </c>
      <c r="AB64" s="146" t="str">
        <f t="shared" si="4"/>
        <v/>
      </c>
    </row>
    <row r="65" spans="2:28">
      <c r="B65" s="146"/>
      <c r="C65" s="146"/>
      <c r="D65" s="146" t="str">
        <f t="shared" si="0"/>
        <v/>
      </c>
      <c r="H65" s="153"/>
      <c r="I65" s="153"/>
      <c r="J65" s="153"/>
      <c r="K65" s="153"/>
      <c r="L65" s="153"/>
      <c r="M65" s="153"/>
      <c r="O65" s="153">
        <f t="shared" si="5"/>
        <v>0</v>
      </c>
      <c r="P65" s="149">
        <f t="shared" si="2"/>
        <v>0</v>
      </c>
      <c r="R65" s="153"/>
      <c r="S65" s="153"/>
      <c r="T65" s="153"/>
      <c r="U65" s="153"/>
      <c r="V65" s="153"/>
      <c r="W65" s="153"/>
      <c r="X65" s="153"/>
      <c r="Y65" s="153"/>
      <c r="AA65" s="146" t="str">
        <f t="shared" si="6"/>
        <v/>
      </c>
      <c r="AB65" s="146" t="str">
        <f t="shared" si="4"/>
        <v/>
      </c>
    </row>
    <row r="66" spans="2:28">
      <c r="B66" s="146"/>
      <c r="C66" s="146"/>
      <c r="D66" s="146" t="str">
        <f t="shared" si="0"/>
        <v/>
      </c>
      <c r="H66" s="153"/>
      <c r="I66" s="153"/>
      <c r="J66" s="153"/>
      <c r="K66" s="153"/>
      <c r="L66" s="153"/>
      <c r="M66" s="153"/>
      <c r="O66" s="153">
        <f t="shared" si="5"/>
        <v>0</v>
      </c>
      <c r="P66" s="149">
        <f t="shared" si="2"/>
        <v>0</v>
      </c>
      <c r="R66" s="153"/>
      <c r="S66" s="153"/>
      <c r="T66" s="153"/>
      <c r="U66" s="153"/>
      <c r="V66" s="153"/>
      <c r="W66" s="153"/>
      <c r="X66" s="153"/>
      <c r="Y66" s="153"/>
      <c r="AA66" s="146" t="str">
        <f t="shared" si="6"/>
        <v/>
      </c>
      <c r="AB66" s="146" t="str">
        <f t="shared" si="4"/>
        <v/>
      </c>
    </row>
    <row r="67" spans="2:28">
      <c r="B67" s="146"/>
      <c r="C67" s="146"/>
      <c r="D67" s="146" t="str">
        <f t="shared" si="0"/>
        <v/>
      </c>
      <c r="H67" s="153"/>
      <c r="I67" s="153"/>
      <c r="J67" s="153"/>
      <c r="K67" s="153"/>
      <c r="L67" s="153"/>
      <c r="M67" s="153"/>
      <c r="O67" s="153">
        <f t="shared" si="5"/>
        <v>0</v>
      </c>
      <c r="P67" s="149">
        <f t="shared" si="2"/>
        <v>0</v>
      </c>
      <c r="R67" s="153"/>
      <c r="S67" s="153"/>
      <c r="T67" s="153"/>
      <c r="U67" s="153"/>
      <c r="V67" s="153"/>
      <c r="W67" s="153"/>
      <c r="X67" s="153"/>
      <c r="Y67" s="153"/>
      <c r="AA67" s="146" t="str">
        <f t="shared" si="6"/>
        <v/>
      </c>
      <c r="AB67" s="146" t="str">
        <f t="shared" si="4"/>
        <v/>
      </c>
    </row>
    <row r="68" spans="2:28">
      <c r="B68" s="146"/>
      <c r="C68" s="146"/>
      <c r="D68" s="146" t="str">
        <f t="shared" si="0"/>
        <v/>
      </c>
      <c r="H68" s="153"/>
      <c r="I68" s="153"/>
      <c r="J68" s="153"/>
      <c r="K68" s="153"/>
      <c r="L68" s="153"/>
      <c r="M68" s="153"/>
      <c r="O68" s="153">
        <f t="shared" si="5"/>
        <v>0</v>
      </c>
      <c r="P68" s="149">
        <f t="shared" si="2"/>
        <v>0</v>
      </c>
      <c r="R68" s="153"/>
      <c r="S68" s="153"/>
      <c r="T68" s="153"/>
      <c r="U68" s="153"/>
      <c r="V68" s="153"/>
      <c r="W68" s="153"/>
      <c r="X68" s="153"/>
      <c r="Y68" s="153"/>
      <c r="AA68" s="146" t="str">
        <f t="shared" si="6"/>
        <v/>
      </c>
      <c r="AB68" s="146" t="str">
        <f t="shared" si="4"/>
        <v/>
      </c>
    </row>
    <row r="69" spans="2:28">
      <c r="B69" s="146"/>
      <c r="C69" s="146"/>
      <c r="D69" s="146" t="str">
        <f t="shared" si="0"/>
        <v/>
      </c>
      <c r="H69" s="153"/>
      <c r="I69" s="153"/>
      <c r="J69" s="153"/>
      <c r="K69" s="153"/>
      <c r="L69" s="153"/>
      <c r="M69" s="153"/>
      <c r="O69" s="153">
        <f t="shared" si="5"/>
        <v>0</v>
      </c>
      <c r="P69" s="149">
        <f t="shared" si="2"/>
        <v>0</v>
      </c>
      <c r="R69" s="153"/>
      <c r="S69" s="153"/>
      <c r="T69" s="153"/>
      <c r="U69" s="153"/>
      <c r="V69" s="153"/>
      <c r="W69" s="153"/>
      <c r="X69" s="153"/>
      <c r="Y69" s="153"/>
      <c r="AA69" s="146" t="str">
        <f t="shared" si="6"/>
        <v/>
      </c>
      <c r="AB69" s="146" t="str">
        <f t="shared" si="4"/>
        <v/>
      </c>
    </row>
    <row r="70" spans="2:28">
      <c r="B70" s="146"/>
      <c r="C70" s="146"/>
      <c r="D70" s="146" t="str">
        <f t="shared" si="0"/>
        <v/>
      </c>
      <c r="H70" s="153"/>
      <c r="I70" s="153"/>
      <c r="J70" s="153"/>
      <c r="K70" s="153"/>
      <c r="L70" s="153"/>
      <c r="M70" s="153"/>
      <c r="O70" s="153">
        <f t="shared" si="5"/>
        <v>0</v>
      </c>
      <c r="P70" s="149">
        <f t="shared" si="2"/>
        <v>0</v>
      </c>
      <c r="R70" s="153"/>
      <c r="S70" s="153"/>
      <c r="T70" s="153"/>
      <c r="U70" s="153"/>
      <c r="V70" s="153"/>
      <c r="W70" s="153"/>
      <c r="X70" s="153"/>
      <c r="Y70" s="153"/>
      <c r="AA70" s="146" t="str">
        <f t="shared" si="6"/>
        <v/>
      </c>
      <c r="AB70" s="146" t="str">
        <f t="shared" si="4"/>
        <v/>
      </c>
    </row>
    <row r="71" spans="2:28">
      <c r="B71" s="146"/>
      <c r="C71" s="146"/>
      <c r="D71" s="146" t="str">
        <f t="shared" si="0"/>
        <v/>
      </c>
      <c r="H71" s="153"/>
      <c r="I71" s="153"/>
      <c r="J71" s="153"/>
      <c r="K71" s="153"/>
      <c r="L71" s="153"/>
      <c r="M71" s="153"/>
      <c r="O71" s="153">
        <f t="shared" si="5"/>
        <v>0</v>
      </c>
      <c r="P71" s="149">
        <f t="shared" si="2"/>
        <v>0</v>
      </c>
      <c r="R71" s="153"/>
      <c r="S71" s="153"/>
      <c r="T71" s="153"/>
      <c r="U71" s="153"/>
      <c r="V71" s="153"/>
      <c r="W71" s="153"/>
      <c r="X71" s="153"/>
      <c r="Y71" s="153"/>
      <c r="AA71" s="146" t="str">
        <f t="shared" si="6"/>
        <v/>
      </c>
      <c r="AB71" s="146" t="str">
        <f t="shared" si="4"/>
        <v/>
      </c>
    </row>
    <row r="72" spans="2:28">
      <c r="B72" s="146"/>
      <c r="C72" s="146"/>
      <c r="D72" s="146" t="str">
        <f t="shared" si="0"/>
        <v/>
      </c>
      <c r="H72" s="153"/>
      <c r="I72" s="153"/>
      <c r="J72" s="153"/>
      <c r="K72" s="153"/>
      <c r="L72" s="153"/>
      <c r="M72" s="153"/>
      <c r="O72" s="153">
        <f t="shared" si="5"/>
        <v>0</v>
      </c>
      <c r="P72" s="149">
        <f t="shared" si="2"/>
        <v>0</v>
      </c>
      <c r="R72" s="153"/>
      <c r="S72" s="153"/>
      <c r="T72" s="153"/>
      <c r="U72" s="153"/>
      <c r="V72" s="153"/>
      <c r="W72" s="153"/>
      <c r="X72" s="153"/>
      <c r="Y72" s="153"/>
      <c r="AA72" s="146" t="str">
        <f t="shared" si="6"/>
        <v/>
      </c>
      <c r="AB72" s="146" t="str">
        <f t="shared" si="4"/>
        <v/>
      </c>
    </row>
    <row r="73" spans="2:28">
      <c r="B73" s="146"/>
      <c r="C73" s="146"/>
      <c r="D73" s="146" t="str">
        <f t="shared" ref="D73:D136" si="7">IF(C73="","",IF(B73="",C73,B73&amp;":"&amp;C73))</f>
        <v/>
      </c>
      <c r="H73" s="153"/>
      <c r="I73" s="153"/>
      <c r="J73" s="153"/>
      <c r="K73" s="153"/>
      <c r="L73" s="153"/>
      <c r="M73" s="153"/>
      <c r="O73" s="153">
        <f t="shared" si="5"/>
        <v>0</v>
      </c>
      <c r="P73" s="149">
        <f t="shared" ref="P73:P136" si="8">HLOOKUP($P$7,$I$7:$M$200,ROW()-6,FALSE)</f>
        <v>0</v>
      </c>
      <c r="R73" s="153"/>
      <c r="S73" s="153"/>
      <c r="T73" s="153"/>
      <c r="U73" s="153"/>
      <c r="V73" s="153"/>
      <c r="W73" s="153"/>
      <c r="X73" s="153"/>
      <c r="Y73" s="153"/>
      <c r="AA73" s="146" t="str">
        <f t="shared" si="6"/>
        <v/>
      </c>
      <c r="AB73" s="146" t="str">
        <f t="shared" ref="AB73:AB136" si="9">IF(HLOOKUP($AB$7,$U$7:$Y$200,ROW()-6,FALSE)="","",HLOOKUP($AB$7,$U$7:$Y$200,ROW()-6,FALSE))</f>
        <v/>
      </c>
    </row>
    <row r="74" spans="2:28">
      <c r="B74" s="146"/>
      <c r="C74" s="146"/>
      <c r="D74" s="146" t="str">
        <f t="shared" si="7"/>
        <v/>
      </c>
      <c r="H74" s="153"/>
      <c r="I74" s="153"/>
      <c r="J74" s="153"/>
      <c r="K74" s="153"/>
      <c r="L74" s="153"/>
      <c r="M74" s="153"/>
      <c r="O74" s="153">
        <f t="shared" si="5"/>
        <v>0</v>
      </c>
      <c r="P74" s="149">
        <f t="shared" si="8"/>
        <v>0</v>
      </c>
      <c r="R74" s="153"/>
      <c r="S74" s="153"/>
      <c r="T74" s="153"/>
      <c r="U74" s="153"/>
      <c r="V74" s="153"/>
      <c r="W74" s="153"/>
      <c r="X74" s="153"/>
      <c r="Y74" s="153"/>
      <c r="AA74" s="146" t="str">
        <f t="shared" si="6"/>
        <v/>
      </c>
      <c r="AB74" s="146" t="str">
        <f t="shared" si="9"/>
        <v/>
      </c>
    </row>
    <row r="75" spans="2:28">
      <c r="B75" s="146"/>
      <c r="C75" s="146"/>
      <c r="D75" s="146" t="str">
        <f t="shared" si="7"/>
        <v/>
      </c>
      <c r="H75" s="153"/>
      <c r="I75" s="153"/>
      <c r="J75" s="153"/>
      <c r="K75" s="153"/>
      <c r="L75" s="153"/>
      <c r="M75" s="153"/>
      <c r="O75" s="153">
        <f t="shared" si="5"/>
        <v>0</v>
      </c>
      <c r="P75" s="149">
        <f t="shared" si="8"/>
        <v>0</v>
      </c>
      <c r="R75" s="153"/>
      <c r="S75" s="153"/>
      <c r="T75" s="153"/>
      <c r="U75" s="153"/>
      <c r="V75" s="153"/>
      <c r="W75" s="153"/>
      <c r="X75" s="153"/>
      <c r="Y75" s="153"/>
      <c r="AA75" s="146" t="str">
        <f t="shared" si="6"/>
        <v/>
      </c>
      <c r="AB75" s="146" t="str">
        <f t="shared" si="9"/>
        <v/>
      </c>
    </row>
    <row r="76" spans="2:28">
      <c r="B76" s="146"/>
      <c r="C76" s="146"/>
      <c r="D76" s="146" t="str">
        <f t="shared" si="7"/>
        <v/>
      </c>
      <c r="H76" s="153"/>
      <c r="I76" s="153"/>
      <c r="J76" s="153"/>
      <c r="K76" s="153"/>
      <c r="L76" s="153"/>
      <c r="M76" s="153"/>
      <c r="O76" s="153">
        <f t="shared" si="5"/>
        <v>0</v>
      </c>
      <c r="P76" s="149">
        <f t="shared" si="8"/>
        <v>0</v>
      </c>
      <c r="R76" s="153"/>
      <c r="S76" s="153"/>
      <c r="T76" s="153"/>
      <c r="U76" s="153"/>
      <c r="V76" s="153"/>
      <c r="W76" s="153"/>
      <c r="X76" s="153"/>
      <c r="Y76" s="153"/>
      <c r="AA76" s="146" t="str">
        <f t="shared" si="6"/>
        <v/>
      </c>
      <c r="AB76" s="146" t="str">
        <f t="shared" si="9"/>
        <v/>
      </c>
    </row>
    <row r="77" spans="2:28">
      <c r="B77" s="146"/>
      <c r="C77" s="146"/>
      <c r="D77" s="146" t="str">
        <f t="shared" si="7"/>
        <v/>
      </c>
      <c r="H77" s="153"/>
      <c r="I77" s="153"/>
      <c r="J77" s="153"/>
      <c r="K77" s="153"/>
      <c r="L77" s="153"/>
      <c r="M77" s="153"/>
      <c r="O77" s="153">
        <f t="shared" si="5"/>
        <v>0</v>
      </c>
      <c r="P77" s="149">
        <f t="shared" si="8"/>
        <v>0</v>
      </c>
      <c r="R77" s="153"/>
      <c r="S77" s="153"/>
      <c r="T77" s="153"/>
      <c r="U77" s="153"/>
      <c r="V77" s="153"/>
      <c r="W77" s="153"/>
      <c r="X77" s="153"/>
      <c r="Y77" s="153"/>
      <c r="AA77" s="146" t="str">
        <f t="shared" si="6"/>
        <v/>
      </c>
      <c r="AB77" s="146" t="str">
        <f t="shared" si="9"/>
        <v/>
      </c>
    </row>
    <row r="78" spans="2:28">
      <c r="B78" s="146"/>
      <c r="C78" s="146"/>
      <c r="D78" s="146" t="str">
        <f t="shared" si="7"/>
        <v/>
      </c>
      <c r="H78" s="153"/>
      <c r="I78" s="153"/>
      <c r="J78" s="153"/>
      <c r="K78" s="153"/>
      <c r="L78" s="153"/>
      <c r="M78" s="153"/>
      <c r="O78" s="153">
        <f t="shared" si="5"/>
        <v>0</v>
      </c>
      <c r="P78" s="149">
        <f t="shared" si="8"/>
        <v>0</v>
      </c>
      <c r="R78" s="153"/>
      <c r="S78" s="153"/>
      <c r="T78" s="153"/>
      <c r="U78" s="153"/>
      <c r="V78" s="153"/>
      <c r="W78" s="153"/>
      <c r="X78" s="153"/>
      <c r="Y78" s="153"/>
      <c r="AA78" s="146" t="str">
        <f t="shared" si="6"/>
        <v/>
      </c>
      <c r="AB78" s="146" t="str">
        <f t="shared" si="9"/>
        <v/>
      </c>
    </row>
    <row r="79" spans="2:28">
      <c r="B79" s="146"/>
      <c r="C79" s="146"/>
      <c r="D79" s="146" t="str">
        <f t="shared" si="7"/>
        <v/>
      </c>
      <c r="H79" s="153"/>
      <c r="I79" s="153"/>
      <c r="J79" s="153"/>
      <c r="K79" s="153"/>
      <c r="L79" s="153"/>
      <c r="M79" s="153"/>
      <c r="O79" s="153">
        <f t="shared" si="5"/>
        <v>0</v>
      </c>
      <c r="P79" s="149">
        <f t="shared" si="8"/>
        <v>0</v>
      </c>
      <c r="R79" s="153"/>
      <c r="S79" s="153"/>
      <c r="T79" s="153"/>
      <c r="U79" s="153"/>
      <c r="V79" s="153"/>
      <c r="W79" s="153"/>
      <c r="X79" s="153"/>
      <c r="Y79" s="153"/>
      <c r="AA79" s="146" t="str">
        <f t="shared" si="6"/>
        <v/>
      </c>
      <c r="AB79" s="146" t="str">
        <f t="shared" si="9"/>
        <v/>
      </c>
    </row>
    <row r="80" spans="2:28">
      <c r="B80" s="146"/>
      <c r="C80" s="146"/>
      <c r="D80" s="146" t="str">
        <f t="shared" si="7"/>
        <v/>
      </c>
      <c r="H80" s="153"/>
      <c r="I80" s="153"/>
      <c r="J80" s="153"/>
      <c r="K80" s="153"/>
      <c r="L80" s="153"/>
      <c r="M80" s="153"/>
      <c r="O80" s="153">
        <f t="shared" si="5"/>
        <v>0</v>
      </c>
      <c r="P80" s="149">
        <f t="shared" si="8"/>
        <v>0</v>
      </c>
      <c r="R80" s="153"/>
      <c r="S80" s="153"/>
      <c r="T80" s="153"/>
      <c r="U80" s="153"/>
      <c r="V80" s="153"/>
      <c r="W80" s="153"/>
      <c r="X80" s="153"/>
      <c r="Y80" s="153"/>
      <c r="AA80" s="146" t="str">
        <f t="shared" si="6"/>
        <v/>
      </c>
      <c r="AB80" s="146" t="str">
        <f t="shared" si="9"/>
        <v/>
      </c>
    </row>
    <row r="81" spans="2:28">
      <c r="B81" s="146"/>
      <c r="C81" s="146"/>
      <c r="D81" s="146" t="str">
        <f t="shared" si="7"/>
        <v/>
      </c>
      <c r="H81" s="153"/>
      <c r="I81" s="153"/>
      <c r="J81" s="153"/>
      <c r="K81" s="153"/>
      <c r="L81" s="153"/>
      <c r="M81" s="153"/>
      <c r="O81" s="153">
        <f t="shared" si="5"/>
        <v>0</v>
      </c>
      <c r="P81" s="149">
        <f t="shared" si="8"/>
        <v>0</v>
      </c>
      <c r="R81" s="153"/>
      <c r="S81" s="153"/>
      <c r="T81" s="153"/>
      <c r="U81" s="153"/>
      <c r="V81" s="153"/>
      <c r="W81" s="153"/>
      <c r="X81" s="153"/>
      <c r="Y81" s="153"/>
      <c r="AA81" s="146" t="str">
        <f t="shared" si="6"/>
        <v/>
      </c>
      <c r="AB81" s="146" t="str">
        <f t="shared" si="9"/>
        <v/>
      </c>
    </row>
    <row r="82" spans="2:28">
      <c r="B82" s="146"/>
      <c r="C82" s="146"/>
      <c r="D82" s="146" t="str">
        <f t="shared" si="7"/>
        <v/>
      </c>
      <c r="H82" s="153"/>
      <c r="I82" s="153"/>
      <c r="J82" s="153"/>
      <c r="K82" s="153"/>
      <c r="L82" s="153"/>
      <c r="M82" s="153"/>
      <c r="O82" s="153">
        <f t="shared" si="5"/>
        <v>0</v>
      </c>
      <c r="P82" s="149">
        <f t="shared" si="8"/>
        <v>0</v>
      </c>
      <c r="R82" s="153"/>
      <c r="S82" s="153"/>
      <c r="T82" s="153"/>
      <c r="U82" s="153"/>
      <c r="V82" s="153"/>
      <c r="W82" s="153"/>
      <c r="X82" s="153"/>
      <c r="Y82" s="153"/>
      <c r="AA82" s="146" t="str">
        <f t="shared" si="6"/>
        <v/>
      </c>
      <c r="AB82" s="146" t="str">
        <f t="shared" si="9"/>
        <v/>
      </c>
    </row>
    <row r="83" spans="2:28">
      <c r="B83" s="146"/>
      <c r="C83" s="146"/>
      <c r="D83" s="146" t="str">
        <f t="shared" si="7"/>
        <v/>
      </c>
      <c r="H83" s="153"/>
      <c r="I83" s="153"/>
      <c r="J83" s="153"/>
      <c r="K83" s="153"/>
      <c r="L83" s="153"/>
      <c r="M83" s="153"/>
      <c r="O83" s="153">
        <f t="shared" si="5"/>
        <v>0</v>
      </c>
      <c r="P83" s="149">
        <f t="shared" si="8"/>
        <v>0</v>
      </c>
      <c r="R83" s="153"/>
      <c r="S83" s="153"/>
      <c r="T83" s="153"/>
      <c r="U83" s="153"/>
      <c r="V83" s="153"/>
      <c r="W83" s="153"/>
      <c r="X83" s="153"/>
      <c r="Y83" s="153"/>
      <c r="AA83" s="146" t="str">
        <f t="shared" si="6"/>
        <v/>
      </c>
      <c r="AB83" s="146" t="str">
        <f t="shared" si="9"/>
        <v/>
      </c>
    </row>
    <row r="84" spans="2:28">
      <c r="B84" s="146"/>
      <c r="C84" s="146"/>
      <c r="D84" s="146" t="str">
        <f t="shared" si="7"/>
        <v/>
      </c>
      <c r="H84" s="153"/>
      <c r="I84" s="153"/>
      <c r="J84" s="153"/>
      <c r="K84" s="153"/>
      <c r="L84" s="153"/>
      <c r="M84" s="153"/>
      <c r="O84" s="153">
        <f t="shared" si="5"/>
        <v>0</v>
      </c>
      <c r="P84" s="149">
        <f t="shared" si="8"/>
        <v>0</v>
      </c>
      <c r="R84" s="153"/>
      <c r="S84" s="153"/>
      <c r="T84" s="153"/>
      <c r="U84" s="153"/>
      <c r="V84" s="153"/>
      <c r="W84" s="153"/>
      <c r="X84" s="153"/>
      <c r="Y84" s="153"/>
      <c r="AA84" s="146" t="str">
        <f t="shared" si="6"/>
        <v/>
      </c>
      <c r="AB84" s="146" t="str">
        <f t="shared" si="9"/>
        <v/>
      </c>
    </row>
    <row r="85" spans="2:28">
      <c r="B85" s="146"/>
      <c r="C85" s="146"/>
      <c r="D85" s="146" t="str">
        <f t="shared" si="7"/>
        <v/>
      </c>
      <c r="H85" s="153"/>
      <c r="I85" s="153"/>
      <c r="J85" s="153"/>
      <c r="K85" s="153"/>
      <c r="L85" s="153"/>
      <c r="M85" s="153"/>
      <c r="O85" s="153">
        <f t="shared" si="5"/>
        <v>0</v>
      </c>
      <c r="P85" s="149">
        <f t="shared" si="8"/>
        <v>0</v>
      </c>
      <c r="R85" s="153"/>
      <c r="S85" s="153"/>
      <c r="T85" s="153"/>
      <c r="U85" s="153"/>
      <c r="V85" s="153"/>
      <c r="W85" s="153"/>
      <c r="X85" s="153"/>
      <c r="Y85" s="153"/>
      <c r="AA85" s="146" t="str">
        <f t="shared" si="6"/>
        <v/>
      </c>
      <c r="AB85" s="146" t="str">
        <f t="shared" si="9"/>
        <v/>
      </c>
    </row>
    <row r="86" spans="2:28">
      <c r="B86" s="146"/>
      <c r="C86" s="146"/>
      <c r="D86" s="146" t="str">
        <f t="shared" si="7"/>
        <v/>
      </c>
      <c r="H86" s="153"/>
      <c r="I86" s="153"/>
      <c r="J86" s="153"/>
      <c r="K86" s="153"/>
      <c r="L86" s="153"/>
      <c r="M86" s="153"/>
      <c r="O86" s="153">
        <f t="shared" si="5"/>
        <v>0</v>
      </c>
      <c r="P86" s="149">
        <f t="shared" si="8"/>
        <v>0</v>
      </c>
      <c r="R86" s="153"/>
      <c r="S86" s="153"/>
      <c r="T86" s="153"/>
      <c r="U86" s="153"/>
      <c r="V86" s="153"/>
      <c r="W86" s="153"/>
      <c r="X86" s="153"/>
      <c r="Y86" s="153"/>
      <c r="AA86" s="146" t="str">
        <f t="shared" si="6"/>
        <v/>
      </c>
      <c r="AB86" s="146" t="str">
        <f t="shared" si="9"/>
        <v/>
      </c>
    </row>
    <row r="87" spans="2:28">
      <c r="B87" s="146"/>
      <c r="C87" s="146"/>
      <c r="D87" s="146" t="str">
        <f t="shared" si="7"/>
        <v/>
      </c>
      <c r="H87" s="153"/>
      <c r="I87" s="153"/>
      <c r="J87" s="153"/>
      <c r="K87" s="153"/>
      <c r="L87" s="153"/>
      <c r="M87" s="153"/>
      <c r="O87" s="153">
        <f t="shared" si="5"/>
        <v>0</v>
      </c>
      <c r="P87" s="149">
        <f t="shared" si="8"/>
        <v>0</v>
      </c>
      <c r="R87" s="153"/>
      <c r="S87" s="153"/>
      <c r="T87" s="153"/>
      <c r="U87" s="153"/>
      <c r="V87" s="153"/>
      <c r="W87" s="153"/>
      <c r="X87" s="153"/>
      <c r="Y87" s="153"/>
      <c r="AA87" s="146" t="str">
        <f t="shared" si="6"/>
        <v/>
      </c>
      <c r="AB87" s="146" t="str">
        <f t="shared" si="9"/>
        <v/>
      </c>
    </row>
    <row r="88" spans="2:28">
      <c r="B88" s="146"/>
      <c r="C88" s="146"/>
      <c r="D88" s="146" t="str">
        <f t="shared" si="7"/>
        <v/>
      </c>
      <c r="H88" s="153"/>
      <c r="I88" s="153"/>
      <c r="J88" s="153"/>
      <c r="K88" s="153"/>
      <c r="L88" s="153"/>
      <c r="M88" s="153"/>
      <c r="O88" s="153">
        <f t="shared" si="5"/>
        <v>0</v>
      </c>
      <c r="P88" s="149">
        <f t="shared" si="8"/>
        <v>0</v>
      </c>
      <c r="R88" s="153"/>
      <c r="S88" s="153"/>
      <c r="T88" s="153"/>
      <c r="U88" s="153"/>
      <c r="V88" s="153"/>
      <c r="W88" s="153"/>
      <c r="X88" s="153"/>
      <c r="Y88" s="153"/>
      <c r="AA88" s="146" t="str">
        <f t="shared" si="6"/>
        <v/>
      </c>
      <c r="AB88" s="146" t="str">
        <f t="shared" si="9"/>
        <v/>
      </c>
    </row>
    <row r="89" spans="2:28">
      <c r="B89" s="146"/>
      <c r="C89" s="146"/>
      <c r="D89" s="146" t="str">
        <f t="shared" si="7"/>
        <v/>
      </c>
      <c r="H89" s="153"/>
      <c r="I89" s="153"/>
      <c r="J89" s="153"/>
      <c r="K89" s="153"/>
      <c r="L89" s="153"/>
      <c r="M89" s="153"/>
      <c r="O89" s="153">
        <f t="shared" si="5"/>
        <v>0</v>
      </c>
      <c r="P89" s="149">
        <f t="shared" si="8"/>
        <v>0</v>
      </c>
      <c r="R89" s="153"/>
      <c r="S89" s="153"/>
      <c r="T89" s="153"/>
      <c r="U89" s="153"/>
      <c r="V89" s="153"/>
      <c r="W89" s="153"/>
      <c r="X89" s="153"/>
      <c r="Y89" s="153"/>
      <c r="AA89" s="146" t="str">
        <f t="shared" si="6"/>
        <v/>
      </c>
      <c r="AB89" s="146" t="str">
        <f t="shared" si="9"/>
        <v/>
      </c>
    </row>
    <row r="90" spans="2:28">
      <c r="B90" s="146"/>
      <c r="C90" s="146"/>
      <c r="D90" s="146" t="str">
        <f t="shared" si="7"/>
        <v/>
      </c>
      <c r="H90" s="153"/>
      <c r="I90" s="153"/>
      <c r="J90" s="153"/>
      <c r="K90" s="153"/>
      <c r="L90" s="153"/>
      <c r="M90" s="153"/>
      <c r="O90" s="153">
        <f t="shared" si="5"/>
        <v>0</v>
      </c>
      <c r="P90" s="149">
        <f t="shared" si="8"/>
        <v>0</v>
      </c>
      <c r="R90" s="153"/>
      <c r="S90" s="153"/>
      <c r="T90" s="153"/>
      <c r="U90" s="153"/>
      <c r="V90" s="153"/>
      <c r="W90" s="153"/>
      <c r="X90" s="153"/>
      <c r="Y90" s="153"/>
      <c r="AA90" s="146" t="str">
        <f t="shared" si="6"/>
        <v/>
      </c>
      <c r="AB90" s="146" t="str">
        <f t="shared" si="9"/>
        <v/>
      </c>
    </row>
    <row r="91" spans="2:28">
      <c r="B91" s="146"/>
      <c r="C91" s="146"/>
      <c r="D91" s="146" t="str">
        <f t="shared" si="7"/>
        <v/>
      </c>
      <c r="H91" s="153"/>
      <c r="I91" s="153"/>
      <c r="J91" s="153"/>
      <c r="K91" s="153"/>
      <c r="L91" s="153"/>
      <c r="M91" s="153"/>
      <c r="O91" s="153">
        <f t="shared" si="5"/>
        <v>0</v>
      </c>
      <c r="P91" s="149">
        <f t="shared" si="8"/>
        <v>0</v>
      </c>
      <c r="R91" s="153"/>
      <c r="S91" s="153"/>
      <c r="T91" s="153"/>
      <c r="U91" s="153"/>
      <c r="V91" s="153"/>
      <c r="W91" s="153"/>
      <c r="X91" s="153"/>
      <c r="Y91" s="153"/>
      <c r="AA91" s="146" t="str">
        <f t="shared" si="6"/>
        <v/>
      </c>
      <c r="AB91" s="146" t="str">
        <f t="shared" si="9"/>
        <v/>
      </c>
    </row>
    <row r="92" spans="2:28">
      <c r="B92" s="146"/>
      <c r="C92" s="146"/>
      <c r="D92" s="146" t="str">
        <f t="shared" si="7"/>
        <v/>
      </c>
      <c r="H92" s="153"/>
      <c r="I92" s="153"/>
      <c r="J92" s="153"/>
      <c r="K92" s="153"/>
      <c r="L92" s="153"/>
      <c r="M92" s="153"/>
      <c r="O92" s="153">
        <f t="shared" si="5"/>
        <v>0</v>
      </c>
      <c r="P92" s="149">
        <f t="shared" si="8"/>
        <v>0</v>
      </c>
      <c r="R92" s="153"/>
      <c r="S92" s="153"/>
      <c r="T92" s="153"/>
      <c r="U92" s="153"/>
      <c r="V92" s="153"/>
      <c r="W92" s="153"/>
      <c r="X92" s="153"/>
      <c r="Y92" s="153"/>
      <c r="AA92" s="146" t="str">
        <f t="shared" si="6"/>
        <v/>
      </c>
      <c r="AB92" s="146" t="str">
        <f t="shared" si="9"/>
        <v/>
      </c>
    </row>
    <row r="93" spans="2:28">
      <c r="B93" s="146"/>
      <c r="C93" s="146"/>
      <c r="D93" s="146" t="str">
        <f t="shared" si="7"/>
        <v/>
      </c>
      <c r="H93" s="153"/>
      <c r="I93" s="153"/>
      <c r="J93" s="153"/>
      <c r="K93" s="153"/>
      <c r="L93" s="153"/>
      <c r="M93" s="153"/>
      <c r="O93" s="153">
        <f t="shared" ref="O93:O156" si="10">IF(B93="",C93,B93&amp;":"&amp;C93)</f>
        <v>0</v>
      </c>
      <c r="P93" s="149">
        <f t="shared" si="8"/>
        <v>0</v>
      </c>
      <c r="R93" s="153"/>
      <c r="S93" s="153"/>
      <c r="T93" s="153"/>
      <c r="U93" s="153"/>
      <c r="V93" s="153"/>
      <c r="W93" s="153"/>
      <c r="X93" s="153"/>
      <c r="Y93" s="153"/>
      <c r="AA93" s="146" t="str">
        <f t="shared" si="6"/>
        <v/>
      </c>
      <c r="AB93" s="146" t="str">
        <f t="shared" si="9"/>
        <v/>
      </c>
    </row>
    <row r="94" spans="2:28">
      <c r="B94" s="146"/>
      <c r="C94" s="146"/>
      <c r="D94" s="146" t="str">
        <f t="shared" si="7"/>
        <v/>
      </c>
      <c r="H94" s="153"/>
      <c r="I94" s="153"/>
      <c r="J94" s="153"/>
      <c r="K94" s="153"/>
      <c r="L94" s="153"/>
      <c r="M94" s="153"/>
      <c r="O94" s="153">
        <f t="shared" si="10"/>
        <v>0</v>
      </c>
      <c r="P94" s="149">
        <f t="shared" si="8"/>
        <v>0</v>
      </c>
      <c r="R94" s="153"/>
      <c r="S94" s="153"/>
      <c r="T94" s="153"/>
      <c r="U94" s="153"/>
      <c r="V94" s="153"/>
      <c r="W94" s="153"/>
      <c r="X94" s="153"/>
      <c r="Y94" s="153"/>
      <c r="AA94" s="146" t="str">
        <f t="shared" ref="AA94:AA157" si="11">IF(R94="",S94,R94&amp;":"&amp;S94)&amp;T94</f>
        <v/>
      </c>
      <c r="AB94" s="146" t="str">
        <f t="shared" si="9"/>
        <v/>
      </c>
    </row>
    <row r="95" spans="2:28">
      <c r="B95" s="146"/>
      <c r="C95" s="146"/>
      <c r="D95" s="146" t="str">
        <f t="shared" si="7"/>
        <v/>
      </c>
      <c r="H95" s="153"/>
      <c r="I95" s="153"/>
      <c r="J95" s="153"/>
      <c r="K95" s="153"/>
      <c r="L95" s="153"/>
      <c r="M95" s="153"/>
      <c r="O95" s="153">
        <f t="shared" si="10"/>
        <v>0</v>
      </c>
      <c r="P95" s="149">
        <f t="shared" si="8"/>
        <v>0</v>
      </c>
      <c r="R95" s="153"/>
      <c r="S95" s="153"/>
      <c r="T95" s="153"/>
      <c r="U95" s="153"/>
      <c r="V95" s="153"/>
      <c r="W95" s="153"/>
      <c r="X95" s="153"/>
      <c r="Y95" s="153"/>
      <c r="AA95" s="146" t="str">
        <f t="shared" si="11"/>
        <v/>
      </c>
      <c r="AB95" s="146" t="str">
        <f t="shared" si="9"/>
        <v/>
      </c>
    </row>
    <row r="96" spans="2:28">
      <c r="B96" s="146"/>
      <c r="C96" s="146"/>
      <c r="D96" s="146" t="str">
        <f t="shared" si="7"/>
        <v/>
      </c>
      <c r="H96" s="153"/>
      <c r="I96" s="153"/>
      <c r="J96" s="153"/>
      <c r="K96" s="153"/>
      <c r="L96" s="153"/>
      <c r="M96" s="153"/>
      <c r="O96" s="153">
        <f t="shared" si="10"/>
        <v>0</v>
      </c>
      <c r="P96" s="149">
        <f t="shared" si="8"/>
        <v>0</v>
      </c>
      <c r="R96" s="153"/>
      <c r="S96" s="153"/>
      <c r="T96" s="153"/>
      <c r="U96" s="153"/>
      <c r="V96" s="153"/>
      <c r="W96" s="153"/>
      <c r="X96" s="153"/>
      <c r="Y96" s="153"/>
      <c r="AA96" s="146" t="str">
        <f t="shared" si="11"/>
        <v/>
      </c>
      <c r="AB96" s="146" t="str">
        <f t="shared" si="9"/>
        <v/>
      </c>
    </row>
    <row r="97" spans="2:28">
      <c r="B97" s="146"/>
      <c r="C97" s="146"/>
      <c r="D97" s="146" t="str">
        <f t="shared" si="7"/>
        <v/>
      </c>
      <c r="H97" s="153"/>
      <c r="I97" s="153"/>
      <c r="J97" s="153"/>
      <c r="K97" s="153"/>
      <c r="L97" s="153"/>
      <c r="M97" s="153"/>
      <c r="O97" s="153">
        <f t="shared" si="10"/>
        <v>0</v>
      </c>
      <c r="P97" s="149">
        <f t="shared" si="8"/>
        <v>0</v>
      </c>
      <c r="R97" s="153"/>
      <c r="S97" s="153"/>
      <c r="T97" s="153"/>
      <c r="U97" s="153"/>
      <c r="V97" s="153"/>
      <c r="W97" s="153"/>
      <c r="X97" s="153"/>
      <c r="Y97" s="153"/>
      <c r="AA97" s="146" t="str">
        <f t="shared" si="11"/>
        <v/>
      </c>
      <c r="AB97" s="146" t="str">
        <f t="shared" si="9"/>
        <v/>
      </c>
    </row>
    <row r="98" spans="2:28">
      <c r="B98" s="146"/>
      <c r="C98" s="146"/>
      <c r="D98" s="146" t="str">
        <f t="shared" si="7"/>
        <v/>
      </c>
      <c r="H98" s="153"/>
      <c r="I98" s="153"/>
      <c r="J98" s="153"/>
      <c r="K98" s="153"/>
      <c r="L98" s="153"/>
      <c r="M98" s="153"/>
      <c r="O98" s="153">
        <f t="shared" si="10"/>
        <v>0</v>
      </c>
      <c r="P98" s="149">
        <f t="shared" si="8"/>
        <v>0</v>
      </c>
      <c r="R98" s="153"/>
      <c r="S98" s="153"/>
      <c r="T98" s="153"/>
      <c r="U98" s="153"/>
      <c r="V98" s="153"/>
      <c r="W98" s="153"/>
      <c r="X98" s="153"/>
      <c r="Y98" s="153"/>
      <c r="AA98" s="146" t="str">
        <f t="shared" si="11"/>
        <v/>
      </c>
      <c r="AB98" s="146" t="str">
        <f t="shared" si="9"/>
        <v/>
      </c>
    </row>
    <row r="99" spans="2:28">
      <c r="B99" s="146"/>
      <c r="C99" s="146"/>
      <c r="D99" s="146" t="str">
        <f t="shared" si="7"/>
        <v/>
      </c>
      <c r="H99" s="153"/>
      <c r="I99" s="153"/>
      <c r="J99" s="153"/>
      <c r="K99" s="153"/>
      <c r="L99" s="153"/>
      <c r="M99" s="153"/>
      <c r="O99" s="153">
        <f t="shared" si="10"/>
        <v>0</v>
      </c>
      <c r="P99" s="149">
        <f t="shared" si="8"/>
        <v>0</v>
      </c>
      <c r="R99" s="153"/>
      <c r="S99" s="153"/>
      <c r="T99" s="153"/>
      <c r="U99" s="153"/>
      <c r="V99" s="153"/>
      <c r="W99" s="153"/>
      <c r="X99" s="153"/>
      <c r="Y99" s="153"/>
      <c r="AA99" s="146" t="str">
        <f t="shared" si="11"/>
        <v/>
      </c>
      <c r="AB99" s="146" t="str">
        <f t="shared" si="9"/>
        <v/>
      </c>
    </row>
    <row r="100" spans="2:28">
      <c r="B100" s="146"/>
      <c r="C100" s="146"/>
      <c r="D100" s="146" t="str">
        <f t="shared" si="7"/>
        <v/>
      </c>
      <c r="H100" s="153"/>
      <c r="I100" s="153"/>
      <c r="J100" s="153"/>
      <c r="K100" s="153"/>
      <c r="L100" s="153"/>
      <c r="M100" s="153"/>
      <c r="O100" s="153">
        <f t="shared" si="10"/>
        <v>0</v>
      </c>
      <c r="P100" s="149">
        <f t="shared" si="8"/>
        <v>0</v>
      </c>
      <c r="R100" s="153"/>
      <c r="S100" s="153"/>
      <c r="T100" s="153"/>
      <c r="U100" s="153"/>
      <c r="V100" s="153"/>
      <c r="W100" s="153"/>
      <c r="X100" s="153"/>
      <c r="Y100" s="153"/>
      <c r="AA100" s="146" t="str">
        <f t="shared" si="11"/>
        <v/>
      </c>
      <c r="AB100" s="146" t="str">
        <f t="shared" si="9"/>
        <v/>
      </c>
    </row>
    <row r="101" spans="2:28">
      <c r="B101" s="146"/>
      <c r="C101" s="146"/>
      <c r="D101" s="146" t="str">
        <f t="shared" si="7"/>
        <v/>
      </c>
      <c r="H101" s="153"/>
      <c r="I101" s="153"/>
      <c r="J101" s="153"/>
      <c r="K101" s="153"/>
      <c r="L101" s="153"/>
      <c r="M101" s="153"/>
      <c r="O101" s="153">
        <f t="shared" si="10"/>
        <v>0</v>
      </c>
      <c r="P101" s="149">
        <f t="shared" si="8"/>
        <v>0</v>
      </c>
      <c r="R101" s="153"/>
      <c r="S101" s="153"/>
      <c r="T101" s="153"/>
      <c r="U101" s="153"/>
      <c r="V101" s="153"/>
      <c r="W101" s="153"/>
      <c r="X101" s="153"/>
      <c r="Y101" s="153"/>
      <c r="AA101" s="146" t="str">
        <f t="shared" si="11"/>
        <v/>
      </c>
      <c r="AB101" s="146" t="str">
        <f t="shared" si="9"/>
        <v/>
      </c>
    </row>
    <row r="102" spans="2:28">
      <c r="B102" s="146"/>
      <c r="C102" s="146"/>
      <c r="D102" s="146" t="str">
        <f t="shared" si="7"/>
        <v/>
      </c>
      <c r="H102" s="153"/>
      <c r="I102" s="153"/>
      <c r="J102" s="153"/>
      <c r="K102" s="153"/>
      <c r="L102" s="153"/>
      <c r="M102" s="153"/>
      <c r="O102" s="153">
        <f t="shared" si="10"/>
        <v>0</v>
      </c>
      <c r="P102" s="149">
        <f t="shared" si="8"/>
        <v>0</v>
      </c>
      <c r="R102" s="153"/>
      <c r="S102" s="153"/>
      <c r="T102" s="153"/>
      <c r="U102" s="153"/>
      <c r="V102" s="153"/>
      <c r="W102" s="153"/>
      <c r="X102" s="153"/>
      <c r="Y102" s="153"/>
      <c r="AA102" s="146" t="str">
        <f t="shared" si="11"/>
        <v/>
      </c>
      <c r="AB102" s="146" t="str">
        <f t="shared" si="9"/>
        <v/>
      </c>
    </row>
    <row r="103" spans="2:28">
      <c r="B103" s="146"/>
      <c r="C103" s="146"/>
      <c r="D103" s="146" t="str">
        <f t="shared" si="7"/>
        <v/>
      </c>
      <c r="H103" s="153"/>
      <c r="I103" s="153"/>
      <c r="J103" s="153"/>
      <c r="K103" s="153"/>
      <c r="L103" s="153"/>
      <c r="M103" s="153"/>
      <c r="O103" s="153">
        <f t="shared" si="10"/>
        <v>0</v>
      </c>
      <c r="P103" s="149">
        <f t="shared" si="8"/>
        <v>0</v>
      </c>
      <c r="R103" s="153"/>
      <c r="S103" s="153"/>
      <c r="T103" s="153"/>
      <c r="U103" s="153"/>
      <c r="V103" s="153"/>
      <c r="W103" s="153"/>
      <c r="X103" s="153"/>
      <c r="Y103" s="153"/>
      <c r="AA103" s="146" t="str">
        <f t="shared" si="11"/>
        <v/>
      </c>
      <c r="AB103" s="146" t="str">
        <f t="shared" si="9"/>
        <v/>
      </c>
    </row>
    <row r="104" spans="2:28">
      <c r="B104" s="146"/>
      <c r="C104" s="146"/>
      <c r="D104" s="146" t="str">
        <f t="shared" si="7"/>
        <v/>
      </c>
      <c r="H104" s="153"/>
      <c r="I104" s="153"/>
      <c r="J104" s="153"/>
      <c r="K104" s="153"/>
      <c r="L104" s="153"/>
      <c r="M104" s="153"/>
      <c r="O104" s="153">
        <f t="shared" si="10"/>
        <v>0</v>
      </c>
      <c r="P104" s="149">
        <f t="shared" si="8"/>
        <v>0</v>
      </c>
      <c r="R104" s="153"/>
      <c r="S104" s="153"/>
      <c r="T104" s="153"/>
      <c r="U104" s="153"/>
      <c r="V104" s="153"/>
      <c r="W104" s="153"/>
      <c r="X104" s="153"/>
      <c r="Y104" s="153"/>
      <c r="AA104" s="146" t="str">
        <f t="shared" si="11"/>
        <v/>
      </c>
      <c r="AB104" s="146" t="str">
        <f t="shared" si="9"/>
        <v/>
      </c>
    </row>
    <row r="105" spans="2:28">
      <c r="B105" s="146"/>
      <c r="C105" s="146"/>
      <c r="D105" s="146" t="str">
        <f t="shared" si="7"/>
        <v/>
      </c>
      <c r="H105" s="153"/>
      <c r="I105" s="153"/>
      <c r="J105" s="153"/>
      <c r="K105" s="153"/>
      <c r="L105" s="153"/>
      <c r="M105" s="153"/>
      <c r="O105" s="153">
        <f t="shared" si="10"/>
        <v>0</v>
      </c>
      <c r="P105" s="149">
        <f t="shared" si="8"/>
        <v>0</v>
      </c>
      <c r="R105" s="153"/>
      <c r="S105" s="153"/>
      <c r="T105" s="153"/>
      <c r="U105" s="153"/>
      <c r="V105" s="153"/>
      <c r="W105" s="153"/>
      <c r="X105" s="153"/>
      <c r="Y105" s="153"/>
      <c r="AA105" s="146" t="str">
        <f t="shared" si="11"/>
        <v/>
      </c>
      <c r="AB105" s="146" t="str">
        <f t="shared" si="9"/>
        <v/>
      </c>
    </row>
    <row r="106" spans="2:28">
      <c r="B106" s="146"/>
      <c r="C106" s="146"/>
      <c r="D106" s="146" t="str">
        <f t="shared" si="7"/>
        <v/>
      </c>
      <c r="H106" s="153"/>
      <c r="I106" s="153"/>
      <c r="J106" s="153"/>
      <c r="K106" s="153"/>
      <c r="L106" s="153"/>
      <c r="M106" s="153"/>
      <c r="O106" s="153">
        <f t="shared" si="10"/>
        <v>0</v>
      </c>
      <c r="P106" s="149">
        <f t="shared" si="8"/>
        <v>0</v>
      </c>
      <c r="R106" s="153"/>
      <c r="S106" s="153"/>
      <c r="T106" s="153"/>
      <c r="U106" s="153"/>
      <c r="V106" s="153"/>
      <c r="W106" s="153"/>
      <c r="X106" s="153"/>
      <c r="Y106" s="153"/>
      <c r="AA106" s="146" t="str">
        <f t="shared" si="11"/>
        <v/>
      </c>
      <c r="AB106" s="146" t="str">
        <f t="shared" si="9"/>
        <v/>
      </c>
    </row>
    <row r="107" spans="2:28">
      <c r="B107" s="146"/>
      <c r="C107" s="146"/>
      <c r="D107" s="146" t="str">
        <f t="shared" si="7"/>
        <v/>
      </c>
      <c r="H107" s="153"/>
      <c r="I107" s="153"/>
      <c r="J107" s="153"/>
      <c r="K107" s="153"/>
      <c r="L107" s="153"/>
      <c r="M107" s="153"/>
      <c r="O107" s="153">
        <f t="shared" si="10"/>
        <v>0</v>
      </c>
      <c r="P107" s="149">
        <f t="shared" si="8"/>
        <v>0</v>
      </c>
      <c r="R107" s="153"/>
      <c r="S107" s="153"/>
      <c r="T107" s="153"/>
      <c r="U107" s="153"/>
      <c r="V107" s="153"/>
      <c r="W107" s="153"/>
      <c r="X107" s="153"/>
      <c r="Y107" s="153"/>
      <c r="AA107" s="146" t="str">
        <f t="shared" si="11"/>
        <v/>
      </c>
      <c r="AB107" s="146" t="str">
        <f t="shared" si="9"/>
        <v/>
      </c>
    </row>
    <row r="108" spans="2:28">
      <c r="B108" s="146"/>
      <c r="C108" s="146"/>
      <c r="D108" s="146" t="str">
        <f t="shared" si="7"/>
        <v/>
      </c>
      <c r="H108" s="153"/>
      <c r="I108" s="153"/>
      <c r="J108" s="153"/>
      <c r="K108" s="153"/>
      <c r="L108" s="153"/>
      <c r="M108" s="153"/>
      <c r="O108" s="153">
        <f t="shared" si="10"/>
        <v>0</v>
      </c>
      <c r="P108" s="149">
        <f t="shared" si="8"/>
        <v>0</v>
      </c>
      <c r="R108" s="153"/>
      <c r="S108" s="153"/>
      <c r="T108" s="153"/>
      <c r="U108" s="153"/>
      <c r="V108" s="153"/>
      <c r="W108" s="153"/>
      <c r="X108" s="153"/>
      <c r="Y108" s="153"/>
      <c r="AA108" s="146" t="str">
        <f t="shared" si="11"/>
        <v/>
      </c>
      <c r="AB108" s="146" t="str">
        <f t="shared" si="9"/>
        <v/>
      </c>
    </row>
    <row r="109" spans="2:28">
      <c r="B109" s="146"/>
      <c r="C109" s="146"/>
      <c r="D109" s="146" t="str">
        <f t="shared" si="7"/>
        <v/>
      </c>
      <c r="H109" s="153"/>
      <c r="I109" s="153"/>
      <c r="J109" s="153"/>
      <c r="K109" s="153"/>
      <c r="L109" s="153"/>
      <c r="M109" s="153"/>
      <c r="O109" s="153">
        <f t="shared" si="10"/>
        <v>0</v>
      </c>
      <c r="P109" s="149">
        <f t="shared" si="8"/>
        <v>0</v>
      </c>
      <c r="R109" s="153"/>
      <c r="S109" s="153"/>
      <c r="T109" s="153"/>
      <c r="U109" s="153"/>
      <c r="V109" s="153"/>
      <c r="W109" s="153"/>
      <c r="X109" s="153"/>
      <c r="Y109" s="153"/>
      <c r="AA109" s="146" t="str">
        <f t="shared" si="11"/>
        <v/>
      </c>
      <c r="AB109" s="146" t="str">
        <f t="shared" si="9"/>
        <v/>
      </c>
    </row>
    <row r="110" spans="2:28">
      <c r="B110" s="146"/>
      <c r="C110" s="146"/>
      <c r="D110" s="146" t="str">
        <f t="shared" si="7"/>
        <v/>
      </c>
      <c r="H110" s="153"/>
      <c r="I110" s="153"/>
      <c r="J110" s="153"/>
      <c r="K110" s="153"/>
      <c r="L110" s="153"/>
      <c r="M110" s="153"/>
      <c r="O110" s="153">
        <f t="shared" si="10"/>
        <v>0</v>
      </c>
      <c r="P110" s="149">
        <f t="shared" si="8"/>
        <v>0</v>
      </c>
      <c r="R110" s="153"/>
      <c r="S110" s="153"/>
      <c r="T110" s="153"/>
      <c r="U110" s="153"/>
      <c r="V110" s="153"/>
      <c r="W110" s="153"/>
      <c r="X110" s="153"/>
      <c r="Y110" s="153"/>
      <c r="AA110" s="146" t="str">
        <f t="shared" si="11"/>
        <v/>
      </c>
      <c r="AB110" s="146" t="str">
        <f t="shared" si="9"/>
        <v/>
      </c>
    </row>
    <row r="111" spans="2:28">
      <c r="B111" s="146"/>
      <c r="C111" s="146"/>
      <c r="D111" s="146" t="str">
        <f t="shared" si="7"/>
        <v/>
      </c>
      <c r="H111" s="153"/>
      <c r="I111" s="153"/>
      <c r="J111" s="153"/>
      <c r="K111" s="153"/>
      <c r="L111" s="153"/>
      <c r="M111" s="153"/>
      <c r="O111" s="153">
        <f t="shared" si="10"/>
        <v>0</v>
      </c>
      <c r="P111" s="149">
        <f t="shared" si="8"/>
        <v>0</v>
      </c>
      <c r="R111" s="153"/>
      <c r="S111" s="153"/>
      <c r="T111" s="153"/>
      <c r="U111" s="153"/>
      <c r="V111" s="153"/>
      <c r="W111" s="153"/>
      <c r="X111" s="153"/>
      <c r="Y111" s="153"/>
      <c r="AA111" s="146" t="str">
        <f t="shared" si="11"/>
        <v/>
      </c>
      <c r="AB111" s="146" t="str">
        <f t="shared" si="9"/>
        <v/>
      </c>
    </row>
    <row r="112" spans="2:28">
      <c r="B112" s="146"/>
      <c r="C112" s="146"/>
      <c r="D112" s="146" t="str">
        <f t="shared" si="7"/>
        <v/>
      </c>
      <c r="H112" s="153"/>
      <c r="I112" s="153"/>
      <c r="J112" s="153"/>
      <c r="K112" s="153"/>
      <c r="L112" s="153"/>
      <c r="M112" s="153"/>
      <c r="O112" s="153">
        <f t="shared" si="10"/>
        <v>0</v>
      </c>
      <c r="P112" s="149">
        <f t="shared" si="8"/>
        <v>0</v>
      </c>
      <c r="R112" s="153"/>
      <c r="S112" s="153"/>
      <c r="T112" s="153"/>
      <c r="U112" s="153"/>
      <c r="V112" s="153"/>
      <c r="W112" s="153"/>
      <c r="X112" s="153"/>
      <c r="Y112" s="153"/>
      <c r="AA112" s="146" t="str">
        <f t="shared" si="11"/>
        <v/>
      </c>
      <c r="AB112" s="146" t="str">
        <f t="shared" si="9"/>
        <v/>
      </c>
    </row>
    <row r="113" spans="2:28">
      <c r="B113" s="146"/>
      <c r="C113" s="146"/>
      <c r="D113" s="146" t="str">
        <f t="shared" si="7"/>
        <v/>
      </c>
      <c r="H113" s="153"/>
      <c r="I113" s="153"/>
      <c r="J113" s="153"/>
      <c r="K113" s="153"/>
      <c r="L113" s="153"/>
      <c r="M113" s="153"/>
      <c r="O113" s="153">
        <f t="shared" si="10"/>
        <v>0</v>
      </c>
      <c r="P113" s="149">
        <f t="shared" si="8"/>
        <v>0</v>
      </c>
      <c r="R113" s="153"/>
      <c r="S113" s="153"/>
      <c r="T113" s="153"/>
      <c r="U113" s="153"/>
      <c r="V113" s="153"/>
      <c r="W113" s="153"/>
      <c r="X113" s="153"/>
      <c r="Y113" s="153"/>
      <c r="AA113" s="146" t="str">
        <f t="shared" si="11"/>
        <v/>
      </c>
      <c r="AB113" s="146" t="str">
        <f t="shared" si="9"/>
        <v/>
      </c>
    </row>
    <row r="114" spans="2:28">
      <c r="B114" s="146"/>
      <c r="C114" s="146"/>
      <c r="D114" s="146" t="str">
        <f t="shared" si="7"/>
        <v/>
      </c>
      <c r="H114" s="153"/>
      <c r="I114" s="153"/>
      <c r="J114" s="153"/>
      <c r="K114" s="153"/>
      <c r="L114" s="153"/>
      <c r="M114" s="153"/>
      <c r="O114" s="153">
        <f t="shared" si="10"/>
        <v>0</v>
      </c>
      <c r="P114" s="149">
        <f t="shared" si="8"/>
        <v>0</v>
      </c>
      <c r="R114" s="153"/>
      <c r="S114" s="153"/>
      <c r="T114" s="153"/>
      <c r="U114" s="153"/>
      <c r="V114" s="153"/>
      <c r="W114" s="153"/>
      <c r="X114" s="153"/>
      <c r="Y114" s="153"/>
      <c r="AA114" s="146" t="str">
        <f t="shared" si="11"/>
        <v/>
      </c>
      <c r="AB114" s="146" t="str">
        <f t="shared" si="9"/>
        <v/>
      </c>
    </row>
    <row r="115" spans="2:28">
      <c r="B115" s="146"/>
      <c r="C115" s="146"/>
      <c r="D115" s="146" t="str">
        <f t="shared" si="7"/>
        <v/>
      </c>
      <c r="H115" s="153"/>
      <c r="I115" s="153"/>
      <c r="J115" s="153"/>
      <c r="K115" s="153"/>
      <c r="L115" s="153"/>
      <c r="M115" s="153"/>
      <c r="O115" s="153">
        <f t="shared" si="10"/>
        <v>0</v>
      </c>
      <c r="P115" s="149">
        <f t="shared" si="8"/>
        <v>0</v>
      </c>
      <c r="R115" s="153"/>
      <c r="S115" s="153"/>
      <c r="T115" s="153"/>
      <c r="U115" s="153"/>
      <c r="V115" s="153"/>
      <c r="W115" s="153"/>
      <c r="X115" s="153"/>
      <c r="Y115" s="153"/>
      <c r="AA115" s="146" t="str">
        <f t="shared" si="11"/>
        <v/>
      </c>
      <c r="AB115" s="146" t="str">
        <f t="shared" si="9"/>
        <v/>
      </c>
    </row>
    <row r="116" spans="2:28">
      <c r="B116" s="146"/>
      <c r="C116" s="146"/>
      <c r="D116" s="146" t="str">
        <f t="shared" si="7"/>
        <v/>
      </c>
      <c r="H116" s="153"/>
      <c r="I116" s="153"/>
      <c r="J116" s="153"/>
      <c r="K116" s="153"/>
      <c r="L116" s="153"/>
      <c r="M116" s="153"/>
      <c r="O116" s="153">
        <f t="shared" si="10"/>
        <v>0</v>
      </c>
      <c r="P116" s="149">
        <f t="shared" si="8"/>
        <v>0</v>
      </c>
      <c r="R116" s="153"/>
      <c r="S116" s="153"/>
      <c r="T116" s="153"/>
      <c r="U116" s="153"/>
      <c r="V116" s="153"/>
      <c r="W116" s="153"/>
      <c r="X116" s="153"/>
      <c r="Y116" s="153"/>
      <c r="AA116" s="146" t="str">
        <f t="shared" si="11"/>
        <v/>
      </c>
      <c r="AB116" s="146" t="str">
        <f t="shared" si="9"/>
        <v/>
      </c>
    </row>
    <row r="117" spans="2:28">
      <c r="B117" s="146"/>
      <c r="C117" s="146"/>
      <c r="D117" s="146" t="str">
        <f t="shared" si="7"/>
        <v/>
      </c>
      <c r="H117" s="153"/>
      <c r="I117" s="153"/>
      <c r="J117" s="153"/>
      <c r="K117" s="153"/>
      <c r="L117" s="153"/>
      <c r="M117" s="153"/>
      <c r="O117" s="153">
        <f t="shared" si="10"/>
        <v>0</v>
      </c>
      <c r="P117" s="149">
        <f t="shared" si="8"/>
        <v>0</v>
      </c>
      <c r="R117" s="153"/>
      <c r="S117" s="153"/>
      <c r="T117" s="153"/>
      <c r="U117" s="153"/>
      <c r="V117" s="153"/>
      <c r="W117" s="153"/>
      <c r="X117" s="153"/>
      <c r="Y117" s="153"/>
      <c r="AA117" s="146" t="str">
        <f t="shared" si="11"/>
        <v/>
      </c>
      <c r="AB117" s="146" t="str">
        <f t="shared" si="9"/>
        <v/>
      </c>
    </row>
    <row r="118" spans="2:28">
      <c r="B118" s="146"/>
      <c r="C118" s="146"/>
      <c r="D118" s="146" t="str">
        <f t="shared" si="7"/>
        <v/>
      </c>
      <c r="H118" s="153"/>
      <c r="I118" s="153"/>
      <c r="J118" s="153"/>
      <c r="K118" s="153"/>
      <c r="L118" s="153"/>
      <c r="M118" s="153"/>
      <c r="O118" s="153">
        <f t="shared" si="10"/>
        <v>0</v>
      </c>
      <c r="P118" s="149">
        <f t="shared" si="8"/>
        <v>0</v>
      </c>
      <c r="R118" s="153"/>
      <c r="S118" s="153"/>
      <c r="T118" s="153"/>
      <c r="U118" s="153"/>
      <c r="V118" s="153"/>
      <c r="W118" s="153"/>
      <c r="X118" s="153"/>
      <c r="Y118" s="153"/>
      <c r="AA118" s="146" t="str">
        <f t="shared" si="11"/>
        <v/>
      </c>
      <c r="AB118" s="146" t="str">
        <f t="shared" si="9"/>
        <v/>
      </c>
    </row>
    <row r="119" spans="2:28">
      <c r="B119" s="146"/>
      <c r="C119" s="146"/>
      <c r="D119" s="146" t="str">
        <f t="shared" si="7"/>
        <v/>
      </c>
      <c r="H119" s="153"/>
      <c r="I119" s="153"/>
      <c r="J119" s="153"/>
      <c r="K119" s="153"/>
      <c r="L119" s="153"/>
      <c r="M119" s="153"/>
      <c r="O119" s="153">
        <f t="shared" si="10"/>
        <v>0</v>
      </c>
      <c r="P119" s="149">
        <f t="shared" si="8"/>
        <v>0</v>
      </c>
      <c r="R119" s="153"/>
      <c r="S119" s="153"/>
      <c r="T119" s="153"/>
      <c r="U119" s="153"/>
      <c r="V119" s="153"/>
      <c r="W119" s="153"/>
      <c r="X119" s="153"/>
      <c r="Y119" s="153"/>
      <c r="AA119" s="146" t="str">
        <f t="shared" si="11"/>
        <v/>
      </c>
      <c r="AB119" s="146" t="str">
        <f t="shared" si="9"/>
        <v/>
      </c>
    </row>
    <row r="120" spans="2:28">
      <c r="B120" s="146"/>
      <c r="C120" s="146"/>
      <c r="D120" s="146" t="str">
        <f t="shared" si="7"/>
        <v/>
      </c>
      <c r="H120" s="153"/>
      <c r="I120" s="153"/>
      <c r="J120" s="153"/>
      <c r="K120" s="153"/>
      <c r="L120" s="153"/>
      <c r="M120" s="153"/>
      <c r="O120" s="153">
        <f t="shared" si="10"/>
        <v>0</v>
      </c>
      <c r="P120" s="149">
        <f t="shared" si="8"/>
        <v>0</v>
      </c>
      <c r="R120" s="153"/>
      <c r="S120" s="153"/>
      <c r="T120" s="153"/>
      <c r="U120" s="153"/>
      <c r="V120" s="153"/>
      <c r="W120" s="153"/>
      <c r="X120" s="153"/>
      <c r="Y120" s="153"/>
      <c r="AA120" s="146" t="str">
        <f t="shared" si="11"/>
        <v/>
      </c>
      <c r="AB120" s="146" t="str">
        <f t="shared" si="9"/>
        <v/>
      </c>
    </row>
    <row r="121" spans="2:28">
      <c r="B121" s="146"/>
      <c r="C121" s="146"/>
      <c r="D121" s="146" t="str">
        <f t="shared" si="7"/>
        <v/>
      </c>
      <c r="H121" s="153"/>
      <c r="I121" s="153"/>
      <c r="J121" s="153"/>
      <c r="K121" s="153"/>
      <c r="L121" s="153"/>
      <c r="M121" s="153"/>
      <c r="O121" s="153">
        <f t="shared" si="10"/>
        <v>0</v>
      </c>
      <c r="P121" s="149">
        <f t="shared" si="8"/>
        <v>0</v>
      </c>
      <c r="R121" s="153"/>
      <c r="S121" s="153"/>
      <c r="T121" s="153"/>
      <c r="U121" s="153"/>
      <c r="V121" s="153"/>
      <c r="W121" s="153"/>
      <c r="X121" s="153"/>
      <c r="Y121" s="153"/>
      <c r="AA121" s="146" t="str">
        <f t="shared" si="11"/>
        <v/>
      </c>
      <c r="AB121" s="146" t="str">
        <f t="shared" si="9"/>
        <v/>
      </c>
    </row>
    <row r="122" spans="2:28">
      <c r="B122" s="146"/>
      <c r="C122" s="146"/>
      <c r="D122" s="146" t="str">
        <f t="shared" si="7"/>
        <v/>
      </c>
      <c r="H122" s="153"/>
      <c r="I122" s="153"/>
      <c r="J122" s="153"/>
      <c r="K122" s="153"/>
      <c r="L122" s="153"/>
      <c r="M122" s="153"/>
      <c r="O122" s="153">
        <f t="shared" si="10"/>
        <v>0</v>
      </c>
      <c r="P122" s="149">
        <f t="shared" si="8"/>
        <v>0</v>
      </c>
      <c r="R122" s="153"/>
      <c r="S122" s="153"/>
      <c r="T122" s="153"/>
      <c r="U122" s="153"/>
      <c r="V122" s="153"/>
      <c r="W122" s="153"/>
      <c r="X122" s="153"/>
      <c r="Y122" s="153"/>
      <c r="AA122" s="146" t="str">
        <f t="shared" si="11"/>
        <v/>
      </c>
      <c r="AB122" s="146" t="str">
        <f t="shared" si="9"/>
        <v/>
      </c>
    </row>
    <row r="123" spans="2:28">
      <c r="B123" s="146"/>
      <c r="C123" s="146"/>
      <c r="D123" s="146" t="str">
        <f t="shared" si="7"/>
        <v/>
      </c>
      <c r="H123" s="153"/>
      <c r="I123" s="153"/>
      <c r="J123" s="153"/>
      <c r="K123" s="153"/>
      <c r="L123" s="153"/>
      <c r="M123" s="153"/>
      <c r="O123" s="153">
        <f t="shared" si="10"/>
        <v>0</v>
      </c>
      <c r="P123" s="149">
        <f t="shared" si="8"/>
        <v>0</v>
      </c>
      <c r="R123" s="153"/>
      <c r="S123" s="153"/>
      <c r="T123" s="153"/>
      <c r="U123" s="153"/>
      <c r="V123" s="153"/>
      <c r="W123" s="153"/>
      <c r="X123" s="153"/>
      <c r="Y123" s="153"/>
      <c r="AA123" s="146" t="str">
        <f t="shared" si="11"/>
        <v/>
      </c>
      <c r="AB123" s="146" t="str">
        <f t="shared" si="9"/>
        <v/>
      </c>
    </row>
    <row r="124" spans="2:28">
      <c r="B124" s="146"/>
      <c r="C124" s="146"/>
      <c r="D124" s="146" t="str">
        <f t="shared" si="7"/>
        <v/>
      </c>
      <c r="H124" s="153"/>
      <c r="I124" s="153"/>
      <c r="J124" s="153"/>
      <c r="K124" s="153"/>
      <c r="L124" s="153"/>
      <c r="M124" s="153"/>
      <c r="O124" s="153">
        <f t="shared" si="10"/>
        <v>0</v>
      </c>
      <c r="P124" s="149">
        <f t="shared" si="8"/>
        <v>0</v>
      </c>
      <c r="R124" s="153"/>
      <c r="S124" s="153"/>
      <c r="T124" s="153"/>
      <c r="U124" s="153"/>
      <c r="V124" s="153"/>
      <c r="W124" s="153"/>
      <c r="X124" s="153"/>
      <c r="Y124" s="153"/>
      <c r="AA124" s="146" t="str">
        <f t="shared" si="11"/>
        <v/>
      </c>
      <c r="AB124" s="146" t="str">
        <f t="shared" si="9"/>
        <v/>
      </c>
    </row>
    <row r="125" spans="2:28">
      <c r="B125" s="146"/>
      <c r="C125" s="146"/>
      <c r="D125" s="146" t="str">
        <f t="shared" si="7"/>
        <v/>
      </c>
      <c r="H125" s="153"/>
      <c r="I125" s="153"/>
      <c r="J125" s="153"/>
      <c r="K125" s="153"/>
      <c r="L125" s="153"/>
      <c r="M125" s="153"/>
      <c r="O125" s="153">
        <f t="shared" si="10"/>
        <v>0</v>
      </c>
      <c r="P125" s="149">
        <f t="shared" si="8"/>
        <v>0</v>
      </c>
      <c r="R125" s="153"/>
      <c r="S125" s="153"/>
      <c r="T125" s="153"/>
      <c r="U125" s="153"/>
      <c r="V125" s="153"/>
      <c r="W125" s="153"/>
      <c r="X125" s="153"/>
      <c r="Y125" s="153"/>
      <c r="AA125" s="146" t="str">
        <f t="shared" si="11"/>
        <v/>
      </c>
      <c r="AB125" s="146" t="str">
        <f t="shared" si="9"/>
        <v/>
      </c>
    </row>
    <row r="126" spans="2:28">
      <c r="B126" s="146"/>
      <c r="C126" s="146"/>
      <c r="D126" s="146" t="str">
        <f t="shared" si="7"/>
        <v/>
      </c>
      <c r="H126" s="153"/>
      <c r="I126" s="153"/>
      <c r="J126" s="153"/>
      <c r="K126" s="153"/>
      <c r="L126" s="153"/>
      <c r="M126" s="153"/>
      <c r="O126" s="153">
        <f t="shared" si="10"/>
        <v>0</v>
      </c>
      <c r="P126" s="149">
        <f t="shared" si="8"/>
        <v>0</v>
      </c>
      <c r="R126" s="153"/>
      <c r="S126" s="153"/>
      <c r="T126" s="153"/>
      <c r="U126" s="153"/>
      <c r="V126" s="153"/>
      <c r="W126" s="153"/>
      <c r="X126" s="153"/>
      <c r="Y126" s="153"/>
      <c r="AA126" s="146" t="str">
        <f t="shared" si="11"/>
        <v/>
      </c>
      <c r="AB126" s="146" t="str">
        <f t="shared" si="9"/>
        <v/>
      </c>
    </row>
    <row r="127" spans="2:28">
      <c r="B127" s="146"/>
      <c r="C127" s="146"/>
      <c r="D127" s="146" t="str">
        <f t="shared" si="7"/>
        <v/>
      </c>
      <c r="H127" s="153"/>
      <c r="I127" s="153"/>
      <c r="J127" s="153"/>
      <c r="K127" s="153"/>
      <c r="L127" s="153"/>
      <c r="M127" s="153"/>
      <c r="O127" s="153">
        <f t="shared" si="10"/>
        <v>0</v>
      </c>
      <c r="P127" s="149">
        <f t="shared" si="8"/>
        <v>0</v>
      </c>
      <c r="R127" s="153"/>
      <c r="S127" s="153"/>
      <c r="T127" s="153"/>
      <c r="U127" s="153"/>
      <c r="V127" s="153"/>
      <c r="W127" s="153"/>
      <c r="X127" s="153"/>
      <c r="Y127" s="153"/>
      <c r="AA127" s="146" t="str">
        <f t="shared" si="11"/>
        <v/>
      </c>
      <c r="AB127" s="146" t="str">
        <f t="shared" si="9"/>
        <v/>
      </c>
    </row>
    <row r="128" spans="2:28">
      <c r="B128" s="146"/>
      <c r="C128" s="146"/>
      <c r="D128" s="146" t="str">
        <f t="shared" si="7"/>
        <v/>
      </c>
      <c r="H128" s="153"/>
      <c r="I128" s="153"/>
      <c r="J128" s="153"/>
      <c r="K128" s="153"/>
      <c r="L128" s="153"/>
      <c r="M128" s="153"/>
      <c r="O128" s="153">
        <f t="shared" si="10"/>
        <v>0</v>
      </c>
      <c r="P128" s="149">
        <f t="shared" si="8"/>
        <v>0</v>
      </c>
      <c r="R128" s="153"/>
      <c r="S128" s="153"/>
      <c r="T128" s="153"/>
      <c r="U128" s="153"/>
      <c r="V128" s="153"/>
      <c r="W128" s="153"/>
      <c r="X128" s="153"/>
      <c r="Y128" s="153"/>
      <c r="AA128" s="146" t="str">
        <f t="shared" si="11"/>
        <v/>
      </c>
      <c r="AB128" s="146" t="str">
        <f t="shared" si="9"/>
        <v/>
      </c>
    </row>
    <row r="129" spans="2:28">
      <c r="B129" s="146"/>
      <c r="C129" s="146"/>
      <c r="D129" s="146" t="str">
        <f t="shared" si="7"/>
        <v/>
      </c>
      <c r="H129" s="153"/>
      <c r="I129" s="153"/>
      <c r="J129" s="153"/>
      <c r="K129" s="153"/>
      <c r="L129" s="153"/>
      <c r="M129" s="153"/>
      <c r="O129" s="153">
        <f t="shared" si="10"/>
        <v>0</v>
      </c>
      <c r="P129" s="149">
        <f t="shared" si="8"/>
        <v>0</v>
      </c>
      <c r="R129" s="153"/>
      <c r="S129" s="153"/>
      <c r="T129" s="153"/>
      <c r="U129" s="153"/>
      <c r="V129" s="153"/>
      <c r="W129" s="153"/>
      <c r="X129" s="153"/>
      <c r="Y129" s="153"/>
      <c r="AA129" s="146" t="str">
        <f t="shared" si="11"/>
        <v/>
      </c>
      <c r="AB129" s="146" t="str">
        <f t="shared" si="9"/>
        <v/>
      </c>
    </row>
    <row r="130" spans="2:28">
      <c r="B130" s="146"/>
      <c r="C130" s="146"/>
      <c r="D130" s="146" t="str">
        <f t="shared" si="7"/>
        <v/>
      </c>
      <c r="H130" s="153"/>
      <c r="I130" s="153"/>
      <c r="J130" s="153"/>
      <c r="K130" s="153"/>
      <c r="L130" s="153"/>
      <c r="M130" s="153"/>
      <c r="O130" s="153">
        <f t="shared" si="10"/>
        <v>0</v>
      </c>
      <c r="P130" s="149">
        <f t="shared" si="8"/>
        <v>0</v>
      </c>
      <c r="R130" s="153"/>
      <c r="S130" s="153"/>
      <c r="T130" s="153"/>
      <c r="U130" s="153"/>
      <c r="V130" s="153"/>
      <c r="W130" s="153"/>
      <c r="X130" s="153"/>
      <c r="Y130" s="153"/>
      <c r="AA130" s="146" t="str">
        <f t="shared" si="11"/>
        <v/>
      </c>
      <c r="AB130" s="146" t="str">
        <f t="shared" si="9"/>
        <v/>
      </c>
    </row>
    <row r="131" spans="2:28">
      <c r="B131" s="146"/>
      <c r="C131" s="146"/>
      <c r="D131" s="146" t="str">
        <f t="shared" si="7"/>
        <v/>
      </c>
      <c r="H131" s="153"/>
      <c r="I131" s="153"/>
      <c r="J131" s="153"/>
      <c r="K131" s="153"/>
      <c r="L131" s="153"/>
      <c r="M131" s="153"/>
      <c r="O131" s="153">
        <f t="shared" si="10"/>
        <v>0</v>
      </c>
      <c r="P131" s="149">
        <f t="shared" si="8"/>
        <v>0</v>
      </c>
      <c r="R131" s="153"/>
      <c r="S131" s="153"/>
      <c r="T131" s="153"/>
      <c r="U131" s="153"/>
      <c r="V131" s="153"/>
      <c r="W131" s="153"/>
      <c r="X131" s="153"/>
      <c r="Y131" s="153"/>
      <c r="AA131" s="146" t="str">
        <f t="shared" si="11"/>
        <v/>
      </c>
      <c r="AB131" s="146" t="str">
        <f t="shared" si="9"/>
        <v/>
      </c>
    </row>
    <row r="132" spans="2:28">
      <c r="B132" s="146"/>
      <c r="C132" s="146"/>
      <c r="D132" s="146" t="str">
        <f t="shared" si="7"/>
        <v/>
      </c>
      <c r="H132" s="153"/>
      <c r="I132" s="153"/>
      <c r="J132" s="153"/>
      <c r="K132" s="153"/>
      <c r="L132" s="153"/>
      <c r="M132" s="153"/>
      <c r="O132" s="153">
        <f t="shared" si="10"/>
        <v>0</v>
      </c>
      <c r="P132" s="149">
        <f t="shared" si="8"/>
        <v>0</v>
      </c>
      <c r="R132" s="153"/>
      <c r="S132" s="153"/>
      <c r="T132" s="153"/>
      <c r="U132" s="153"/>
      <c r="V132" s="153"/>
      <c r="W132" s="153"/>
      <c r="X132" s="153"/>
      <c r="Y132" s="153"/>
      <c r="AA132" s="146" t="str">
        <f t="shared" si="11"/>
        <v/>
      </c>
      <c r="AB132" s="146" t="str">
        <f t="shared" si="9"/>
        <v/>
      </c>
    </row>
    <row r="133" spans="2:28">
      <c r="B133" s="146"/>
      <c r="C133" s="146"/>
      <c r="D133" s="146" t="str">
        <f t="shared" si="7"/>
        <v/>
      </c>
      <c r="H133" s="153"/>
      <c r="I133" s="153"/>
      <c r="J133" s="153"/>
      <c r="K133" s="153"/>
      <c r="L133" s="153"/>
      <c r="M133" s="153"/>
      <c r="O133" s="153">
        <f t="shared" si="10"/>
        <v>0</v>
      </c>
      <c r="P133" s="149">
        <f t="shared" si="8"/>
        <v>0</v>
      </c>
      <c r="R133" s="153"/>
      <c r="S133" s="153"/>
      <c r="T133" s="153"/>
      <c r="U133" s="153"/>
      <c r="V133" s="153"/>
      <c r="W133" s="153"/>
      <c r="X133" s="153"/>
      <c r="Y133" s="153"/>
      <c r="AA133" s="146" t="str">
        <f t="shared" si="11"/>
        <v/>
      </c>
      <c r="AB133" s="146" t="str">
        <f t="shared" si="9"/>
        <v/>
      </c>
    </row>
    <row r="134" spans="2:28">
      <c r="B134" s="146"/>
      <c r="C134" s="146"/>
      <c r="D134" s="146" t="str">
        <f t="shared" si="7"/>
        <v/>
      </c>
      <c r="H134" s="153"/>
      <c r="I134" s="153"/>
      <c r="J134" s="153"/>
      <c r="K134" s="153"/>
      <c r="L134" s="153"/>
      <c r="M134" s="153"/>
      <c r="O134" s="153">
        <f t="shared" si="10"/>
        <v>0</v>
      </c>
      <c r="P134" s="149">
        <f t="shared" si="8"/>
        <v>0</v>
      </c>
      <c r="R134" s="153"/>
      <c r="S134" s="153"/>
      <c r="T134" s="153"/>
      <c r="U134" s="153"/>
      <c r="V134" s="153"/>
      <c r="W134" s="153"/>
      <c r="X134" s="153"/>
      <c r="Y134" s="153"/>
      <c r="AA134" s="146" t="str">
        <f t="shared" si="11"/>
        <v/>
      </c>
      <c r="AB134" s="146" t="str">
        <f t="shared" si="9"/>
        <v/>
      </c>
    </row>
    <row r="135" spans="2:28">
      <c r="B135" s="146"/>
      <c r="C135" s="146"/>
      <c r="D135" s="146" t="str">
        <f t="shared" si="7"/>
        <v/>
      </c>
      <c r="H135" s="153"/>
      <c r="I135" s="153"/>
      <c r="J135" s="153"/>
      <c r="K135" s="153"/>
      <c r="L135" s="153"/>
      <c r="M135" s="153"/>
      <c r="O135" s="153">
        <f t="shared" si="10"/>
        <v>0</v>
      </c>
      <c r="P135" s="149">
        <f t="shared" si="8"/>
        <v>0</v>
      </c>
      <c r="R135" s="153"/>
      <c r="S135" s="153"/>
      <c r="T135" s="153"/>
      <c r="U135" s="153"/>
      <c r="V135" s="153"/>
      <c r="W135" s="153"/>
      <c r="X135" s="153"/>
      <c r="Y135" s="153"/>
      <c r="AA135" s="146" t="str">
        <f t="shared" si="11"/>
        <v/>
      </c>
      <c r="AB135" s="146" t="str">
        <f t="shared" si="9"/>
        <v/>
      </c>
    </row>
    <row r="136" spans="2:28">
      <c r="B136" s="146"/>
      <c r="C136" s="146"/>
      <c r="D136" s="146" t="str">
        <f t="shared" si="7"/>
        <v/>
      </c>
      <c r="H136" s="153"/>
      <c r="I136" s="153"/>
      <c r="J136" s="153"/>
      <c r="K136" s="153"/>
      <c r="L136" s="153"/>
      <c r="M136" s="153"/>
      <c r="O136" s="153">
        <f t="shared" si="10"/>
        <v>0</v>
      </c>
      <c r="P136" s="149">
        <f t="shared" si="8"/>
        <v>0</v>
      </c>
      <c r="R136" s="153"/>
      <c r="S136" s="153"/>
      <c r="T136" s="153"/>
      <c r="U136" s="153"/>
      <c r="V136" s="153"/>
      <c r="W136" s="153"/>
      <c r="X136" s="153"/>
      <c r="Y136" s="153"/>
      <c r="AA136" s="146" t="str">
        <f t="shared" si="11"/>
        <v/>
      </c>
      <c r="AB136" s="146" t="str">
        <f t="shared" si="9"/>
        <v/>
      </c>
    </row>
    <row r="137" spans="2:28">
      <c r="B137" s="146"/>
      <c r="C137" s="146"/>
      <c r="D137" s="146" t="str">
        <f t="shared" ref="D137:D200" si="12">IF(C137="","",IF(B137="",C137,B137&amp;":"&amp;C137))</f>
        <v/>
      </c>
      <c r="H137" s="153"/>
      <c r="I137" s="153"/>
      <c r="J137" s="153"/>
      <c r="K137" s="153"/>
      <c r="L137" s="153"/>
      <c r="M137" s="153"/>
      <c r="O137" s="153">
        <f t="shared" si="10"/>
        <v>0</v>
      </c>
      <c r="P137" s="149">
        <f t="shared" ref="P137:P200" si="13">HLOOKUP($P$7,$I$7:$M$200,ROW()-6,FALSE)</f>
        <v>0</v>
      </c>
      <c r="R137" s="153"/>
      <c r="S137" s="153"/>
      <c r="T137" s="153"/>
      <c r="U137" s="153"/>
      <c r="V137" s="153"/>
      <c r="W137" s="153"/>
      <c r="X137" s="153"/>
      <c r="Y137" s="153"/>
      <c r="AA137" s="146" t="str">
        <f t="shared" si="11"/>
        <v/>
      </c>
      <c r="AB137" s="146" t="str">
        <f t="shared" ref="AB137:AB200" si="14">IF(HLOOKUP($AB$7,$U$7:$Y$200,ROW()-6,FALSE)="","",HLOOKUP($AB$7,$U$7:$Y$200,ROW()-6,FALSE))</f>
        <v/>
      </c>
    </row>
    <row r="138" spans="2:28">
      <c r="B138" s="146"/>
      <c r="C138" s="146"/>
      <c r="D138" s="146" t="str">
        <f t="shared" si="12"/>
        <v/>
      </c>
      <c r="H138" s="153"/>
      <c r="I138" s="153"/>
      <c r="J138" s="153"/>
      <c r="K138" s="153"/>
      <c r="L138" s="153"/>
      <c r="M138" s="153"/>
      <c r="O138" s="153">
        <f t="shared" si="10"/>
        <v>0</v>
      </c>
      <c r="P138" s="149">
        <f t="shared" si="13"/>
        <v>0</v>
      </c>
      <c r="R138" s="153"/>
      <c r="S138" s="153"/>
      <c r="T138" s="153"/>
      <c r="U138" s="153"/>
      <c r="V138" s="153"/>
      <c r="W138" s="153"/>
      <c r="X138" s="153"/>
      <c r="Y138" s="153"/>
      <c r="AA138" s="146" t="str">
        <f t="shared" si="11"/>
        <v/>
      </c>
      <c r="AB138" s="146" t="str">
        <f t="shared" si="14"/>
        <v/>
      </c>
    </row>
    <row r="139" spans="2:28">
      <c r="B139" s="146"/>
      <c r="C139" s="146"/>
      <c r="D139" s="146" t="str">
        <f t="shared" si="12"/>
        <v/>
      </c>
      <c r="H139" s="153"/>
      <c r="I139" s="153"/>
      <c r="J139" s="153"/>
      <c r="K139" s="153"/>
      <c r="L139" s="153"/>
      <c r="M139" s="153"/>
      <c r="O139" s="153">
        <f t="shared" si="10"/>
        <v>0</v>
      </c>
      <c r="P139" s="149">
        <f t="shared" si="13"/>
        <v>0</v>
      </c>
      <c r="R139" s="153"/>
      <c r="S139" s="153"/>
      <c r="T139" s="153"/>
      <c r="U139" s="153"/>
      <c r="V139" s="153"/>
      <c r="W139" s="153"/>
      <c r="X139" s="153"/>
      <c r="Y139" s="153"/>
      <c r="AA139" s="146" t="str">
        <f t="shared" si="11"/>
        <v/>
      </c>
      <c r="AB139" s="146" t="str">
        <f t="shared" si="14"/>
        <v/>
      </c>
    </row>
    <row r="140" spans="2:28">
      <c r="B140" s="146"/>
      <c r="C140" s="146"/>
      <c r="D140" s="146" t="str">
        <f t="shared" si="12"/>
        <v/>
      </c>
      <c r="H140" s="153"/>
      <c r="I140" s="153"/>
      <c r="J140" s="153"/>
      <c r="K140" s="153"/>
      <c r="L140" s="153"/>
      <c r="M140" s="153"/>
      <c r="O140" s="153">
        <f t="shared" si="10"/>
        <v>0</v>
      </c>
      <c r="P140" s="149">
        <f t="shared" si="13"/>
        <v>0</v>
      </c>
      <c r="R140" s="153"/>
      <c r="S140" s="153"/>
      <c r="T140" s="153"/>
      <c r="U140" s="153"/>
      <c r="V140" s="153"/>
      <c r="W140" s="153"/>
      <c r="X140" s="153"/>
      <c r="Y140" s="153"/>
      <c r="AA140" s="146" t="str">
        <f t="shared" si="11"/>
        <v/>
      </c>
      <c r="AB140" s="146" t="str">
        <f t="shared" si="14"/>
        <v/>
      </c>
    </row>
    <row r="141" spans="2:28">
      <c r="B141" s="146"/>
      <c r="C141" s="146"/>
      <c r="D141" s="146" t="str">
        <f t="shared" si="12"/>
        <v/>
      </c>
      <c r="H141" s="153"/>
      <c r="I141" s="153"/>
      <c r="J141" s="153"/>
      <c r="K141" s="153"/>
      <c r="L141" s="153"/>
      <c r="M141" s="153"/>
      <c r="O141" s="153">
        <f t="shared" si="10"/>
        <v>0</v>
      </c>
      <c r="P141" s="149">
        <f t="shared" si="13"/>
        <v>0</v>
      </c>
      <c r="R141" s="153"/>
      <c r="S141" s="153"/>
      <c r="T141" s="153"/>
      <c r="U141" s="153"/>
      <c r="V141" s="153"/>
      <c r="W141" s="153"/>
      <c r="X141" s="153"/>
      <c r="Y141" s="153"/>
      <c r="AA141" s="146" t="str">
        <f t="shared" si="11"/>
        <v/>
      </c>
      <c r="AB141" s="146" t="str">
        <f t="shared" si="14"/>
        <v/>
      </c>
    </row>
    <row r="142" spans="2:28">
      <c r="B142" s="146"/>
      <c r="C142" s="146"/>
      <c r="D142" s="146" t="str">
        <f t="shared" si="12"/>
        <v/>
      </c>
      <c r="H142" s="153"/>
      <c r="I142" s="153"/>
      <c r="J142" s="153"/>
      <c r="K142" s="153"/>
      <c r="L142" s="153"/>
      <c r="M142" s="153"/>
      <c r="O142" s="153">
        <f t="shared" si="10"/>
        <v>0</v>
      </c>
      <c r="P142" s="149">
        <f t="shared" si="13"/>
        <v>0</v>
      </c>
      <c r="R142" s="153"/>
      <c r="S142" s="153"/>
      <c r="T142" s="153"/>
      <c r="U142" s="153"/>
      <c r="V142" s="153"/>
      <c r="W142" s="153"/>
      <c r="X142" s="153"/>
      <c r="Y142" s="153"/>
      <c r="AA142" s="146" t="str">
        <f t="shared" si="11"/>
        <v/>
      </c>
      <c r="AB142" s="146" t="str">
        <f t="shared" si="14"/>
        <v/>
      </c>
    </row>
    <row r="143" spans="2:28">
      <c r="B143" s="146"/>
      <c r="C143" s="146"/>
      <c r="D143" s="146" t="str">
        <f t="shared" si="12"/>
        <v/>
      </c>
      <c r="H143" s="153"/>
      <c r="I143" s="153"/>
      <c r="J143" s="153"/>
      <c r="K143" s="153"/>
      <c r="L143" s="153"/>
      <c r="M143" s="153"/>
      <c r="O143" s="153">
        <f t="shared" si="10"/>
        <v>0</v>
      </c>
      <c r="P143" s="149">
        <f t="shared" si="13"/>
        <v>0</v>
      </c>
      <c r="R143" s="153"/>
      <c r="S143" s="153"/>
      <c r="T143" s="153"/>
      <c r="U143" s="153"/>
      <c r="V143" s="153"/>
      <c r="W143" s="153"/>
      <c r="X143" s="153"/>
      <c r="Y143" s="153"/>
      <c r="AA143" s="146" t="str">
        <f t="shared" si="11"/>
        <v/>
      </c>
      <c r="AB143" s="146" t="str">
        <f t="shared" si="14"/>
        <v/>
      </c>
    </row>
    <row r="144" spans="2:28">
      <c r="B144" s="146"/>
      <c r="C144" s="146"/>
      <c r="D144" s="146" t="str">
        <f t="shared" si="12"/>
        <v/>
      </c>
      <c r="H144" s="153"/>
      <c r="I144" s="153"/>
      <c r="J144" s="153"/>
      <c r="K144" s="153"/>
      <c r="L144" s="153"/>
      <c r="M144" s="153"/>
      <c r="O144" s="153">
        <f t="shared" si="10"/>
        <v>0</v>
      </c>
      <c r="P144" s="149">
        <f t="shared" si="13"/>
        <v>0</v>
      </c>
      <c r="R144" s="153"/>
      <c r="S144" s="153"/>
      <c r="T144" s="153"/>
      <c r="U144" s="153"/>
      <c r="V144" s="153"/>
      <c r="W144" s="153"/>
      <c r="X144" s="153"/>
      <c r="Y144" s="153"/>
      <c r="AA144" s="146" t="str">
        <f t="shared" si="11"/>
        <v/>
      </c>
      <c r="AB144" s="146" t="str">
        <f t="shared" si="14"/>
        <v/>
      </c>
    </row>
    <row r="145" spans="2:28">
      <c r="B145" s="146"/>
      <c r="C145" s="146"/>
      <c r="D145" s="146" t="str">
        <f t="shared" si="12"/>
        <v/>
      </c>
      <c r="H145" s="153"/>
      <c r="I145" s="153"/>
      <c r="J145" s="153"/>
      <c r="K145" s="153"/>
      <c r="L145" s="153"/>
      <c r="M145" s="153"/>
      <c r="O145" s="153">
        <f t="shared" si="10"/>
        <v>0</v>
      </c>
      <c r="P145" s="149">
        <f t="shared" si="13"/>
        <v>0</v>
      </c>
      <c r="R145" s="153"/>
      <c r="S145" s="153"/>
      <c r="T145" s="153"/>
      <c r="U145" s="153"/>
      <c r="V145" s="153"/>
      <c r="W145" s="153"/>
      <c r="X145" s="153"/>
      <c r="Y145" s="153"/>
      <c r="AA145" s="146" t="str">
        <f t="shared" si="11"/>
        <v/>
      </c>
      <c r="AB145" s="146" t="str">
        <f t="shared" si="14"/>
        <v/>
      </c>
    </row>
    <row r="146" spans="2:28">
      <c r="B146" s="146"/>
      <c r="C146" s="146"/>
      <c r="D146" s="146" t="str">
        <f t="shared" si="12"/>
        <v/>
      </c>
      <c r="H146" s="153"/>
      <c r="I146" s="153"/>
      <c r="J146" s="153"/>
      <c r="K146" s="153"/>
      <c r="L146" s="153"/>
      <c r="M146" s="153"/>
      <c r="O146" s="153">
        <f t="shared" si="10"/>
        <v>0</v>
      </c>
      <c r="P146" s="149">
        <f t="shared" si="13"/>
        <v>0</v>
      </c>
      <c r="R146" s="153"/>
      <c r="S146" s="153"/>
      <c r="T146" s="153"/>
      <c r="U146" s="153"/>
      <c r="V146" s="153"/>
      <c r="W146" s="153"/>
      <c r="X146" s="153"/>
      <c r="Y146" s="153"/>
      <c r="AA146" s="146" t="str">
        <f t="shared" si="11"/>
        <v/>
      </c>
      <c r="AB146" s="146" t="str">
        <f t="shared" si="14"/>
        <v/>
      </c>
    </row>
    <row r="147" spans="2:28">
      <c r="B147" s="146"/>
      <c r="C147" s="146"/>
      <c r="D147" s="146" t="str">
        <f t="shared" si="12"/>
        <v/>
      </c>
      <c r="H147" s="153"/>
      <c r="I147" s="153"/>
      <c r="J147" s="153"/>
      <c r="K147" s="153"/>
      <c r="L147" s="153"/>
      <c r="M147" s="153"/>
      <c r="O147" s="153">
        <f t="shared" si="10"/>
        <v>0</v>
      </c>
      <c r="P147" s="149">
        <f t="shared" si="13"/>
        <v>0</v>
      </c>
      <c r="R147" s="153"/>
      <c r="S147" s="153"/>
      <c r="T147" s="153"/>
      <c r="U147" s="153"/>
      <c r="V147" s="153"/>
      <c r="W147" s="153"/>
      <c r="X147" s="153"/>
      <c r="Y147" s="153"/>
      <c r="AA147" s="146" t="str">
        <f t="shared" si="11"/>
        <v/>
      </c>
      <c r="AB147" s="146" t="str">
        <f t="shared" si="14"/>
        <v/>
      </c>
    </row>
    <row r="148" spans="2:28">
      <c r="B148" s="146"/>
      <c r="C148" s="146"/>
      <c r="D148" s="146" t="str">
        <f t="shared" si="12"/>
        <v/>
      </c>
      <c r="H148" s="153"/>
      <c r="I148" s="153"/>
      <c r="J148" s="153"/>
      <c r="K148" s="153"/>
      <c r="L148" s="153"/>
      <c r="M148" s="153"/>
      <c r="O148" s="153">
        <f t="shared" si="10"/>
        <v>0</v>
      </c>
      <c r="P148" s="149">
        <f t="shared" si="13"/>
        <v>0</v>
      </c>
      <c r="R148" s="153"/>
      <c r="S148" s="153"/>
      <c r="T148" s="153"/>
      <c r="U148" s="153"/>
      <c r="V148" s="153"/>
      <c r="W148" s="153"/>
      <c r="X148" s="153"/>
      <c r="Y148" s="153"/>
      <c r="AA148" s="146" t="str">
        <f t="shared" si="11"/>
        <v/>
      </c>
      <c r="AB148" s="146" t="str">
        <f t="shared" si="14"/>
        <v/>
      </c>
    </row>
    <row r="149" spans="2:28">
      <c r="B149" s="146"/>
      <c r="C149" s="146"/>
      <c r="D149" s="146" t="str">
        <f t="shared" si="12"/>
        <v/>
      </c>
      <c r="H149" s="153"/>
      <c r="I149" s="153"/>
      <c r="J149" s="153"/>
      <c r="K149" s="153"/>
      <c r="L149" s="153"/>
      <c r="M149" s="153"/>
      <c r="O149" s="153">
        <f t="shared" si="10"/>
        <v>0</v>
      </c>
      <c r="P149" s="149">
        <f t="shared" si="13"/>
        <v>0</v>
      </c>
      <c r="R149" s="153"/>
      <c r="S149" s="153"/>
      <c r="T149" s="153"/>
      <c r="U149" s="153"/>
      <c r="V149" s="153"/>
      <c r="W149" s="153"/>
      <c r="X149" s="153"/>
      <c r="Y149" s="153"/>
      <c r="AA149" s="146" t="str">
        <f t="shared" si="11"/>
        <v/>
      </c>
      <c r="AB149" s="146" t="str">
        <f t="shared" si="14"/>
        <v/>
      </c>
    </row>
    <row r="150" spans="2:28">
      <c r="B150" s="146"/>
      <c r="C150" s="146"/>
      <c r="D150" s="146" t="str">
        <f t="shared" si="12"/>
        <v/>
      </c>
      <c r="H150" s="153"/>
      <c r="I150" s="153"/>
      <c r="J150" s="153"/>
      <c r="K150" s="153"/>
      <c r="L150" s="153"/>
      <c r="M150" s="153"/>
      <c r="O150" s="153">
        <f t="shared" si="10"/>
        <v>0</v>
      </c>
      <c r="P150" s="149">
        <f t="shared" si="13"/>
        <v>0</v>
      </c>
      <c r="R150" s="153"/>
      <c r="S150" s="153"/>
      <c r="T150" s="153"/>
      <c r="U150" s="153"/>
      <c r="V150" s="153"/>
      <c r="W150" s="153"/>
      <c r="X150" s="153"/>
      <c r="Y150" s="153"/>
      <c r="AA150" s="146" t="str">
        <f t="shared" si="11"/>
        <v/>
      </c>
      <c r="AB150" s="146" t="str">
        <f t="shared" si="14"/>
        <v/>
      </c>
    </row>
    <row r="151" spans="2:28">
      <c r="B151" s="146"/>
      <c r="C151" s="146"/>
      <c r="D151" s="146" t="str">
        <f t="shared" si="12"/>
        <v/>
      </c>
      <c r="H151" s="153"/>
      <c r="I151" s="153"/>
      <c r="J151" s="153"/>
      <c r="K151" s="153"/>
      <c r="L151" s="153"/>
      <c r="M151" s="153"/>
      <c r="O151" s="153">
        <f t="shared" si="10"/>
        <v>0</v>
      </c>
      <c r="P151" s="149">
        <f t="shared" si="13"/>
        <v>0</v>
      </c>
      <c r="R151" s="153"/>
      <c r="S151" s="153"/>
      <c r="T151" s="153"/>
      <c r="U151" s="153"/>
      <c r="V151" s="153"/>
      <c r="W151" s="153"/>
      <c r="X151" s="153"/>
      <c r="Y151" s="153"/>
      <c r="AA151" s="146" t="str">
        <f t="shared" si="11"/>
        <v/>
      </c>
      <c r="AB151" s="146" t="str">
        <f t="shared" si="14"/>
        <v/>
      </c>
    </row>
    <row r="152" spans="2:28">
      <c r="B152" s="146"/>
      <c r="C152" s="146"/>
      <c r="D152" s="146" t="str">
        <f t="shared" si="12"/>
        <v/>
      </c>
      <c r="H152" s="153"/>
      <c r="I152" s="153"/>
      <c r="J152" s="153"/>
      <c r="K152" s="153"/>
      <c r="L152" s="153"/>
      <c r="M152" s="153"/>
      <c r="O152" s="153">
        <f t="shared" si="10"/>
        <v>0</v>
      </c>
      <c r="P152" s="149">
        <f t="shared" si="13"/>
        <v>0</v>
      </c>
      <c r="R152" s="153"/>
      <c r="S152" s="153"/>
      <c r="T152" s="153"/>
      <c r="U152" s="153"/>
      <c r="V152" s="153"/>
      <c r="W152" s="153"/>
      <c r="X152" s="153"/>
      <c r="Y152" s="153"/>
      <c r="AA152" s="146" t="str">
        <f t="shared" si="11"/>
        <v/>
      </c>
      <c r="AB152" s="146" t="str">
        <f t="shared" si="14"/>
        <v/>
      </c>
    </row>
    <row r="153" spans="2:28">
      <c r="B153" s="146"/>
      <c r="C153" s="146"/>
      <c r="D153" s="146" t="str">
        <f t="shared" si="12"/>
        <v/>
      </c>
      <c r="H153" s="153"/>
      <c r="I153" s="153"/>
      <c r="J153" s="153"/>
      <c r="K153" s="153"/>
      <c r="L153" s="153"/>
      <c r="M153" s="153"/>
      <c r="O153" s="153">
        <f t="shared" si="10"/>
        <v>0</v>
      </c>
      <c r="P153" s="149">
        <f t="shared" si="13"/>
        <v>0</v>
      </c>
      <c r="R153" s="153"/>
      <c r="S153" s="153"/>
      <c r="T153" s="153"/>
      <c r="U153" s="153"/>
      <c r="V153" s="153"/>
      <c r="W153" s="153"/>
      <c r="X153" s="153"/>
      <c r="Y153" s="153"/>
      <c r="AA153" s="146" t="str">
        <f t="shared" si="11"/>
        <v/>
      </c>
      <c r="AB153" s="146" t="str">
        <f t="shared" si="14"/>
        <v/>
      </c>
    </row>
    <row r="154" spans="2:28">
      <c r="B154" s="146"/>
      <c r="C154" s="146"/>
      <c r="D154" s="146" t="str">
        <f t="shared" si="12"/>
        <v/>
      </c>
      <c r="H154" s="153"/>
      <c r="I154" s="153"/>
      <c r="J154" s="153"/>
      <c r="K154" s="153"/>
      <c r="L154" s="153"/>
      <c r="M154" s="153"/>
      <c r="O154" s="153">
        <f t="shared" si="10"/>
        <v>0</v>
      </c>
      <c r="P154" s="149">
        <f t="shared" si="13"/>
        <v>0</v>
      </c>
      <c r="R154" s="153"/>
      <c r="S154" s="153"/>
      <c r="T154" s="153"/>
      <c r="U154" s="153"/>
      <c r="V154" s="153"/>
      <c r="W154" s="153"/>
      <c r="X154" s="153"/>
      <c r="Y154" s="153"/>
      <c r="AA154" s="146" t="str">
        <f t="shared" si="11"/>
        <v/>
      </c>
      <c r="AB154" s="146" t="str">
        <f t="shared" si="14"/>
        <v/>
      </c>
    </row>
    <row r="155" spans="2:28">
      <c r="B155" s="146"/>
      <c r="C155" s="146"/>
      <c r="D155" s="146" t="str">
        <f t="shared" si="12"/>
        <v/>
      </c>
      <c r="H155" s="153"/>
      <c r="I155" s="153"/>
      <c r="J155" s="153"/>
      <c r="K155" s="153"/>
      <c r="L155" s="153"/>
      <c r="M155" s="153"/>
      <c r="O155" s="153">
        <f t="shared" si="10"/>
        <v>0</v>
      </c>
      <c r="P155" s="149">
        <f t="shared" si="13"/>
        <v>0</v>
      </c>
      <c r="R155" s="153"/>
      <c r="S155" s="153"/>
      <c r="T155" s="153"/>
      <c r="U155" s="153"/>
      <c r="V155" s="153"/>
      <c r="W155" s="153"/>
      <c r="X155" s="153"/>
      <c r="Y155" s="153"/>
      <c r="AA155" s="146" t="str">
        <f t="shared" si="11"/>
        <v/>
      </c>
      <c r="AB155" s="146" t="str">
        <f t="shared" si="14"/>
        <v/>
      </c>
    </row>
    <row r="156" spans="2:28">
      <c r="B156" s="146"/>
      <c r="C156" s="146"/>
      <c r="D156" s="146" t="str">
        <f t="shared" si="12"/>
        <v/>
      </c>
      <c r="H156" s="153"/>
      <c r="I156" s="153"/>
      <c r="J156" s="153"/>
      <c r="K156" s="153"/>
      <c r="L156" s="153"/>
      <c r="M156" s="153"/>
      <c r="O156" s="153">
        <f t="shared" si="10"/>
        <v>0</v>
      </c>
      <c r="P156" s="149">
        <f t="shared" si="13"/>
        <v>0</v>
      </c>
      <c r="R156" s="153"/>
      <c r="S156" s="153"/>
      <c r="T156" s="153"/>
      <c r="U156" s="153"/>
      <c r="V156" s="153"/>
      <c r="W156" s="153"/>
      <c r="X156" s="153"/>
      <c r="Y156" s="153"/>
      <c r="AA156" s="146" t="str">
        <f t="shared" si="11"/>
        <v/>
      </c>
      <c r="AB156" s="146" t="str">
        <f t="shared" si="14"/>
        <v/>
      </c>
    </row>
    <row r="157" spans="2:28">
      <c r="B157" s="146"/>
      <c r="C157" s="146"/>
      <c r="D157" s="146" t="str">
        <f t="shared" si="12"/>
        <v/>
      </c>
      <c r="H157" s="153"/>
      <c r="I157" s="153"/>
      <c r="J157" s="153"/>
      <c r="K157" s="153"/>
      <c r="L157" s="153"/>
      <c r="M157" s="153"/>
      <c r="O157" s="153">
        <f t="shared" ref="O157:O200" si="15">IF(B157="",C157,B157&amp;":"&amp;C157)</f>
        <v>0</v>
      </c>
      <c r="P157" s="149">
        <f t="shared" si="13"/>
        <v>0</v>
      </c>
      <c r="R157" s="153"/>
      <c r="S157" s="153"/>
      <c r="T157" s="153"/>
      <c r="U157" s="153"/>
      <c r="V157" s="153"/>
      <c r="W157" s="153"/>
      <c r="X157" s="153"/>
      <c r="Y157" s="153"/>
      <c r="AA157" s="146" t="str">
        <f t="shared" si="11"/>
        <v/>
      </c>
      <c r="AB157" s="146" t="str">
        <f t="shared" si="14"/>
        <v/>
      </c>
    </row>
    <row r="158" spans="2:28">
      <c r="B158" s="146"/>
      <c r="C158" s="146"/>
      <c r="D158" s="146" t="str">
        <f t="shared" si="12"/>
        <v/>
      </c>
      <c r="H158" s="153"/>
      <c r="I158" s="153"/>
      <c r="J158" s="153"/>
      <c r="K158" s="153"/>
      <c r="L158" s="153"/>
      <c r="M158" s="153"/>
      <c r="O158" s="153">
        <f t="shared" si="15"/>
        <v>0</v>
      </c>
      <c r="P158" s="149">
        <f t="shared" si="13"/>
        <v>0</v>
      </c>
      <c r="R158" s="153"/>
      <c r="S158" s="153"/>
      <c r="T158" s="153"/>
      <c r="U158" s="153"/>
      <c r="V158" s="153"/>
      <c r="W158" s="153"/>
      <c r="X158" s="153"/>
      <c r="Y158" s="153"/>
      <c r="AA158" s="146" t="str">
        <f t="shared" ref="AA158:AA200" si="16">IF(R158="",S158,R158&amp;":"&amp;S158)&amp;T158</f>
        <v/>
      </c>
      <c r="AB158" s="146" t="str">
        <f t="shared" si="14"/>
        <v/>
      </c>
    </row>
    <row r="159" spans="2:28">
      <c r="B159" s="146"/>
      <c r="C159" s="146"/>
      <c r="D159" s="146" t="str">
        <f t="shared" si="12"/>
        <v/>
      </c>
      <c r="H159" s="153"/>
      <c r="I159" s="153"/>
      <c r="J159" s="153"/>
      <c r="K159" s="153"/>
      <c r="L159" s="153"/>
      <c r="M159" s="153"/>
      <c r="O159" s="153">
        <f t="shared" si="15"/>
        <v>0</v>
      </c>
      <c r="P159" s="149">
        <f t="shared" si="13"/>
        <v>0</v>
      </c>
      <c r="R159" s="153"/>
      <c r="S159" s="153"/>
      <c r="T159" s="153"/>
      <c r="U159" s="153"/>
      <c r="V159" s="153"/>
      <c r="W159" s="153"/>
      <c r="X159" s="153"/>
      <c r="Y159" s="153"/>
      <c r="AA159" s="146" t="str">
        <f t="shared" si="16"/>
        <v/>
      </c>
      <c r="AB159" s="146" t="str">
        <f t="shared" si="14"/>
        <v/>
      </c>
    </row>
    <row r="160" spans="2:28">
      <c r="B160" s="146"/>
      <c r="C160" s="146"/>
      <c r="D160" s="146" t="str">
        <f t="shared" si="12"/>
        <v/>
      </c>
      <c r="H160" s="153"/>
      <c r="I160" s="153"/>
      <c r="J160" s="153"/>
      <c r="K160" s="153"/>
      <c r="L160" s="153"/>
      <c r="M160" s="153"/>
      <c r="O160" s="153">
        <f t="shared" si="15"/>
        <v>0</v>
      </c>
      <c r="P160" s="149">
        <f t="shared" si="13"/>
        <v>0</v>
      </c>
      <c r="R160" s="153"/>
      <c r="S160" s="153"/>
      <c r="T160" s="153"/>
      <c r="U160" s="153"/>
      <c r="V160" s="153"/>
      <c r="W160" s="153"/>
      <c r="X160" s="153"/>
      <c r="Y160" s="153"/>
      <c r="AA160" s="146" t="str">
        <f t="shared" si="16"/>
        <v/>
      </c>
      <c r="AB160" s="146" t="str">
        <f t="shared" si="14"/>
        <v/>
      </c>
    </row>
    <row r="161" spans="2:28">
      <c r="B161" s="146"/>
      <c r="C161" s="146"/>
      <c r="D161" s="146" t="str">
        <f t="shared" si="12"/>
        <v/>
      </c>
      <c r="H161" s="153"/>
      <c r="I161" s="153"/>
      <c r="J161" s="153"/>
      <c r="K161" s="153"/>
      <c r="L161" s="153"/>
      <c r="M161" s="153"/>
      <c r="O161" s="153">
        <f t="shared" si="15"/>
        <v>0</v>
      </c>
      <c r="P161" s="149">
        <f t="shared" si="13"/>
        <v>0</v>
      </c>
      <c r="R161" s="153"/>
      <c r="S161" s="153"/>
      <c r="T161" s="153"/>
      <c r="U161" s="153"/>
      <c r="V161" s="153"/>
      <c r="W161" s="153"/>
      <c r="X161" s="153"/>
      <c r="Y161" s="153"/>
      <c r="AA161" s="146" t="str">
        <f t="shared" si="16"/>
        <v/>
      </c>
      <c r="AB161" s="146" t="str">
        <f t="shared" si="14"/>
        <v/>
      </c>
    </row>
    <row r="162" spans="2:28">
      <c r="B162" s="146"/>
      <c r="C162" s="146"/>
      <c r="D162" s="146" t="str">
        <f t="shared" si="12"/>
        <v/>
      </c>
      <c r="H162" s="153"/>
      <c r="I162" s="153"/>
      <c r="J162" s="153"/>
      <c r="K162" s="153"/>
      <c r="L162" s="153"/>
      <c r="M162" s="153"/>
      <c r="O162" s="153">
        <f t="shared" si="15"/>
        <v>0</v>
      </c>
      <c r="P162" s="149">
        <f t="shared" si="13"/>
        <v>0</v>
      </c>
      <c r="R162" s="153"/>
      <c r="S162" s="153"/>
      <c r="T162" s="153"/>
      <c r="U162" s="153"/>
      <c r="V162" s="153"/>
      <c r="W162" s="153"/>
      <c r="X162" s="153"/>
      <c r="Y162" s="153"/>
      <c r="AA162" s="146" t="str">
        <f t="shared" si="16"/>
        <v/>
      </c>
      <c r="AB162" s="146" t="str">
        <f t="shared" si="14"/>
        <v/>
      </c>
    </row>
    <row r="163" spans="2:28">
      <c r="B163" s="146"/>
      <c r="C163" s="146"/>
      <c r="D163" s="146" t="str">
        <f t="shared" si="12"/>
        <v/>
      </c>
      <c r="H163" s="153"/>
      <c r="I163" s="153"/>
      <c r="J163" s="153"/>
      <c r="K163" s="153"/>
      <c r="L163" s="153"/>
      <c r="M163" s="153"/>
      <c r="O163" s="153">
        <f t="shared" si="15"/>
        <v>0</v>
      </c>
      <c r="P163" s="149">
        <f t="shared" si="13"/>
        <v>0</v>
      </c>
      <c r="R163" s="153"/>
      <c r="S163" s="153"/>
      <c r="T163" s="153"/>
      <c r="U163" s="153"/>
      <c r="V163" s="153"/>
      <c r="W163" s="153"/>
      <c r="X163" s="153"/>
      <c r="Y163" s="153"/>
      <c r="AA163" s="146" t="str">
        <f t="shared" si="16"/>
        <v/>
      </c>
      <c r="AB163" s="146" t="str">
        <f t="shared" si="14"/>
        <v/>
      </c>
    </row>
    <row r="164" spans="2:28">
      <c r="B164" s="146"/>
      <c r="C164" s="146"/>
      <c r="D164" s="146" t="str">
        <f t="shared" si="12"/>
        <v/>
      </c>
      <c r="H164" s="153"/>
      <c r="I164" s="153"/>
      <c r="J164" s="153"/>
      <c r="K164" s="153"/>
      <c r="L164" s="153"/>
      <c r="M164" s="153"/>
      <c r="O164" s="153">
        <f t="shared" si="15"/>
        <v>0</v>
      </c>
      <c r="P164" s="149">
        <f t="shared" si="13"/>
        <v>0</v>
      </c>
      <c r="R164" s="153"/>
      <c r="S164" s="153"/>
      <c r="T164" s="153"/>
      <c r="U164" s="153"/>
      <c r="V164" s="153"/>
      <c r="W164" s="153"/>
      <c r="X164" s="153"/>
      <c r="Y164" s="153"/>
      <c r="AA164" s="146" t="str">
        <f t="shared" si="16"/>
        <v/>
      </c>
      <c r="AB164" s="146" t="str">
        <f t="shared" si="14"/>
        <v/>
      </c>
    </row>
    <row r="165" spans="2:28">
      <c r="B165" s="146"/>
      <c r="C165" s="146"/>
      <c r="D165" s="146" t="str">
        <f t="shared" si="12"/>
        <v/>
      </c>
      <c r="H165" s="153"/>
      <c r="I165" s="153"/>
      <c r="J165" s="153"/>
      <c r="K165" s="153"/>
      <c r="L165" s="153"/>
      <c r="M165" s="153"/>
      <c r="O165" s="153">
        <f t="shared" si="15"/>
        <v>0</v>
      </c>
      <c r="P165" s="149">
        <f t="shared" si="13"/>
        <v>0</v>
      </c>
      <c r="R165" s="153"/>
      <c r="S165" s="153"/>
      <c r="T165" s="153"/>
      <c r="U165" s="153"/>
      <c r="V165" s="153"/>
      <c r="W165" s="153"/>
      <c r="X165" s="153"/>
      <c r="Y165" s="153"/>
      <c r="AA165" s="146" t="str">
        <f t="shared" si="16"/>
        <v/>
      </c>
      <c r="AB165" s="146" t="str">
        <f t="shared" si="14"/>
        <v/>
      </c>
    </row>
    <row r="166" spans="2:28">
      <c r="B166" s="146"/>
      <c r="C166" s="146"/>
      <c r="D166" s="146" t="str">
        <f t="shared" si="12"/>
        <v/>
      </c>
      <c r="H166" s="153"/>
      <c r="I166" s="153"/>
      <c r="J166" s="153"/>
      <c r="K166" s="153"/>
      <c r="L166" s="153"/>
      <c r="M166" s="153"/>
      <c r="O166" s="153">
        <f t="shared" si="15"/>
        <v>0</v>
      </c>
      <c r="P166" s="149">
        <f t="shared" si="13"/>
        <v>0</v>
      </c>
      <c r="R166" s="153"/>
      <c r="S166" s="153"/>
      <c r="T166" s="153"/>
      <c r="U166" s="153"/>
      <c r="V166" s="153"/>
      <c r="W166" s="153"/>
      <c r="X166" s="153"/>
      <c r="Y166" s="153"/>
      <c r="AA166" s="146" t="str">
        <f t="shared" si="16"/>
        <v/>
      </c>
      <c r="AB166" s="146" t="str">
        <f t="shared" si="14"/>
        <v/>
      </c>
    </row>
    <row r="167" spans="2:28">
      <c r="B167" s="146"/>
      <c r="C167" s="146"/>
      <c r="D167" s="146" t="str">
        <f t="shared" si="12"/>
        <v/>
      </c>
      <c r="H167" s="153"/>
      <c r="I167" s="153"/>
      <c r="J167" s="153"/>
      <c r="K167" s="153"/>
      <c r="L167" s="153"/>
      <c r="M167" s="153"/>
      <c r="O167" s="153">
        <f t="shared" si="15"/>
        <v>0</v>
      </c>
      <c r="P167" s="149">
        <f t="shared" si="13"/>
        <v>0</v>
      </c>
      <c r="R167" s="153"/>
      <c r="S167" s="153"/>
      <c r="T167" s="153"/>
      <c r="U167" s="153"/>
      <c r="V167" s="153"/>
      <c r="W167" s="153"/>
      <c r="X167" s="153"/>
      <c r="Y167" s="153"/>
      <c r="AA167" s="146" t="str">
        <f t="shared" si="16"/>
        <v/>
      </c>
      <c r="AB167" s="146" t="str">
        <f t="shared" si="14"/>
        <v/>
      </c>
    </row>
    <row r="168" spans="2:28">
      <c r="B168" s="146"/>
      <c r="C168" s="146"/>
      <c r="D168" s="146" t="str">
        <f t="shared" si="12"/>
        <v/>
      </c>
      <c r="H168" s="153"/>
      <c r="I168" s="153"/>
      <c r="J168" s="153"/>
      <c r="K168" s="153"/>
      <c r="L168" s="153"/>
      <c r="M168" s="153"/>
      <c r="O168" s="153">
        <f t="shared" si="15"/>
        <v>0</v>
      </c>
      <c r="P168" s="149">
        <f t="shared" si="13"/>
        <v>0</v>
      </c>
      <c r="R168" s="153"/>
      <c r="S168" s="153"/>
      <c r="T168" s="153"/>
      <c r="U168" s="153"/>
      <c r="V168" s="153"/>
      <c r="W168" s="153"/>
      <c r="X168" s="153"/>
      <c r="Y168" s="153"/>
      <c r="AA168" s="146" t="str">
        <f t="shared" si="16"/>
        <v/>
      </c>
      <c r="AB168" s="146" t="str">
        <f t="shared" si="14"/>
        <v/>
      </c>
    </row>
    <row r="169" spans="2:28">
      <c r="B169" s="146"/>
      <c r="C169" s="146"/>
      <c r="D169" s="146" t="str">
        <f t="shared" si="12"/>
        <v/>
      </c>
      <c r="H169" s="153"/>
      <c r="I169" s="153"/>
      <c r="J169" s="153"/>
      <c r="K169" s="153"/>
      <c r="L169" s="153"/>
      <c r="M169" s="153"/>
      <c r="O169" s="153">
        <f t="shared" si="15"/>
        <v>0</v>
      </c>
      <c r="P169" s="149">
        <f t="shared" si="13"/>
        <v>0</v>
      </c>
      <c r="R169" s="153"/>
      <c r="S169" s="153"/>
      <c r="T169" s="153"/>
      <c r="U169" s="153"/>
      <c r="V169" s="153"/>
      <c r="W169" s="153"/>
      <c r="X169" s="153"/>
      <c r="Y169" s="153"/>
      <c r="AA169" s="146" t="str">
        <f t="shared" si="16"/>
        <v/>
      </c>
      <c r="AB169" s="146" t="str">
        <f t="shared" si="14"/>
        <v/>
      </c>
    </row>
    <row r="170" spans="2:28">
      <c r="B170" s="146"/>
      <c r="C170" s="146"/>
      <c r="D170" s="146" t="str">
        <f t="shared" si="12"/>
        <v/>
      </c>
      <c r="H170" s="153"/>
      <c r="I170" s="153"/>
      <c r="J170" s="153"/>
      <c r="K170" s="153"/>
      <c r="L170" s="153"/>
      <c r="M170" s="153"/>
      <c r="O170" s="153">
        <f t="shared" si="15"/>
        <v>0</v>
      </c>
      <c r="P170" s="149">
        <f t="shared" si="13"/>
        <v>0</v>
      </c>
      <c r="R170" s="153"/>
      <c r="S170" s="153"/>
      <c r="T170" s="153"/>
      <c r="U170" s="153"/>
      <c r="V170" s="153"/>
      <c r="W170" s="153"/>
      <c r="X170" s="153"/>
      <c r="Y170" s="153"/>
      <c r="AA170" s="146" t="str">
        <f t="shared" si="16"/>
        <v/>
      </c>
      <c r="AB170" s="146" t="str">
        <f t="shared" si="14"/>
        <v/>
      </c>
    </row>
    <row r="171" spans="2:28">
      <c r="B171" s="146"/>
      <c r="C171" s="146"/>
      <c r="D171" s="146" t="str">
        <f t="shared" si="12"/>
        <v/>
      </c>
      <c r="H171" s="153"/>
      <c r="I171" s="153"/>
      <c r="J171" s="153"/>
      <c r="K171" s="153"/>
      <c r="L171" s="153"/>
      <c r="M171" s="153"/>
      <c r="O171" s="153">
        <f t="shared" si="15"/>
        <v>0</v>
      </c>
      <c r="P171" s="149">
        <f t="shared" si="13"/>
        <v>0</v>
      </c>
      <c r="R171" s="153"/>
      <c r="S171" s="153"/>
      <c r="T171" s="153"/>
      <c r="U171" s="153"/>
      <c r="V171" s="153"/>
      <c r="W171" s="153"/>
      <c r="X171" s="153"/>
      <c r="Y171" s="153"/>
      <c r="AA171" s="146" t="str">
        <f t="shared" si="16"/>
        <v/>
      </c>
      <c r="AB171" s="146" t="str">
        <f t="shared" si="14"/>
        <v/>
      </c>
    </row>
    <row r="172" spans="2:28">
      <c r="B172" s="146"/>
      <c r="C172" s="146"/>
      <c r="D172" s="146" t="str">
        <f t="shared" si="12"/>
        <v/>
      </c>
      <c r="H172" s="153"/>
      <c r="I172" s="153"/>
      <c r="J172" s="153"/>
      <c r="K172" s="153"/>
      <c r="L172" s="153"/>
      <c r="M172" s="153"/>
      <c r="O172" s="153">
        <f t="shared" si="15"/>
        <v>0</v>
      </c>
      <c r="P172" s="149">
        <f t="shared" si="13"/>
        <v>0</v>
      </c>
      <c r="R172" s="153"/>
      <c r="S172" s="153"/>
      <c r="T172" s="153"/>
      <c r="U172" s="153"/>
      <c r="V172" s="153"/>
      <c r="W172" s="153"/>
      <c r="X172" s="153"/>
      <c r="Y172" s="153"/>
      <c r="AA172" s="146" t="str">
        <f t="shared" si="16"/>
        <v/>
      </c>
      <c r="AB172" s="146" t="str">
        <f t="shared" si="14"/>
        <v/>
      </c>
    </row>
    <row r="173" spans="2:28">
      <c r="B173" s="146"/>
      <c r="C173" s="146"/>
      <c r="D173" s="146" t="str">
        <f t="shared" si="12"/>
        <v/>
      </c>
      <c r="H173" s="153"/>
      <c r="I173" s="153"/>
      <c r="J173" s="153"/>
      <c r="K173" s="153"/>
      <c r="L173" s="153"/>
      <c r="M173" s="153"/>
      <c r="O173" s="153">
        <f t="shared" si="15"/>
        <v>0</v>
      </c>
      <c r="P173" s="149">
        <f t="shared" si="13"/>
        <v>0</v>
      </c>
      <c r="R173" s="153"/>
      <c r="S173" s="153"/>
      <c r="T173" s="153"/>
      <c r="U173" s="153"/>
      <c r="V173" s="153"/>
      <c r="W173" s="153"/>
      <c r="X173" s="153"/>
      <c r="Y173" s="153"/>
      <c r="AA173" s="146" t="str">
        <f t="shared" si="16"/>
        <v/>
      </c>
      <c r="AB173" s="146" t="str">
        <f t="shared" si="14"/>
        <v/>
      </c>
    </row>
    <row r="174" spans="2:28">
      <c r="B174" s="146"/>
      <c r="C174" s="146"/>
      <c r="D174" s="146" t="str">
        <f t="shared" si="12"/>
        <v/>
      </c>
      <c r="H174" s="153"/>
      <c r="I174" s="153"/>
      <c r="J174" s="153"/>
      <c r="K174" s="153"/>
      <c r="L174" s="153"/>
      <c r="M174" s="153"/>
      <c r="O174" s="153">
        <f t="shared" si="15"/>
        <v>0</v>
      </c>
      <c r="P174" s="149">
        <f t="shared" si="13"/>
        <v>0</v>
      </c>
      <c r="R174" s="153"/>
      <c r="S174" s="153"/>
      <c r="T174" s="153"/>
      <c r="U174" s="153"/>
      <c r="V174" s="153"/>
      <c r="W174" s="153"/>
      <c r="X174" s="153"/>
      <c r="Y174" s="153"/>
      <c r="AA174" s="146" t="str">
        <f t="shared" si="16"/>
        <v/>
      </c>
      <c r="AB174" s="146" t="str">
        <f t="shared" si="14"/>
        <v/>
      </c>
    </row>
    <row r="175" spans="2:28">
      <c r="B175" s="146"/>
      <c r="C175" s="146"/>
      <c r="D175" s="146" t="str">
        <f t="shared" si="12"/>
        <v/>
      </c>
      <c r="H175" s="153"/>
      <c r="I175" s="153"/>
      <c r="J175" s="153"/>
      <c r="K175" s="153"/>
      <c r="L175" s="153"/>
      <c r="M175" s="153"/>
      <c r="O175" s="153">
        <f t="shared" si="15"/>
        <v>0</v>
      </c>
      <c r="P175" s="149">
        <f t="shared" si="13"/>
        <v>0</v>
      </c>
      <c r="R175" s="153"/>
      <c r="S175" s="153"/>
      <c r="T175" s="153"/>
      <c r="U175" s="153"/>
      <c r="V175" s="153"/>
      <c r="W175" s="153"/>
      <c r="X175" s="153"/>
      <c r="Y175" s="153"/>
      <c r="AA175" s="146" t="str">
        <f t="shared" si="16"/>
        <v/>
      </c>
      <c r="AB175" s="146" t="str">
        <f t="shared" si="14"/>
        <v/>
      </c>
    </row>
    <row r="176" spans="2:28">
      <c r="B176" s="146"/>
      <c r="C176" s="146"/>
      <c r="D176" s="146" t="str">
        <f t="shared" si="12"/>
        <v/>
      </c>
      <c r="H176" s="153"/>
      <c r="I176" s="153"/>
      <c r="J176" s="153"/>
      <c r="K176" s="153"/>
      <c r="L176" s="153"/>
      <c r="M176" s="153"/>
      <c r="O176" s="153">
        <f t="shared" si="15"/>
        <v>0</v>
      </c>
      <c r="P176" s="149">
        <f t="shared" si="13"/>
        <v>0</v>
      </c>
      <c r="R176" s="153"/>
      <c r="S176" s="153"/>
      <c r="T176" s="153"/>
      <c r="U176" s="153"/>
      <c r="V176" s="153"/>
      <c r="W176" s="153"/>
      <c r="X176" s="153"/>
      <c r="Y176" s="153"/>
      <c r="AA176" s="146" t="str">
        <f t="shared" si="16"/>
        <v/>
      </c>
      <c r="AB176" s="146" t="str">
        <f t="shared" si="14"/>
        <v/>
      </c>
    </row>
    <row r="177" spans="2:28">
      <c r="B177" s="146"/>
      <c r="C177" s="146"/>
      <c r="D177" s="146" t="str">
        <f t="shared" si="12"/>
        <v/>
      </c>
      <c r="H177" s="153"/>
      <c r="I177" s="153"/>
      <c r="J177" s="153"/>
      <c r="K177" s="153"/>
      <c r="L177" s="153"/>
      <c r="M177" s="153"/>
      <c r="O177" s="153">
        <f t="shared" si="15"/>
        <v>0</v>
      </c>
      <c r="P177" s="149">
        <f t="shared" si="13"/>
        <v>0</v>
      </c>
      <c r="R177" s="153"/>
      <c r="S177" s="153"/>
      <c r="T177" s="153"/>
      <c r="U177" s="153"/>
      <c r="V177" s="153"/>
      <c r="W177" s="153"/>
      <c r="X177" s="153"/>
      <c r="Y177" s="153"/>
      <c r="AA177" s="146" t="str">
        <f t="shared" si="16"/>
        <v/>
      </c>
      <c r="AB177" s="146" t="str">
        <f t="shared" si="14"/>
        <v/>
      </c>
    </row>
    <row r="178" spans="2:28">
      <c r="B178" s="146"/>
      <c r="C178" s="146"/>
      <c r="D178" s="146" t="str">
        <f t="shared" si="12"/>
        <v/>
      </c>
      <c r="H178" s="153"/>
      <c r="I178" s="153"/>
      <c r="J178" s="153"/>
      <c r="K178" s="153"/>
      <c r="L178" s="153"/>
      <c r="M178" s="153"/>
      <c r="O178" s="153">
        <f t="shared" si="15"/>
        <v>0</v>
      </c>
      <c r="P178" s="149">
        <f t="shared" si="13"/>
        <v>0</v>
      </c>
      <c r="R178" s="153"/>
      <c r="S178" s="153"/>
      <c r="T178" s="153"/>
      <c r="U178" s="153"/>
      <c r="V178" s="153"/>
      <c r="W178" s="153"/>
      <c r="X178" s="153"/>
      <c r="Y178" s="153"/>
      <c r="AA178" s="146" t="str">
        <f t="shared" si="16"/>
        <v/>
      </c>
      <c r="AB178" s="146" t="str">
        <f t="shared" si="14"/>
        <v/>
      </c>
    </row>
    <row r="179" spans="2:28">
      <c r="B179" s="146"/>
      <c r="C179" s="146"/>
      <c r="D179" s="146" t="str">
        <f t="shared" si="12"/>
        <v/>
      </c>
      <c r="H179" s="153"/>
      <c r="I179" s="153"/>
      <c r="J179" s="153"/>
      <c r="K179" s="153"/>
      <c r="L179" s="153"/>
      <c r="M179" s="153"/>
      <c r="O179" s="153">
        <f t="shared" si="15"/>
        <v>0</v>
      </c>
      <c r="P179" s="149">
        <f t="shared" si="13"/>
        <v>0</v>
      </c>
      <c r="R179" s="153"/>
      <c r="S179" s="153"/>
      <c r="T179" s="153"/>
      <c r="U179" s="153"/>
      <c r="V179" s="153"/>
      <c r="W179" s="153"/>
      <c r="X179" s="153"/>
      <c r="Y179" s="153"/>
      <c r="AA179" s="146" t="str">
        <f t="shared" si="16"/>
        <v/>
      </c>
      <c r="AB179" s="146" t="str">
        <f t="shared" si="14"/>
        <v/>
      </c>
    </row>
    <row r="180" spans="2:28">
      <c r="B180" s="146"/>
      <c r="C180" s="146"/>
      <c r="D180" s="146" t="str">
        <f t="shared" si="12"/>
        <v/>
      </c>
      <c r="H180" s="153"/>
      <c r="I180" s="153"/>
      <c r="J180" s="153"/>
      <c r="K180" s="153"/>
      <c r="L180" s="153"/>
      <c r="M180" s="153"/>
      <c r="O180" s="153">
        <f t="shared" si="15"/>
        <v>0</v>
      </c>
      <c r="P180" s="149">
        <f t="shared" si="13"/>
        <v>0</v>
      </c>
      <c r="R180" s="153"/>
      <c r="S180" s="153"/>
      <c r="T180" s="153"/>
      <c r="U180" s="153"/>
      <c r="V180" s="153"/>
      <c r="W180" s="153"/>
      <c r="X180" s="153"/>
      <c r="Y180" s="153"/>
      <c r="AA180" s="146" t="str">
        <f t="shared" si="16"/>
        <v/>
      </c>
      <c r="AB180" s="146" t="str">
        <f t="shared" si="14"/>
        <v/>
      </c>
    </row>
    <row r="181" spans="2:28">
      <c r="B181" s="146"/>
      <c r="C181" s="146"/>
      <c r="D181" s="146" t="str">
        <f t="shared" si="12"/>
        <v/>
      </c>
      <c r="H181" s="153"/>
      <c r="I181" s="153"/>
      <c r="J181" s="153"/>
      <c r="K181" s="153"/>
      <c r="L181" s="153"/>
      <c r="M181" s="153"/>
      <c r="O181" s="153">
        <f t="shared" si="15"/>
        <v>0</v>
      </c>
      <c r="P181" s="149">
        <f t="shared" si="13"/>
        <v>0</v>
      </c>
      <c r="R181" s="153"/>
      <c r="S181" s="153"/>
      <c r="T181" s="153"/>
      <c r="U181" s="153"/>
      <c r="V181" s="153"/>
      <c r="W181" s="153"/>
      <c r="X181" s="153"/>
      <c r="Y181" s="153"/>
      <c r="AA181" s="146" t="str">
        <f t="shared" si="16"/>
        <v/>
      </c>
      <c r="AB181" s="146" t="str">
        <f t="shared" si="14"/>
        <v/>
      </c>
    </row>
    <row r="182" spans="2:28">
      <c r="B182" s="146"/>
      <c r="C182" s="146"/>
      <c r="D182" s="146" t="str">
        <f t="shared" si="12"/>
        <v/>
      </c>
      <c r="H182" s="153"/>
      <c r="I182" s="153"/>
      <c r="J182" s="153"/>
      <c r="K182" s="153"/>
      <c r="L182" s="153"/>
      <c r="M182" s="153"/>
      <c r="O182" s="153">
        <f t="shared" si="15"/>
        <v>0</v>
      </c>
      <c r="P182" s="149">
        <f t="shared" si="13"/>
        <v>0</v>
      </c>
      <c r="R182" s="153"/>
      <c r="S182" s="153"/>
      <c r="T182" s="153"/>
      <c r="U182" s="153"/>
      <c r="V182" s="153"/>
      <c r="W182" s="153"/>
      <c r="X182" s="153"/>
      <c r="Y182" s="153"/>
      <c r="AA182" s="146" t="str">
        <f t="shared" si="16"/>
        <v/>
      </c>
      <c r="AB182" s="146" t="str">
        <f t="shared" si="14"/>
        <v/>
      </c>
    </row>
    <row r="183" spans="2:28">
      <c r="B183" s="146"/>
      <c r="C183" s="146"/>
      <c r="D183" s="146" t="str">
        <f t="shared" si="12"/>
        <v/>
      </c>
      <c r="H183" s="153"/>
      <c r="I183" s="153"/>
      <c r="J183" s="153"/>
      <c r="K183" s="153"/>
      <c r="L183" s="153"/>
      <c r="M183" s="153"/>
      <c r="O183" s="153">
        <f t="shared" si="15"/>
        <v>0</v>
      </c>
      <c r="P183" s="149">
        <f t="shared" si="13"/>
        <v>0</v>
      </c>
      <c r="R183" s="153"/>
      <c r="S183" s="153"/>
      <c r="T183" s="153"/>
      <c r="U183" s="153"/>
      <c r="V183" s="153"/>
      <c r="W183" s="153"/>
      <c r="X183" s="153"/>
      <c r="Y183" s="153"/>
      <c r="AA183" s="146" t="str">
        <f t="shared" si="16"/>
        <v/>
      </c>
      <c r="AB183" s="146" t="str">
        <f t="shared" si="14"/>
        <v/>
      </c>
    </row>
    <row r="184" spans="2:28">
      <c r="B184" s="146"/>
      <c r="C184" s="146"/>
      <c r="D184" s="146" t="str">
        <f t="shared" si="12"/>
        <v/>
      </c>
      <c r="H184" s="153"/>
      <c r="I184" s="153"/>
      <c r="J184" s="153"/>
      <c r="K184" s="153"/>
      <c r="L184" s="153"/>
      <c r="M184" s="153"/>
      <c r="O184" s="153">
        <f t="shared" si="15"/>
        <v>0</v>
      </c>
      <c r="P184" s="149">
        <f t="shared" si="13"/>
        <v>0</v>
      </c>
      <c r="R184" s="153"/>
      <c r="S184" s="153"/>
      <c r="T184" s="153"/>
      <c r="U184" s="153"/>
      <c r="V184" s="153"/>
      <c r="W184" s="153"/>
      <c r="X184" s="153"/>
      <c r="Y184" s="153"/>
      <c r="AA184" s="146" t="str">
        <f t="shared" si="16"/>
        <v/>
      </c>
      <c r="AB184" s="146" t="str">
        <f t="shared" si="14"/>
        <v/>
      </c>
    </row>
    <row r="185" spans="2:28">
      <c r="B185" s="146"/>
      <c r="C185" s="146"/>
      <c r="D185" s="146" t="str">
        <f t="shared" si="12"/>
        <v/>
      </c>
      <c r="H185" s="153"/>
      <c r="I185" s="153"/>
      <c r="J185" s="153"/>
      <c r="K185" s="153"/>
      <c r="L185" s="153"/>
      <c r="M185" s="153"/>
      <c r="O185" s="153">
        <f t="shared" si="15"/>
        <v>0</v>
      </c>
      <c r="P185" s="149">
        <f t="shared" si="13"/>
        <v>0</v>
      </c>
      <c r="R185" s="153"/>
      <c r="S185" s="153"/>
      <c r="T185" s="153"/>
      <c r="U185" s="153"/>
      <c r="V185" s="153"/>
      <c r="W185" s="153"/>
      <c r="X185" s="153"/>
      <c r="Y185" s="153"/>
      <c r="AA185" s="146" t="str">
        <f t="shared" si="16"/>
        <v/>
      </c>
      <c r="AB185" s="146" t="str">
        <f t="shared" si="14"/>
        <v/>
      </c>
    </row>
    <row r="186" spans="2:28">
      <c r="B186" s="146"/>
      <c r="C186" s="146"/>
      <c r="D186" s="146" t="str">
        <f t="shared" si="12"/>
        <v/>
      </c>
      <c r="H186" s="153"/>
      <c r="I186" s="153"/>
      <c r="J186" s="153"/>
      <c r="K186" s="153"/>
      <c r="L186" s="153"/>
      <c r="M186" s="153"/>
      <c r="O186" s="153">
        <f t="shared" si="15"/>
        <v>0</v>
      </c>
      <c r="P186" s="149">
        <f t="shared" si="13"/>
        <v>0</v>
      </c>
      <c r="R186" s="153"/>
      <c r="S186" s="153"/>
      <c r="T186" s="153"/>
      <c r="U186" s="153"/>
      <c r="V186" s="153"/>
      <c r="W186" s="153"/>
      <c r="X186" s="153"/>
      <c r="Y186" s="153"/>
      <c r="AA186" s="146" t="str">
        <f t="shared" si="16"/>
        <v/>
      </c>
      <c r="AB186" s="146" t="str">
        <f t="shared" si="14"/>
        <v/>
      </c>
    </row>
    <row r="187" spans="2:28">
      <c r="B187" s="146"/>
      <c r="C187" s="146"/>
      <c r="D187" s="146" t="str">
        <f t="shared" si="12"/>
        <v/>
      </c>
      <c r="H187" s="153"/>
      <c r="I187" s="153"/>
      <c r="J187" s="153"/>
      <c r="K187" s="153"/>
      <c r="L187" s="153"/>
      <c r="M187" s="153"/>
      <c r="O187" s="153">
        <f t="shared" si="15"/>
        <v>0</v>
      </c>
      <c r="P187" s="149">
        <f t="shared" si="13"/>
        <v>0</v>
      </c>
      <c r="R187" s="153"/>
      <c r="S187" s="153"/>
      <c r="T187" s="153"/>
      <c r="U187" s="153"/>
      <c r="V187" s="153"/>
      <c r="W187" s="153"/>
      <c r="X187" s="153"/>
      <c r="Y187" s="153"/>
      <c r="AA187" s="146" t="str">
        <f t="shared" si="16"/>
        <v/>
      </c>
      <c r="AB187" s="146" t="str">
        <f t="shared" si="14"/>
        <v/>
      </c>
    </row>
    <row r="188" spans="2:28">
      <c r="B188" s="146"/>
      <c r="C188" s="146"/>
      <c r="D188" s="146" t="str">
        <f t="shared" si="12"/>
        <v/>
      </c>
      <c r="H188" s="153"/>
      <c r="I188" s="153"/>
      <c r="J188" s="153"/>
      <c r="K188" s="153"/>
      <c r="L188" s="153"/>
      <c r="M188" s="153"/>
      <c r="O188" s="153">
        <f t="shared" si="15"/>
        <v>0</v>
      </c>
      <c r="P188" s="149">
        <f t="shared" si="13"/>
        <v>0</v>
      </c>
      <c r="R188" s="153"/>
      <c r="S188" s="153"/>
      <c r="T188" s="153"/>
      <c r="U188" s="153"/>
      <c r="V188" s="153"/>
      <c r="W188" s="153"/>
      <c r="X188" s="153"/>
      <c r="Y188" s="153"/>
      <c r="AA188" s="146" t="str">
        <f t="shared" si="16"/>
        <v/>
      </c>
      <c r="AB188" s="146" t="str">
        <f t="shared" si="14"/>
        <v/>
      </c>
    </row>
    <row r="189" spans="2:28">
      <c r="B189" s="146"/>
      <c r="C189" s="146"/>
      <c r="D189" s="146" t="str">
        <f t="shared" si="12"/>
        <v/>
      </c>
      <c r="H189" s="153"/>
      <c r="I189" s="153"/>
      <c r="J189" s="153"/>
      <c r="K189" s="153"/>
      <c r="L189" s="153"/>
      <c r="M189" s="153"/>
      <c r="O189" s="153">
        <f t="shared" si="15"/>
        <v>0</v>
      </c>
      <c r="P189" s="149">
        <f t="shared" si="13"/>
        <v>0</v>
      </c>
      <c r="R189" s="153"/>
      <c r="S189" s="153"/>
      <c r="T189" s="153"/>
      <c r="U189" s="153"/>
      <c r="V189" s="153"/>
      <c r="W189" s="153"/>
      <c r="X189" s="153"/>
      <c r="Y189" s="153"/>
      <c r="AA189" s="146" t="str">
        <f t="shared" si="16"/>
        <v/>
      </c>
      <c r="AB189" s="146" t="str">
        <f t="shared" si="14"/>
        <v/>
      </c>
    </row>
    <row r="190" spans="2:28">
      <c r="B190" s="146"/>
      <c r="C190" s="146"/>
      <c r="D190" s="146" t="str">
        <f t="shared" si="12"/>
        <v/>
      </c>
      <c r="H190" s="153"/>
      <c r="I190" s="153"/>
      <c r="J190" s="153"/>
      <c r="K190" s="153"/>
      <c r="L190" s="153"/>
      <c r="M190" s="153"/>
      <c r="O190" s="153">
        <f t="shared" si="15"/>
        <v>0</v>
      </c>
      <c r="P190" s="149">
        <f t="shared" si="13"/>
        <v>0</v>
      </c>
      <c r="R190" s="153"/>
      <c r="S190" s="153"/>
      <c r="T190" s="153"/>
      <c r="U190" s="153"/>
      <c r="V190" s="153"/>
      <c r="W190" s="153"/>
      <c r="X190" s="153"/>
      <c r="Y190" s="153"/>
      <c r="AA190" s="146" t="str">
        <f t="shared" si="16"/>
        <v/>
      </c>
      <c r="AB190" s="146" t="str">
        <f t="shared" si="14"/>
        <v/>
      </c>
    </row>
    <row r="191" spans="2:28">
      <c r="B191" s="146"/>
      <c r="C191" s="146"/>
      <c r="D191" s="146" t="str">
        <f t="shared" si="12"/>
        <v/>
      </c>
      <c r="H191" s="153"/>
      <c r="I191" s="153"/>
      <c r="J191" s="153"/>
      <c r="K191" s="153"/>
      <c r="L191" s="153"/>
      <c r="M191" s="153"/>
      <c r="O191" s="153">
        <f t="shared" si="15"/>
        <v>0</v>
      </c>
      <c r="P191" s="149">
        <f t="shared" si="13"/>
        <v>0</v>
      </c>
      <c r="R191" s="153"/>
      <c r="S191" s="153"/>
      <c r="T191" s="153"/>
      <c r="U191" s="153"/>
      <c r="V191" s="153"/>
      <c r="W191" s="153"/>
      <c r="X191" s="153"/>
      <c r="Y191" s="153"/>
      <c r="AA191" s="146" t="str">
        <f t="shared" si="16"/>
        <v/>
      </c>
      <c r="AB191" s="146" t="str">
        <f t="shared" si="14"/>
        <v/>
      </c>
    </row>
    <row r="192" spans="2:28">
      <c r="B192" s="146"/>
      <c r="C192" s="146"/>
      <c r="D192" s="146" t="str">
        <f t="shared" si="12"/>
        <v/>
      </c>
      <c r="H192" s="153"/>
      <c r="I192" s="153"/>
      <c r="J192" s="153"/>
      <c r="K192" s="153"/>
      <c r="L192" s="153"/>
      <c r="M192" s="153"/>
      <c r="O192" s="153">
        <f t="shared" si="15"/>
        <v>0</v>
      </c>
      <c r="P192" s="149">
        <f t="shared" si="13"/>
        <v>0</v>
      </c>
      <c r="R192" s="153"/>
      <c r="S192" s="153"/>
      <c r="T192" s="153"/>
      <c r="U192" s="153"/>
      <c r="V192" s="153"/>
      <c r="W192" s="153"/>
      <c r="X192" s="153"/>
      <c r="Y192" s="153"/>
      <c r="AA192" s="146" t="str">
        <f t="shared" si="16"/>
        <v/>
      </c>
      <c r="AB192" s="146" t="str">
        <f t="shared" si="14"/>
        <v/>
      </c>
    </row>
    <row r="193" spans="2:28">
      <c r="B193" s="146"/>
      <c r="C193" s="146"/>
      <c r="D193" s="146" t="str">
        <f t="shared" si="12"/>
        <v/>
      </c>
      <c r="H193" s="153"/>
      <c r="I193" s="153"/>
      <c r="J193" s="153"/>
      <c r="K193" s="153"/>
      <c r="L193" s="153"/>
      <c r="M193" s="153"/>
      <c r="O193" s="153">
        <f t="shared" si="15"/>
        <v>0</v>
      </c>
      <c r="P193" s="149">
        <f t="shared" si="13"/>
        <v>0</v>
      </c>
      <c r="R193" s="153"/>
      <c r="S193" s="153"/>
      <c r="T193" s="153"/>
      <c r="U193" s="153"/>
      <c r="V193" s="153"/>
      <c r="W193" s="153"/>
      <c r="X193" s="153"/>
      <c r="Y193" s="153"/>
      <c r="AA193" s="146" t="str">
        <f t="shared" si="16"/>
        <v/>
      </c>
      <c r="AB193" s="146" t="str">
        <f t="shared" si="14"/>
        <v/>
      </c>
    </row>
    <row r="194" spans="2:28">
      <c r="B194" s="146"/>
      <c r="C194" s="146"/>
      <c r="D194" s="146" t="str">
        <f t="shared" si="12"/>
        <v/>
      </c>
      <c r="H194" s="153"/>
      <c r="I194" s="153"/>
      <c r="J194" s="153"/>
      <c r="K194" s="153"/>
      <c r="L194" s="153"/>
      <c r="M194" s="153"/>
      <c r="O194" s="153">
        <f t="shared" si="15"/>
        <v>0</v>
      </c>
      <c r="P194" s="149">
        <f t="shared" si="13"/>
        <v>0</v>
      </c>
      <c r="R194" s="153"/>
      <c r="S194" s="153"/>
      <c r="T194" s="153"/>
      <c r="U194" s="153"/>
      <c r="V194" s="153"/>
      <c r="W194" s="153"/>
      <c r="X194" s="153"/>
      <c r="Y194" s="153"/>
      <c r="AA194" s="146" t="str">
        <f t="shared" si="16"/>
        <v/>
      </c>
      <c r="AB194" s="146" t="str">
        <f t="shared" si="14"/>
        <v/>
      </c>
    </row>
    <row r="195" spans="2:28">
      <c r="B195" s="146"/>
      <c r="C195" s="146"/>
      <c r="D195" s="146" t="str">
        <f t="shared" si="12"/>
        <v/>
      </c>
      <c r="H195" s="153"/>
      <c r="I195" s="153"/>
      <c r="J195" s="153"/>
      <c r="K195" s="153"/>
      <c r="L195" s="153"/>
      <c r="M195" s="153"/>
      <c r="O195" s="153">
        <f t="shared" si="15"/>
        <v>0</v>
      </c>
      <c r="P195" s="149">
        <f t="shared" si="13"/>
        <v>0</v>
      </c>
      <c r="R195" s="153"/>
      <c r="S195" s="153"/>
      <c r="T195" s="153"/>
      <c r="U195" s="153"/>
      <c r="V195" s="153"/>
      <c r="W195" s="153"/>
      <c r="X195" s="153"/>
      <c r="Y195" s="153"/>
      <c r="AA195" s="146" t="str">
        <f t="shared" si="16"/>
        <v/>
      </c>
      <c r="AB195" s="146" t="str">
        <f t="shared" si="14"/>
        <v/>
      </c>
    </row>
    <row r="196" spans="2:28">
      <c r="B196" s="146"/>
      <c r="C196" s="146"/>
      <c r="D196" s="146" t="str">
        <f t="shared" si="12"/>
        <v/>
      </c>
      <c r="H196" s="153"/>
      <c r="I196" s="153"/>
      <c r="J196" s="153"/>
      <c r="K196" s="153"/>
      <c r="L196" s="153"/>
      <c r="M196" s="153"/>
      <c r="O196" s="153">
        <f t="shared" si="15"/>
        <v>0</v>
      </c>
      <c r="P196" s="149">
        <f t="shared" si="13"/>
        <v>0</v>
      </c>
      <c r="R196" s="153"/>
      <c r="S196" s="153"/>
      <c r="T196" s="153"/>
      <c r="U196" s="153"/>
      <c r="V196" s="153"/>
      <c r="W196" s="153"/>
      <c r="X196" s="153"/>
      <c r="Y196" s="153"/>
      <c r="AA196" s="146" t="str">
        <f t="shared" si="16"/>
        <v/>
      </c>
      <c r="AB196" s="146" t="str">
        <f t="shared" si="14"/>
        <v/>
      </c>
    </row>
    <row r="197" spans="2:28">
      <c r="B197" s="146"/>
      <c r="C197" s="146"/>
      <c r="D197" s="146" t="str">
        <f t="shared" si="12"/>
        <v/>
      </c>
      <c r="H197" s="153"/>
      <c r="I197" s="153"/>
      <c r="J197" s="153"/>
      <c r="K197" s="153"/>
      <c r="L197" s="153"/>
      <c r="M197" s="153"/>
      <c r="O197" s="153">
        <f t="shared" si="15"/>
        <v>0</v>
      </c>
      <c r="P197" s="149">
        <f t="shared" si="13"/>
        <v>0</v>
      </c>
      <c r="R197" s="153"/>
      <c r="S197" s="153"/>
      <c r="T197" s="153"/>
      <c r="U197" s="153"/>
      <c r="V197" s="153"/>
      <c r="W197" s="153"/>
      <c r="X197" s="153"/>
      <c r="Y197" s="153"/>
      <c r="AA197" s="146" t="str">
        <f t="shared" si="16"/>
        <v/>
      </c>
      <c r="AB197" s="146" t="str">
        <f t="shared" si="14"/>
        <v/>
      </c>
    </row>
    <row r="198" spans="2:28">
      <c r="B198" s="146"/>
      <c r="C198" s="146"/>
      <c r="D198" s="146" t="str">
        <f t="shared" si="12"/>
        <v/>
      </c>
      <c r="H198" s="153"/>
      <c r="I198" s="153"/>
      <c r="J198" s="153"/>
      <c r="K198" s="153"/>
      <c r="L198" s="153"/>
      <c r="M198" s="153"/>
      <c r="O198" s="153">
        <f t="shared" si="15"/>
        <v>0</v>
      </c>
      <c r="P198" s="149">
        <f t="shared" si="13"/>
        <v>0</v>
      </c>
      <c r="R198" s="153"/>
      <c r="S198" s="153"/>
      <c r="T198" s="153"/>
      <c r="U198" s="153"/>
      <c r="V198" s="153"/>
      <c r="W198" s="153"/>
      <c r="X198" s="153"/>
      <c r="Y198" s="153"/>
      <c r="AA198" s="146" t="str">
        <f t="shared" si="16"/>
        <v/>
      </c>
      <c r="AB198" s="146" t="str">
        <f t="shared" si="14"/>
        <v/>
      </c>
    </row>
    <row r="199" spans="2:28">
      <c r="B199" s="146"/>
      <c r="C199" s="146"/>
      <c r="D199" s="146" t="str">
        <f t="shared" si="12"/>
        <v/>
      </c>
      <c r="H199" s="153"/>
      <c r="I199" s="153"/>
      <c r="J199" s="153"/>
      <c r="K199" s="153"/>
      <c r="L199" s="153"/>
      <c r="M199" s="153"/>
      <c r="O199" s="153">
        <f t="shared" si="15"/>
        <v>0</v>
      </c>
      <c r="P199" s="149">
        <f t="shared" si="13"/>
        <v>0</v>
      </c>
      <c r="R199" s="153"/>
      <c r="S199" s="153"/>
      <c r="T199" s="153"/>
      <c r="U199" s="153"/>
      <c r="V199" s="153"/>
      <c r="W199" s="153"/>
      <c r="X199" s="153"/>
      <c r="Y199" s="153"/>
      <c r="AA199" s="146" t="str">
        <f t="shared" si="16"/>
        <v/>
      </c>
      <c r="AB199" s="146" t="str">
        <f t="shared" si="14"/>
        <v/>
      </c>
    </row>
    <row r="200" spans="2:28">
      <c r="B200" s="146"/>
      <c r="C200" s="146"/>
      <c r="D200" s="146" t="str">
        <f t="shared" si="12"/>
        <v/>
      </c>
      <c r="H200" s="153"/>
      <c r="I200" s="153"/>
      <c r="J200" s="153"/>
      <c r="K200" s="153"/>
      <c r="L200" s="153"/>
      <c r="M200" s="153"/>
      <c r="O200" s="153">
        <f t="shared" si="15"/>
        <v>0</v>
      </c>
      <c r="P200" s="149">
        <f t="shared" si="13"/>
        <v>0</v>
      </c>
      <c r="R200" s="153"/>
      <c r="S200" s="153"/>
      <c r="T200" s="153"/>
      <c r="U200" s="153"/>
      <c r="V200" s="153"/>
      <c r="W200" s="153"/>
      <c r="X200" s="153"/>
      <c r="Y200" s="153"/>
      <c r="AA200" s="146" t="str">
        <f t="shared" si="16"/>
        <v/>
      </c>
      <c r="AB200" s="146" t="str">
        <f t="shared" si="14"/>
        <v/>
      </c>
    </row>
  </sheetData>
  <sheetProtection algorithmName="SHA-512" hashValue="bC5+oPoqxYhCBLMugiETcOxbhrin/nWS21cthKNoDrisgvBCEy9IyBVxgRZ8F61uD6ELri9to2gnlmLCHpGlww==" saltValue="fGKgEW1NNIAWG9ZPJxnT/A==" spinCount="100000" sheet="1" objects="1" scenarios="1"/>
  <mergeCells count="13">
    <mergeCell ref="B6:B7"/>
    <mergeCell ref="C6:C7"/>
    <mergeCell ref="D6:D7"/>
    <mergeCell ref="F6:F7"/>
    <mergeCell ref="S6:S7"/>
    <mergeCell ref="O6:O7"/>
    <mergeCell ref="AA2:AA3"/>
    <mergeCell ref="AA6:AA7"/>
    <mergeCell ref="H2:H3"/>
    <mergeCell ref="R6:R7"/>
    <mergeCell ref="T6:T7"/>
    <mergeCell ref="T2:T3"/>
    <mergeCell ref="O2:O3"/>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0" tint="-0.14999847407452621"/>
  </sheetPr>
  <dimension ref="B1:T200"/>
  <sheetViews>
    <sheetView zoomScaleNormal="100" workbookViewId="0"/>
  </sheetViews>
  <sheetFormatPr defaultRowHeight="18.75"/>
  <cols>
    <col min="2" max="2" width="9.5" bestFit="1" customWidth="1"/>
    <col min="3" max="4" width="21.75" customWidth="1"/>
    <col min="5" max="5" width="39.5" bestFit="1" customWidth="1"/>
    <col min="6" max="6" width="7" customWidth="1"/>
    <col min="7" max="7" width="26.875" customWidth="1"/>
    <col min="9" max="9" width="9.5" bestFit="1" customWidth="1"/>
    <col min="10" max="11" width="34.5" customWidth="1"/>
    <col min="12" max="12" width="11.5" bestFit="1" customWidth="1"/>
    <col min="13" max="17" width="14" customWidth="1"/>
    <col min="19" max="19" width="70.875" bestFit="1" customWidth="1"/>
    <col min="20" max="20" width="29" customWidth="1"/>
  </cols>
  <sheetData>
    <row r="1" spans="2:20">
      <c r="T1" t="s">
        <v>800</v>
      </c>
    </row>
    <row r="2" spans="2:20" ht="18.75" customHeight="1">
      <c r="L2" s="1130" t="s">
        <v>789</v>
      </c>
      <c r="M2" s="213" t="s">
        <v>665</v>
      </c>
      <c r="N2" s="213" t="s">
        <v>665</v>
      </c>
      <c r="O2" s="213" t="s">
        <v>665</v>
      </c>
      <c r="P2" s="213" t="s">
        <v>665</v>
      </c>
      <c r="Q2" s="213" t="s">
        <v>665</v>
      </c>
      <c r="S2" s="1125" t="s">
        <v>789</v>
      </c>
      <c r="T2" s="218" t="s">
        <v>665</v>
      </c>
    </row>
    <row r="3" spans="2:20">
      <c r="L3" s="1129"/>
      <c r="M3" s="213" t="s">
        <v>792</v>
      </c>
      <c r="N3" s="213" t="s">
        <v>793</v>
      </c>
      <c r="O3" s="213" t="s">
        <v>794</v>
      </c>
      <c r="P3" s="213" t="s">
        <v>795</v>
      </c>
      <c r="Q3" s="213" t="s">
        <v>796</v>
      </c>
      <c r="S3" s="1126"/>
      <c r="T3" s="218" t="str">
        <f>CONCATENATE(事業所概要_算定体制!$B$3,事業所概要_算定体制!$C$3,"年度")</f>
        <v>令和７年度</v>
      </c>
    </row>
    <row r="4" spans="2:20">
      <c r="L4" s="146" t="s">
        <v>533</v>
      </c>
      <c r="M4" s="146">
        <v>5.3199999999999997E-2</v>
      </c>
      <c r="N4" s="146">
        <v>5.3199999999999997E-2</v>
      </c>
      <c r="O4" s="146">
        <v>5.3199999999999997E-2</v>
      </c>
      <c r="P4" s="146">
        <v>5.3199999999999997E-2</v>
      </c>
      <c r="Q4" s="146">
        <v>5.3199999999999997E-2</v>
      </c>
      <c r="S4" s="146" t="s">
        <v>533</v>
      </c>
      <c r="T4" s="146">
        <f>HLOOKUP($T$3,$M$3:$Q$4,2,FALSE)</f>
        <v>5.3199999999999997E-2</v>
      </c>
    </row>
    <row r="6" spans="2:20">
      <c r="B6" s="1129" t="s">
        <v>464</v>
      </c>
      <c r="C6" s="1129" t="s">
        <v>785</v>
      </c>
      <c r="D6" s="1136" t="s">
        <v>832</v>
      </c>
      <c r="E6" s="1129" t="s">
        <v>786</v>
      </c>
      <c r="G6" s="1129" t="s">
        <v>679</v>
      </c>
      <c r="I6" s="1129" t="s">
        <v>464</v>
      </c>
      <c r="J6" s="1129" t="s">
        <v>785</v>
      </c>
      <c r="K6" s="1129"/>
      <c r="L6" s="1129" t="s">
        <v>465</v>
      </c>
      <c r="M6" s="213" t="s">
        <v>665</v>
      </c>
      <c r="N6" s="213" t="s">
        <v>665</v>
      </c>
      <c r="O6" s="213" t="s">
        <v>665</v>
      </c>
      <c r="P6" s="213" t="s">
        <v>665</v>
      </c>
      <c r="Q6" s="213" t="s">
        <v>665</v>
      </c>
      <c r="S6" s="1133" t="s">
        <v>802</v>
      </c>
      <c r="T6" s="218" t="s">
        <v>665</v>
      </c>
    </row>
    <row r="7" spans="2:20">
      <c r="B7" s="1129"/>
      <c r="C7" s="1129"/>
      <c r="D7" s="1137"/>
      <c r="E7" s="1129"/>
      <c r="G7" s="1129"/>
      <c r="I7" s="1129"/>
      <c r="J7" s="1129"/>
      <c r="K7" s="1129"/>
      <c r="L7" s="1129"/>
      <c r="M7" s="213" t="s">
        <v>792</v>
      </c>
      <c r="N7" s="213" t="s">
        <v>793</v>
      </c>
      <c r="O7" s="213" t="s">
        <v>794</v>
      </c>
      <c r="P7" s="213" t="s">
        <v>795</v>
      </c>
      <c r="Q7" s="213" t="s">
        <v>796</v>
      </c>
      <c r="S7" s="1133"/>
      <c r="T7" s="218" t="str">
        <f>CONCATENATE(事業所概要_算定体制!$B$3,事業所概要_算定体制!$C$3,"年度")</f>
        <v>令和７年度</v>
      </c>
    </row>
    <row r="8" spans="2:20">
      <c r="B8" s="146" t="s">
        <v>808</v>
      </c>
      <c r="C8" s="146" t="s">
        <v>809</v>
      </c>
      <c r="D8" s="146" t="s">
        <v>810</v>
      </c>
      <c r="E8" s="543" t="str">
        <f>IF(B8="","",B8&amp;":"&amp;C8&amp;" "&amp;D8)</f>
        <v>002:東京ガスエンジニアリングソリューションズ株式会社 田町駅東口北地域</v>
      </c>
      <c r="G8" s="149"/>
      <c r="I8" s="545" t="s">
        <v>715</v>
      </c>
      <c r="J8" s="546" t="s">
        <v>716</v>
      </c>
      <c r="K8" s="546" t="s">
        <v>717</v>
      </c>
      <c r="L8" s="547"/>
      <c r="M8" s="548">
        <v>0.05</v>
      </c>
      <c r="N8" s="548">
        <v>0.05</v>
      </c>
      <c r="O8" s="548">
        <v>0.05</v>
      </c>
      <c r="P8" s="548">
        <v>0.05</v>
      </c>
      <c r="Q8" s="548">
        <v>0.05</v>
      </c>
      <c r="S8" s="555" t="str">
        <f>I8&amp;":"&amp;J8&amp;" "&amp;K8&amp;L8</f>
        <v>002:東京ガスエンジニアリングソリューションズ株式会社 田町駅東口北地域</v>
      </c>
      <c r="T8" s="556">
        <f>HLOOKUP($T$7,$M$7:$Q$200,ROW()-6,FALSE)</f>
        <v>0.05</v>
      </c>
    </row>
    <row r="9" spans="2:20">
      <c r="B9" s="146" t="s">
        <v>777</v>
      </c>
      <c r="C9" s="146" t="s">
        <v>719</v>
      </c>
      <c r="D9" s="146"/>
      <c r="E9" s="543" t="str">
        <f t="shared" ref="E9:E72" si="0">IF(B9="","",B9&amp;":"&amp;C9&amp;" "&amp;D9)</f>
        <v xml:space="preserve">006:丸の内熱供給株式会社 </v>
      </c>
      <c r="G9" s="150" t="s">
        <v>710</v>
      </c>
      <c r="I9" s="545" t="s">
        <v>718</v>
      </c>
      <c r="J9" s="546" t="s">
        <v>719</v>
      </c>
      <c r="K9" s="546"/>
      <c r="L9" s="547" t="s">
        <v>774</v>
      </c>
      <c r="M9" s="548">
        <v>0</v>
      </c>
      <c r="N9" s="548">
        <v>0</v>
      </c>
      <c r="O9" s="548">
        <v>0</v>
      </c>
      <c r="P9" s="548">
        <v>0</v>
      </c>
      <c r="Q9" s="548">
        <v>0</v>
      </c>
      <c r="S9" s="555" t="str">
        <f t="shared" ref="S9:S44" si="1">I9&amp;":"&amp;J9&amp;" "&amp;K9&amp;L9</f>
        <v>006:丸の内熱供給株式会社 メニューA</v>
      </c>
      <c r="T9" s="556">
        <f t="shared" ref="T9:T72" si="2">HLOOKUP($T$7,$M$7:$Q$200,ROW()-6,FALSE)</f>
        <v>0</v>
      </c>
    </row>
    <row r="10" spans="2:20">
      <c r="B10" s="146" t="s">
        <v>778</v>
      </c>
      <c r="C10" s="146" t="s">
        <v>779</v>
      </c>
      <c r="D10" s="146" t="s">
        <v>811</v>
      </c>
      <c r="E10" s="543" t="str">
        <f t="shared" si="0"/>
        <v>009:池袋地域冷暖房株式会社 東池袋地域</v>
      </c>
      <c r="G10" s="150" t="s">
        <v>787</v>
      </c>
      <c r="I10" s="549" t="s">
        <v>777</v>
      </c>
      <c r="J10" s="546" t="s">
        <v>719</v>
      </c>
      <c r="K10" s="546"/>
      <c r="L10" s="547" t="s">
        <v>720</v>
      </c>
      <c r="M10" s="548">
        <v>4.36E-2</v>
      </c>
      <c r="N10" s="548">
        <v>4.36E-2</v>
      </c>
      <c r="O10" s="548">
        <v>4.36E-2</v>
      </c>
      <c r="P10" s="548">
        <v>4.36E-2</v>
      </c>
      <c r="Q10" s="548">
        <v>4.36E-2</v>
      </c>
      <c r="S10" s="555" t="str">
        <f t="shared" si="1"/>
        <v>006:丸の内熱供給株式会社 残差</v>
      </c>
      <c r="T10" s="556">
        <f t="shared" si="2"/>
        <v>4.36E-2</v>
      </c>
    </row>
    <row r="11" spans="2:20">
      <c r="B11" s="146" t="s">
        <v>778</v>
      </c>
      <c r="C11" s="146" t="s">
        <v>779</v>
      </c>
      <c r="D11" s="146"/>
      <c r="E11" s="543" t="str">
        <f t="shared" si="0"/>
        <v xml:space="preserve">009:池袋地域冷暖房株式会社 </v>
      </c>
      <c r="G11" s="150" t="s">
        <v>788</v>
      </c>
      <c r="I11" s="545" t="s">
        <v>721</v>
      </c>
      <c r="J11" s="546" t="s">
        <v>722</v>
      </c>
      <c r="K11" s="546" t="s">
        <v>723</v>
      </c>
      <c r="L11" s="547" t="s">
        <v>774</v>
      </c>
      <c r="M11" s="548">
        <v>0</v>
      </c>
      <c r="N11" s="548">
        <v>0</v>
      </c>
      <c r="O11" s="548">
        <v>0</v>
      </c>
      <c r="P11" s="548">
        <v>0</v>
      </c>
      <c r="Q11" s="548">
        <v>0</v>
      </c>
      <c r="S11" s="555" t="str">
        <f t="shared" si="1"/>
        <v>009:池袋地域冷暖房株式会社 東池袋地域メニューA</v>
      </c>
      <c r="T11" s="556">
        <f t="shared" si="2"/>
        <v>0</v>
      </c>
    </row>
    <row r="12" spans="2:20">
      <c r="B12" s="146" t="s">
        <v>812</v>
      </c>
      <c r="C12" s="146" t="s">
        <v>813</v>
      </c>
      <c r="D12" s="146"/>
      <c r="E12" s="543" t="str">
        <f t="shared" si="0"/>
        <v xml:space="preserve">014:新都市熱供給株式会社 </v>
      </c>
      <c r="G12" s="150" t="s">
        <v>974</v>
      </c>
      <c r="I12" s="549" t="s">
        <v>778</v>
      </c>
      <c r="J12" s="546" t="s">
        <v>779</v>
      </c>
      <c r="K12" s="546"/>
      <c r="L12" s="547" t="s">
        <v>711</v>
      </c>
      <c r="M12" s="548">
        <v>4.5400000000000003E-2</v>
      </c>
      <c r="N12" s="548">
        <v>4.5400000000000003E-2</v>
      </c>
      <c r="O12" s="548">
        <v>4.5400000000000003E-2</v>
      </c>
      <c r="P12" s="548">
        <v>4.5400000000000003E-2</v>
      </c>
      <c r="Q12" s="548">
        <v>4.5400000000000003E-2</v>
      </c>
      <c r="S12" s="555" t="str">
        <f t="shared" si="1"/>
        <v>009:池袋地域冷暖房株式会社 残差</v>
      </c>
      <c r="T12" s="556">
        <f t="shared" si="2"/>
        <v>4.5400000000000003E-2</v>
      </c>
    </row>
    <row r="13" spans="2:20">
      <c r="B13" s="146" t="s">
        <v>814</v>
      </c>
      <c r="C13" s="146" t="s">
        <v>815</v>
      </c>
      <c r="D13" s="146" t="s">
        <v>816</v>
      </c>
      <c r="E13" s="543" t="str">
        <f t="shared" si="0"/>
        <v>016:西池袋熱供給株式会社 西池袋地域</v>
      </c>
      <c r="G13" s="150" t="s">
        <v>975</v>
      </c>
      <c r="I13" s="545" t="s">
        <v>724</v>
      </c>
      <c r="J13" s="546" t="s">
        <v>725</v>
      </c>
      <c r="K13" s="546"/>
      <c r="L13" s="547"/>
      <c r="M13" s="548">
        <v>5.0700000000000002E-2</v>
      </c>
      <c r="N13" s="548">
        <v>5.0700000000000002E-2</v>
      </c>
      <c r="O13" s="548">
        <v>5.0700000000000002E-2</v>
      </c>
      <c r="P13" s="548">
        <v>5.0700000000000002E-2</v>
      </c>
      <c r="Q13" s="548">
        <v>5.0700000000000002E-2</v>
      </c>
      <c r="S13" s="555" t="str">
        <f t="shared" si="1"/>
        <v xml:space="preserve">014:新都市熱供給株式会社 </v>
      </c>
      <c r="T13" s="556">
        <f t="shared" si="2"/>
        <v>5.0700000000000002E-2</v>
      </c>
    </row>
    <row r="14" spans="2:20">
      <c r="B14" s="146" t="s">
        <v>780</v>
      </c>
      <c r="C14" s="146" t="s">
        <v>781</v>
      </c>
      <c r="D14" s="146" t="s">
        <v>817</v>
      </c>
      <c r="E14" s="543" t="str">
        <f t="shared" si="0"/>
        <v>020:東京都市サービス株式会社 芝浦4丁目地域</v>
      </c>
      <c r="G14" s="153" t="s">
        <v>712</v>
      </c>
      <c r="I14" s="549" t="s">
        <v>726</v>
      </c>
      <c r="J14" s="546" t="s">
        <v>727</v>
      </c>
      <c r="K14" s="546" t="s">
        <v>728</v>
      </c>
      <c r="L14" s="547"/>
      <c r="M14" s="548">
        <v>4.5699999999999998E-2</v>
      </c>
      <c r="N14" s="548">
        <v>4.5699999999999998E-2</v>
      </c>
      <c r="O14" s="548">
        <v>4.5699999999999998E-2</v>
      </c>
      <c r="P14" s="548">
        <v>4.5699999999999998E-2</v>
      </c>
      <c r="Q14" s="548">
        <v>4.5699999999999998E-2</v>
      </c>
      <c r="S14" s="555" t="str">
        <f t="shared" si="1"/>
        <v>016:西池袋熱供給株式会社 西池袋地域</v>
      </c>
      <c r="T14" s="556">
        <f t="shared" si="2"/>
        <v>4.5699999999999998E-2</v>
      </c>
    </row>
    <row r="15" spans="2:20">
      <c r="B15" s="146" t="s">
        <v>780</v>
      </c>
      <c r="C15" s="146" t="s">
        <v>781</v>
      </c>
      <c r="D15" s="146" t="s">
        <v>732</v>
      </c>
      <c r="E15" s="543" t="str">
        <f t="shared" si="0"/>
        <v>020:東京都市サービス株式会社 銀座5・6丁目地域</v>
      </c>
      <c r="I15" s="545" t="s">
        <v>729</v>
      </c>
      <c r="J15" s="547" t="s">
        <v>730</v>
      </c>
      <c r="K15" s="546" t="s">
        <v>731</v>
      </c>
      <c r="L15" s="547"/>
      <c r="M15" s="548">
        <v>4.0800000000000003E-2</v>
      </c>
      <c r="N15" s="548">
        <v>4.0800000000000003E-2</v>
      </c>
      <c r="O15" s="548">
        <v>4.0800000000000003E-2</v>
      </c>
      <c r="P15" s="548">
        <v>4.0800000000000003E-2</v>
      </c>
      <c r="Q15" s="548">
        <v>4.0800000000000003E-2</v>
      </c>
      <c r="S15" s="555" t="str">
        <f t="shared" si="1"/>
        <v>020:東京都市サービス株式会社 芝浦4丁目地域</v>
      </c>
      <c r="T15" s="556">
        <f t="shared" si="2"/>
        <v>4.0800000000000003E-2</v>
      </c>
    </row>
    <row r="16" spans="2:20">
      <c r="B16" s="146" t="s">
        <v>780</v>
      </c>
      <c r="C16" s="146" t="s">
        <v>781</v>
      </c>
      <c r="D16" s="146" t="s">
        <v>733</v>
      </c>
      <c r="E16" s="543" t="str">
        <f t="shared" si="0"/>
        <v>020:東京都市サービス株式会社 新川地域</v>
      </c>
      <c r="I16" s="545" t="s">
        <v>729</v>
      </c>
      <c r="J16" s="547" t="s">
        <v>730</v>
      </c>
      <c r="K16" s="546" t="s">
        <v>732</v>
      </c>
      <c r="L16" s="547"/>
      <c r="M16" s="548">
        <v>2.9600000000000001E-2</v>
      </c>
      <c r="N16" s="548">
        <v>2.9600000000000001E-2</v>
      </c>
      <c r="O16" s="548">
        <v>2.9600000000000001E-2</v>
      </c>
      <c r="P16" s="548">
        <v>2.9600000000000001E-2</v>
      </c>
      <c r="Q16" s="548">
        <v>2.9600000000000001E-2</v>
      </c>
      <c r="S16" s="555" t="str">
        <f t="shared" si="1"/>
        <v>020:東京都市サービス株式会社 銀座5・6丁目地域</v>
      </c>
      <c r="T16" s="556">
        <f t="shared" si="2"/>
        <v>2.9600000000000001E-2</v>
      </c>
    </row>
    <row r="17" spans="2:20">
      <c r="B17" s="146" t="s">
        <v>780</v>
      </c>
      <c r="C17" s="146" t="s">
        <v>781</v>
      </c>
      <c r="D17" s="146" t="s">
        <v>734</v>
      </c>
      <c r="E17" s="543" t="str">
        <f t="shared" si="0"/>
        <v>020:東京都市サービス株式会社 神田駿河台地域</v>
      </c>
      <c r="I17" s="545" t="s">
        <v>729</v>
      </c>
      <c r="J17" s="547" t="s">
        <v>730</v>
      </c>
      <c r="K17" s="546" t="s">
        <v>733</v>
      </c>
      <c r="L17" s="547"/>
      <c r="M17" s="548">
        <v>3.2099999999999997E-2</v>
      </c>
      <c r="N17" s="548">
        <v>3.2099999999999997E-2</v>
      </c>
      <c r="O17" s="548">
        <v>3.2099999999999997E-2</v>
      </c>
      <c r="P17" s="548">
        <v>3.2099999999999997E-2</v>
      </c>
      <c r="Q17" s="548">
        <v>3.2099999999999997E-2</v>
      </c>
      <c r="S17" s="555" t="str">
        <f t="shared" si="1"/>
        <v>020:東京都市サービス株式会社 新川地域</v>
      </c>
      <c r="T17" s="556">
        <f t="shared" si="2"/>
        <v>3.2099999999999997E-2</v>
      </c>
    </row>
    <row r="18" spans="2:20">
      <c r="B18" s="146" t="s">
        <v>780</v>
      </c>
      <c r="C18" s="146" t="s">
        <v>781</v>
      </c>
      <c r="D18" s="146" t="s">
        <v>735</v>
      </c>
      <c r="E18" s="543" t="str">
        <f t="shared" si="0"/>
        <v>020:東京都市サービス株式会社 箱崎地域</v>
      </c>
      <c r="I18" s="545" t="s">
        <v>729</v>
      </c>
      <c r="J18" s="547" t="s">
        <v>730</v>
      </c>
      <c r="K18" s="546" t="s">
        <v>734</v>
      </c>
      <c r="L18" s="547"/>
      <c r="M18" s="548">
        <v>4.2500000000000003E-2</v>
      </c>
      <c r="N18" s="548">
        <v>4.2500000000000003E-2</v>
      </c>
      <c r="O18" s="548">
        <v>4.2500000000000003E-2</v>
      </c>
      <c r="P18" s="548">
        <v>4.2500000000000003E-2</v>
      </c>
      <c r="Q18" s="548">
        <v>4.2500000000000003E-2</v>
      </c>
      <c r="S18" s="555" t="str">
        <f t="shared" si="1"/>
        <v>020:東京都市サービス株式会社 神田駿河台地域</v>
      </c>
      <c r="T18" s="556">
        <f t="shared" si="2"/>
        <v>4.2500000000000003E-2</v>
      </c>
    </row>
    <row r="19" spans="2:20">
      <c r="B19" s="146" t="s">
        <v>780</v>
      </c>
      <c r="C19" s="146" t="s">
        <v>781</v>
      </c>
      <c r="D19" s="146" t="s">
        <v>736</v>
      </c>
      <c r="E19" s="543" t="str">
        <f t="shared" si="0"/>
        <v>020:東京都市サービス株式会社 幕張新都心ハイテク・ビジネス地域</v>
      </c>
      <c r="I19" s="545" t="s">
        <v>729</v>
      </c>
      <c r="J19" s="547" t="s">
        <v>730</v>
      </c>
      <c r="K19" s="546" t="s">
        <v>735</v>
      </c>
      <c r="L19" s="547"/>
      <c r="M19" s="548">
        <v>4.0899999999999999E-2</v>
      </c>
      <c r="N19" s="548">
        <v>4.0899999999999999E-2</v>
      </c>
      <c r="O19" s="548">
        <v>4.0899999999999999E-2</v>
      </c>
      <c r="P19" s="548">
        <v>4.0899999999999999E-2</v>
      </c>
      <c r="Q19" s="548">
        <v>4.0899999999999999E-2</v>
      </c>
      <c r="S19" s="555" t="str">
        <f t="shared" si="1"/>
        <v>020:東京都市サービス株式会社 箱崎地域</v>
      </c>
      <c r="T19" s="556">
        <f t="shared" si="2"/>
        <v>4.0899999999999999E-2</v>
      </c>
    </row>
    <row r="20" spans="2:20">
      <c r="B20" s="146" t="s">
        <v>780</v>
      </c>
      <c r="C20" s="146" t="s">
        <v>781</v>
      </c>
      <c r="D20" s="146" t="s">
        <v>737</v>
      </c>
      <c r="E20" s="543" t="str">
        <f t="shared" si="0"/>
        <v>020:東京都市サービス株式会社 高崎市中央・城址地域</v>
      </c>
      <c r="I20" s="545" t="s">
        <v>729</v>
      </c>
      <c r="J20" s="547" t="s">
        <v>730</v>
      </c>
      <c r="K20" s="546" t="s">
        <v>736</v>
      </c>
      <c r="L20" s="547"/>
      <c r="M20" s="548">
        <v>2.6499999999999999E-2</v>
      </c>
      <c r="N20" s="548">
        <v>2.6499999999999999E-2</v>
      </c>
      <c r="O20" s="548">
        <v>2.6499999999999999E-2</v>
      </c>
      <c r="P20" s="548">
        <v>2.6499999999999999E-2</v>
      </c>
      <c r="Q20" s="548">
        <v>2.6499999999999999E-2</v>
      </c>
      <c r="S20" s="555" t="str">
        <f t="shared" si="1"/>
        <v>020:東京都市サービス株式会社 幕張新都心ハイテク・ビジネス地域</v>
      </c>
      <c r="T20" s="556">
        <f t="shared" si="2"/>
        <v>2.6499999999999999E-2</v>
      </c>
    </row>
    <row r="21" spans="2:20">
      <c r="B21" s="146" t="s">
        <v>780</v>
      </c>
      <c r="C21" s="146" t="s">
        <v>781</v>
      </c>
      <c r="D21" s="146" t="s">
        <v>738</v>
      </c>
      <c r="E21" s="543" t="str">
        <f t="shared" si="0"/>
        <v>020:東京都市サービス株式会社 本駒込2丁目地域</v>
      </c>
      <c r="I21" s="545" t="s">
        <v>729</v>
      </c>
      <c r="J21" s="547" t="s">
        <v>730</v>
      </c>
      <c r="K21" s="546" t="s">
        <v>737</v>
      </c>
      <c r="L21" s="547"/>
      <c r="M21" s="548">
        <v>3.5799999999999998E-2</v>
      </c>
      <c r="N21" s="548">
        <v>3.5799999999999998E-2</v>
      </c>
      <c r="O21" s="548">
        <v>3.5799999999999998E-2</v>
      </c>
      <c r="P21" s="548">
        <v>3.5799999999999998E-2</v>
      </c>
      <c r="Q21" s="548">
        <v>3.5799999999999998E-2</v>
      </c>
      <c r="S21" s="555" t="str">
        <f t="shared" si="1"/>
        <v>020:東京都市サービス株式会社 高崎市中央・城址地域</v>
      </c>
      <c r="T21" s="556">
        <f t="shared" si="2"/>
        <v>3.5799999999999998E-2</v>
      </c>
    </row>
    <row r="22" spans="2:20">
      <c r="B22" s="146" t="s">
        <v>780</v>
      </c>
      <c r="C22" s="146" t="s">
        <v>781</v>
      </c>
      <c r="D22" s="146" t="s">
        <v>739</v>
      </c>
      <c r="E22" s="543" t="str">
        <f t="shared" si="0"/>
        <v>020:東京都市サービス株式会社 大崎1丁目地域</v>
      </c>
      <c r="I22" s="545" t="s">
        <v>729</v>
      </c>
      <c r="J22" s="547" t="s">
        <v>730</v>
      </c>
      <c r="K22" s="546" t="s">
        <v>738</v>
      </c>
      <c r="L22" s="547"/>
      <c r="M22" s="548">
        <v>4.5499999999999999E-2</v>
      </c>
      <c r="N22" s="548">
        <v>4.5499999999999999E-2</v>
      </c>
      <c r="O22" s="548">
        <v>4.5499999999999999E-2</v>
      </c>
      <c r="P22" s="548">
        <v>4.5499999999999999E-2</v>
      </c>
      <c r="Q22" s="548">
        <v>4.5499999999999999E-2</v>
      </c>
      <c r="S22" s="555" t="str">
        <f t="shared" si="1"/>
        <v>020:東京都市サービス株式会社 本駒込2丁目地域</v>
      </c>
      <c r="T22" s="556">
        <f t="shared" si="2"/>
        <v>4.5499999999999999E-2</v>
      </c>
    </row>
    <row r="23" spans="2:20">
      <c r="B23" s="146" t="s">
        <v>780</v>
      </c>
      <c r="C23" s="146" t="s">
        <v>781</v>
      </c>
      <c r="D23" s="146" t="s">
        <v>740</v>
      </c>
      <c r="E23" s="543" t="str">
        <f t="shared" si="0"/>
        <v>020:東京都市サービス株式会社 晴海アイランド地域</v>
      </c>
      <c r="I23" s="545" t="s">
        <v>729</v>
      </c>
      <c r="J23" s="547" t="s">
        <v>730</v>
      </c>
      <c r="K23" s="546" t="s">
        <v>739</v>
      </c>
      <c r="L23" s="547"/>
      <c r="M23" s="548">
        <v>4.2099999999999999E-2</v>
      </c>
      <c r="N23" s="548">
        <v>4.2099999999999999E-2</v>
      </c>
      <c r="O23" s="548">
        <v>4.2099999999999999E-2</v>
      </c>
      <c r="P23" s="548">
        <v>4.2099999999999999E-2</v>
      </c>
      <c r="Q23" s="548">
        <v>4.2099999999999999E-2</v>
      </c>
      <c r="S23" s="555" t="str">
        <f t="shared" si="1"/>
        <v>020:東京都市サービス株式会社 大崎1丁目地域</v>
      </c>
      <c r="T23" s="556">
        <f t="shared" si="2"/>
        <v>4.2099999999999999E-2</v>
      </c>
    </row>
    <row r="24" spans="2:20">
      <c r="B24" s="146" t="s">
        <v>780</v>
      </c>
      <c r="C24" s="146" t="s">
        <v>781</v>
      </c>
      <c r="D24" s="146" t="s">
        <v>741</v>
      </c>
      <c r="E24" s="543" t="str">
        <f t="shared" si="0"/>
        <v>020:東京都市サービス株式会社 府中日鋼町地域</v>
      </c>
      <c r="I24" s="545" t="s">
        <v>729</v>
      </c>
      <c r="J24" s="547" t="s">
        <v>730</v>
      </c>
      <c r="K24" s="546" t="s">
        <v>740</v>
      </c>
      <c r="L24" s="547"/>
      <c r="M24" s="548">
        <v>3.78E-2</v>
      </c>
      <c r="N24" s="548">
        <v>3.78E-2</v>
      </c>
      <c r="O24" s="548">
        <v>3.78E-2</v>
      </c>
      <c r="P24" s="548">
        <v>3.78E-2</v>
      </c>
      <c r="Q24" s="548">
        <v>3.78E-2</v>
      </c>
      <c r="S24" s="555" t="str">
        <f t="shared" si="1"/>
        <v>020:東京都市サービス株式会社 晴海アイランド地域</v>
      </c>
      <c r="T24" s="556">
        <f t="shared" si="2"/>
        <v>3.78E-2</v>
      </c>
    </row>
    <row r="25" spans="2:20">
      <c r="B25" s="146" t="s">
        <v>780</v>
      </c>
      <c r="C25" s="146" t="s">
        <v>781</v>
      </c>
      <c r="D25" s="146" t="s">
        <v>742</v>
      </c>
      <c r="E25" s="543" t="str">
        <f t="shared" si="0"/>
        <v>020:東京都市サービス株式会社 横浜市北仲通南地域</v>
      </c>
      <c r="I25" s="545" t="s">
        <v>729</v>
      </c>
      <c r="J25" s="547" t="s">
        <v>730</v>
      </c>
      <c r="K25" s="546" t="s">
        <v>741</v>
      </c>
      <c r="L25" s="547" t="s">
        <v>774</v>
      </c>
      <c r="M25" s="548">
        <v>0</v>
      </c>
      <c r="N25" s="548">
        <v>0</v>
      </c>
      <c r="O25" s="548">
        <v>0</v>
      </c>
      <c r="P25" s="548">
        <v>0</v>
      </c>
      <c r="Q25" s="548">
        <v>0</v>
      </c>
      <c r="S25" s="555" t="str">
        <f t="shared" si="1"/>
        <v>020:東京都市サービス株式会社 府中日鋼町地域メニューA</v>
      </c>
      <c r="T25" s="556">
        <f t="shared" si="2"/>
        <v>0</v>
      </c>
    </row>
    <row r="26" spans="2:20">
      <c r="B26" s="146" t="s">
        <v>782</v>
      </c>
      <c r="C26" s="146" t="s">
        <v>744</v>
      </c>
      <c r="D26" s="146"/>
      <c r="E26" s="543" t="str">
        <f t="shared" si="0"/>
        <v xml:space="preserve">024:みなとみらい二十一熱供給株式会社 </v>
      </c>
      <c r="I26" s="549" t="s">
        <v>780</v>
      </c>
      <c r="J26" s="547" t="s">
        <v>781</v>
      </c>
      <c r="K26" s="546" t="s">
        <v>741</v>
      </c>
      <c r="L26" s="547" t="s">
        <v>711</v>
      </c>
      <c r="M26" s="548">
        <v>3.04E-2</v>
      </c>
      <c r="N26" s="548">
        <v>3.04E-2</v>
      </c>
      <c r="O26" s="548">
        <v>3.04E-2</v>
      </c>
      <c r="P26" s="548">
        <v>3.04E-2</v>
      </c>
      <c r="Q26" s="548">
        <v>3.04E-2</v>
      </c>
      <c r="S26" s="555" t="str">
        <f t="shared" si="1"/>
        <v>020:東京都市サービス株式会社 府中日鋼町地域残差</v>
      </c>
      <c r="T26" s="556">
        <f t="shared" si="2"/>
        <v>3.04E-2</v>
      </c>
    </row>
    <row r="27" spans="2:20">
      <c r="B27" s="146" t="s">
        <v>818</v>
      </c>
      <c r="C27" s="146" t="s">
        <v>819</v>
      </c>
      <c r="D27" s="146"/>
      <c r="E27" s="543" t="str">
        <f t="shared" si="0"/>
        <v xml:space="preserve">033:新宿熱供給株式会社 </v>
      </c>
      <c r="I27" s="549" t="s">
        <v>780</v>
      </c>
      <c r="J27" s="547" t="s">
        <v>781</v>
      </c>
      <c r="K27" s="546" t="s">
        <v>742</v>
      </c>
      <c r="L27" s="547"/>
      <c r="M27" s="548">
        <v>3.4599999999999999E-2</v>
      </c>
      <c r="N27" s="548">
        <v>3.4599999999999999E-2</v>
      </c>
      <c r="O27" s="548">
        <v>3.4599999999999999E-2</v>
      </c>
      <c r="P27" s="548">
        <v>3.4599999999999999E-2</v>
      </c>
      <c r="Q27" s="548">
        <v>3.4599999999999999E-2</v>
      </c>
      <c r="S27" s="555" t="str">
        <f t="shared" si="1"/>
        <v>020:東京都市サービス株式会社 横浜市北仲通南地域</v>
      </c>
      <c r="T27" s="556">
        <f t="shared" si="2"/>
        <v>3.4599999999999999E-2</v>
      </c>
    </row>
    <row r="28" spans="2:20">
      <c r="B28" s="146" t="s">
        <v>783</v>
      </c>
      <c r="C28" s="146" t="s">
        <v>748</v>
      </c>
      <c r="D28" s="146" t="s">
        <v>820</v>
      </c>
      <c r="E28" s="543" t="str">
        <f t="shared" si="0"/>
        <v>039:株式会社福岡エネルギーサービス シーサイドももち地域</v>
      </c>
      <c r="I28" s="545" t="s">
        <v>743</v>
      </c>
      <c r="J28" s="547" t="s">
        <v>744</v>
      </c>
      <c r="K28" s="547"/>
      <c r="L28" s="547" t="s">
        <v>447</v>
      </c>
      <c r="M28" s="550">
        <v>0</v>
      </c>
      <c r="N28" s="550">
        <v>0</v>
      </c>
      <c r="O28" s="550">
        <v>0</v>
      </c>
      <c r="P28" s="550">
        <v>0</v>
      </c>
      <c r="Q28" s="550">
        <v>0</v>
      </c>
      <c r="S28" s="555" t="str">
        <f t="shared" si="1"/>
        <v>024:みなとみらい二十一熱供給株式会社 メニューA</v>
      </c>
      <c r="T28" s="556">
        <f t="shared" si="2"/>
        <v>0</v>
      </c>
    </row>
    <row r="29" spans="2:20">
      <c r="B29" s="146" t="s">
        <v>783</v>
      </c>
      <c r="C29" s="146" t="s">
        <v>748</v>
      </c>
      <c r="D29" s="146" t="s">
        <v>750</v>
      </c>
      <c r="E29" s="543" t="str">
        <f t="shared" si="0"/>
        <v>039:株式会社福岡エネルギーサービス 西鉄福岡駅再開発地域</v>
      </c>
      <c r="I29" s="549" t="s">
        <v>782</v>
      </c>
      <c r="J29" s="547" t="s">
        <v>744</v>
      </c>
      <c r="K29" s="547"/>
      <c r="L29" s="547" t="s">
        <v>775</v>
      </c>
      <c r="M29" s="550">
        <v>0</v>
      </c>
      <c r="N29" s="550">
        <v>0</v>
      </c>
      <c r="O29" s="550">
        <v>0</v>
      </c>
      <c r="P29" s="550">
        <v>0</v>
      </c>
      <c r="Q29" s="550">
        <v>0</v>
      </c>
      <c r="S29" s="555" t="str">
        <f t="shared" si="1"/>
        <v>024:みなとみらい二十一熱供給株式会社 メニューB</v>
      </c>
      <c r="T29" s="556">
        <f t="shared" si="2"/>
        <v>0</v>
      </c>
    </row>
    <row r="30" spans="2:20">
      <c r="B30" s="146" t="s">
        <v>783</v>
      </c>
      <c r="C30" s="146" t="s">
        <v>748</v>
      </c>
      <c r="D30" s="146" t="s">
        <v>751</v>
      </c>
      <c r="E30" s="543" t="str">
        <f t="shared" si="0"/>
        <v>039:株式会社福岡エネルギーサービス 下川端再開発地域</v>
      </c>
      <c r="I30" s="549" t="s">
        <v>782</v>
      </c>
      <c r="J30" s="547" t="s">
        <v>744</v>
      </c>
      <c r="K30" s="547"/>
      <c r="L30" s="547" t="s">
        <v>711</v>
      </c>
      <c r="M30" s="550">
        <v>4.5699999999999998E-2</v>
      </c>
      <c r="N30" s="550">
        <v>4.5699999999999998E-2</v>
      </c>
      <c r="O30" s="550">
        <v>4.5699999999999998E-2</v>
      </c>
      <c r="P30" s="550">
        <v>4.5699999999999998E-2</v>
      </c>
      <c r="Q30" s="550">
        <v>4.5699999999999998E-2</v>
      </c>
      <c r="S30" s="555" t="str">
        <f t="shared" si="1"/>
        <v>024:みなとみらい二十一熱供給株式会社 残差</v>
      </c>
      <c r="T30" s="556">
        <f t="shared" si="2"/>
        <v>4.5699999999999998E-2</v>
      </c>
    </row>
    <row r="31" spans="2:20">
      <c r="B31" s="146" t="s">
        <v>821</v>
      </c>
      <c r="C31" s="146" t="s">
        <v>822</v>
      </c>
      <c r="D31" s="146" t="s">
        <v>754</v>
      </c>
      <c r="E31" s="543" t="str">
        <f t="shared" si="0"/>
        <v>047:東京下水道エネルギー株式会社　後楽事業所 後楽一丁目地域</v>
      </c>
      <c r="I31" s="549" t="s">
        <v>745</v>
      </c>
      <c r="J31" s="546" t="s">
        <v>746</v>
      </c>
      <c r="K31" s="547"/>
      <c r="L31" s="551"/>
      <c r="M31" s="552">
        <v>4.8899999999999999E-2</v>
      </c>
      <c r="N31" s="552">
        <v>4.8899999999999999E-2</v>
      </c>
      <c r="O31" s="552">
        <v>4.8899999999999999E-2</v>
      </c>
      <c r="P31" s="552">
        <v>4.8899999999999999E-2</v>
      </c>
      <c r="Q31" s="552">
        <v>4.8899999999999999E-2</v>
      </c>
      <c r="S31" s="555" t="str">
        <f t="shared" si="1"/>
        <v xml:space="preserve">033:新宿熱供給株式会社 </v>
      </c>
      <c r="T31" s="556">
        <f t="shared" si="2"/>
        <v>4.8899999999999999E-2</v>
      </c>
    </row>
    <row r="32" spans="2:20">
      <c r="B32" s="146" t="s">
        <v>823</v>
      </c>
      <c r="C32" s="146" t="s">
        <v>824</v>
      </c>
      <c r="D32" s="146"/>
      <c r="E32" s="543" t="str">
        <f t="shared" si="0"/>
        <v xml:space="preserve">050:新宿南エネルギーサービス株式会社 </v>
      </c>
      <c r="I32" s="545" t="s">
        <v>747</v>
      </c>
      <c r="J32" s="547" t="s">
        <v>748</v>
      </c>
      <c r="K32" s="547" t="s">
        <v>749</v>
      </c>
      <c r="L32" s="547"/>
      <c r="M32" s="550">
        <v>4.2299999999999997E-2</v>
      </c>
      <c r="N32" s="550">
        <v>4.2299999999999997E-2</v>
      </c>
      <c r="O32" s="550">
        <v>4.2299999999999997E-2</v>
      </c>
      <c r="P32" s="550">
        <v>4.2299999999999997E-2</v>
      </c>
      <c r="Q32" s="550">
        <v>4.2299999999999997E-2</v>
      </c>
      <c r="S32" s="555" t="str">
        <f t="shared" si="1"/>
        <v>039:株式会社福岡エネルギーサービス シーサイドももち地域</v>
      </c>
      <c r="T32" s="556">
        <f t="shared" si="2"/>
        <v>4.2299999999999997E-2</v>
      </c>
    </row>
    <row r="33" spans="2:20">
      <c r="B33" s="146" t="s">
        <v>757</v>
      </c>
      <c r="C33" s="146" t="s">
        <v>825</v>
      </c>
      <c r="D33" s="146"/>
      <c r="E33" s="543" t="str">
        <f t="shared" si="0"/>
        <v xml:space="preserve">057:錦糸町熱供給株式会社 </v>
      </c>
      <c r="I33" s="549" t="s">
        <v>783</v>
      </c>
      <c r="J33" s="547" t="s">
        <v>748</v>
      </c>
      <c r="K33" s="547" t="s">
        <v>750</v>
      </c>
      <c r="L33" s="547"/>
      <c r="M33" s="550">
        <v>3.49E-2</v>
      </c>
      <c r="N33" s="550">
        <v>3.49E-2</v>
      </c>
      <c r="O33" s="550">
        <v>3.49E-2</v>
      </c>
      <c r="P33" s="550">
        <v>3.49E-2</v>
      </c>
      <c r="Q33" s="550">
        <v>3.49E-2</v>
      </c>
      <c r="S33" s="555" t="str">
        <f t="shared" si="1"/>
        <v>039:株式会社福岡エネルギーサービス 西鉄福岡駅再開発地域</v>
      </c>
      <c r="T33" s="556">
        <f t="shared" si="2"/>
        <v>3.49E-2</v>
      </c>
    </row>
    <row r="34" spans="2:20">
      <c r="B34" s="146" t="s">
        <v>759</v>
      </c>
      <c r="C34" s="146" t="s">
        <v>760</v>
      </c>
      <c r="D34" s="146" t="s">
        <v>761</v>
      </c>
      <c r="E34" s="543" t="str">
        <f t="shared" si="0"/>
        <v>058:品川熱供給株式会社 品川東口南地域</v>
      </c>
      <c r="I34" s="549" t="s">
        <v>783</v>
      </c>
      <c r="J34" s="547" t="s">
        <v>748</v>
      </c>
      <c r="K34" s="547" t="s">
        <v>751</v>
      </c>
      <c r="L34" s="547"/>
      <c r="M34" s="550">
        <v>5.5599999999999997E-2</v>
      </c>
      <c r="N34" s="550">
        <v>5.5599999999999997E-2</v>
      </c>
      <c r="O34" s="550">
        <v>5.5599999999999997E-2</v>
      </c>
      <c r="P34" s="550">
        <v>5.5599999999999997E-2</v>
      </c>
      <c r="Q34" s="550">
        <v>5.5599999999999997E-2</v>
      </c>
      <c r="S34" s="555" t="str">
        <f t="shared" si="1"/>
        <v>039:株式会社福岡エネルギーサービス 下川端再開発地域</v>
      </c>
      <c r="T34" s="556">
        <f t="shared" si="2"/>
        <v>5.5599999999999997E-2</v>
      </c>
    </row>
    <row r="35" spans="2:20">
      <c r="B35" s="146" t="s">
        <v>826</v>
      </c>
      <c r="C35" s="146" t="s">
        <v>763</v>
      </c>
      <c r="D35" s="146"/>
      <c r="E35" s="543" t="str">
        <f t="shared" si="0"/>
        <v xml:space="preserve">064:山王熱供給株式会社 </v>
      </c>
      <c r="I35" s="549" t="s">
        <v>752</v>
      </c>
      <c r="J35" s="546" t="s">
        <v>753</v>
      </c>
      <c r="K35" s="546" t="s">
        <v>754</v>
      </c>
      <c r="L35" s="551"/>
      <c r="M35" s="552">
        <v>3.5900000000000001E-2</v>
      </c>
      <c r="N35" s="552">
        <v>3.5900000000000001E-2</v>
      </c>
      <c r="O35" s="552">
        <v>3.5900000000000001E-2</v>
      </c>
      <c r="P35" s="552">
        <v>3.5900000000000001E-2</v>
      </c>
      <c r="Q35" s="552">
        <v>3.5900000000000001E-2</v>
      </c>
      <c r="S35" s="555" t="str">
        <f t="shared" si="1"/>
        <v>047:東京下水道エネルギー株式会社　後楽事業所 後楽一丁目地域</v>
      </c>
      <c r="T35" s="556">
        <f t="shared" si="2"/>
        <v>3.5900000000000001E-2</v>
      </c>
    </row>
    <row r="36" spans="2:20">
      <c r="B36" s="146" t="s">
        <v>764</v>
      </c>
      <c r="C36" s="146" t="s">
        <v>827</v>
      </c>
      <c r="D36" s="146"/>
      <c r="E36" s="543" t="str">
        <f t="shared" si="0"/>
        <v xml:space="preserve">065:渋谷熱供給株式会社 </v>
      </c>
      <c r="I36" s="549" t="s">
        <v>755</v>
      </c>
      <c r="J36" s="547" t="s">
        <v>756</v>
      </c>
      <c r="K36" s="547"/>
      <c r="L36" s="551"/>
      <c r="M36" s="552">
        <v>4.6399999999999997E-2</v>
      </c>
      <c r="N36" s="552">
        <v>4.6399999999999997E-2</v>
      </c>
      <c r="O36" s="552">
        <v>4.6399999999999997E-2</v>
      </c>
      <c r="P36" s="552">
        <v>4.6399999999999997E-2</v>
      </c>
      <c r="Q36" s="552">
        <v>4.6399999999999997E-2</v>
      </c>
      <c r="S36" s="555" t="str">
        <f t="shared" si="1"/>
        <v xml:space="preserve">050:新宿南エネルギーサービス株式会社 </v>
      </c>
      <c r="T36" s="556">
        <f t="shared" si="2"/>
        <v>4.6399999999999997E-2</v>
      </c>
    </row>
    <row r="37" spans="2:20">
      <c r="B37" s="146" t="s">
        <v>828</v>
      </c>
      <c r="C37" s="146" t="s">
        <v>829</v>
      </c>
      <c r="D37" s="146"/>
      <c r="E37" s="543" t="str">
        <f t="shared" si="0"/>
        <v xml:space="preserve">069:品川エネルギーサービス株式会社 </v>
      </c>
      <c r="I37" s="549" t="s">
        <v>757</v>
      </c>
      <c r="J37" s="547" t="s">
        <v>758</v>
      </c>
      <c r="K37" s="547"/>
      <c r="L37" s="547"/>
      <c r="M37" s="553">
        <v>0.04</v>
      </c>
      <c r="N37" s="553">
        <v>0.04</v>
      </c>
      <c r="O37" s="553">
        <v>0.04</v>
      </c>
      <c r="P37" s="553">
        <v>0.04</v>
      </c>
      <c r="Q37" s="553">
        <v>0.04</v>
      </c>
      <c r="S37" s="555" t="str">
        <f t="shared" si="1"/>
        <v xml:space="preserve">057:錦糸町熱供給株式会社 </v>
      </c>
      <c r="T37" s="556">
        <f t="shared" si="2"/>
        <v>0.04</v>
      </c>
    </row>
    <row r="38" spans="2:20">
      <c r="B38" s="146" t="s">
        <v>830</v>
      </c>
      <c r="C38" s="146" t="s">
        <v>831</v>
      </c>
      <c r="D38" s="146" t="s">
        <v>769</v>
      </c>
      <c r="E38" s="543" t="str">
        <f t="shared" si="0"/>
        <v>073:ＤＨＣ名古屋株式会社 名駅東地域</v>
      </c>
      <c r="I38" s="549" t="s">
        <v>759</v>
      </c>
      <c r="J38" s="547" t="s">
        <v>760</v>
      </c>
      <c r="K38" s="547" t="s">
        <v>761</v>
      </c>
      <c r="L38" s="547"/>
      <c r="M38" s="553">
        <v>4.2299999999999997E-2</v>
      </c>
      <c r="N38" s="553">
        <v>4.2299999999999997E-2</v>
      </c>
      <c r="O38" s="553">
        <v>4.2299999999999997E-2</v>
      </c>
      <c r="P38" s="553">
        <v>4.2299999999999997E-2</v>
      </c>
      <c r="Q38" s="553">
        <v>4.2299999999999997E-2</v>
      </c>
      <c r="S38" s="555" t="str">
        <f t="shared" si="1"/>
        <v>058:品川熱供給株式会社 品川東口南地域</v>
      </c>
      <c r="T38" s="556">
        <f t="shared" si="2"/>
        <v>4.2299999999999997E-2</v>
      </c>
    </row>
    <row r="39" spans="2:20">
      <c r="B39" s="146" t="s">
        <v>784</v>
      </c>
      <c r="C39" s="146" t="s">
        <v>771</v>
      </c>
      <c r="D39" s="146" t="s">
        <v>772</v>
      </c>
      <c r="E39" s="543" t="str">
        <f t="shared" si="0"/>
        <v>079:虎ノ門エネルギーネットワーク株式会社 虎ノ門一・二丁目地域</v>
      </c>
      <c r="I39" s="549" t="s">
        <v>762</v>
      </c>
      <c r="J39" s="547" t="s">
        <v>763</v>
      </c>
      <c r="K39" s="547"/>
      <c r="L39" s="547"/>
      <c r="M39" s="553">
        <v>4.36E-2</v>
      </c>
      <c r="N39" s="553">
        <v>4.36E-2</v>
      </c>
      <c r="O39" s="553">
        <v>4.36E-2</v>
      </c>
      <c r="P39" s="553">
        <v>4.36E-2</v>
      </c>
      <c r="Q39" s="553">
        <v>4.36E-2</v>
      </c>
      <c r="S39" s="555" t="str">
        <f t="shared" si="1"/>
        <v xml:space="preserve">064:山王熱供給株式会社 </v>
      </c>
      <c r="T39" s="556">
        <f t="shared" si="2"/>
        <v>4.36E-2</v>
      </c>
    </row>
    <row r="40" spans="2:20">
      <c r="B40" s="146" t="s">
        <v>784</v>
      </c>
      <c r="C40" s="146" t="s">
        <v>771</v>
      </c>
      <c r="D40" s="146" t="s">
        <v>773</v>
      </c>
      <c r="E40" s="543" t="str">
        <f t="shared" si="0"/>
        <v>079:虎ノ門エネルギーネットワーク株式会社 虎ノ門・麻布台地域</v>
      </c>
      <c r="I40" s="549" t="s">
        <v>764</v>
      </c>
      <c r="J40" s="547" t="s">
        <v>765</v>
      </c>
      <c r="K40" s="547"/>
      <c r="L40" s="547"/>
      <c r="M40" s="553">
        <v>0.05</v>
      </c>
      <c r="N40" s="553">
        <v>0.05</v>
      </c>
      <c r="O40" s="553">
        <v>0.05</v>
      </c>
      <c r="P40" s="553">
        <v>0.05</v>
      </c>
      <c r="Q40" s="553">
        <v>0.05</v>
      </c>
      <c r="S40" s="555" t="str">
        <f t="shared" si="1"/>
        <v xml:space="preserve">065:渋谷熱供給株式会社 </v>
      </c>
      <c r="T40" s="556">
        <f t="shared" si="2"/>
        <v>0.05</v>
      </c>
    </row>
    <row r="41" spans="2:20">
      <c r="B41" s="146"/>
      <c r="C41" s="146"/>
      <c r="D41" s="146"/>
      <c r="E41" s="543" t="str">
        <f t="shared" si="0"/>
        <v/>
      </c>
      <c r="I41" s="545" t="s">
        <v>766</v>
      </c>
      <c r="J41" s="547" t="s">
        <v>776</v>
      </c>
      <c r="K41" s="547"/>
      <c r="L41" s="547"/>
      <c r="M41" s="553">
        <v>4.3799999999999999E-2</v>
      </c>
      <c r="N41" s="553">
        <v>4.3799999999999999E-2</v>
      </c>
      <c r="O41" s="553">
        <v>4.3799999999999999E-2</v>
      </c>
      <c r="P41" s="553">
        <v>4.3799999999999999E-2</v>
      </c>
      <c r="Q41" s="553">
        <v>4.3799999999999999E-2</v>
      </c>
      <c r="S41" s="555" t="str">
        <f t="shared" si="1"/>
        <v xml:space="preserve">069:品川エネルギーサービス株式会社 </v>
      </c>
      <c r="T41" s="556">
        <f t="shared" si="2"/>
        <v>4.3799999999999999E-2</v>
      </c>
    </row>
    <row r="42" spans="2:20">
      <c r="B42" s="146"/>
      <c r="C42" s="146"/>
      <c r="D42" s="146"/>
      <c r="E42" s="543" t="str">
        <f t="shared" si="0"/>
        <v/>
      </c>
      <c r="I42" s="545" t="s">
        <v>767</v>
      </c>
      <c r="J42" s="546" t="s">
        <v>768</v>
      </c>
      <c r="K42" s="546" t="s">
        <v>769</v>
      </c>
      <c r="L42" s="547"/>
      <c r="M42" s="553">
        <v>3.4799999999999998E-2</v>
      </c>
      <c r="N42" s="553">
        <v>3.4799999999999998E-2</v>
      </c>
      <c r="O42" s="553">
        <v>3.4799999999999998E-2</v>
      </c>
      <c r="P42" s="553">
        <v>3.4799999999999998E-2</v>
      </c>
      <c r="Q42" s="553">
        <v>3.4799999999999998E-2</v>
      </c>
      <c r="S42" s="555" t="str">
        <f t="shared" si="1"/>
        <v>073:ＤＨＣ名古屋株式会社 名駅東地域</v>
      </c>
      <c r="T42" s="556">
        <f t="shared" si="2"/>
        <v>3.4799999999999998E-2</v>
      </c>
    </row>
    <row r="43" spans="2:20">
      <c r="B43" s="146"/>
      <c r="C43" s="146"/>
      <c r="D43" s="146"/>
      <c r="E43" s="543" t="str">
        <f t="shared" si="0"/>
        <v/>
      </c>
      <c r="I43" s="545" t="s">
        <v>770</v>
      </c>
      <c r="J43" s="547" t="s">
        <v>771</v>
      </c>
      <c r="K43" s="547" t="s">
        <v>772</v>
      </c>
      <c r="L43" s="554"/>
      <c r="M43" s="548">
        <v>4.3799999999999999E-2</v>
      </c>
      <c r="N43" s="548">
        <v>4.3799999999999999E-2</v>
      </c>
      <c r="O43" s="548">
        <v>4.3799999999999999E-2</v>
      </c>
      <c r="P43" s="548">
        <v>4.3799999999999999E-2</v>
      </c>
      <c r="Q43" s="548">
        <v>4.3799999999999999E-2</v>
      </c>
      <c r="S43" s="555" t="str">
        <f t="shared" si="1"/>
        <v>079:虎ノ門エネルギーネットワーク株式会社 虎ノ門一・二丁目地域</v>
      </c>
      <c r="T43" s="556">
        <f t="shared" si="2"/>
        <v>4.3799999999999999E-2</v>
      </c>
    </row>
    <row r="44" spans="2:20">
      <c r="B44" s="146"/>
      <c r="C44" s="146"/>
      <c r="D44" s="146"/>
      <c r="E44" s="543" t="str">
        <f t="shared" si="0"/>
        <v/>
      </c>
      <c r="I44" s="549" t="s">
        <v>784</v>
      </c>
      <c r="J44" s="547" t="s">
        <v>771</v>
      </c>
      <c r="K44" s="547" t="s">
        <v>773</v>
      </c>
      <c r="L44" s="554"/>
      <c r="M44" s="548">
        <v>4.2000000000000003E-2</v>
      </c>
      <c r="N44" s="548">
        <v>4.2000000000000003E-2</v>
      </c>
      <c r="O44" s="548">
        <v>4.2000000000000003E-2</v>
      </c>
      <c r="P44" s="548">
        <v>4.2000000000000003E-2</v>
      </c>
      <c r="Q44" s="548">
        <v>4.2000000000000003E-2</v>
      </c>
      <c r="S44" s="555" t="str">
        <f t="shared" si="1"/>
        <v>079:虎ノ門エネルギーネットワーク株式会社 虎ノ門・麻布台地域</v>
      </c>
      <c r="T44" s="556">
        <f t="shared" si="2"/>
        <v>4.2000000000000003E-2</v>
      </c>
    </row>
    <row r="45" spans="2:20">
      <c r="B45" s="146"/>
      <c r="C45" s="146"/>
      <c r="D45" s="146"/>
      <c r="E45" s="543" t="str">
        <f t="shared" si="0"/>
        <v/>
      </c>
      <c r="I45" s="216"/>
      <c r="J45" s="217"/>
      <c r="K45" s="217"/>
      <c r="L45" s="215"/>
      <c r="M45" s="220"/>
      <c r="N45" s="220"/>
      <c r="O45" s="220"/>
      <c r="P45" s="220"/>
      <c r="Q45" s="220"/>
      <c r="S45" s="221" t="str">
        <f t="shared" ref="S45:S108" si="3">I45&amp;":"&amp;J45&amp;" "&amp;K45&amp;L45</f>
        <v xml:space="preserve">: </v>
      </c>
      <c r="T45" s="556">
        <f t="shared" si="2"/>
        <v>0</v>
      </c>
    </row>
    <row r="46" spans="2:20">
      <c r="B46" s="146"/>
      <c r="C46" s="146"/>
      <c r="D46" s="146"/>
      <c r="E46" s="543" t="str">
        <f t="shared" si="0"/>
        <v/>
      </c>
      <c r="I46" s="216"/>
      <c r="J46" s="217"/>
      <c r="K46" s="217"/>
      <c r="L46" s="215"/>
      <c r="M46" s="220"/>
      <c r="N46" s="220"/>
      <c r="O46" s="220"/>
      <c r="P46" s="220"/>
      <c r="Q46" s="220"/>
      <c r="S46" s="221" t="str">
        <f t="shared" si="3"/>
        <v xml:space="preserve">: </v>
      </c>
      <c r="T46" s="556">
        <f t="shared" si="2"/>
        <v>0</v>
      </c>
    </row>
    <row r="47" spans="2:20">
      <c r="B47" s="146"/>
      <c r="C47" s="146"/>
      <c r="D47" s="146"/>
      <c r="E47" s="543" t="str">
        <f t="shared" si="0"/>
        <v/>
      </c>
      <c r="I47" s="216"/>
      <c r="J47" s="217"/>
      <c r="K47" s="217"/>
      <c r="L47" s="215"/>
      <c r="M47" s="220"/>
      <c r="N47" s="220"/>
      <c r="O47" s="220"/>
      <c r="P47" s="220"/>
      <c r="Q47" s="220"/>
      <c r="S47" s="221" t="str">
        <f t="shared" si="3"/>
        <v xml:space="preserve">: </v>
      </c>
      <c r="T47" s="556">
        <f t="shared" si="2"/>
        <v>0</v>
      </c>
    </row>
    <row r="48" spans="2:20">
      <c r="B48" s="146"/>
      <c r="C48" s="146"/>
      <c r="D48" s="146"/>
      <c r="E48" s="543" t="str">
        <f t="shared" si="0"/>
        <v/>
      </c>
      <c r="I48" s="216"/>
      <c r="J48" s="217"/>
      <c r="K48" s="217"/>
      <c r="L48" s="215"/>
      <c r="M48" s="220"/>
      <c r="N48" s="220"/>
      <c r="O48" s="220"/>
      <c r="P48" s="220"/>
      <c r="Q48" s="220"/>
      <c r="S48" s="221" t="str">
        <f t="shared" si="3"/>
        <v xml:space="preserve">: </v>
      </c>
      <c r="T48" s="556">
        <f t="shared" si="2"/>
        <v>0</v>
      </c>
    </row>
    <row r="49" spans="2:20">
      <c r="B49" s="146"/>
      <c r="C49" s="146"/>
      <c r="D49" s="146"/>
      <c r="E49" s="543" t="str">
        <f t="shared" si="0"/>
        <v/>
      </c>
      <c r="I49" s="216"/>
      <c r="J49" s="217"/>
      <c r="K49" s="217"/>
      <c r="L49" s="215"/>
      <c r="M49" s="220"/>
      <c r="N49" s="220"/>
      <c r="O49" s="220"/>
      <c r="P49" s="220"/>
      <c r="Q49" s="220"/>
      <c r="S49" s="221" t="str">
        <f t="shared" si="3"/>
        <v xml:space="preserve">: </v>
      </c>
      <c r="T49" s="556">
        <f t="shared" si="2"/>
        <v>0</v>
      </c>
    </row>
    <row r="50" spans="2:20">
      <c r="B50" s="146"/>
      <c r="C50" s="146"/>
      <c r="D50" s="146"/>
      <c r="E50" s="543" t="str">
        <f t="shared" si="0"/>
        <v/>
      </c>
      <c r="I50" s="216"/>
      <c r="J50" s="217"/>
      <c r="K50" s="217"/>
      <c r="L50" s="215"/>
      <c r="M50" s="220"/>
      <c r="N50" s="220"/>
      <c r="O50" s="220"/>
      <c r="P50" s="220"/>
      <c r="Q50" s="220"/>
      <c r="S50" s="221" t="str">
        <f t="shared" si="3"/>
        <v xml:space="preserve">: </v>
      </c>
      <c r="T50" s="556">
        <f t="shared" si="2"/>
        <v>0</v>
      </c>
    </row>
    <row r="51" spans="2:20">
      <c r="B51" s="146"/>
      <c r="C51" s="146"/>
      <c r="D51" s="146"/>
      <c r="E51" s="543" t="str">
        <f t="shared" si="0"/>
        <v/>
      </c>
      <c r="I51" s="216"/>
      <c r="J51" s="217"/>
      <c r="K51" s="217"/>
      <c r="L51" s="215"/>
      <c r="M51" s="220"/>
      <c r="N51" s="220"/>
      <c r="O51" s="220"/>
      <c r="P51" s="220"/>
      <c r="Q51" s="220"/>
      <c r="S51" s="221" t="str">
        <f t="shared" si="3"/>
        <v xml:space="preserve">: </v>
      </c>
      <c r="T51" s="556">
        <f t="shared" si="2"/>
        <v>0</v>
      </c>
    </row>
    <row r="52" spans="2:20">
      <c r="B52" s="146"/>
      <c r="C52" s="146"/>
      <c r="D52" s="146"/>
      <c r="E52" s="543" t="str">
        <f t="shared" si="0"/>
        <v/>
      </c>
      <c r="I52" s="216"/>
      <c r="J52" s="217"/>
      <c r="K52" s="217"/>
      <c r="L52" s="215"/>
      <c r="M52" s="220"/>
      <c r="N52" s="220"/>
      <c r="O52" s="220"/>
      <c r="P52" s="220"/>
      <c r="Q52" s="220"/>
      <c r="S52" s="221" t="str">
        <f t="shared" si="3"/>
        <v xml:space="preserve">: </v>
      </c>
      <c r="T52" s="556">
        <f t="shared" si="2"/>
        <v>0</v>
      </c>
    </row>
    <row r="53" spans="2:20">
      <c r="B53" s="146"/>
      <c r="C53" s="146"/>
      <c r="D53" s="146"/>
      <c r="E53" s="543" t="str">
        <f t="shared" si="0"/>
        <v/>
      </c>
      <c r="I53" s="216"/>
      <c r="J53" s="217"/>
      <c r="K53" s="217"/>
      <c r="L53" s="215"/>
      <c r="M53" s="220"/>
      <c r="N53" s="220"/>
      <c r="O53" s="220"/>
      <c r="P53" s="220"/>
      <c r="Q53" s="220"/>
      <c r="S53" s="221" t="str">
        <f t="shared" si="3"/>
        <v xml:space="preserve">: </v>
      </c>
      <c r="T53" s="556">
        <f t="shared" si="2"/>
        <v>0</v>
      </c>
    </row>
    <row r="54" spans="2:20">
      <c r="B54" s="146"/>
      <c r="C54" s="146"/>
      <c r="D54" s="146"/>
      <c r="E54" s="543" t="str">
        <f t="shared" si="0"/>
        <v/>
      </c>
      <c r="I54" s="216"/>
      <c r="J54" s="217"/>
      <c r="K54" s="217"/>
      <c r="L54" s="215"/>
      <c r="M54" s="220"/>
      <c r="N54" s="220"/>
      <c r="O54" s="220"/>
      <c r="P54" s="220"/>
      <c r="Q54" s="220"/>
      <c r="S54" s="221" t="str">
        <f t="shared" si="3"/>
        <v xml:space="preserve">: </v>
      </c>
      <c r="T54" s="556">
        <f t="shared" si="2"/>
        <v>0</v>
      </c>
    </row>
    <row r="55" spans="2:20">
      <c r="B55" s="146"/>
      <c r="C55" s="146"/>
      <c r="D55" s="146"/>
      <c r="E55" s="543" t="str">
        <f t="shared" si="0"/>
        <v/>
      </c>
      <c r="I55" s="216"/>
      <c r="J55" s="217"/>
      <c r="K55" s="217"/>
      <c r="L55" s="215"/>
      <c r="M55" s="220"/>
      <c r="N55" s="220"/>
      <c r="O55" s="220"/>
      <c r="P55" s="220"/>
      <c r="Q55" s="220"/>
      <c r="S55" s="221" t="str">
        <f t="shared" si="3"/>
        <v xml:space="preserve">: </v>
      </c>
      <c r="T55" s="556">
        <f t="shared" si="2"/>
        <v>0</v>
      </c>
    </row>
    <row r="56" spans="2:20">
      <c r="B56" s="146"/>
      <c r="C56" s="146"/>
      <c r="D56" s="146"/>
      <c r="E56" s="543" t="str">
        <f t="shared" si="0"/>
        <v/>
      </c>
      <c r="I56" s="216"/>
      <c r="J56" s="217"/>
      <c r="K56" s="217"/>
      <c r="L56" s="215"/>
      <c r="M56" s="220"/>
      <c r="N56" s="220"/>
      <c r="O56" s="220"/>
      <c r="P56" s="220"/>
      <c r="Q56" s="220"/>
      <c r="S56" s="221" t="str">
        <f t="shared" si="3"/>
        <v xml:space="preserve">: </v>
      </c>
      <c r="T56" s="556">
        <f t="shared" si="2"/>
        <v>0</v>
      </c>
    </row>
    <row r="57" spans="2:20">
      <c r="B57" s="146"/>
      <c r="C57" s="146"/>
      <c r="D57" s="146"/>
      <c r="E57" s="543" t="str">
        <f t="shared" si="0"/>
        <v/>
      </c>
      <c r="I57" s="216"/>
      <c r="J57" s="217"/>
      <c r="K57" s="217"/>
      <c r="L57" s="215"/>
      <c r="M57" s="220"/>
      <c r="N57" s="220"/>
      <c r="O57" s="220"/>
      <c r="P57" s="220"/>
      <c r="Q57" s="220"/>
      <c r="S57" s="221" t="str">
        <f t="shared" si="3"/>
        <v xml:space="preserve">: </v>
      </c>
      <c r="T57" s="556">
        <f t="shared" si="2"/>
        <v>0</v>
      </c>
    </row>
    <row r="58" spans="2:20">
      <c r="B58" s="146"/>
      <c r="C58" s="146"/>
      <c r="D58" s="146"/>
      <c r="E58" s="543" t="str">
        <f t="shared" si="0"/>
        <v/>
      </c>
      <c r="I58" s="216"/>
      <c r="J58" s="217"/>
      <c r="K58" s="217"/>
      <c r="L58" s="215"/>
      <c r="M58" s="220"/>
      <c r="N58" s="220"/>
      <c r="O58" s="220"/>
      <c r="P58" s="220"/>
      <c r="Q58" s="220"/>
      <c r="S58" s="221" t="str">
        <f t="shared" si="3"/>
        <v xml:space="preserve">: </v>
      </c>
      <c r="T58" s="556">
        <f t="shared" si="2"/>
        <v>0</v>
      </c>
    </row>
    <row r="59" spans="2:20">
      <c r="B59" s="146"/>
      <c r="C59" s="146"/>
      <c r="D59" s="146"/>
      <c r="E59" s="543" t="str">
        <f t="shared" si="0"/>
        <v/>
      </c>
      <c r="I59" s="216"/>
      <c r="J59" s="217"/>
      <c r="K59" s="217"/>
      <c r="L59" s="215"/>
      <c r="M59" s="220"/>
      <c r="N59" s="220"/>
      <c r="O59" s="220"/>
      <c r="P59" s="220"/>
      <c r="Q59" s="220"/>
      <c r="S59" s="221" t="str">
        <f t="shared" si="3"/>
        <v xml:space="preserve">: </v>
      </c>
      <c r="T59" s="556">
        <f t="shared" si="2"/>
        <v>0</v>
      </c>
    </row>
    <row r="60" spans="2:20">
      <c r="B60" s="146"/>
      <c r="C60" s="146"/>
      <c r="D60" s="146"/>
      <c r="E60" s="543" t="str">
        <f t="shared" si="0"/>
        <v/>
      </c>
      <c r="I60" s="216"/>
      <c r="J60" s="217"/>
      <c r="K60" s="217"/>
      <c r="L60" s="215"/>
      <c r="M60" s="220"/>
      <c r="N60" s="220"/>
      <c r="O60" s="220"/>
      <c r="P60" s="220"/>
      <c r="Q60" s="220"/>
      <c r="S60" s="221" t="str">
        <f t="shared" si="3"/>
        <v xml:space="preserve">: </v>
      </c>
      <c r="T60" s="556">
        <f t="shared" si="2"/>
        <v>0</v>
      </c>
    </row>
    <row r="61" spans="2:20">
      <c r="B61" s="146"/>
      <c r="C61" s="146"/>
      <c r="D61" s="146"/>
      <c r="E61" s="543" t="str">
        <f t="shared" si="0"/>
        <v/>
      </c>
      <c r="I61" s="216"/>
      <c r="J61" s="217"/>
      <c r="K61" s="217"/>
      <c r="L61" s="215"/>
      <c r="M61" s="220"/>
      <c r="N61" s="220"/>
      <c r="O61" s="220"/>
      <c r="P61" s="220"/>
      <c r="Q61" s="220"/>
      <c r="S61" s="221" t="str">
        <f t="shared" si="3"/>
        <v xml:space="preserve">: </v>
      </c>
      <c r="T61" s="556">
        <f t="shared" si="2"/>
        <v>0</v>
      </c>
    </row>
    <row r="62" spans="2:20">
      <c r="B62" s="146"/>
      <c r="C62" s="146"/>
      <c r="D62" s="146"/>
      <c r="E62" s="543" t="str">
        <f t="shared" si="0"/>
        <v/>
      </c>
      <c r="I62" s="216"/>
      <c r="J62" s="217"/>
      <c r="K62" s="217"/>
      <c r="L62" s="215"/>
      <c r="M62" s="220"/>
      <c r="N62" s="220"/>
      <c r="O62" s="220"/>
      <c r="P62" s="220"/>
      <c r="Q62" s="220"/>
      <c r="S62" s="221" t="str">
        <f t="shared" si="3"/>
        <v xml:space="preserve">: </v>
      </c>
      <c r="T62" s="556">
        <f t="shared" si="2"/>
        <v>0</v>
      </c>
    </row>
    <row r="63" spans="2:20">
      <c r="B63" s="146"/>
      <c r="C63" s="146"/>
      <c r="D63" s="146"/>
      <c r="E63" s="543" t="str">
        <f t="shared" si="0"/>
        <v/>
      </c>
      <c r="I63" s="216"/>
      <c r="J63" s="217"/>
      <c r="K63" s="217"/>
      <c r="L63" s="215"/>
      <c r="M63" s="220"/>
      <c r="N63" s="220"/>
      <c r="O63" s="220"/>
      <c r="P63" s="220"/>
      <c r="Q63" s="220"/>
      <c r="S63" s="221" t="str">
        <f t="shared" si="3"/>
        <v xml:space="preserve">: </v>
      </c>
      <c r="T63" s="556">
        <f t="shared" si="2"/>
        <v>0</v>
      </c>
    </row>
    <row r="64" spans="2:20">
      <c r="B64" s="146"/>
      <c r="C64" s="146"/>
      <c r="D64" s="146"/>
      <c r="E64" s="543" t="str">
        <f t="shared" si="0"/>
        <v/>
      </c>
      <c r="I64" s="216"/>
      <c r="J64" s="217"/>
      <c r="K64" s="217"/>
      <c r="L64" s="215"/>
      <c r="M64" s="220"/>
      <c r="N64" s="220"/>
      <c r="O64" s="220"/>
      <c r="P64" s="220"/>
      <c r="Q64" s="220"/>
      <c r="S64" s="221" t="str">
        <f t="shared" si="3"/>
        <v xml:space="preserve">: </v>
      </c>
      <c r="T64" s="556">
        <f t="shared" si="2"/>
        <v>0</v>
      </c>
    </row>
    <row r="65" spans="2:20">
      <c r="B65" s="146"/>
      <c r="C65" s="146"/>
      <c r="D65" s="146"/>
      <c r="E65" s="543" t="str">
        <f t="shared" si="0"/>
        <v/>
      </c>
      <c r="I65" s="216"/>
      <c r="J65" s="217"/>
      <c r="K65" s="217"/>
      <c r="L65" s="215"/>
      <c r="M65" s="220"/>
      <c r="N65" s="220"/>
      <c r="O65" s="220"/>
      <c r="P65" s="220"/>
      <c r="Q65" s="220"/>
      <c r="S65" s="221" t="str">
        <f t="shared" si="3"/>
        <v xml:space="preserve">: </v>
      </c>
      <c r="T65" s="556">
        <f t="shared" si="2"/>
        <v>0</v>
      </c>
    </row>
    <row r="66" spans="2:20">
      <c r="B66" s="146"/>
      <c r="C66" s="146"/>
      <c r="D66" s="146"/>
      <c r="E66" s="543" t="str">
        <f t="shared" si="0"/>
        <v/>
      </c>
      <c r="I66" s="216"/>
      <c r="J66" s="217"/>
      <c r="K66" s="217"/>
      <c r="L66" s="215"/>
      <c r="M66" s="220"/>
      <c r="N66" s="220"/>
      <c r="O66" s="220"/>
      <c r="P66" s="220"/>
      <c r="Q66" s="220"/>
      <c r="S66" s="221" t="str">
        <f t="shared" si="3"/>
        <v xml:space="preserve">: </v>
      </c>
      <c r="T66" s="556">
        <f t="shared" si="2"/>
        <v>0</v>
      </c>
    </row>
    <row r="67" spans="2:20">
      <c r="B67" s="146"/>
      <c r="C67" s="146"/>
      <c r="D67" s="146"/>
      <c r="E67" s="543" t="str">
        <f t="shared" si="0"/>
        <v/>
      </c>
      <c r="I67" s="216"/>
      <c r="J67" s="217"/>
      <c r="K67" s="217"/>
      <c r="L67" s="215"/>
      <c r="M67" s="220"/>
      <c r="N67" s="220"/>
      <c r="O67" s="220"/>
      <c r="P67" s="220"/>
      <c r="Q67" s="220"/>
      <c r="S67" s="221" t="str">
        <f t="shared" si="3"/>
        <v xml:space="preserve">: </v>
      </c>
      <c r="T67" s="556">
        <f t="shared" si="2"/>
        <v>0</v>
      </c>
    </row>
    <row r="68" spans="2:20">
      <c r="B68" s="146"/>
      <c r="C68" s="146"/>
      <c r="D68" s="146"/>
      <c r="E68" s="543" t="str">
        <f t="shared" si="0"/>
        <v/>
      </c>
      <c r="I68" s="216"/>
      <c r="J68" s="217"/>
      <c r="K68" s="217"/>
      <c r="L68" s="215"/>
      <c r="M68" s="220"/>
      <c r="N68" s="220"/>
      <c r="O68" s="220"/>
      <c r="P68" s="220"/>
      <c r="Q68" s="220"/>
      <c r="S68" s="221" t="str">
        <f t="shared" si="3"/>
        <v xml:space="preserve">: </v>
      </c>
      <c r="T68" s="556">
        <f t="shared" si="2"/>
        <v>0</v>
      </c>
    </row>
    <row r="69" spans="2:20">
      <c r="B69" s="146"/>
      <c r="C69" s="146"/>
      <c r="D69" s="146"/>
      <c r="E69" s="543" t="str">
        <f t="shared" si="0"/>
        <v/>
      </c>
      <c r="I69" s="216"/>
      <c r="J69" s="217"/>
      <c r="K69" s="217"/>
      <c r="L69" s="215"/>
      <c r="M69" s="220"/>
      <c r="N69" s="220"/>
      <c r="O69" s="220"/>
      <c r="P69" s="220"/>
      <c r="Q69" s="220"/>
      <c r="S69" s="221" t="str">
        <f t="shared" si="3"/>
        <v xml:space="preserve">: </v>
      </c>
      <c r="T69" s="556">
        <f t="shared" si="2"/>
        <v>0</v>
      </c>
    </row>
    <row r="70" spans="2:20">
      <c r="B70" s="146"/>
      <c r="C70" s="146"/>
      <c r="D70" s="146"/>
      <c r="E70" s="543" t="str">
        <f t="shared" si="0"/>
        <v/>
      </c>
      <c r="I70" s="216"/>
      <c r="J70" s="217"/>
      <c r="K70" s="217"/>
      <c r="L70" s="215"/>
      <c r="M70" s="220"/>
      <c r="N70" s="220"/>
      <c r="O70" s="220"/>
      <c r="P70" s="220"/>
      <c r="Q70" s="220"/>
      <c r="S70" s="221" t="str">
        <f t="shared" si="3"/>
        <v xml:space="preserve">: </v>
      </c>
      <c r="T70" s="556">
        <f t="shared" si="2"/>
        <v>0</v>
      </c>
    </row>
    <row r="71" spans="2:20">
      <c r="B71" s="146"/>
      <c r="C71" s="146"/>
      <c r="D71" s="146"/>
      <c r="E71" s="543" t="str">
        <f t="shared" si="0"/>
        <v/>
      </c>
      <c r="I71" s="216"/>
      <c r="J71" s="217"/>
      <c r="K71" s="217"/>
      <c r="L71" s="215"/>
      <c r="M71" s="220"/>
      <c r="N71" s="220"/>
      <c r="O71" s="220"/>
      <c r="P71" s="220"/>
      <c r="Q71" s="220"/>
      <c r="S71" s="221" t="str">
        <f t="shared" si="3"/>
        <v xml:space="preserve">: </v>
      </c>
      <c r="T71" s="556">
        <f t="shared" si="2"/>
        <v>0</v>
      </c>
    </row>
    <row r="72" spans="2:20">
      <c r="B72" s="146"/>
      <c r="C72" s="146"/>
      <c r="D72" s="146"/>
      <c r="E72" s="543" t="str">
        <f t="shared" si="0"/>
        <v/>
      </c>
      <c r="I72" s="216"/>
      <c r="J72" s="217"/>
      <c r="K72" s="217"/>
      <c r="L72" s="215"/>
      <c r="M72" s="220"/>
      <c r="N72" s="220"/>
      <c r="O72" s="220"/>
      <c r="P72" s="220"/>
      <c r="Q72" s="220"/>
      <c r="S72" s="221" t="str">
        <f t="shared" si="3"/>
        <v xml:space="preserve">: </v>
      </c>
      <c r="T72" s="556">
        <f t="shared" si="2"/>
        <v>0</v>
      </c>
    </row>
    <row r="73" spans="2:20">
      <c r="B73" s="146"/>
      <c r="C73" s="146"/>
      <c r="D73" s="146"/>
      <c r="E73" s="543" t="str">
        <f t="shared" ref="E73:E80" si="4">IF(B73="","",B73&amp;":"&amp;C73&amp;" "&amp;D73)</f>
        <v/>
      </c>
      <c r="I73" s="216"/>
      <c r="J73" s="217"/>
      <c r="K73" s="217"/>
      <c r="L73" s="215"/>
      <c r="M73" s="220"/>
      <c r="N73" s="220"/>
      <c r="O73" s="220"/>
      <c r="P73" s="220"/>
      <c r="Q73" s="220"/>
      <c r="S73" s="221" t="str">
        <f t="shared" si="3"/>
        <v xml:space="preserve">: </v>
      </c>
      <c r="T73" s="556">
        <f t="shared" ref="T73:T136" si="5">HLOOKUP($T$7,$M$7:$Q$200,ROW()-6,FALSE)</f>
        <v>0</v>
      </c>
    </row>
    <row r="74" spans="2:20">
      <c r="B74" s="146"/>
      <c r="C74" s="146"/>
      <c r="D74" s="146"/>
      <c r="E74" s="543" t="str">
        <f t="shared" si="4"/>
        <v/>
      </c>
      <c r="I74" s="216"/>
      <c r="J74" s="217"/>
      <c r="K74" s="217"/>
      <c r="L74" s="215"/>
      <c r="M74" s="220"/>
      <c r="N74" s="220"/>
      <c r="O74" s="220"/>
      <c r="P74" s="220"/>
      <c r="Q74" s="220"/>
      <c r="S74" s="221" t="str">
        <f t="shared" si="3"/>
        <v xml:space="preserve">: </v>
      </c>
      <c r="T74" s="556">
        <f t="shared" si="5"/>
        <v>0</v>
      </c>
    </row>
    <row r="75" spans="2:20">
      <c r="B75" s="146"/>
      <c r="C75" s="146"/>
      <c r="D75" s="146"/>
      <c r="E75" s="543" t="str">
        <f t="shared" si="4"/>
        <v/>
      </c>
      <c r="I75" s="216"/>
      <c r="J75" s="217"/>
      <c r="K75" s="217"/>
      <c r="L75" s="215"/>
      <c r="M75" s="220"/>
      <c r="N75" s="220"/>
      <c r="O75" s="220"/>
      <c r="P75" s="220"/>
      <c r="Q75" s="220"/>
      <c r="S75" s="221" t="str">
        <f t="shared" si="3"/>
        <v xml:space="preserve">: </v>
      </c>
      <c r="T75" s="556">
        <f t="shared" si="5"/>
        <v>0</v>
      </c>
    </row>
    <row r="76" spans="2:20">
      <c r="B76" s="146"/>
      <c r="C76" s="146"/>
      <c r="D76" s="146"/>
      <c r="E76" s="543" t="str">
        <f t="shared" si="4"/>
        <v/>
      </c>
      <c r="I76" s="216"/>
      <c r="J76" s="217"/>
      <c r="K76" s="217"/>
      <c r="L76" s="215"/>
      <c r="M76" s="220"/>
      <c r="N76" s="220"/>
      <c r="O76" s="220"/>
      <c r="P76" s="220"/>
      <c r="Q76" s="220"/>
      <c r="S76" s="221" t="str">
        <f t="shared" si="3"/>
        <v xml:space="preserve">: </v>
      </c>
      <c r="T76" s="556">
        <f t="shared" si="5"/>
        <v>0</v>
      </c>
    </row>
    <row r="77" spans="2:20">
      <c r="B77" s="146"/>
      <c r="C77" s="146"/>
      <c r="D77" s="146"/>
      <c r="E77" s="543" t="str">
        <f t="shared" si="4"/>
        <v/>
      </c>
      <c r="I77" s="216"/>
      <c r="J77" s="217"/>
      <c r="K77" s="217"/>
      <c r="L77" s="215"/>
      <c r="M77" s="220"/>
      <c r="N77" s="220"/>
      <c r="O77" s="220"/>
      <c r="P77" s="220"/>
      <c r="Q77" s="220"/>
      <c r="S77" s="221" t="str">
        <f t="shared" si="3"/>
        <v xml:space="preserve">: </v>
      </c>
      <c r="T77" s="556">
        <f t="shared" si="5"/>
        <v>0</v>
      </c>
    </row>
    <row r="78" spans="2:20">
      <c r="B78" s="146"/>
      <c r="C78" s="146"/>
      <c r="D78" s="146"/>
      <c r="E78" s="543" t="str">
        <f t="shared" si="4"/>
        <v/>
      </c>
      <c r="I78" s="216"/>
      <c r="J78" s="217"/>
      <c r="K78" s="217"/>
      <c r="L78" s="215"/>
      <c r="M78" s="220"/>
      <c r="N78" s="220"/>
      <c r="O78" s="220"/>
      <c r="P78" s="220"/>
      <c r="Q78" s="220"/>
      <c r="S78" s="221" t="str">
        <f t="shared" si="3"/>
        <v xml:space="preserve">: </v>
      </c>
      <c r="T78" s="556">
        <f t="shared" si="5"/>
        <v>0</v>
      </c>
    </row>
    <row r="79" spans="2:20">
      <c r="B79" s="146"/>
      <c r="C79" s="146"/>
      <c r="D79" s="146"/>
      <c r="E79" s="543" t="str">
        <f t="shared" si="4"/>
        <v/>
      </c>
      <c r="I79" s="216"/>
      <c r="J79" s="217"/>
      <c r="K79" s="217"/>
      <c r="L79" s="215"/>
      <c r="M79" s="220"/>
      <c r="N79" s="220"/>
      <c r="O79" s="220"/>
      <c r="P79" s="220"/>
      <c r="Q79" s="220"/>
      <c r="S79" s="221" t="str">
        <f t="shared" si="3"/>
        <v xml:space="preserve">: </v>
      </c>
      <c r="T79" s="556">
        <f t="shared" si="5"/>
        <v>0</v>
      </c>
    </row>
    <row r="80" spans="2:20">
      <c r="B80" s="146"/>
      <c r="C80" s="146"/>
      <c r="D80" s="146"/>
      <c r="E80" s="543" t="str">
        <f t="shared" si="4"/>
        <v/>
      </c>
      <c r="I80" s="216"/>
      <c r="J80" s="217"/>
      <c r="K80" s="217"/>
      <c r="L80" s="215"/>
      <c r="M80" s="220"/>
      <c r="N80" s="220"/>
      <c r="O80" s="220"/>
      <c r="P80" s="220"/>
      <c r="Q80" s="220"/>
      <c r="S80" s="221" t="str">
        <f t="shared" si="3"/>
        <v xml:space="preserve">: </v>
      </c>
      <c r="T80" s="556">
        <f t="shared" si="5"/>
        <v>0</v>
      </c>
    </row>
    <row r="81" spans="2:20">
      <c r="B81" s="146"/>
      <c r="C81" s="146"/>
      <c r="D81" s="146"/>
      <c r="E81" s="543" t="str">
        <f t="shared" ref="E81:E144" si="6">IF(B81="","",B81&amp;":"&amp;C81&amp;" "&amp;D81)</f>
        <v/>
      </c>
      <c r="I81" s="216"/>
      <c r="J81" s="217"/>
      <c r="K81" s="217"/>
      <c r="L81" s="215"/>
      <c r="M81" s="220"/>
      <c r="N81" s="220"/>
      <c r="O81" s="220"/>
      <c r="P81" s="220"/>
      <c r="Q81" s="220"/>
      <c r="S81" s="221" t="str">
        <f t="shared" si="3"/>
        <v xml:space="preserve">: </v>
      </c>
      <c r="T81" s="556">
        <f t="shared" si="5"/>
        <v>0</v>
      </c>
    </row>
    <row r="82" spans="2:20">
      <c r="B82" s="146"/>
      <c r="C82" s="146"/>
      <c r="D82" s="146"/>
      <c r="E82" s="543" t="str">
        <f t="shared" si="6"/>
        <v/>
      </c>
      <c r="I82" s="216"/>
      <c r="J82" s="217"/>
      <c r="K82" s="217"/>
      <c r="L82" s="215"/>
      <c r="M82" s="220"/>
      <c r="N82" s="220"/>
      <c r="O82" s="220"/>
      <c r="P82" s="220"/>
      <c r="Q82" s="220"/>
      <c r="S82" s="221" t="str">
        <f t="shared" si="3"/>
        <v xml:space="preserve">: </v>
      </c>
      <c r="T82" s="556">
        <f t="shared" si="5"/>
        <v>0</v>
      </c>
    </row>
    <row r="83" spans="2:20">
      <c r="B83" s="146"/>
      <c r="C83" s="146"/>
      <c r="D83" s="146"/>
      <c r="E83" s="543" t="str">
        <f t="shared" si="6"/>
        <v/>
      </c>
      <c r="I83" s="216"/>
      <c r="J83" s="217"/>
      <c r="K83" s="217"/>
      <c r="L83" s="215"/>
      <c r="M83" s="220"/>
      <c r="N83" s="220"/>
      <c r="O83" s="220"/>
      <c r="P83" s="220"/>
      <c r="Q83" s="220"/>
      <c r="S83" s="221" t="str">
        <f t="shared" si="3"/>
        <v xml:space="preserve">: </v>
      </c>
      <c r="T83" s="556">
        <f t="shared" si="5"/>
        <v>0</v>
      </c>
    </row>
    <row r="84" spans="2:20">
      <c r="B84" s="146"/>
      <c r="C84" s="146"/>
      <c r="D84" s="146"/>
      <c r="E84" s="543" t="str">
        <f t="shared" si="6"/>
        <v/>
      </c>
      <c r="I84" s="216"/>
      <c r="J84" s="217"/>
      <c r="K84" s="217"/>
      <c r="L84" s="215"/>
      <c r="M84" s="220"/>
      <c r="N84" s="220"/>
      <c r="O84" s="220"/>
      <c r="P84" s="220"/>
      <c r="Q84" s="220"/>
      <c r="S84" s="221" t="str">
        <f t="shared" si="3"/>
        <v xml:space="preserve">: </v>
      </c>
      <c r="T84" s="556">
        <f t="shared" si="5"/>
        <v>0</v>
      </c>
    </row>
    <row r="85" spans="2:20">
      <c r="B85" s="146"/>
      <c r="C85" s="146"/>
      <c r="D85" s="146"/>
      <c r="E85" s="543" t="str">
        <f t="shared" si="6"/>
        <v/>
      </c>
      <c r="I85" s="216"/>
      <c r="J85" s="217"/>
      <c r="K85" s="217"/>
      <c r="L85" s="215"/>
      <c r="M85" s="220"/>
      <c r="N85" s="220"/>
      <c r="O85" s="220"/>
      <c r="P85" s="220"/>
      <c r="Q85" s="220"/>
      <c r="S85" s="221" t="str">
        <f t="shared" si="3"/>
        <v xml:space="preserve">: </v>
      </c>
      <c r="T85" s="556">
        <f t="shared" si="5"/>
        <v>0</v>
      </c>
    </row>
    <row r="86" spans="2:20">
      <c r="B86" s="146"/>
      <c r="C86" s="146"/>
      <c r="D86" s="146"/>
      <c r="E86" s="543" t="str">
        <f t="shared" si="6"/>
        <v/>
      </c>
      <c r="I86" s="216"/>
      <c r="J86" s="217"/>
      <c r="K86" s="217"/>
      <c r="L86" s="215"/>
      <c r="M86" s="220"/>
      <c r="N86" s="220"/>
      <c r="O86" s="220"/>
      <c r="P86" s="220"/>
      <c r="Q86" s="220"/>
      <c r="S86" s="221" t="str">
        <f t="shared" si="3"/>
        <v xml:space="preserve">: </v>
      </c>
      <c r="T86" s="556">
        <f t="shared" si="5"/>
        <v>0</v>
      </c>
    </row>
    <row r="87" spans="2:20">
      <c r="B87" s="146"/>
      <c r="C87" s="146"/>
      <c r="D87" s="146"/>
      <c r="E87" s="543" t="str">
        <f t="shared" si="6"/>
        <v/>
      </c>
      <c r="I87" s="216"/>
      <c r="J87" s="217"/>
      <c r="K87" s="217"/>
      <c r="L87" s="215"/>
      <c r="M87" s="220"/>
      <c r="N87" s="220"/>
      <c r="O87" s="220"/>
      <c r="P87" s="220"/>
      <c r="Q87" s="220"/>
      <c r="S87" s="221" t="str">
        <f t="shared" si="3"/>
        <v xml:space="preserve">: </v>
      </c>
      <c r="T87" s="556">
        <f t="shared" si="5"/>
        <v>0</v>
      </c>
    </row>
    <row r="88" spans="2:20">
      <c r="B88" s="146"/>
      <c r="C88" s="146"/>
      <c r="D88" s="146"/>
      <c r="E88" s="543" t="str">
        <f t="shared" si="6"/>
        <v/>
      </c>
      <c r="I88" s="216"/>
      <c r="J88" s="217"/>
      <c r="K88" s="217"/>
      <c r="L88" s="215"/>
      <c r="M88" s="220"/>
      <c r="N88" s="220"/>
      <c r="O88" s="220"/>
      <c r="P88" s="220"/>
      <c r="Q88" s="220"/>
      <c r="S88" s="221" t="str">
        <f t="shared" si="3"/>
        <v xml:space="preserve">: </v>
      </c>
      <c r="T88" s="556">
        <f t="shared" si="5"/>
        <v>0</v>
      </c>
    </row>
    <row r="89" spans="2:20">
      <c r="B89" s="146"/>
      <c r="C89" s="146"/>
      <c r="D89" s="146"/>
      <c r="E89" s="543" t="str">
        <f t="shared" si="6"/>
        <v/>
      </c>
      <c r="I89" s="216"/>
      <c r="J89" s="217"/>
      <c r="K89" s="217"/>
      <c r="L89" s="215"/>
      <c r="M89" s="220"/>
      <c r="N89" s="220"/>
      <c r="O89" s="220"/>
      <c r="P89" s="220"/>
      <c r="Q89" s="220"/>
      <c r="S89" s="221" t="str">
        <f t="shared" si="3"/>
        <v xml:space="preserve">: </v>
      </c>
      <c r="T89" s="556">
        <f t="shared" si="5"/>
        <v>0</v>
      </c>
    </row>
    <row r="90" spans="2:20">
      <c r="B90" s="146"/>
      <c r="C90" s="146"/>
      <c r="D90" s="146"/>
      <c r="E90" s="543" t="str">
        <f t="shared" si="6"/>
        <v/>
      </c>
      <c r="I90" s="216"/>
      <c r="J90" s="217"/>
      <c r="K90" s="217"/>
      <c r="L90" s="215"/>
      <c r="M90" s="220"/>
      <c r="N90" s="220"/>
      <c r="O90" s="220"/>
      <c r="P90" s="220"/>
      <c r="Q90" s="220"/>
      <c r="S90" s="221" t="str">
        <f t="shared" si="3"/>
        <v xml:space="preserve">: </v>
      </c>
      <c r="T90" s="556">
        <f t="shared" si="5"/>
        <v>0</v>
      </c>
    </row>
    <row r="91" spans="2:20">
      <c r="B91" s="146"/>
      <c r="C91" s="146"/>
      <c r="D91" s="146"/>
      <c r="E91" s="543" t="str">
        <f t="shared" si="6"/>
        <v/>
      </c>
      <c r="I91" s="216"/>
      <c r="J91" s="217"/>
      <c r="K91" s="217"/>
      <c r="L91" s="215"/>
      <c r="M91" s="220"/>
      <c r="N91" s="220"/>
      <c r="O91" s="220"/>
      <c r="P91" s="220"/>
      <c r="Q91" s="220"/>
      <c r="S91" s="221" t="str">
        <f t="shared" si="3"/>
        <v xml:space="preserve">: </v>
      </c>
      <c r="T91" s="556">
        <f t="shared" si="5"/>
        <v>0</v>
      </c>
    </row>
    <row r="92" spans="2:20">
      <c r="B92" s="146"/>
      <c r="C92" s="146"/>
      <c r="D92" s="146"/>
      <c r="E92" s="543" t="str">
        <f t="shared" si="6"/>
        <v/>
      </c>
      <c r="I92" s="216"/>
      <c r="J92" s="217"/>
      <c r="K92" s="217"/>
      <c r="L92" s="215"/>
      <c r="M92" s="220"/>
      <c r="N92" s="220"/>
      <c r="O92" s="220"/>
      <c r="P92" s="220"/>
      <c r="Q92" s="220"/>
      <c r="S92" s="221" t="str">
        <f t="shared" si="3"/>
        <v xml:space="preserve">: </v>
      </c>
      <c r="T92" s="556">
        <f t="shared" si="5"/>
        <v>0</v>
      </c>
    </row>
    <row r="93" spans="2:20">
      <c r="B93" s="146"/>
      <c r="C93" s="146"/>
      <c r="D93" s="146"/>
      <c r="E93" s="543" t="str">
        <f t="shared" si="6"/>
        <v/>
      </c>
      <c r="I93" s="216"/>
      <c r="J93" s="217"/>
      <c r="K93" s="217"/>
      <c r="L93" s="215"/>
      <c r="M93" s="220"/>
      <c r="N93" s="220"/>
      <c r="O93" s="220"/>
      <c r="P93" s="220"/>
      <c r="Q93" s="220"/>
      <c r="S93" s="221" t="str">
        <f t="shared" si="3"/>
        <v xml:space="preserve">: </v>
      </c>
      <c r="T93" s="556">
        <f t="shared" si="5"/>
        <v>0</v>
      </c>
    </row>
    <row r="94" spans="2:20">
      <c r="B94" s="146"/>
      <c r="C94" s="146"/>
      <c r="D94" s="146"/>
      <c r="E94" s="543" t="str">
        <f t="shared" si="6"/>
        <v/>
      </c>
      <c r="I94" s="216"/>
      <c r="J94" s="217"/>
      <c r="K94" s="217"/>
      <c r="L94" s="215"/>
      <c r="M94" s="220"/>
      <c r="N94" s="220"/>
      <c r="O94" s="220"/>
      <c r="P94" s="220"/>
      <c r="Q94" s="220"/>
      <c r="S94" s="221" t="str">
        <f t="shared" si="3"/>
        <v xml:space="preserve">: </v>
      </c>
      <c r="T94" s="556">
        <f t="shared" si="5"/>
        <v>0</v>
      </c>
    </row>
    <row r="95" spans="2:20">
      <c r="B95" s="146"/>
      <c r="C95" s="146"/>
      <c r="D95" s="146"/>
      <c r="E95" s="543" t="str">
        <f t="shared" si="6"/>
        <v/>
      </c>
      <c r="I95" s="216"/>
      <c r="J95" s="217"/>
      <c r="K95" s="217"/>
      <c r="L95" s="215"/>
      <c r="M95" s="220"/>
      <c r="N95" s="220"/>
      <c r="O95" s="220"/>
      <c r="P95" s="220"/>
      <c r="Q95" s="220"/>
      <c r="S95" s="221" t="str">
        <f t="shared" si="3"/>
        <v xml:space="preserve">: </v>
      </c>
      <c r="T95" s="556">
        <f t="shared" si="5"/>
        <v>0</v>
      </c>
    </row>
    <row r="96" spans="2:20">
      <c r="B96" s="146"/>
      <c r="C96" s="146"/>
      <c r="D96" s="146"/>
      <c r="E96" s="543" t="str">
        <f t="shared" si="6"/>
        <v/>
      </c>
      <c r="I96" s="216"/>
      <c r="J96" s="217"/>
      <c r="K96" s="217"/>
      <c r="L96" s="215"/>
      <c r="M96" s="220"/>
      <c r="N96" s="220"/>
      <c r="O96" s="220"/>
      <c r="P96" s="220"/>
      <c r="Q96" s="220"/>
      <c r="S96" s="221" t="str">
        <f t="shared" si="3"/>
        <v xml:space="preserve">: </v>
      </c>
      <c r="T96" s="556">
        <f t="shared" si="5"/>
        <v>0</v>
      </c>
    </row>
    <row r="97" spans="2:20">
      <c r="B97" s="146"/>
      <c r="C97" s="146"/>
      <c r="D97" s="146"/>
      <c r="E97" s="543" t="str">
        <f t="shared" si="6"/>
        <v/>
      </c>
      <c r="I97" s="216"/>
      <c r="J97" s="217"/>
      <c r="K97" s="217"/>
      <c r="L97" s="215"/>
      <c r="M97" s="220"/>
      <c r="N97" s="220"/>
      <c r="O97" s="220"/>
      <c r="P97" s="220"/>
      <c r="Q97" s="220"/>
      <c r="S97" s="221" t="str">
        <f t="shared" si="3"/>
        <v xml:space="preserve">: </v>
      </c>
      <c r="T97" s="556">
        <f t="shared" si="5"/>
        <v>0</v>
      </c>
    </row>
    <row r="98" spans="2:20">
      <c r="B98" s="146"/>
      <c r="C98" s="146"/>
      <c r="D98" s="146"/>
      <c r="E98" s="543" t="str">
        <f t="shared" si="6"/>
        <v/>
      </c>
      <c r="I98" s="216"/>
      <c r="J98" s="217"/>
      <c r="K98" s="217"/>
      <c r="L98" s="215"/>
      <c r="M98" s="220"/>
      <c r="N98" s="220"/>
      <c r="O98" s="220"/>
      <c r="P98" s="220"/>
      <c r="Q98" s="220"/>
      <c r="S98" s="221" t="str">
        <f t="shared" si="3"/>
        <v xml:space="preserve">: </v>
      </c>
      <c r="T98" s="556">
        <f t="shared" si="5"/>
        <v>0</v>
      </c>
    </row>
    <row r="99" spans="2:20">
      <c r="B99" s="146"/>
      <c r="C99" s="146"/>
      <c r="D99" s="146"/>
      <c r="E99" s="543" t="str">
        <f t="shared" si="6"/>
        <v/>
      </c>
      <c r="I99" s="216"/>
      <c r="J99" s="217"/>
      <c r="K99" s="217"/>
      <c r="L99" s="215"/>
      <c r="M99" s="220"/>
      <c r="N99" s="220"/>
      <c r="O99" s="220"/>
      <c r="P99" s="220"/>
      <c r="Q99" s="220"/>
      <c r="S99" s="221" t="str">
        <f t="shared" si="3"/>
        <v xml:space="preserve">: </v>
      </c>
      <c r="T99" s="556">
        <f t="shared" si="5"/>
        <v>0</v>
      </c>
    </row>
    <row r="100" spans="2:20">
      <c r="B100" s="146"/>
      <c r="C100" s="146"/>
      <c r="D100" s="146"/>
      <c r="E100" s="543" t="str">
        <f t="shared" si="6"/>
        <v/>
      </c>
      <c r="I100" s="216"/>
      <c r="J100" s="217"/>
      <c r="K100" s="217"/>
      <c r="L100" s="215"/>
      <c r="M100" s="220"/>
      <c r="N100" s="220"/>
      <c r="O100" s="220"/>
      <c r="P100" s="220"/>
      <c r="Q100" s="220"/>
      <c r="S100" s="221" t="str">
        <f t="shared" si="3"/>
        <v xml:space="preserve">: </v>
      </c>
      <c r="T100" s="556">
        <f t="shared" si="5"/>
        <v>0</v>
      </c>
    </row>
    <row r="101" spans="2:20">
      <c r="B101" s="146"/>
      <c r="C101" s="146"/>
      <c r="D101" s="146"/>
      <c r="E101" s="543" t="str">
        <f t="shared" si="6"/>
        <v/>
      </c>
      <c r="I101" s="216"/>
      <c r="J101" s="217"/>
      <c r="K101" s="217"/>
      <c r="L101" s="215"/>
      <c r="M101" s="220"/>
      <c r="N101" s="220"/>
      <c r="O101" s="220"/>
      <c r="P101" s="220"/>
      <c r="Q101" s="220"/>
      <c r="S101" s="221" t="str">
        <f t="shared" si="3"/>
        <v xml:space="preserve">: </v>
      </c>
      <c r="T101" s="556">
        <f t="shared" si="5"/>
        <v>0</v>
      </c>
    </row>
    <row r="102" spans="2:20">
      <c r="B102" s="146"/>
      <c r="C102" s="146"/>
      <c r="D102" s="146"/>
      <c r="E102" s="543" t="str">
        <f t="shared" si="6"/>
        <v/>
      </c>
      <c r="I102" s="216"/>
      <c r="J102" s="217"/>
      <c r="K102" s="217"/>
      <c r="L102" s="215"/>
      <c r="M102" s="220"/>
      <c r="N102" s="220"/>
      <c r="O102" s="220"/>
      <c r="P102" s="220"/>
      <c r="Q102" s="220"/>
      <c r="S102" s="221" t="str">
        <f t="shared" si="3"/>
        <v xml:space="preserve">: </v>
      </c>
      <c r="T102" s="556">
        <f t="shared" si="5"/>
        <v>0</v>
      </c>
    </row>
    <row r="103" spans="2:20">
      <c r="B103" s="146"/>
      <c r="C103" s="146"/>
      <c r="D103" s="146"/>
      <c r="E103" s="543" t="str">
        <f t="shared" si="6"/>
        <v/>
      </c>
      <c r="I103" s="216"/>
      <c r="J103" s="217"/>
      <c r="K103" s="217"/>
      <c r="L103" s="215"/>
      <c r="M103" s="220"/>
      <c r="N103" s="220"/>
      <c r="O103" s="220"/>
      <c r="P103" s="220"/>
      <c r="Q103" s="220"/>
      <c r="S103" s="221" t="str">
        <f t="shared" si="3"/>
        <v xml:space="preserve">: </v>
      </c>
      <c r="T103" s="556">
        <f t="shared" si="5"/>
        <v>0</v>
      </c>
    </row>
    <row r="104" spans="2:20">
      <c r="B104" s="146"/>
      <c r="C104" s="146"/>
      <c r="D104" s="146"/>
      <c r="E104" s="543" t="str">
        <f t="shared" si="6"/>
        <v/>
      </c>
      <c r="I104" s="216"/>
      <c r="J104" s="217"/>
      <c r="K104" s="217"/>
      <c r="L104" s="215"/>
      <c r="M104" s="220"/>
      <c r="N104" s="220"/>
      <c r="O104" s="220"/>
      <c r="P104" s="220"/>
      <c r="Q104" s="220"/>
      <c r="S104" s="221" t="str">
        <f t="shared" si="3"/>
        <v xml:space="preserve">: </v>
      </c>
      <c r="T104" s="556">
        <f t="shared" si="5"/>
        <v>0</v>
      </c>
    </row>
    <row r="105" spans="2:20">
      <c r="B105" s="146"/>
      <c r="C105" s="146"/>
      <c r="D105" s="146"/>
      <c r="E105" s="543" t="str">
        <f t="shared" si="6"/>
        <v/>
      </c>
      <c r="I105" s="216"/>
      <c r="J105" s="217"/>
      <c r="K105" s="217"/>
      <c r="L105" s="215"/>
      <c r="M105" s="220"/>
      <c r="N105" s="220"/>
      <c r="O105" s="220"/>
      <c r="P105" s="220"/>
      <c r="Q105" s="220"/>
      <c r="S105" s="221" t="str">
        <f t="shared" si="3"/>
        <v xml:space="preserve">: </v>
      </c>
      <c r="T105" s="556">
        <f t="shared" si="5"/>
        <v>0</v>
      </c>
    </row>
    <row r="106" spans="2:20">
      <c r="B106" s="146"/>
      <c r="C106" s="146"/>
      <c r="D106" s="146"/>
      <c r="E106" s="543" t="str">
        <f t="shared" si="6"/>
        <v/>
      </c>
      <c r="I106" s="216"/>
      <c r="J106" s="217"/>
      <c r="K106" s="217"/>
      <c r="L106" s="215"/>
      <c r="M106" s="220"/>
      <c r="N106" s="220"/>
      <c r="O106" s="220"/>
      <c r="P106" s="220"/>
      <c r="Q106" s="220"/>
      <c r="S106" s="221" t="str">
        <f t="shared" si="3"/>
        <v xml:space="preserve">: </v>
      </c>
      <c r="T106" s="556">
        <f t="shared" si="5"/>
        <v>0</v>
      </c>
    </row>
    <row r="107" spans="2:20">
      <c r="B107" s="146"/>
      <c r="C107" s="146"/>
      <c r="D107" s="146"/>
      <c r="E107" s="543" t="str">
        <f t="shared" si="6"/>
        <v/>
      </c>
      <c r="I107" s="216"/>
      <c r="J107" s="217"/>
      <c r="K107" s="217"/>
      <c r="L107" s="215"/>
      <c r="M107" s="220"/>
      <c r="N107" s="220"/>
      <c r="O107" s="220"/>
      <c r="P107" s="220"/>
      <c r="Q107" s="220"/>
      <c r="S107" s="221" t="str">
        <f t="shared" si="3"/>
        <v xml:space="preserve">: </v>
      </c>
      <c r="T107" s="556">
        <f t="shared" si="5"/>
        <v>0</v>
      </c>
    </row>
    <row r="108" spans="2:20">
      <c r="B108" s="146"/>
      <c r="C108" s="146"/>
      <c r="D108" s="146"/>
      <c r="E108" s="543" t="str">
        <f t="shared" si="6"/>
        <v/>
      </c>
      <c r="I108" s="216"/>
      <c r="J108" s="217"/>
      <c r="K108" s="217"/>
      <c r="L108" s="215"/>
      <c r="M108" s="220"/>
      <c r="N108" s="220"/>
      <c r="O108" s="220"/>
      <c r="P108" s="220"/>
      <c r="Q108" s="220"/>
      <c r="S108" s="221" t="str">
        <f t="shared" si="3"/>
        <v xml:space="preserve">: </v>
      </c>
      <c r="T108" s="556">
        <f t="shared" si="5"/>
        <v>0</v>
      </c>
    </row>
    <row r="109" spans="2:20">
      <c r="B109" s="146"/>
      <c r="C109" s="146"/>
      <c r="D109" s="146"/>
      <c r="E109" s="543" t="str">
        <f t="shared" si="6"/>
        <v/>
      </c>
      <c r="I109" s="216"/>
      <c r="J109" s="217"/>
      <c r="K109" s="217"/>
      <c r="L109" s="215"/>
      <c r="M109" s="220"/>
      <c r="N109" s="220"/>
      <c r="O109" s="220"/>
      <c r="P109" s="220"/>
      <c r="Q109" s="220"/>
      <c r="S109" s="221" t="str">
        <f t="shared" ref="S109:S172" si="7">I109&amp;":"&amp;J109&amp;" "&amp;K109&amp;L109</f>
        <v xml:space="preserve">: </v>
      </c>
      <c r="T109" s="556">
        <f t="shared" si="5"/>
        <v>0</v>
      </c>
    </row>
    <row r="110" spans="2:20">
      <c r="B110" s="146"/>
      <c r="C110" s="146"/>
      <c r="D110" s="146"/>
      <c r="E110" s="543" t="str">
        <f t="shared" si="6"/>
        <v/>
      </c>
      <c r="I110" s="216"/>
      <c r="J110" s="217"/>
      <c r="K110" s="217"/>
      <c r="L110" s="215"/>
      <c r="M110" s="220"/>
      <c r="N110" s="220"/>
      <c r="O110" s="220"/>
      <c r="P110" s="220"/>
      <c r="Q110" s="220"/>
      <c r="S110" s="221" t="str">
        <f t="shared" si="7"/>
        <v xml:space="preserve">: </v>
      </c>
      <c r="T110" s="556">
        <f t="shared" si="5"/>
        <v>0</v>
      </c>
    </row>
    <row r="111" spans="2:20">
      <c r="B111" s="146"/>
      <c r="C111" s="146"/>
      <c r="D111" s="146"/>
      <c r="E111" s="543" t="str">
        <f t="shared" si="6"/>
        <v/>
      </c>
      <c r="I111" s="216"/>
      <c r="J111" s="217"/>
      <c r="K111" s="217"/>
      <c r="L111" s="215"/>
      <c r="M111" s="220"/>
      <c r="N111" s="220"/>
      <c r="O111" s="220"/>
      <c r="P111" s="220"/>
      <c r="Q111" s="220"/>
      <c r="S111" s="221" t="str">
        <f t="shared" si="7"/>
        <v xml:space="preserve">: </v>
      </c>
      <c r="T111" s="556">
        <f t="shared" si="5"/>
        <v>0</v>
      </c>
    </row>
    <row r="112" spans="2:20">
      <c r="B112" s="146"/>
      <c r="C112" s="146"/>
      <c r="D112" s="146"/>
      <c r="E112" s="543" t="str">
        <f t="shared" si="6"/>
        <v/>
      </c>
      <c r="I112" s="216"/>
      <c r="J112" s="217"/>
      <c r="K112" s="217"/>
      <c r="L112" s="215"/>
      <c r="M112" s="220"/>
      <c r="N112" s="220"/>
      <c r="O112" s="220"/>
      <c r="P112" s="220"/>
      <c r="Q112" s="220"/>
      <c r="S112" s="221" t="str">
        <f t="shared" si="7"/>
        <v xml:space="preserve">: </v>
      </c>
      <c r="T112" s="556">
        <f t="shared" si="5"/>
        <v>0</v>
      </c>
    </row>
    <row r="113" spans="2:20">
      <c r="B113" s="146"/>
      <c r="C113" s="146"/>
      <c r="D113" s="146"/>
      <c r="E113" s="543" t="str">
        <f t="shared" si="6"/>
        <v/>
      </c>
      <c r="I113" s="216"/>
      <c r="J113" s="217"/>
      <c r="K113" s="217"/>
      <c r="L113" s="215"/>
      <c r="M113" s="220"/>
      <c r="N113" s="220"/>
      <c r="O113" s="220"/>
      <c r="P113" s="220"/>
      <c r="Q113" s="220"/>
      <c r="S113" s="221" t="str">
        <f t="shared" si="7"/>
        <v xml:space="preserve">: </v>
      </c>
      <c r="T113" s="556">
        <f t="shared" si="5"/>
        <v>0</v>
      </c>
    </row>
    <row r="114" spans="2:20">
      <c r="B114" s="146"/>
      <c r="C114" s="146"/>
      <c r="D114" s="146"/>
      <c r="E114" s="543" t="str">
        <f t="shared" si="6"/>
        <v/>
      </c>
      <c r="I114" s="216"/>
      <c r="J114" s="217"/>
      <c r="K114" s="217"/>
      <c r="L114" s="215"/>
      <c r="M114" s="220"/>
      <c r="N114" s="220"/>
      <c r="O114" s="220"/>
      <c r="P114" s="220"/>
      <c r="Q114" s="220"/>
      <c r="S114" s="221" t="str">
        <f t="shared" si="7"/>
        <v xml:space="preserve">: </v>
      </c>
      <c r="T114" s="556">
        <f t="shared" si="5"/>
        <v>0</v>
      </c>
    </row>
    <row r="115" spans="2:20">
      <c r="B115" s="146"/>
      <c r="C115" s="146"/>
      <c r="D115" s="146"/>
      <c r="E115" s="543" t="str">
        <f t="shared" si="6"/>
        <v/>
      </c>
      <c r="I115" s="216"/>
      <c r="J115" s="217"/>
      <c r="K115" s="217"/>
      <c r="L115" s="215"/>
      <c r="M115" s="220"/>
      <c r="N115" s="220"/>
      <c r="O115" s="220"/>
      <c r="P115" s="220"/>
      <c r="Q115" s="220"/>
      <c r="S115" s="221" t="str">
        <f t="shared" si="7"/>
        <v xml:space="preserve">: </v>
      </c>
      <c r="T115" s="556">
        <f t="shared" si="5"/>
        <v>0</v>
      </c>
    </row>
    <row r="116" spans="2:20">
      <c r="B116" s="146"/>
      <c r="C116" s="146"/>
      <c r="D116" s="146"/>
      <c r="E116" s="543" t="str">
        <f t="shared" si="6"/>
        <v/>
      </c>
      <c r="I116" s="216"/>
      <c r="J116" s="217"/>
      <c r="K116" s="217"/>
      <c r="L116" s="215"/>
      <c r="M116" s="220"/>
      <c r="N116" s="220"/>
      <c r="O116" s="220"/>
      <c r="P116" s="220"/>
      <c r="Q116" s="220"/>
      <c r="S116" s="221" t="str">
        <f t="shared" si="7"/>
        <v xml:space="preserve">: </v>
      </c>
      <c r="T116" s="556">
        <f t="shared" si="5"/>
        <v>0</v>
      </c>
    </row>
    <row r="117" spans="2:20">
      <c r="B117" s="146"/>
      <c r="C117" s="146"/>
      <c r="D117" s="146"/>
      <c r="E117" s="543" t="str">
        <f t="shared" si="6"/>
        <v/>
      </c>
      <c r="I117" s="216"/>
      <c r="J117" s="217"/>
      <c r="K117" s="217"/>
      <c r="L117" s="215"/>
      <c r="M117" s="220"/>
      <c r="N117" s="220"/>
      <c r="O117" s="220"/>
      <c r="P117" s="220"/>
      <c r="Q117" s="220"/>
      <c r="S117" s="221" t="str">
        <f t="shared" si="7"/>
        <v xml:space="preserve">: </v>
      </c>
      <c r="T117" s="556">
        <f t="shared" si="5"/>
        <v>0</v>
      </c>
    </row>
    <row r="118" spans="2:20">
      <c r="B118" s="146"/>
      <c r="C118" s="146"/>
      <c r="D118" s="146"/>
      <c r="E118" s="543" t="str">
        <f t="shared" si="6"/>
        <v/>
      </c>
      <c r="I118" s="216"/>
      <c r="J118" s="217"/>
      <c r="K118" s="217"/>
      <c r="L118" s="215"/>
      <c r="M118" s="220"/>
      <c r="N118" s="220"/>
      <c r="O118" s="220"/>
      <c r="P118" s="220"/>
      <c r="Q118" s="220"/>
      <c r="S118" s="221" t="str">
        <f t="shared" si="7"/>
        <v xml:space="preserve">: </v>
      </c>
      <c r="T118" s="556">
        <f t="shared" si="5"/>
        <v>0</v>
      </c>
    </row>
    <row r="119" spans="2:20">
      <c r="B119" s="146"/>
      <c r="C119" s="146"/>
      <c r="D119" s="146"/>
      <c r="E119" s="543" t="str">
        <f t="shared" si="6"/>
        <v/>
      </c>
      <c r="I119" s="216"/>
      <c r="J119" s="217"/>
      <c r="K119" s="217"/>
      <c r="L119" s="215"/>
      <c r="M119" s="220"/>
      <c r="N119" s="220"/>
      <c r="O119" s="220"/>
      <c r="P119" s="220"/>
      <c r="Q119" s="220"/>
      <c r="S119" s="221" t="str">
        <f t="shared" si="7"/>
        <v xml:space="preserve">: </v>
      </c>
      <c r="T119" s="556">
        <f t="shared" si="5"/>
        <v>0</v>
      </c>
    </row>
    <row r="120" spans="2:20">
      <c r="B120" s="146"/>
      <c r="C120" s="146"/>
      <c r="D120" s="146"/>
      <c r="E120" s="543" t="str">
        <f t="shared" si="6"/>
        <v/>
      </c>
      <c r="I120" s="216"/>
      <c r="J120" s="217"/>
      <c r="K120" s="217"/>
      <c r="L120" s="215"/>
      <c r="M120" s="220"/>
      <c r="N120" s="220"/>
      <c r="O120" s="220"/>
      <c r="P120" s="220"/>
      <c r="Q120" s="220"/>
      <c r="S120" s="221" t="str">
        <f t="shared" si="7"/>
        <v xml:space="preserve">: </v>
      </c>
      <c r="T120" s="556">
        <f t="shared" si="5"/>
        <v>0</v>
      </c>
    </row>
    <row r="121" spans="2:20">
      <c r="B121" s="146"/>
      <c r="C121" s="146"/>
      <c r="D121" s="146"/>
      <c r="E121" s="543" t="str">
        <f t="shared" si="6"/>
        <v/>
      </c>
      <c r="I121" s="216"/>
      <c r="J121" s="217"/>
      <c r="K121" s="217"/>
      <c r="L121" s="215"/>
      <c r="M121" s="220"/>
      <c r="N121" s="220"/>
      <c r="O121" s="220"/>
      <c r="P121" s="220"/>
      <c r="Q121" s="220"/>
      <c r="S121" s="221" t="str">
        <f t="shared" si="7"/>
        <v xml:space="preserve">: </v>
      </c>
      <c r="T121" s="556">
        <f t="shared" si="5"/>
        <v>0</v>
      </c>
    </row>
    <row r="122" spans="2:20">
      <c r="B122" s="146"/>
      <c r="C122" s="146"/>
      <c r="D122" s="146"/>
      <c r="E122" s="543" t="str">
        <f t="shared" si="6"/>
        <v/>
      </c>
      <c r="I122" s="216"/>
      <c r="J122" s="217"/>
      <c r="K122" s="217"/>
      <c r="L122" s="215"/>
      <c r="M122" s="220"/>
      <c r="N122" s="220"/>
      <c r="O122" s="220"/>
      <c r="P122" s="220"/>
      <c r="Q122" s="220"/>
      <c r="S122" s="221" t="str">
        <f t="shared" si="7"/>
        <v xml:space="preserve">: </v>
      </c>
      <c r="T122" s="556">
        <f t="shared" si="5"/>
        <v>0</v>
      </c>
    </row>
    <row r="123" spans="2:20">
      <c r="B123" s="146"/>
      <c r="C123" s="146"/>
      <c r="D123" s="146"/>
      <c r="E123" s="543" t="str">
        <f t="shared" si="6"/>
        <v/>
      </c>
      <c r="I123" s="216"/>
      <c r="J123" s="217"/>
      <c r="K123" s="217"/>
      <c r="L123" s="215"/>
      <c r="M123" s="220"/>
      <c r="N123" s="220"/>
      <c r="O123" s="220"/>
      <c r="P123" s="220"/>
      <c r="Q123" s="220"/>
      <c r="S123" s="221" t="str">
        <f t="shared" si="7"/>
        <v xml:space="preserve">: </v>
      </c>
      <c r="T123" s="556">
        <f t="shared" si="5"/>
        <v>0</v>
      </c>
    </row>
    <row r="124" spans="2:20">
      <c r="B124" s="146"/>
      <c r="C124" s="146"/>
      <c r="D124" s="146"/>
      <c r="E124" s="543" t="str">
        <f t="shared" si="6"/>
        <v/>
      </c>
      <c r="I124" s="216"/>
      <c r="J124" s="217"/>
      <c r="K124" s="217"/>
      <c r="L124" s="215"/>
      <c r="M124" s="220"/>
      <c r="N124" s="220"/>
      <c r="O124" s="220"/>
      <c r="P124" s="220"/>
      <c r="Q124" s="220"/>
      <c r="S124" s="221" t="str">
        <f t="shared" si="7"/>
        <v xml:space="preserve">: </v>
      </c>
      <c r="T124" s="556">
        <f t="shared" si="5"/>
        <v>0</v>
      </c>
    </row>
    <row r="125" spans="2:20">
      <c r="B125" s="146"/>
      <c r="C125" s="146"/>
      <c r="D125" s="146"/>
      <c r="E125" s="543" t="str">
        <f t="shared" si="6"/>
        <v/>
      </c>
      <c r="I125" s="216"/>
      <c r="J125" s="217"/>
      <c r="K125" s="217"/>
      <c r="L125" s="215"/>
      <c r="M125" s="220"/>
      <c r="N125" s="220"/>
      <c r="O125" s="220"/>
      <c r="P125" s="220"/>
      <c r="Q125" s="220"/>
      <c r="S125" s="221" t="str">
        <f t="shared" si="7"/>
        <v xml:space="preserve">: </v>
      </c>
      <c r="T125" s="556">
        <f t="shared" si="5"/>
        <v>0</v>
      </c>
    </row>
    <row r="126" spans="2:20">
      <c r="B126" s="146"/>
      <c r="C126" s="146"/>
      <c r="D126" s="146"/>
      <c r="E126" s="543" t="str">
        <f t="shared" si="6"/>
        <v/>
      </c>
      <c r="I126" s="216"/>
      <c r="J126" s="217"/>
      <c r="K126" s="217"/>
      <c r="L126" s="215"/>
      <c r="M126" s="220"/>
      <c r="N126" s="220"/>
      <c r="O126" s="220"/>
      <c r="P126" s="220"/>
      <c r="Q126" s="220"/>
      <c r="S126" s="221" t="str">
        <f t="shared" si="7"/>
        <v xml:space="preserve">: </v>
      </c>
      <c r="T126" s="556">
        <f t="shared" si="5"/>
        <v>0</v>
      </c>
    </row>
    <row r="127" spans="2:20">
      <c r="B127" s="146"/>
      <c r="C127" s="146"/>
      <c r="D127" s="146"/>
      <c r="E127" s="543" t="str">
        <f t="shared" si="6"/>
        <v/>
      </c>
      <c r="I127" s="216"/>
      <c r="J127" s="217"/>
      <c r="K127" s="217"/>
      <c r="L127" s="215"/>
      <c r="M127" s="220"/>
      <c r="N127" s="220"/>
      <c r="O127" s="220"/>
      <c r="P127" s="220"/>
      <c r="Q127" s="220"/>
      <c r="S127" s="221" t="str">
        <f t="shared" si="7"/>
        <v xml:space="preserve">: </v>
      </c>
      <c r="T127" s="556">
        <f t="shared" si="5"/>
        <v>0</v>
      </c>
    </row>
    <row r="128" spans="2:20">
      <c r="B128" s="146"/>
      <c r="C128" s="146"/>
      <c r="D128" s="146"/>
      <c r="E128" s="543" t="str">
        <f t="shared" si="6"/>
        <v/>
      </c>
      <c r="I128" s="216"/>
      <c r="J128" s="217"/>
      <c r="K128" s="217"/>
      <c r="L128" s="215"/>
      <c r="M128" s="220"/>
      <c r="N128" s="220"/>
      <c r="O128" s="220"/>
      <c r="P128" s="220"/>
      <c r="Q128" s="220"/>
      <c r="S128" s="221" t="str">
        <f t="shared" si="7"/>
        <v xml:space="preserve">: </v>
      </c>
      <c r="T128" s="556">
        <f t="shared" si="5"/>
        <v>0</v>
      </c>
    </row>
    <row r="129" spans="2:20">
      <c r="B129" s="146"/>
      <c r="C129" s="146"/>
      <c r="D129" s="146"/>
      <c r="E129" s="543" t="str">
        <f t="shared" si="6"/>
        <v/>
      </c>
      <c r="I129" s="216"/>
      <c r="J129" s="217"/>
      <c r="K129" s="217"/>
      <c r="L129" s="215"/>
      <c r="M129" s="220"/>
      <c r="N129" s="220"/>
      <c r="O129" s="220"/>
      <c r="P129" s="220"/>
      <c r="Q129" s="220"/>
      <c r="S129" s="221" t="str">
        <f t="shared" si="7"/>
        <v xml:space="preserve">: </v>
      </c>
      <c r="T129" s="556">
        <f t="shared" si="5"/>
        <v>0</v>
      </c>
    </row>
    <row r="130" spans="2:20">
      <c r="B130" s="146"/>
      <c r="C130" s="146"/>
      <c r="D130" s="146"/>
      <c r="E130" s="543" t="str">
        <f t="shared" si="6"/>
        <v/>
      </c>
      <c r="I130" s="216"/>
      <c r="J130" s="217"/>
      <c r="K130" s="217"/>
      <c r="L130" s="215"/>
      <c r="M130" s="220"/>
      <c r="N130" s="220"/>
      <c r="O130" s="220"/>
      <c r="P130" s="220"/>
      <c r="Q130" s="220"/>
      <c r="S130" s="221" t="str">
        <f t="shared" si="7"/>
        <v xml:space="preserve">: </v>
      </c>
      <c r="T130" s="556">
        <f t="shared" si="5"/>
        <v>0</v>
      </c>
    </row>
    <row r="131" spans="2:20">
      <c r="B131" s="146"/>
      <c r="C131" s="146"/>
      <c r="D131" s="146"/>
      <c r="E131" s="543" t="str">
        <f t="shared" si="6"/>
        <v/>
      </c>
      <c r="I131" s="216"/>
      <c r="J131" s="217"/>
      <c r="K131" s="217"/>
      <c r="L131" s="215"/>
      <c r="M131" s="220"/>
      <c r="N131" s="220"/>
      <c r="O131" s="220"/>
      <c r="P131" s="220"/>
      <c r="Q131" s="220"/>
      <c r="S131" s="221" t="str">
        <f t="shared" si="7"/>
        <v xml:space="preserve">: </v>
      </c>
      <c r="T131" s="556">
        <f t="shared" si="5"/>
        <v>0</v>
      </c>
    </row>
    <row r="132" spans="2:20">
      <c r="B132" s="146"/>
      <c r="C132" s="146"/>
      <c r="D132" s="146"/>
      <c r="E132" s="543" t="str">
        <f t="shared" si="6"/>
        <v/>
      </c>
      <c r="I132" s="216"/>
      <c r="J132" s="217"/>
      <c r="K132" s="217"/>
      <c r="L132" s="215"/>
      <c r="M132" s="220"/>
      <c r="N132" s="220"/>
      <c r="O132" s="220"/>
      <c r="P132" s="220"/>
      <c r="Q132" s="220"/>
      <c r="S132" s="221" t="str">
        <f t="shared" si="7"/>
        <v xml:space="preserve">: </v>
      </c>
      <c r="T132" s="556">
        <f t="shared" si="5"/>
        <v>0</v>
      </c>
    </row>
    <row r="133" spans="2:20">
      <c r="B133" s="146"/>
      <c r="C133" s="146"/>
      <c r="D133" s="146"/>
      <c r="E133" s="543" t="str">
        <f t="shared" si="6"/>
        <v/>
      </c>
      <c r="I133" s="216"/>
      <c r="J133" s="217"/>
      <c r="K133" s="217"/>
      <c r="L133" s="215"/>
      <c r="M133" s="220"/>
      <c r="N133" s="220"/>
      <c r="O133" s="220"/>
      <c r="P133" s="220"/>
      <c r="Q133" s="220"/>
      <c r="S133" s="221" t="str">
        <f t="shared" si="7"/>
        <v xml:space="preserve">: </v>
      </c>
      <c r="T133" s="556">
        <f t="shared" si="5"/>
        <v>0</v>
      </c>
    </row>
    <row r="134" spans="2:20">
      <c r="B134" s="146"/>
      <c r="C134" s="146"/>
      <c r="D134" s="146"/>
      <c r="E134" s="543" t="str">
        <f t="shared" si="6"/>
        <v/>
      </c>
      <c r="I134" s="216"/>
      <c r="J134" s="217"/>
      <c r="K134" s="217"/>
      <c r="L134" s="215"/>
      <c r="M134" s="220"/>
      <c r="N134" s="220"/>
      <c r="O134" s="220"/>
      <c r="P134" s="220"/>
      <c r="Q134" s="220"/>
      <c r="S134" s="221" t="str">
        <f t="shared" si="7"/>
        <v xml:space="preserve">: </v>
      </c>
      <c r="T134" s="556">
        <f t="shared" si="5"/>
        <v>0</v>
      </c>
    </row>
    <row r="135" spans="2:20">
      <c r="B135" s="146"/>
      <c r="C135" s="146"/>
      <c r="D135" s="146"/>
      <c r="E135" s="543" t="str">
        <f t="shared" si="6"/>
        <v/>
      </c>
      <c r="I135" s="216"/>
      <c r="J135" s="217"/>
      <c r="K135" s="217"/>
      <c r="L135" s="215"/>
      <c r="M135" s="220"/>
      <c r="N135" s="220"/>
      <c r="O135" s="220"/>
      <c r="P135" s="220"/>
      <c r="Q135" s="220"/>
      <c r="S135" s="221" t="str">
        <f t="shared" si="7"/>
        <v xml:space="preserve">: </v>
      </c>
      <c r="T135" s="556">
        <f t="shared" si="5"/>
        <v>0</v>
      </c>
    </row>
    <row r="136" spans="2:20">
      <c r="B136" s="146"/>
      <c r="C136" s="146"/>
      <c r="D136" s="146"/>
      <c r="E136" s="543" t="str">
        <f t="shared" si="6"/>
        <v/>
      </c>
      <c r="I136" s="216"/>
      <c r="J136" s="217"/>
      <c r="K136" s="217"/>
      <c r="L136" s="215"/>
      <c r="M136" s="220"/>
      <c r="N136" s="220"/>
      <c r="O136" s="220"/>
      <c r="P136" s="220"/>
      <c r="Q136" s="220"/>
      <c r="S136" s="221" t="str">
        <f t="shared" si="7"/>
        <v xml:space="preserve">: </v>
      </c>
      <c r="T136" s="556">
        <f t="shared" si="5"/>
        <v>0</v>
      </c>
    </row>
    <row r="137" spans="2:20">
      <c r="B137" s="146"/>
      <c r="C137" s="146"/>
      <c r="D137" s="146"/>
      <c r="E137" s="543" t="str">
        <f t="shared" si="6"/>
        <v/>
      </c>
      <c r="I137" s="216"/>
      <c r="J137" s="217"/>
      <c r="K137" s="217"/>
      <c r="L137" s="215"/>
      <c r="M137" s="220"/>
      <c r="N137" s="220"/>
      <c r="O137" s="220"/>
      <c r="P137" s="220"/>
      <c r="Q137" s="220"/>
      <c r="S137" s="221" t="str">
        <f t="shared" si="7"/>
        <v xml:space="preserve">: </v>
      </c>
      <c r="T137" s="556">
        <f t="shared" ref="T137:T200" si="8">HLOOKUP($T$7,$M$7:$Q$200,ROW()-6,FALSE)</f>
        <v>0</v>
      </c>
    </row>
    <row r="138" spans="2:20">
      <c r="B138" s="146"/>
      <c r="C138" s="146"/>
      <c r="D138" s="146"/>
      <c r="E138" s="543" t="str">
        <f t="shared" si="6"/>
        <v/>
      </c>
      <c r="I138" s="216"/>
      <c r="J138" s="217"/>
      <c r="K138" s="217"/>
      <c r="L138" s="215"/>
      <c r="M138" s="220"/>
      <c r="N138" s="220"/>
      <c r="O138" s="220"/>
      <c r="P138" s="220"/>
      <c r="Q138" s="220"/>
      <c r="S138" s="221" t="str">
        <f t="shared" si="7"/>
        <v xml:space="preserve">: </v>
      </c>
      <c r="T138" s="556">
        <f t="shared" si="8"/>
        <v>0</v>
      </c>
    </row>
    <row r="139" spans="2:20">
      <c r="B139" s="146"/>
      <c r="C139" s="146"/>
      <c r="D139" s="146"/>
      <c r="E139" s="543" t="str">
        <f t="shared" si="6"/>
        <v/>
      </c>
      <c r="I139" s="216"/>
      <c r="J139" s="217"/>
      <c r="K139" s="217"/>
      <c r="L139" s="215"/>
      <c r="M139" s="220"/>
      <c r="N139" s="220"/>
      <c r="O139" s="220"/>
      <c r="P139" s="220"/>
      <c r="Q139" s="220"/>
      <c r="S139" s="221" t="str">
        <f t="shared" si="7"/>
        <v xml:space="preserve">: </v>
      </c>
      <c r="T139" s="556">
        <f t="shared" si="8"/>
        <v>0</v>
      </c>
    </row>
    <row r="140" spans="2:20">
      <c r="B140" s="146"/>
      <c r="C140" s="146"/>
      <c r="D140" s="146"/>
      <c r="E140" s="543" t="str">
        <f t="shared" si="6"/>
        <v/>
      </c>
      <c r="I140" s="216"/>
      <c r="J140" s="217"/>
      <c r="K140" s="217"/>
      <c r="L140" s="215"/>
      <c r="M140" s="220"/>
      <c r="N140" s="220"/>
      <c r="O140" s="220"/>
      <c r="P140" s="220"/>
      <c r="Q140" s="220"/>
      <c r="S140" s="221" t="str">
        <f t="shared" si="7"/>
        <v xml:space="preserve">: </v>
      </c>
      <c r="T140" s="556">
        <f t="shared" si="8"/>
        <v>0</v>
      </c>
    </row>
    <row r="141" spans="2:20">
      <c r="B141" s="146"/>
      <c r="C141" s="146"/>
      <c r="D141" s="146"/>
      <c r="E141" s="543" t="str">
        <f t="shared" si="6"/>
        <v/>
      </c>
      <c r="I141" s="216"/>
      <c r="J141" s="217"/>
      <c r="K141" s="217"/>
      <c r="L141" s="215"/>
      <c r="M141" s="220"/>
      <c r="N141" s="220"/>
      <c r="O141" s="220"/>
      <c r="P141" s="220"/>
      <c r="Q141" s="220"/>
      <c r="S141" s="221" t="str">
        <f t="shared" si="7"/>
        <v xml:space="preserve">: </v>
      </c>
      <c r="T141" s="556">
        <f t="shared" si="8"/>
        <v>0</v>
      </c>
    </row>
    <row r="142" spans="2:20">
      <c r="B142" s="146"/>
      <c r="C142" s="146"/>
      <c r="D142" s="146"/>
      <c r="E142" s="543" t="str">
        <f t="shared" si="6"/>
        <v/>
      </c>
      <c r="I142" s="216"/>
      <c r="J142" s="217"/>
      <c r="K142" s="217"/>
      <c r="L142" s="215"/>
      <c r="M142" s="220"/>
      <c r="N142" s="220"/>
      <c r="O142" s="220"/>
      <c r="P142" s="220"/>
      <c r="Q142" s="220"/>
      <c r="S142" s="221" t="str">
        <f t="shared" si="7"/>
        <v xml:space="preserve">: </v>
      </c>
      <c r="T142" s="556">
        <f t="shared" si="8"/>
        <v>0</v>
      </c>
    </row>
    <row r="143" spans="2:20">
      <c r="B143" s="146"/>
      <c r="C143" s="146"/>
      <c r="D143" s="146"/>
      <c r="E143" s="543" t="str">
        <f t="shared" si="6"/>
        <v/>
      </c>
      <c r="I143" s="216"/>
      <c r="J143" s="217"/>
      <c r="K143" s="217"/>
      <c r="L143" s="215"/>
      <c r="M143" s="220"/>
      <c r="N143" s="220"/>
      <c r="O143" s="220"/>
      <c r="P143" s="220"/>
      <c r="Q143" s="220"/>
      <c r="S143" s="221" t="str">
        <f t="shared" si="7"/>
        <v xml:space="preserve">: </v>
      </c>
      <c r="T143" s="556">
        <f t="shared" si="8"/>
        <v>0</v>
      </c>
    </row>
    <row r="144" spans="2:20">
      <c r="B144" s="146"/>
      <c r="C144" s="146"/>
      <c r="D144" s="146"/>
      <c r="E144" s="543" t="str">
        <f t="shared" si="6"/>
        <v/>
      </c>
      <c r="I144" s="216"/>
      <c r="J144" s="217"/>
      <c r="K144" s="217"/>
      <c r="L144" s="215"/>
      <c r="M144" s="220"/>
      <c r="N144" s="220"/>
      <c r="O144" s="220"/>
      <c r="P144" s="220"/>
      <c r="Q144" s="220"/>
      <c r="S144" s="221" t="str">
        <f t="shared" si="7"/>
        <v xml:space="preserve">: </v>
      </c>
      <c r="T144" s="556">
        <f t="shared" si="8"/>
        <v>0</v>
      </c>
    </row>
    <row r="145" spans="2:20">
      <c r="B145" s="146"/>
      <c r="C145" s="146"/>
      <c r="D145" s="146"/>
      <c r="E145" s="543" t="str">
        <f t="shared" ref="E145:E200" si="9">IF(B145="","",B145&amp;":"&amp;C145&amp;" "&amp;D145)</f>
        <v/>
      </c>
      <c r="I145" s="216"/>
      <c r="J145" s="217"/>
      <c r="K145" s="217"/>
      <c r="L145" s="215"/>
      <c r="M145" s="220"/>
      <c r="N145" s="220"/>
      <c r="O145" s="220"/>
      <c r="P145" s="220"/>
      <c r="Q145" s="220"/>
      <c r="S145" s="221" t="str">
        <f t="shared" si="7"/>
        <v xml:space="preserve">: </v>
      </c>
      <c r="T145" s="556">
        <f t="shared" si="8"/>
        <v>0</v>
      </c>
    </row>
    <row r="146" spans="2:20">
      <c r="B146" s="146"/>
      <c r="C146" s="146"/>
      <c r="D146" s="146"/>
      <c r="E146" s="543" t="str">
        <f t="shared" si="9"/>
        <v/>
      </c>
      <c r="I146" s="216"/>
      <c r="J146" s="217"/>
      <c r="K146" s="217"/>
      <c r="L146" s="215"/>
      <c r="M146" s="220"/>
      <c r="N146" s="220"/>
      <c r="O146" s="220"/>
      <c r="P146" s="220"/>
      <c r="Q146" s="220"/>
      <c r="S146" s="221" t="str">
        <f t="shared" si="7"/>
        <v xml:space="preserve">: </v>
      </c>
      <c r="T146" s="556">
        <f t="shared" si="8"/>
        <v>0</v>
      </c>
    </row>
    <row r="147" spans="2:20">
      <c r="B147" s="146"/>
      <c r="C147" s="146"/>
      <c r="D147" s="146"/>
      <c r="E147" s="543" t="str">
        <f t="shared" si="9"/>
        <v/>
      </c>
      <c r="I147" s="216"/>
      <c r="J147" s="217"/>
      <c r="K147" s="217"/>
      <c r="L147" s="215"/>
      <c r="M147" s="220"/>
      <c r="N147" s="220"/>
      <c r="O147" s="220"/>
      <c r="P147" s="220"/>
      <c r="Q147" s="220"/>
      <c r="S147" s="221" t="str">
        <f t="shared" si="7"/>
        <v xml:space="preserve">: </v>
      </c>
      <c r="T147" s="556">
        <f t="shared" si="8"/>
        <v>0</v>
      </c>
    </row>
    <row r="148" spans="2:20">
      <c r="B148" s="146"/>
      <c r="C148" s="146"/>
      <c r="D148" s="146"/>
      <c r="E148" s="543" t="str">
        <f t="shared" si="9"/>
        <v/>
      </c>
      <c r="I148" s="216"/>
      <c r="J148" s="217"/>
      <c r="K148" s="217"/>
      <c r="L148" s="215"/>
      <c r="M148" s="220"/>
      <c r="N148" s="220"/>
      <c r="O148" s="220"/>
      <c r="P148" s="220"/>
      <c r="Q148" s="220"/>
      <c r="S148" s="221" t="str">
        <f t="shared" si="7"/>
        <v xml:space="preserve">: </v>
      </c>
      <c r="T148" s="556">
        <f t="shared" si="8"/>
        <v>0</v>
      </c>
    </row>
    <row r="149" spans="2:20">
      <c r="B149" s="146"/>
      <c r="C149" s="146"/>
      <c r="D149" s="146"/>
      <c r="E149" s="543" t="str">
        <f t="shared" si="9"/>
        <v/>
      </c>
      <c r="I149" s="216"/>
      <c r="J149" s="217"/>
      <c r="K149" s="217"/>
      <c r="L149" s="215"/>
      <c r="M149" s="220"/>
      <c r="N149" s="220"/>
      <c r="O149" s="220"/>
      <c r="P149" s="220"/>
      <c r="Q149" s="220"/>
      <c r="S149" s="221" t="str">
        <f t="shared" si="7"/>
        <v xml:space="preserve">: </v>
      </c>
      <c r="T149" s="556">
        <f t="shared" si="8"/>
        <v>0</v>
      </c>
    </row>
    <row r="150" spans="2:20">
      <c r="B150" s="146"/>
      <c r="C150" s="146"/>
      <c r="D150" s="146"/>
      <c r="E150" s="543" t="str">
        <f t="shared" si="9"/>
        <v/>
      </c>
      <c r="I150" s="216"/>
      <c r="J150" s="217"/>
      <c r="K150" s="217"/>
      <c r="L150" s="215"/>
      <c r="M150" s="220"/>
      <c r="N150" s="220"/>
      <c r="O150" s="220"/>
      <c r="P150" s="220"/>
      <c r="Q150" s="220"/>
      <c r="S150" s="221" t="str">
        <f t="shared" si="7"/>
        <v xml:space="preserve">: </v>
      </c>
      <c r="T150" s="556">
        <f t="shared" si="8"/>
        <v>0</v>
      </c>
    </row>
    <row r="151" spans="2:20">
      <c r="B151" s="146"/>
      <c r="C151" s="146"/>
      <c r="D151" s="146"/>
      <c r="E151" s="543" t="str">
        <f t="shared" si="9"/>
        <v/>
      </c>
      <c r="I151" s="216"/>
      <c r="J151" s="217"/>
      <c r="K151" s="217"/>
      <c r="L151" s="215"/>
      <c r="M151" s="220"/>
      <c r="N151" s="220"/>
      <c r="O151" s="220"/>
      <c r="P151" s="220"/>
      <c r="Q151" s="220"/>
      <c r="S151" s="221" t="str">
        <f t="shared" si="7"/>
        <v xml:space="preserve">: </v>
      </c>
      <c r="T151" s="556">
        <f t="shared" si="8"/>
        <v>0</v>
      </c>
    </row>
    <row r="152" spans="2:20">
      <c r="B152" s="146"/>
      <c r="C152" s="146"/>
      <c r="D152" s="146"/>
      <c r="E152" s="543" t="str">
        <f t="shared" si="9"/>
        <v/>
      </c>
      <c r="I152" s="216"/>
      <c r="J152" s="217"/>
      <c r="K152" s="217"/>
      <c r="L152" s="215"/>
      <c r="M152" s="220"/>
      <c r="N152" s="220"/>
      <c r="O152" s="220"/>
      <c r="P152" s="220"/>
      <c r="Q152" s="220"/>
      <c r="S152" s="221" t="str">
        <f t="shared" si="7"/>
        <v xml:space="preserve">: </v>
      </c>
      <c r="T152" s="556">
        <f t="shared" si="8"/>
        <v>0</v>
      </c>
    </row>
    <row r="153" spans="2:20">
      <c r="B153" s="146"/>
      <c r="C153" s="146"/>
      <c r="D153" s="146"/>
      <c r="E153" s="543" t="str">
        <f t="shared" si="9"/>
        <v/>
      </c>
      <c r="I153" s="216"/>
      <c r="J153" s="217"/>
      <c r="K153" s="217"/>
      <c r="L153" s="215"/>
      <c r="M153" s="220"/>
      <c r="N153" s="220"/>
      <c r="O153" s="220"/>
      <c r="P153" s="220"/>
      <c r="Q153" s="220"/>
      <c r="S153" s="221" t="str">
        <f t="shared" si="7"/>
        <v xml:space="preserve">: </v>
      </c>
      <c r="T153" s="556">
        <f t="shared" si="8"/>
        <v>0</v>
      </c>
    </row>
    <row r="154" spans="2:20">
      <c r="B154" s="146"/>
      <c r="C154" s="146"/>
      <c r="D154" s="146"/>
      <c r="E154" s="543" t="str">
        <f t="shared" si="9"/>
        <v/>
      </c>
      <c r="I154" s="216"/>
      <c r="J154" s="217"/>
      <c r="K154" s="217"/>
      <c r="L154" s="215"/>
      <c r="M154" s="220"/>
      <c r="N154" s="220"/>
      <c r="O154" s="220"/>
      <c r="P154" s="220"/>
      <c r="Q154" s="220"/>
      <c r="S154" s="221" t="str">
        <f t="shared" si="7"/>
        <v xml:space="preserve">: </v>
      </c>
      <c r="T154" s="556">
        <f t="shared" si="8"/>
        <v>0</v>
      </c>
    </row>
    <row r="155" spans="2:20">
      <c r="B155" s="146"/>
      <c r="C155" s="146"/>
      <c r="D155" s="146"/>
      <c r="E155" s="543" t="str">
        <f t="shared" si="9"/>
        <v/>
      </c>
      <c r="I155" s="216"/>
      <c r="J155" s="217"/>
      <c r="K155" s="217"/>
      <c r="L155" s="215"/>
      <c r="M155" s="220"/>
      <c r="N155" s="220"/>
      <c r="O155" s="220"/>
      <c r="P155" s="220"/>
      <c r="Q155" s="220"/>
      <c r="S155" s="221" t="str">
        <f t="shared" si="7"/>
        <v xml:space="preserve">: </v>
      </c>
      <c r="T155" s="556">
        <f t="shared" si="8"/>
        <v>0</v>
      </c>
    </row>
    <row r="156" spans="2:20">
      <c r="B156" s="146"/>
      <c r="C156" s="146"/>
      <c r="D156" s="146"/>
      <c r="E156" s="543" t="str">
        <f t="shared" si="9"/>
        <v/>
      </c>
      <c r="I156" s="216"/>
      <c r="J156" s="217"/>
      <c r="K156" s="217"/>
      <c r="L156" s="215"/>
      <c r="M156" s="220"/>
      <c r="N156" s="220"/>
      <c r="O156" s="220"/>
      <c r="P156" s="220"/>
      <c r="Q156" s="220"/>
      <c r="S156" s="221" t="str">
        <f t="shared" si="7"/>
        <v xml:space="preserve">: </v>
      </c>
      <c r="T156" s="556">
        <f t="shared" si="8"/>
        <v>0</v>
      </c>
    </row>
    <row r="157" spans="2:20">
      <c r="B157" s="146"/>
      <c r="C157" s="146"/>
      <c r="D157" s="146"/>
      <c r="E157" s="543" t="str">
        <f t="shared" si="9"/>
        <v/>
      </c>
      <c r="I157" s="216"/>
      <c r="J157" s="217"/>
      <c r="K157" s="217"/>
      <c r="L157" s="215"/>
      <c r="M157" s="220"/>
      <c r="N157" s="220"/>
      <c r="O157" s="220"/>
      <c r="P157" s="220"/>
      <c r="Q157" s="220"/>
      <c r="S157" s="221" t="str">
        <f t="shared" si="7"/>
        <v xml:space="preserve">: </v>
      </c>
      <c r="T157" s="556">
        <f t="shared" si="8"/>
        <v>0</v>
      </c>
    </row>
    <row r="158" spans="2:20">
      <c r="B158" s="146"/>
      <c r="C158" s="146"/>
      <c r="D158" s="146"/>
      <c r="E158" s="543" t="str">
        <f t="shared" si="9"/>
        <v/>
      </c>
      <c r="I158" s="216"/>
      <c r="J158" s="217"/>
      <c r="K158" s="217"/>
      <c r="L158" s="215"/>
      <c r="M158" s="220"/>
      <c r="N158" s="220"/>
      <c r="O158" s="220"/>
      <c r="P158" s="220"/>
      <c r="Q158" s="220"/>
      <c r="S158" s="221" t="str">
        <f t="shared" si="7"/>
        <v xml:space="preserve">: </v>
      </c>
      <c r="T158" s="556">
        <f t="shared" si="8"/>
        <v>0</v>
      </c>
    </row>
    <row r="159" spans="2:20">
      <c r="B159" s="146"/>
      <c r="C159" s="146"/>
      <c r="D159" s="146"/>
      <c r="E159" s="543" t="str">
        <f t="shared" si="9"/>
        <v/>
      </c>
      <c r="I159" s="216"/>
      <c r="J159" s="217"/>
      <c r="K159" s="217"/>
      <c r="L159" s="215"/>
      <c r="M159" s="220"/>
      <c r="N159" s="220"/>
      <c r="O159" s="220"/>
      <c r="P159" s="220"/>
      <c r="Q159" s="220"/>
      <c r="S159" s="221" t="str">
        <f t="shared" si="7"/>
        <v xml:space="preserve">: </v>
      </c>
      <c r="T159" s="556">
        <f t="shared" si="8"/>
        <v>0</v>
      </c>
    </row>
    <row r="160" spans="2:20">
      <c r="B160" s="146"/>
      <c r="C160" s="146"/>
      <c r="D160" s="146"/>
      <c r="E160" s="543" t="str">
        <f t="shared" si="9"/>
        <v/>
      </c>
      <c r="I160" s="216"/>
      <c r="J160" s="217"/>
      <c r="K160" s="217"/>
      <c r="L160" s="215"/>
      <c r="M160" s="220"/>
      <c r="N160" s="220"/>
      <c r="O160" s="220"/>
      <c r="P160" s="220"/>
      <c r="Q160" s="220"/>
      <c r="S160" s="221" t="str">
        <f t="shared" si="7"/>
        <v xml:space="preserve">: </v>
      </c>
      <c r="T160" s="556">
        <f t="shared" si="8"/>
        <v>0</v>
      </c>
    </row>
    <row r="161" spans="2:20">
      <c r="B161" s="146"/>
      <c r="C161" s="146"/>
      <c r="D161" s="146"/>
      <c r="E161" s="543" t="str">
        <f t="shared" si="9"/>
        <v/>
      </c>
      <c r="I161" s="216"/>
      <c r="J161" s="217"/>
      <c r="K161" s="217"/>
      <c r="L161" s="215"/>
      <c r="M161" s="220"/>
      <c r="N161" s="220"/>
      <c r="O161" s="220"/>
      <c r="P161" s="220"/>
      <c r="Q161" s="220"/>
      <c r="S161" s="221" t="str">
        <f t="shared" si="7"/>
        <v xml:space="preserve">: </v>
      </c>
      <c r="T161" s="556">
        <f t="shared" si="8"/>
        <v>0</v>
      </c>
    </row>
    <row r="162" spans="2:20">
      <c r="B162" s="146"/>
      <c r="C162" s="146"/>
      <c r="D162" s="146"/>
      <c r="E162" s="543" t="str">
        <f t="shared" si="9"/>
        <v/>
      </c>
      <c r="I162" s="216"/>
      <c r="J162" s="217"/>
      <c r="K162" s="217"/>
      <c r="L162" s="215"/>
      <c r="M162" s="220"/>
      <c r="N162" s="220"/>
      <c r="O162" s="220"/>
      <c r="P162" s="220"/>
      <c r="Q162" s="220"/>
      <c r="S162" s="221" t="str">
        <f t="shared" si="7"/>
        <v xml:space="preserve">: </v>
      </c>
      <c r="T162" s="556">
        <f t="shared" si="8"/>
        <v>0</v>
      </c>
    </row>
    <row r="163" spans="2:20">
      <c r="B163" s="146"/>
      <c r="C163" s="146"/>
      <c r="D163" s="146"/>
      <c r="E163" s="543" t="str">
        <f t="shared" si="9"/>
        <v/>
      </c>
      <c r="I163" s="216"/>
      <c r="J163" s="217"/>
      <c r="K163" s="217"/>
      <c r="L163" s="215"/>
      <c r="M163" s="220"/>
      <c r="N163" s="220"/>
      <c r="O163" s="220"/>
      <c r="P163" s="220"/>
      <c r="Q163" s="220"/>
      <c r="S163" s="221" t="str">
        <f t="shared" si="7"/>
        <v xml:space="preserve">: </v>
      </c>
      <c r="T163" s="556">
        <f t="shared" si="8"/>
        <v>0</v>
      </c>
    </row>
    <row r="164" spans="2:20">
      <c r="B164" s="146"/>
      <c r="C164" s="146"/>
      <c r="D164" s="146"/>
      <c r="E164" s="543" t="str">
        <f t="shared" si="9"/>
        <v/>
      </c>
      <c r="I164" s="216"/>
      <c r="J164" s="217"/>
      <c r="K164" s="217"/>
      <c r="L164" s="215"/>
      <c r="M164" s="220"/>
      <c r="N164" s="220"/>
      <c r="O164" s="220"/>
      <c r="P164" s="220"/>
      <c r="Q164" s="220"/>
      <c r="S164" s="221" t="str">
        <f t="shared" si="7"/>
        <v xml:space="preserve">: </v>
      </c>
      <c r="T164" s="556">
        <f t="shared" si="8"/>
        <v>0</v>
      </c>
    </row>
    <row r="165" spans="2:20">
      <c r="B165" s="146"/>
      <c r="C165" s="146"/>
      <c r="D165" s="146"/>
      <c r="E165" s="543" t="str">
        <f t="shared" si="9"/>
        <v/>
      </c>
      <c r="I165" s="216"/>
      <c r="J165" s="217"/>
      <c r="K165" s="217"/>
      <c r="L165" s="215"/>
      <c r="M165" s="220"/>
      <c r="N165" s="220"/>
      <c r="O165" s="220"/>
      <c r="P165" s="220"/>
      <c r="Q165" s="220"/>
      <c r="S165" s="221" t="str">
        <f t="shared" si="7"/>
        <v xml:space="preserve">: </v>
      </c>
      <c r="T165" s="556">
        <f t="shared" si="8"/>
        <v>0</v>
      </c>
    </row>
    <row r="166" spans="2:20">
      <c r="B166" s="146"/>
      <c r="C166" s="146"/>
      <c r="D166" s="146"/>
      <c r="E166" s="543" t="str">
        <f t="shared" si="9"/>
        <v/>
      </c>
      <c r="I166" s="216"/>
      <c r="J166" s="217"/>
      <c r="K166" s="217"/>
      <c r="L166" s="215"/>
      <c r="M166" s="220"/>
      <c r="N166" s="220"/>
      <c r="O166" s="220"/>
      <c r="P166" s="220"/>
      <c r="Q166" s="220"/>
      <c r="S166" s="221" t="str">
        <f t="shared" si="7"/>
        <v xml:space="preserve">: </v>
      </c>
      <c r="T166" s="556">
        <f t="shared" si="8"/>
        <v>0</v>
      </c>
    </row>
    <row r="167" spans="2:20">
      <c r="B167" s="146"/>
      <c r="C167" s="146"/>
      <c r="D167" s="146"/>
      <c r="E167" s="543" t="str">
        <f t="shared" si="9"/>
        <v/>
      </c>
      <c r="I167" s="216"/>
      <c r="J167" s="217"/>
      <c r="K167" s="217"/>
      <c r="L167" s="215"/>
      <c r="M167" s="220"/>
      <c r="N167" s="220"/>
      <c r="O167" s="220"/>
      <c r="P167" s="220"/>
      <c r="Q167" s="220"/>
      <c r="S167" s="221" t="str">
        <f t="shared" si="7"/>
        <v xml:space="preserve">: </v>
      </c>
      <c r="T167" s="556">
        <f t="shared" si="8"/>
        <v>0</v>
      </c>
    </row>
    <row r="168" spans="2:20">
      <c r="B168" s="146"/>
      <c r="C168" s="146"/>
      <c r="D168" s="146"/>
      <c r="E168" s="543" t="str">
        <f t="shared" si="9"/>
        <v/>
      </c>
      <c r="I168" s="216"/>
      <c r="J168" s="217"/>
      <c r="K168" s="217"/>
      <c r="L168" s="215"/>
      <c r="M168" s="220"/>
      <c r="N168" s="220"/>
      <c r="O168" s="220"/>
      <c r="P168" s="220"/>
      <c r="Q168" s="220"/>
      <c r="S168" s="221" t="str">
        <f t="shared" si="7"/>
        <v xml:space="preserve">: </v>
      </c>
      <c r="T168" s="556">
        <f t="shared" si="8"/>
        <v>0</v>
      </c>
    </row>
    <row r="169" spans="2:20">
      <c r="B169" s="146"/>
      <c r="C169" s="146"/>
      <c r="D169" s="146"/>
      <c r="E169" s="543" t="str">
        <f t="shared" si="9"/>
        <v/>
      </c>
      <c r="I169" s="216"/>
      <c r="J169" s="217"/>
      <c r="K169" s="217"/>
      <c r="L169" s="215"/>
      <c r="M169" s="220"/>
      <c r="N169" s="220"/>
      <c r="O169" s="220"/>
      <c r="P169" s="220"/>
      <c r="Q169" s="220"/>
      <c r="S169" s="221" t="str">
        <f t="shared" si="7"/>
        <v xml:space="preserve">: </v>
      </c>
      <c r="T169" s="556">
        <f t="shared" si="8"/>
        <v>0</v>
      </c>
    </row>
    <row r="170" spans="2:20">
      <c r="B170" s="146"/>
      <c r="C170" s="146"/>
      <c r="D170" s="146"/>
      <c r="E170" s="543" t="str">
        <f t="shared" si="9"/>
        <v/>
      </c>
      <c r="I170" s="216"/>
      <c r="J170" s="217"/>
      <c r="K170" s="217"/>
      <c r="L170" s="215"/>
      <c r="M170" s="220"/>
      <c r="N170" s="220"/>
      <c r="O170" s="220"/>
      <c r="P170" s="220"/>
      <c r="Q170" s="220"/>
      <c r="S170" s="221" t="str">
        <f t="shared" si="7"/>
        <v xml:space="preserve">: </v>
      </c>
      <c r="T170" s="556">
        <f t="shared" si="8"/>
        <v>0</v>
      </c>
    </row>
    <row r="171" spans="2:20">
      <c r="B171" s="146"/>
      <c r="C171" s="146"/>
      <c r="D171" s="146"/>
      <c r="E171" s="543" t="str">
        <f t="shared" si="9"/>
        <v/>
      </c>
      <c r="I171" s="216"/>
      <c r="J171" s="217"/>
      <c r="K171" s="217"/>
      <c r="L171" s="215"/>
      <c r="M171" s="220"/>
      <c r="N171" s="220"/>
      <c r="O171" s="220"/>
      <c r="P171" s="220"/>
      <c r="Q171" s="220"/>
      <c r="S171" s="221" t="str">
        <f t="shared" si="7"/>
        <v xml:space="preserve">: </v>
      </c>
      <c r="T171" s="556">
        <f t="shared" si="8"/>
        <v>0</v>
      </c>
    </row>
    <row r="172" spans="2:20">
      <c r="B172" s="146"/>
      <c r="C172" s="146"/>
      <c r="D172" s="146"/>
      <c r="E172" s="543" t="str">
        <f t="shared" si="9"/>
        <v/>
      </c>
      <c r="I172" s="216"/>
      <c r="J172" s="217"/>
      <c r="K172" s="217"/>
      <c r="L172" s="215"/>
      <c r="M172" s="220"/>
      <c r="N172" s="220"/>
      <c r="O172" s="220"/>
      <c r="P172" s="220"/>
      <c r="Q172" s="220"/>
      <c r="S172" s="221" t="str">
        <f t="shared" si="7"/>
        <v xml:space="preserve">: </v>
      </c>
      <c r="T172" s="556">
        <f t="shared" si="8"/>
        <v>0</v>
      </c>
    </row>
    <row r="173" spans="2:20">
      <c r="B173" s="146"/>
      <c r="C173" s="146"/>
      <c r="D173" s="146"/>
      <c r="E173" s="543" t="str">
        <f t="shared" si="9"/>
        <v/>
      </c>
      <c r="I173" s="216"/>
      <c r="J173" s="217"/>
      <c r="K173" s="217"/>
      <c r="L173" s="215"/>
      <c r="M173" s="220"/>
      <c r="N173" s="220"/>
      <c r="O173" s="220"/>
      <c r="P173" s="220"/>
      <c r="Q173" s="220"/>
      <c r="S173" s="221" t="str">
        <f t="shared" ref="S173:S200" si="10">I173&amp;":"&amp;J173&amp;" "&amp;K173&amp;L173</f>
        <v xml:space="preserve">: </v>
      </c>
      <c r="T173" s="556">
        <f t="shared" si="8"/>
        <v>0</v>
      </c>
    </row>
    <row r="174" spans="2:20">
      <c r="B174" s="146"/>
      <c r="C174" s="146"/>
      <c r="D174" s="146"/>
      <c r="E174" s="543" t="str">
        <f t="shared" si="9"/>
        <v/>
      </c>
      <c r="I174" s="216"/>
      <c r="J174" s="217"/>
      <c r="K174" s="217"/>
      <c r="L174" s="215"/>
      <c r="M174" s="220"/>
      <c r="N174" s="220"/>
      <c r="O174" s="220"/>
      <c r="P174" s="220"/>
      <c r="Q174" s="220"/>
      <c r="S174" s="221" t="str">
        <f t="shared" si="10"/>
        <v xml:space="preserve">: </v>
      </c>
      <c r="T174" s="556">
        <f t="shared" si="8"/>
        <v>0</v>
      </c>
    </row>
    <row r="175" spans="2:20">
      <c r="B175" s="146"/>
      <c r="C175" s="146"/>
      <c r="D175" s="146"/>
      <c r="E175" s="543" t="str">
        <f t="shared" si="9"/>
        <v/>
      </c>
      <c r="I175" s="216"/>
      <c r="J175" s="217"/>
      <c r="K175" s="217"/>
      <c r="L175" s="215"/>
      <c r="M175" s="220"/>
      <c r="N175" s="220"/>
      <c r="O175" s="220"/>
      <c r="P175" s="220"/>
      <c r="Q175" s="220"/>
      <c r="S175" s="221" t="str">
        <f t="shared" si="10"/>
        <v xml:space="preserve">: </v>
      </c>
      <c r="T175" s="556">
        <f t="shared" si="8"/>
        <v>0</v>
      </c>
    </row>
    <row r="176" spans="2:20">
      <c r="B176" s="146"/>
      <c r="C176" s="146"/>
      <c r="D176" s="146"/>
      <c r="E176" s="543" t="str">
        <f t="shared" si="9"/>
        <v/>
      </c>
      <c r="I176" s="216"/>
      <c r="J176" s="217"/>
      <c r="K176" s="217"/>
      <c r="L176" s="215"/>
      <c r="M176" s="220"/>
      <c r="N176" s="220"/>
      <c r="O176" s="220"/>
      <c r="P176" s="220"/>
      <c r="Q176" s="220"/>
      <c r="S176" s="221" t="str">
        <f t="shared" si="10"/>
        <v xml:space="preserve">: </v>
      </c>
      <c r="T176" s="556">
        <f t="shared" si="8"/>
        <v>0</v>
      </c>
    </row>
    <row r="177" spans="2:20">
      <c r="B177" s="146"/>
      <c r="C177" s="146"/>
      <c r="D177" s="146"/>
      <c r="E177" s="543" t="str">
        <f t="shared" si="9"/>
        <v/>
      </c>
      <c r="I177" s="216"/>
      <c r="J177" s="217"/>
      <c r="K177" s="217"/>
      <c r="L177" s="215"/>
      <c r="M177" s="220"/>
      <c r="N177" s="220"/>
      <c r="O177" s="220"/>
      <c r="P177" s="220"/>
      <c r="Q177" s="220"/>
      <c r="S177" s="221" t="str">
        <f t="shared" si="10"/>
        <v xml:space="preserve">: </v>
      </c>
      <c r="T177" s="556">
        <f t="shared" si="8"/>
        <v>0</v>
      </c>
    </row>
    <row r="178" spans="2:20">
      <c r="B178" s="146"/>
      <c r="C178" s="146"/>
      <c r="D178" s="146"/>
      <c r="E178" s="543" t="str">
        <f t="shared" si="9"/>
        <v/>
      </c>
      <c r="I178" s="216"/>
      <c r="J178" s="217"/>
      <c r="K178" s="217"/>
      <c r="L178" s="215"/>
      <c r="M178" s="220"/>
      <c r="N178" s="220"/>
      <c r="O178" s="220"/>
      <c r="P178" s="220"/>
      <c r="Q178" s="220"/>
      <c r="S178" s="221" t="str">
        <f t="shared" si="10"/>
        <v xml:space="preserve">: </v>
      </c>
      <c r="T178" s="556">
        <f t="shared" si="8"/>
        <v>0</v>
      </c>
    </row>
    <row r="179" spans="2:20">
      <c r="B179" s="146"/>
      <c r="C179" s="146"/>
      <c r="D179" s="146"/>
      <c r="E179" s="543" t="str">
        <f t="shared" si="9"/>
        <v/>
      </c>
      <c r="I179" s="216"/>
      <c r="J179" s="217"/>
      <c r="K179" s="217"/>
      <c r="L179" s="215"/>
      <c r="M179" s="220"/>
      <c r="N179" s="220"/>
      <c r="O179" s="220"/>
      <c r="P179" s="220"/>
      <c r="Q179" s="220"/>
      <c r="S179" s="221" t="str">
        <f t="shared" si="10"/>
        <v xml:space="preserve">: </v>
      </c>
      <c r="T179" s="556">
        <f t="shared" si="8"/>
        <v>0</v>
      </c>
    </row>
    <row r="180" spans="2:20">
      <c r="B180" s="146"/>
      <c r="C180" s="146"/>
      <c r="D180" s="146"/>
      <c r="E180" s="543" t="str">
        <f t="shared" si="9"/>
        <v/>
      </c>
      <c r="I180" s="216"/>
      <c r="J180" s="217"/>
      <c r="K180" s="217"/>
      <c r="L180" s="215"/>
      <c r="M180" s="220"/>
      <c r="N180" s="220"/>
      <c r="O180" s="220"/>
      <c r="P180" s="220"/>
      <c r="Q180" s="220"/>
      <c r="S180" s="221" t="str">
        <f t="shared" si="10"/>
        <v xml:space="preserve">: </v>
      </c>
      <c r="T180" s="556">
        <f t="shared" si="8"/>
        <v>0</v>
      </c>
    </row>
    <row r="181" spans="2:20">
      <c r="B181" s="146"/>
      <c r="C181" s="146"/>
      <c r="D181" s="146"/>
      <c r="E181" s="543" t="str">
        <f t="shared" si="9"/>
        <v/>
      </c>
      <c r="I181" s="216"/>
      <c r="J181" s="217"/>
      <c r="K181" s="217"/>
      <c r="L181" s="215"/>
      <c r="M181" s="220"/>
      <c r="N181" s="220"/>
      <c r="O181" s="220"/>
      <c r="P181" s="220"/>
      <c r="Q181" s="220"/>
      <c r="S181" s="221" t="str">
        <f t="shared" si="10"/>
        <v xml:space="preserve">: </v>
      </c>
      <c r="T181" s="556">
        <f t="shared" si="8"/>
        <v>0</v>
      </c>
    </row>
    <row r="182" spans="2:20">
      <c r="B182" s="146"/>
      <c r="C182" s="146"/>
      <c r="D182" s="146"/>
      <c r="E182" s="543" t="str">
        <f t="shared" si="9"/>
        <v/>
      </c>
      <c r="I182" s="216"/>
      <c r="J182" s="217"/>
      <c r="K182" s="217"/>
      <c r="L182" s="215"/>
      <c r="M182" s="220"/>
      <c r="N182" s="220"/>
      <c r="O182" s="220"/>
      <c r="P182" s="220"/>
      <c r="Q182" s="220"/>
      <c r="S182" s="221" t="str">
        <f t="shared" si="10"/>
        <v xml:space="preserve">: </v>
      </c>
      <c r="T182" s="556">
        <f t="shared" si="8"/>
        <v>0</v>
      </c>
    </row>
    <row r="183" spans="2:20">
      <c r="B183" s="146"/>
      <c r="C183" s="146"/>
      <c r="D183" s="146"/>
      <c r="E183" s="543" t="str">
        <f t="shared" si="9"/>
        <v/>
      </c>
      <c r="I183" s="216"/>
      <c r="J183" s="217"/>
      <c r="K183" s="217"/>
      <c r="L183" s="215"/>
      <c r="M183" s="220"/>
      <c r="N183" s="220"/>
      <c r="O183" s="220"/>
      <c r="P183" s="220"/>
      <c r="Q183" s="220"/>
      <c r="S183" s="221" t="str">
        <f t="shared" si="10"/>
        <v xml:space="preserve">: </v>
      </c>
      <c r="T183" s="556">
        <f t="shared" si="8"/>
        <v>0</v>
      </c>
    </row>
    <row r="184" spans="2:20">
      <c r="B184" s="146"/>
      <c r="C184" s="146"/>
      <c r="D184" s="146"/>
      <c r="E184" s="543" t="str">
        <f t="shared" si="9"/>
        <v/>
      </c>
      <c r="I184" s="216"/>
      <c r="J184" s="217"/>
      <c r="K184" s="217"/>
      <c r="L184" s="215"/>
      <c r="M184" s="220"/>
      <c r="N184" s="220"/>
      <c r="O184" s="220"/>
      <c r="P184" s="220"/>
      <c r="Q184" s="220"/>
      <c r="S184" s="221" t="str">
        <f t="shared" si="10"/>
        <v xml:space="preserve">: </v>
      </c>
      <c r="T184" s="556">
        <f t="shared" si="8"/>
        <v>0</v>
      </c>
    </row>
    <row r="185" spans="2:20">
      <c r="B185" s="146"/>
      <c r="C185" s="146"/>
      <c r="D185" s="146"/>
      <c r="E185" s="543" t="str">
        <f t="shared" si="9"/>
        <v/>
      </c>
      <c r="I185" s="216"/>
      <c r="J185" s="217"/>
      <c r="K185" s="217"/>
      <c r="L185" s="215"/>
      <c r="M185" s="220"/>
      <c r="N185" s="220"/>
      <c r="O185" s="220"/>
      <c r="P185" s="220"/>
      <c r="Q185" s="220"/>
      <c r="S185" s="221" t="str">
        <f t="shared" si="10"/>
        <v xml:space="preserve">: </v>
      </c>
      <c r="T185" s="556">
        <f t="shared" si="8"/>
        <v>0</v>
      </c>
    </row>
    <row r="186" spans="2:20">
      <c r="B186" s="146"/>
      <c r="C186" s="146"/>
      <c r="D186" s="146"/>
      <c r="E186" s="543" t="str">
        <f t="shared" si="9"/>
        <v/>
      </c>
      <c r="I186" s="216"/>
      <c r="J186" s="217"/>
      <c r="K186" s="217"/>
      <c r="L186" s="215"/>
      <c r="M186" s="220"/>
      <c r="N186" s="220"/>
      <c r="O186" s="220"/>
      <c r="P186" s="220"/>
      <c r="Q186" s="220"/>
      <c r="S186" s="221" t="str">
        <f t="shared" si="10"/>
        <v xml:space="preserve">: </v>
      </c>
      <c r="T186" s="556">
        <f t="shared" si="8"/>
        <v>0</v>
      </c>
    </row>
    <row r="187" spans="2:20">
      <c r="B187" s="146"/>
      <c r="C187" s="146"/>
      <c r="D187" s="146"/>
      <c r="E187" s="543" t="str">
        <f t="shared" si="9"/>
        <v/>
      </c>
      <c r="I187" s="216"/>
      <c r="J187" s="217"/>
      <c r="K187" s="217"/>
      <c r="L187" s="215"/>
      <c r="M187" s="220"/>
      <c r="N187" s="220"/>
      <c r="O187" s="220"/>
      <c r="P187" s="220"/>
      <c r="Q187" s="220"/>
      <c r="S187" s="221" t="str">
        <f t="shared" si="10"/>
        <v xml:space="preserve">: </v>
      </c>
      <c r="T187" s="556">
        <f t="shared" si="8"/>
        <v>0</v>
      </c>
    </row>
    <row r="188" spans="2:20">
      <c r="B188" s="146"/>
      <c r="C188" s="146"/>
      <c r="D188" s="146"/>
      <c r="E188" s="543" t="str">
        <f t="shared" si="9"/>
        <v/>
      </c>
      <c r="I188" s="216"/>
      <c r="J188" s="217"/>
      <c r="K188" s="217"/>
      <c r="L188" s="215"/>
      <c r="M188" s="220"/>
      <c r="N188" s="220"/>
      <c r="O188" s="220"/>
      <c r="P188" s="220"/>
      <c r="Q188" s="220"/>
      <c r="S188" s="221" t="str">
        <f t="shared" si="10"/>
        <v xml:space="preserve">: </v>
      </c>
      <c r="T188" s="556">
        <f t="shared" si="8"/>
        <v>0</v>
      </c>
    </row>
    <row r="189" spans="2:20">
      <c r="B189" s="146"/>
      <c r="C189" s="146"/>
      <c r="D189" s="146"/>
      <c r="E189" s="543" t="str">
        <f t="shared" si="9"/>
        <v/>
      </c>
      <c r="I189" s="216"/>
      <c r="J189" s="217"/>
      <c r="K189" s="217"/>
      <c r="L189" s="215"/>
      <c r="M189" s="220"/>
      <c r="N189" s="220"/>
      <c r="O189" s="220"/>
      <c r="P189" s="220"/>
      <c r="Q189" s="220"/>
      <c r="S189" s="221" t="str">
        <f t="shared" si="10"/>
        <v xml:space="preserve">: </v>
      </c>
      <c r="T189" s="556">
        <f t="shared" si="8"/>
        <v>0</v>
      </c>
    </row>
    <row r="190" spans="2:20">
      <c r="B190" s="146"/>
      <c r="C190" s="146"/>
      <c r="D190" s="146"/>
      <c r="E190" s="543" t="str">
        <f t="shared" si="9"/>
        <v/>
      </c>
      <c r="I190" s="216"/>
      <c r="J190" s="217"/>
      <c r="K190" s="217"/>
      <c r="L190" s="215"/>
      <c r="M190" s="220"/>
      <c r="N190" s="220"/>
      <c r="O190" s="220"/>
      <c r="P190" s="220"/>
      <c r="Q190" s="220"/>
      <c r="S190" s="221" t="str">
        <f t="shared" si="10"/>
        <v xml:space="preserve">: </v>
      </c>
      <c r="T190" s="556">
        <f t="shared" si="8"/>
        <v>0</v>
      </c>
    </row>
    <row r="191" spans="2:20">
      <c r="B191" s="146"/>
      <c r="C191" s="146"/>
      <c r="D191" s="146"/>
      <c r="E191" s="543" t="str">
        <f t="shared" si="9"/>
        <v/>
      </c>
      <c r="I191" s="216"/>
      <c r="J191" s="217"/>
      <c r="K191" s="217"/>
      <c r="L191" s="215"/>
      <c r="M191" s="220"/>
      <c r="N191" s="220"/>
      <c r="O191" s="220"/>
      <c r="P191" s="220"/>
      <c r="Q191" s="220"/>
      <c r="S191" s="221" t="str">
        <f t="shared" si="10"/>
        <v xml:space="preserve">: </v>
      </c>
      <c r="T191" s="556">
        <f t="shared" si="8"/>
        <v>0</v>
      </c>
    </row>
    <row r="192" spans="2:20">
      <c r="B192" s="146"/>
      <c r="C192" s="146"/>
      <c r="D192" s="146"/>
      <c r="E192" s="543" t="str">
        <f t="shared" si="9"/>
        <v/>
      </c>
      <c r="I192" s="216"/>
      <c r="J192" s="217"/>
      <c r="K192" s="217"/>
      <c r="L192" s="215"/>
      <c r="M192" s="220"/>
      <c r="N192" s="220"/>
      <c r="O192" s="220"/>
      <c r="P192" s="220"/>
      <c r="Q192" s="220"/>
      <c r="S192" s="221" t="str">
        <f t="shared" si="10"/>
        <v xml:space="preserve">: </v>
      </c>
      <c r="T192" s="556">
        <f t="shared" si="8"/>
        <v>0</v>
      </c>
    </row>
    <row r="193" spans="2:20">
      <c r="B193" s="146"/>
      <c r="C193" s="146"/>
      <c r="D193" s="146"/>
      <c r="E193" s="543" t="str">
        <f t="shared" si="9"/>
        <v/>
      </c>
      <c r="I193" s="216"/>
      <c r="J193" s="217"/>
      <c r="K193" s="217"/>
      <c r="L193" s="215"/>
      <c r="M193" s="220"/>
      <c r="N193" s="220"/>
      <c r="O193" s="220"/>
      <c r="P193" s="220"/>
      <c r="Q193" s="220"/>
      <c r="S193" s="221" t="str">
        <f t="shared" si="10"/>
        <v xml:space="preserve">: </v>
      </c>
      <c r="T193" s="556">
        <f t="shared" si="8"/>
        <v>0</v>
      </c>
    </row>
    <row r="194" spans="2:20">
      <c r="B194" s="146"/>
      <c r="C194" s="146"/>
      <c r="D194" s="146"/>
      <c r="E194" s="543" t="str">
        <f t="shared" si="9"/>
        <v/>
      </c>
      <c r="I194" s="216"/>
      <c r="J194" s="217"/>
      <c r="K194" s="217"/>
      <c r="L194" s="215"/>
      <c r="M194" s="220"/>
      <c r="N194" s="220"/>
      <c r="O194" s="220"/>
      <c r="P194" s="220"/>
      <c r="Q194" s="220"/>
      <c r="S194" s="221" t="str">
        <f t="shared" si="10"/>
        <v xml:space="preserve">: </v>
      </c>
      <c r="T194" s="556">
        <f t="shared" si="8"/>
        <v>0</v>
      </c>
    </row>
    <row r="195" spans="2:20">
      <c r="B195" s="146"/>
      <c r="C195" s="146"/>
      <c r="D195" s="146"/>
      <c r="E195" s="543" t="str">
        <f t="shared" si="9"/>
        <v/>
      </c>
      <c r="I195" s="216"/>
      <c r="J195" s="217"/>
      <c r="K195" s="217"/>
      <c r="L195" s="215"/>
      <c r="M195" s="220"/>
      <c r="N195" s="220"/>
      <c r="O195" s="220"/>
      <c r="P195" s="220"/>
      <c r="Q195" s="220"/>
      <c r="S195" s="221" t="str">
        <f t="shared" si="10"/>
        <v xml:space="preserve">: </v>
      </c>
      <c r="T195" s="556">
        <f t="shared" si="8"/>
        <v>0</v>
      </c>
    </row>
    <row r="196" spans="2:20">
      <c r="B196" s="146"/>
      <c r="C196" s="146"/>
      <c r="D196" s="146"/>
      <c r="E196" s="543" t="str">
        <f t="shared" si="9"/>
        <v/>
      </c>
      <c r="I196" s="216"/>
      <c r="J196" s="217"/>
      <c r="K196" s="217"/>
      <c r="L196" s="215"/>
      <c r="M196" s="220"/>
      <c r="N196" s="220"/>
      <c r="O196" s="220"/>
      <c r="P196" s="220"/>
      <c r="Q196" s="220"/>
      <c r="S196" s="221" t="str">
        <f t="shared" si="10"/>
        <v xml:space="preserve">: </v>
      </c>
      <c r="T196" s="556">
        <f t="shared" si="8"/>
        <v>0</v>
      </c>
    </row>
    <row r="197" spans="2:20">
      <c r="B197" s="146"/>
      <c r="C197" s="146"/>
      <c r="D197" s="146"/>
      <c r="E197" s="543" t="str">
        <f t="shared" si="9"/>
        <v/>
      </c>
      <c r="I197" s="216"/>
      <c r="J197" s="217"/>
      <c r="K197" s="217"/>
      <c r="L197" s="215"/>
      <c r="M197" s="220"/>
      <c r="N197" s="220"/>
      <c r="O197" s="220"/>
      <c r="P197" s="220"/>
      <c r="Q197" s="220"/>
      <c r="S197" s="221" t="str">
        <f t="shared" si="10"/>
        <v xml:space="preserve">: </v>
      </c>
      <c r="T197" s="556">
        <f t="shared" si="8"/>
        <v>0</v>
      </c>
    </row>
    <row r="198" spans="2:20">
      <c r="B198" s="146"/>
      <c r="C198" s="146"/>
      <c r="D198" s="146"/>
      <c r="E198" s="543" t="str">
        <f t="shared" si="9"/>
        <v/>
      </c>
      <c r="I198" s="216"/>
      <c r="J198" s="217"/>
      <c r="K198" s="217"/>
      <c r="L198" s="215"/>
      <c r="M198" s="220"/>
      <c r="N198" s="220"/>
      <c r="O198" s="220"/>
      <c r="P198" s="220"/>
      <c r="Q198" s="220"/>
      <c r="S198" s="221" t="str">
        <f t="shared" si="10"/>
        <v xml:space="preserve">: </v>
      </c>
      <c r="T198" s="556">
        <f t="shared" si="8"/>
        <v>0</v>
      </c>
    </row>
    <row r="199" spans="2:20">
      <c r="B199" s="146"/>
      <c r="C199" s="146"/>
      <c r="D199" s="146"/>
      <c r="E199" s="543" t="str">
        <f t="shared" si="9"/>
        <v/>
      </c>
      <c r="I199" s="216"/>
      <c r="J199" s="217"/>
      <c r="K199" s="217"/>
      <c r="L199" s="215"/>
      <c r="M199" s="220"/>
      <c r="N199" s="220"/>
      <c r="O199" s="220"/>
      <c r="P199" s="220"/>
      <c r="Q199" s="220"/>
      <c r="S199" s="221" t="str">
        <f t="shared" si="10"/>
        <v xml:space="preserve">: </v>
      </c>
      <c r="T199" s="556">
        <f t="shared" si="8"/>
        <v>0</v>
      </c>
    </row>
    <row r="200" spans="2:20">
      <c r="B200" s="146"/>
      <c r="C200" s="146"/>
      <c r="D200" s="146"/>
      <c r="E200" s="543" t="str">
        <f t="shared" si="9"/>
        <v/>
      </c>
      <c r="I200" s="216"/>
      <c r="J200" s="217"/>
      <c r="K200" s="217"/>
      <c r="L200" s="215"/>
      <c r="M200" s="220"/>
      <c r="N200" s="220"/>
      <c r="O200" s="220"/>
      <c r="P200" s="220"/>
      <c r="Q200" s="220"/>
      <c r="S200" s="221" t="str">
        <f t="shared" si="10"/>
        <v xml:space="preserve">: </v>
      </c>
      <c r="T200" s="556">
        <f t="shared" si="8"/>
        <v>0</v>
      </c>
    </row>
  </sheetData>
  <sheetProtection algorithmName="SHA-512" hashValue="vshF0GHioml/HyoUtJlz13+5TA3ZrGCswK2STN7uhXorUHG8SBmUrWqjqQkhCIzeZGzkUayeGs/QZqfQqfsK/g==" saltValue="s2+6l4Xf7v2N0UvjZXX7HA==" spinCount="100000" sheet="1" objects="1" scenarios="1"/>
  <mergeCells count="11">
    <mergeCell ref="B6:B7"/>
    <mergeCell ref="C6:C7"/>
    <mergeCell ref="E6:E7"/>
    <mergeCell ref="I6:I7"/>
    <mergeCell ref="G6:G7"/>
    <mergeCell ref="S2:S3"/>
    <mergeCell ref="S6:S7"/>
    <mergeCell ref="D6:D7"/>
    <mergeCell ref="L2:L3"/>
    <mergeCell ref="L6:L7"/>
    <mergeCell ref="J6:K7"/>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104"/>
  <sheetViews>
    <sheetView showGridLines="0" zoomScaleNormal="100" zoomScaleSheetLayoutView="100" workbookViewId="0">
      <pane ySplit="4" topLeftCell="A5" activePane="bottomLeft" state="frozen"/>
      <selection pane="bottomLeft"/>
    </sheetView>
  </sheetViews>
  <sheetFormatPr defaultColWidth="5.625" defaultRowHeight="18"/>
  <cols>
    <col min="1" max="1" width="5.625" style="67"/>
    <col min="2" max="2" width="8.625" style="67" customWidth="1"/>
    <col min="3" max="11" width="5.625" style="67"/>
    <col min="12" max="15" width="10.375" style="67" customWidth="1"/>
    <col min="16" max="16" width="127.75" style="67" bestFit="1" customWidth="1"/>
    <col min="17" max="26" width="5.625" style="67"/>
    <col min="27" max="27" width="35.5" style="67" hidden="1" customWidth="1"/>
    <col min="28" max="16384" width="5.625" style="67"/>
  </cols>
  <sheetData>
    <row r="1" spans="1:27">
      <c r="A1" s="3" t="s">
        <v>1011</v>
      </c>
      <c r="B1" s="3"/>
      <c r="C1" s="3"/>
      <c r="D1" s="3"/>
      <c r="E1" s="3"/>
      <c r="F1" s="3"/>
      <c r="G1" s="3"/>
      <c r="H1" s="3"/>
      <c r="I1" s="3"/>
      <c r="J1" s="3"/>
      <c r="K1" s="3"/>
      <c r="L1" s="743" t="s">
        <v>0</v>
      </c>
      <c r="M1" s="744"/>
      <c r="N1" s="745" t="str">
        <f>IF(事業所概要_算定体制!D13="","",事業所概要_算定体制!D13)</f>
        <v/>
      </c>
      <c r="O1" s="746"/>
    </row>
    <row r="2" spans="1:27">
      <c r="A2" s="3"/>
      <c r="B2" s="3"/>
      <c r="C2" s="3"/>
      <c r="D2" s="3"/>
      <c r="E2" s="3"/>
      <c r="F2" s="3"/>
      <c r="G2" s="3"/>
      <c r="H2" s="3"/>
      <c r="I2" s="3"/>
      <c r="J2" s="3"/>
      <c r="K2" s="3"/>
      <c r="L2" s="3"/>
      <c r="M2" s="3"/>
      <c r="N2" s="747" t="str">
        <f>CONCATENATE(事業所概要_算定体制!$B$3,事業所概要_算定体制!$C$3,"年度")</f>
        <v>令和７年度</v>
      </c>
      <c r="O2" s="747"/>
    </row>
    <row r="3" spans="1:27" ht="22.5" customHeight="1">
      <c r="A3" s="115" t="s">
        <v>268</v>
      </c>
      <c r="B3" s="3"/>
      <c r="C3" s="3"/>
      <c r="D3" s="3"/>
      <c r="E3" s="3"/>
      <c r="F3" s="3"/>
      <c r="G3" s="3"/>
      <c r="H3" s="3"/>
      <c r="I3" s="3"/>
      <c r="J3" s="3"/>
      <c r="K3" s="3"/>
      <c r="L3" s="3"/>
      <c r="M3" s="3"/>
      <c r="N3" s="3"/>
      <c r="O3" s="3"/>
    </row>
    <row r="4" spans="1:27" ht="18" customHeight="1">
      <c r="A4" s="754" t="s">
        <v>269</v>
      </c>
      <c r="B4" s="754"/>
      <c r="C4" s="754" t="s">
        <v>270</v>
      </c>
      <c r="D4" s="754"/>
      <c r="E4" s="754"/>
      <c r="F4" s="754"/>
      <c r="G4" s="754"/>
      <c r="H4" s="755" t="s">
        <v>985</v>
      </c>
      <c r="I4" s="756"/>
      <c r="J4" s="756"/>
      <c r="K4" s="756"/>
      <c r="L4" s="754" t="s">
        <v>986</v>
      </c>
      <c r="M4" s="754"/>
      <c r="N4" s="754"/>
      <c r="O4" s="754"/>
    </row>
    <row r="5" spans="1:27" s="462" customFormat="1" ht="18" customHeight="1">
      <c r="A5" s="757"/>
      <c r="B5" s="757"/>
      <c r="C5" s="748"/>
      <c r="D5" s="749"/>
      <c r="E5" s="749"/>
      <c r="F5" s="749"/>
      <c r="G5" s="750"/>
      <c r="H5" s="751"/>
      <c r="I5" s="752"/>
      <c r="J5" s="752"/>
      <c r="K5" s="753"/>
      <c r="L5" s="748"/>
      <c r="M5" s="749"/>
      <c r="N5" s="749"/>
      <c r="O5" s="750"/>
      <c r="P5" s="460" t="s">
        <v>1009</v>
      </c>
      <c r="Q5" s="461"/>
      <c r="R5" s="461"/>
      <c r="S5" s="461"/>
      <c r="T5" s="461"/>
      <c r="U5" s="461"/>
      <c r="V5" s="461"/>
      <c r="W5" s="461"/>
      <c r="X5" s="461"/>
      <c r="Y5" s="461"/>
      <c r="AA5" s="462" t="s">
        <v>271</v>
      </c>
    </row>
    <row r="6" spans="1:27" s="462" customFormat="1" ht="18" customHeight="1">
      <c r="A6" s="757"/>
      <c r="B6" s="757"/>
      <c r="C6" s="748"/>
      <c r="D6" s="749"/>
      <c r="E6" s="749"/>
      <c r="F6" s="749"/>
      <c r="G6" s="750"/>
      <c r="H6" s="751"/>
      <c r="I6" s="752"/>
      <c r="J6" s="752"/>
      <c r="K6" s="753"/>
      <c r="L6" s="748"/>
      <c r="M6" s="749"/>
      <c r="N6" s="749"/>
      <c r="O6" s="750"/>
      <c r="P6" s="460" t="s">
        <v>391</v>
      </c>
      <c r="Q6" s="461"/>
      <c r="R6" s="461"/>
      <c r="S6" s="461"/>
      <c r="T6" s="461"/>
      <c r="U6" s="461"/>
      <c r="V6" s="461"/>
      <c r="W6" s="461"/>
      <c r="X6" s="461"/>
      <c r="Y6" s="461"/>
      <c r="AA6" s="462" t="s">
        <v>272</v>
      </c>
    </row>
    <row r="7" spans="1:27" s="462" customFormat="1" ht="18" customHeight="1">
      <c r="A7" s="757"/>
      <c r="B7" s="757"/>
      <c r="C7" s="748"/>
      <c r="D7" s="749"/>
      <c r="E7" s="749"/>
      <c r="F7" s="749"/>
      <c r="G7" s="750"/>
      <c r="H7" s="751"/>
      <c r="I7" s="752"/>
      <c r="J7" s="752"/>
      <c r="K7" s="753"/>
      <c r="L7" s="748"/>
      <c r="M7" s="749"/>
      <c r="N7" s="749"/>
      <c r="O7" s="750"/>
      <c r="P7" s="463" t="s">
        <v>1010</v>
      </c>
      <c r="Q7" s="461"/>
      <c r="R7" s="461"/>
      <c r="S7" s="461"/>
      <c r="T7" s="461"/>
      <c r="U7" s="461"/>
      <c r="V7" s="461"/>
      <c r="W7" s="461"/>
      <c r="X7" s="461"/>
      <c r="Y7" s="461"/>
      <c r="AA7" s="462" t="s">
        <v>273</v>
      </c>
    </row>
    <row r="8" spans="1:27" s="462" customFormat="1" ht="18" customHeight="1">
      <c r="A8" s="757"/>
      <c r="B8" s="757"/>
      <c r="C8" s="748"/>
      <c r="D8" s="749"/>
      <c r="E8" s="749"/>
      <c r="F8" s="749"/>
      <c r="G8" s="750"/>
      <c r="H8" s="751"/>
      <c r="I8" s="752"/>
      <c r="J8" s="752"/>
      <c r="K8" s="753"/>
      <c r="L8" s="748"/>
      <c r="M8" s="749"/>
      <c r="N8" s="749"/>
      <c r="O8" s="750"/>
      <c r="P8" s="463" t="s">
        <v>1036</v>
      </c>
      <c r="R8" s="461"/>
      <c r="AA8" s="462" t="s">
        <v>274</v>
      </c>
    </row>
    <row r="9" spans="1:27" s="462" customFormat="1" ht="18" customHeight="1">
      <c r="A9" s="757"/>
      <c r="B9" s="757"/>
      <c r="C9" s="748"/>
      <c r="D9" s="749"/>
      <c r="E9" s="749"/>
      <c r="F9" s="749"/>
      <c r="G9" s="750"/>
      <c r="H9" s="751"/>
      <c r="I9" s="752"/>
      <c r="J9" s="752"/>
      <c r="K9" s="753"/>
      <c r="L9" s="748"/>
      <c r="M9" s="749"/>
      <c r="N9" s="749"/>
      <c r="O9" s="750"/>
      <c r="P9" s="88"/>
      <c r="R9" s="461"/>
      <c r="AA9" s="462" t="s">
        <v>275</v>
      </c>
    </row>
    <row r="10" spans="1:27" s="462" customFormat="1" ht="18" customHeight="1">
      <c r="A10" s="757"/>
      <c r="B10" s="757"/>
      <c r="C10" s="748"/>
      <c r="D10" s="749"/>
      <c r="E10" s="749"/>
      <c r="F10" s="749"/>
      <c r="G10" s="750"/>
      <c r="H10" s="751"/>
      <c r="I10" s="752"/>
      <c r="J10" s="752"/>
      <c r="K10" s="753"/>
      <c r="L10" s="748"/>
      <c r="M10" s="749"/>
      <c r="N10" s="749"/>
      <c r="O10" s="750"/>
      <c r="P10" s="88"/>
      <c r="R10" s="461"/>
      <c r="AA10" s="462" t="s">
        <v>276</v>
      </c>
    </row>
    <row r="11" spans="1:27" s="462" customFormat="1" ht="18" customHeight="1">
      <c r="A11" s="757"/>
      <c r="B11" s="757"/>
      <c r="C11" s="748"/>
      <c r="D11" s="749"/>
      <c r="E11" s="749"/>
      <c r="F11" s="749"/>
      <c r="G11" s="750"/>
      <c r="H11" s="751"/>
      <c r="I11" s="752"/>
      <c r="J11" s="752"/>
      <c r="K11" s="753"/>
      <c r="L11" s="748"/>
      <c r="M11" s="749"/>
      <c r="N11" s="749"/>
      <c r="O11" s="750"/>
      <c r="P11" s="88"/>
      <c r="R11" s="461"/>
      <c r="AA11" s="462" t="s">
        <v>277</v>
      </c>
    </row>
    <row r="12" spans="1:27" s="462" customFormat="1" ht="18" customHeight="1">
      <c r="A12" s="757"/>
      <c r="B12" s="757"/>
      <c r="C12" s="748"/>
      <c r="D12" s="749"/>
      <c r="E12" s="749"/>
      <c r="F12" s="749"/>
      <c r="G12" s="750"/>
      <c r="H12" s="751"/>
      <c r="I12" s="752"/>
      <c r="J12" s="752"/>
      <c r="K12" s="753"/>
      <c r="L12" s="748"/>
      <c r="M12" s="749"/>
      <c r="N12" s="749"/>
      <c r="O12" s="750"/>
      <c r="P12" s="88"/>
      <c r="R12" s="461"/>
      <c r="AA12" s="462" t="s">
        <v>278</v>
      </c>
    </row>
    <row r="13" spans="1:27" s="462" customFormat="1" ht="18" customHeight="1">
      <c r="A13" s="757"/>
      <c r="B13" s="757"/>
      <c r="C13" s="748"/>
      <c r="D13" s="749"/>
      <c r="E13" s="749"/>
      <c r="F13" s="749"/>
      <c r="G13" s="750"/>
      <c r="H13" s="751"/>
      <c r="I13" s="752"/>
      <c r="J13" s="752"/>
      <c r="K13" s="753"/>
      <c r="L13" s="748"/>
      <c r="M13" s="749"/>
      <c r="N13" s="749"/>
      <c r="O13" s="750"/>
      <c r="P13" s="88"/>
      <c r="R13" s="461"/>
      <c r="AA13" s="462" t="s">
        <v>278</v>
      </c>
    </row>
    <row r="14" spans="1:27" s="462" customFormat="1" ht="18" customHeight="1">
      <c r="A14" s="757"/>
      <c r="B14" s="757"/>
      <c r="C14" s="748"/>
      <c r="D14" s="749"/>
      <c r="E14" s="749"/>
      <c r="F14" s="749"/>
      <c r="G14" s="750"/>
      <c r="H14" s="751"/>
      <c r="I14" s="752"/>
      <c r="J14" s="752"/>
      <c r="K14" s="753"/>
      <c r="L14" s="748"/>
      <c r="M14" s="749"/>
      <c r="N14" s="749"/>
      <c r="O14" s="750"/>
      <c r="P14" s="88"/>
      <c r="R14" s="461"/>
      <c r="AA14" s="462" t="s">
        <v>279</v>
      </c>
    </row>
    <row r="15" spans="1:27" s="462" customFormat="1" ht="18" customHeight="1">
      <c r="A15" s="748"/>
      <c r="B15" s="750"/>
      <c r="C15" s="748"/>
      <c r="D15" s="749"/>
      <c r="E15" s="749"/>
      <c r="F15" s="749"/>
      <c r="G15" s="750"/>
      <c r="H15" s="751"/>
      <c r="I15" s="752"/>
      <c r="J15" s="752"/>
      <c r="K15" s="753"/>
      <c r="L15" s="748"/>
      <c r="M15" s="749"/>
      <c r="N15" s="749"/>
      <c r="O15" s="750"/>
      <c r="P15" s="88"/>
      <c r="R15" s="461"/>
      <c r="AA15" s="462" t="s">
        <v>280</v>
      </c>
    </row>
    <row r="16" spans="1:27" s="462" customFormat="1" ht="18" customHeight="1">
      <c r="A16" s="748"/>
      <c r="B16" s="750"/>
      <c r="C16" s="748"/>
      <c r="D16" s="749"/>
      <c r="E16" s="749"/>
      <c r="F16" s="749"/>
      <c r="G16" s="750"/>
      <c r="H16" s="751"/>
      <c r="I16" s="752"/>
      <c r="J16" s="752"/>
      <c r="K16" s="753"/>
      <c r="L16" s="748"/>
      <c r="M16" s="749"/>
      <c r="N16" s="749"/>
      <c r="O16" s="750"/>
      <c r="P16" s="88"/>
      <c r="R16" s="461"/>
      <c r="AA16" s="462" t="s">
        <v>281</v>
      </c>
    </row>
    <row r="17" spans="1:27" s="462" customFormat="1" ht="18" customHeight="1">
      <c r="A17" s="748"/>
      <c r="B17" s="750"/>
      <c r="C17" s="748"/>
      <c r="D17" s="749"/>
      <c r="E17" s="749"/>
      <c r="F17" s="749"/>
      <c r="G17" s="750"/>
      <c r="H17" s="751"/>
      <c r="I17" s="752"/>
      <c r="J17" s="752"/>
      <c r="K17" s="753"/>
      <c r="L17" s="748"/>
      <c r="M17" s="749"/>
      <c r="N17" s="749"/>
      <c r="O17" s="750"/>
      <c r="P17" s="88"/>
      <c r="R17" s="461"/>
      <c r="AA17" s="462" t="s">
        <v>282</v>
      </c>
    </row>
    <row r="18" spans="1:27" s="462" customFormat="1" ht="18" customHeight="1">
      <c r="A18" s="748"/>
      <c r="B18" s="750"/>
      <c r="C18" s="748"/>
      <c r="D18" s="749"/>
      <c r="E18" s="749"/>
      <c r="F18" s="749"/>
      <c r="G18" s="750"/>
      <c r="H18" s="751"/>
      <c r="I18" s="752"/>
      <c r="J18" s="752"/>
      <c r="K18" s="753"/>
      <c r="L18" s="748"/>
      <c r="M18" s="749"/>
      <c r="N18" s="749"/>
      <c r="O18" s="750"/>
      <c r="P18" s="460"/>
      <c r="Q18" s="461"/>
      <c r="R18" s="461"/>
      <c r="S18" s="461"/>
      <c r="T18" s="461"/>
      <c r="U18" s="461"/>
      <c r="V18" s="461"/>
      <c r="W18" s="461"/>
      <c r="X18" s="461"/>
      <c r="Y18" s="461"/>
      <c r="AA18" s="462" t="s">
        <v>283</v>
      </c>
    </row>
    <row r="19" spans="1:27" s="462" customFormat="1" ht="18" customHeight="1">
      <c r="A19" s="757"/>
      <c r="B19" s="757"/>
      <c r="C19" s="757"/>
      <c r="D19" s="757"/>
      <c r="E19" s="757"/>
      <c r="F19" s="757"/>
      <c r="G19" s="757"/>
      <c r="H19" s="751"/>
      <c r="I19" s="752"/>
      <c r="J19" s="752"/>
      <c r="K19" s="753"/>
      <c r="L19" s="757"/>
      <c r="M19" s="757"/>
      <c r="N19" s="757"/>
      <c r="O19" s="757"/>
      <c r="P19" s="460"/>
      <c r="Q19" s="461"/>
      <c r="R19" s="461"/>
      <c r="S19" s="461"/>
      <c r="T19" s="461"/>
      <c r="U19" s="461"/>
      <c r="V19" s="461"/>
      <c r="W19" s="461"/>
      <c r="X19" s="461"/>
      <c r="Y19" s="461"/>
      <c r="AA19" s="462" t="s">
        <v>284</v>
      </c>
    </row>
    <row r="20" spans="1:27" ht="18" customHeight="1">
      <c r="A20" s="757"/>
      <c r="B20" s="757"/>
      <c r="C20" s="748"/>
      <c r="D20" s="749"/>
      <c r="E20" s="749"/>
      <c r="F20" s="749"/>
      <c r="G20" s="750"/>
      <c r="H20" s="751"/>
      <c r="I20" s="752"/>
      <c r="J20" s="752"/>
      <c r="K20" s="753"/>
      <c r="L20" s="748"/>
      <c r="M20" s="749"/>
      <c r="N20" s="749"/>
      <c r="O20" s="750"/>
      <c r="R20" s="461"/>
    </row>
    <row r="21" spans="1:27" ht="18" customHeight="1">
      <c r="A21" s="748"/>
      <c r="B21" s="750"/>
      <c r="C21" s="748"/>
      <c r="D21" s="749"/>
      <c r="E21" s="749"/>
      <c r="F21" s="749"/>
      <c r="G21" s="750"/>
      <c r="H21" s="751"/>
      <c r="I21" s="752"/>
      <c r="J21" s="752"/>
      <c r="K21" s="753"/>
      <c r="L21" s="748"/>
      <c r="M21" s="749"/>
      <c r="N21" s="749"/>
      <c r="O21" s="750"/>
      <c r="R21" s="461"/>
    </row>
    <row r="22" spans="1:27" ht="18" customHeight="1">
      <c r="A22" s="748"/>
      <c r="B22" s="750"/>
      <c r="C22" s="748"/>
      <c r="D22" s="749"/>
      <c r="E22" s="749"/>
      <c r="F22" s="749"/>
      <c r="G22" s="750"/>
      <c r="H22" s="751"/>
      <c r="I22" s="752"/>
      <c r="J22" s="752"/>
      <c r="K22" s="753"/>
      <c r="L22" s="748"/>
      <c r="M22" s="749"/>
      <c r="N22" s="749"/>
      <c r="O22" s="750"/>
      <c r="R22" s="461"/>
    </row>
    <row r="23" spans="1:27" ht="18" customHeight="1">
      <c r="A23" s="748"/>
      <c r="B23" s="750"/>
      <c r="C23" s="748"/>
      <c r="D23" s="749"/>
      <c r="E23" s="749"/>
      <c r="F23" s="749"/>
      <c r="G23" s="750"/>
      <c r="H23" s="751"/>
      <c r="I23" s="752"/>
      <c r="J23" s="752"/>
      <c r="K23" s="753"/>
      <c r="L23" s="748"/>
      <c r="M23" s="749"/>
      <c r="N23" s="749"/>
      <c r="O23" s="750"/>
      <c r="R23" s="461"/>
    </row>
    <row r="24" spans="1:27" ht="18" customHeight="1">
      <c r="A24" s="748"/>
      <c r="B24" s="750"/>
      <c r="C24" s="748"/>
      <c r="D24" s="749"/>
      <c r="E24" s="749"/>
      <c r="F24" s="749"/>
      <c r="G24" s="750"/>
      <c r="H24" s="751"/>
      <c r="I24" s="752"/>
      <c r="J24" s="752"/>
      <c r="K24" s="753"/>
      <c r="L24" s="748"/>
      <c r="M24" s="749"/>
      <c r="N24" s="749"/>
      <c r="O24" s="750"/>
      <c r="R24" s="461"/>
    </row>
    <row r="25" spans="1:27" ht="18" customHeight="1">
      <c r="A25" s="757"/>
      <c r="B25" s="757"/>
      <c r="C25" s="757"/>
      <c r="D25" s="757"/>
      <c r="E25" s="757"/>
      <c r="F25" s="757"/>
      <c r="G25" s="757"/>
      <c r="H25" s="751"/>
      <c r="I25" s="752"/>
      <c r="J25" s="752"/>
      <c r="K25" s="753"/>
      <c r="L25" s="757"/>
      <c r="M25" s="757"/>
      <c r="N25" s="757"/>
      <c r="O25" s="757"/>
      <c r="R25" s="461"/>
    </row>
    <row r="26" spans="1:27" ht="18" customHeight="1">
      <c r="A26" s="757"/>
      <c r="B26" s="757"/>
      <c r="C26" s="748"/>
      <c r="D26" s="749"/>
      <c r="E26" s="749"/>
      <c r="F26" s="749"/>
      <c r="G26" s="750"/>
      <c r="H26" s="751"/>
      <c r="I26" s="752"/>
      <c r="J26" s="752"/>
      <c r="K26" s="753"/>
      <c r="L26" s="748"/>
      <c r="M26" s="749"/>
      <c r="N26" s="749"/>
      <c r="O26" s="750"/>
      <c r="R26" s="461"/>
    </row>
    <row r="27" spans="1:27" ht="18" customHeight="1">
      <c r="A27" s="748"/>
      <c r="B27" s="750"/>
      <c r="C27" s="748"/>
      <c r="D27" s="749"/>
      <c r="E27" s="749"/>
      <c r="F27" s="749"/>
      <c r="G27" s="750"/>
      <c r="H27" s="751"/>
      <c r="I27" s="752"/>
      <c r="J27" s="752"/>
      <c r="K27" s="753"/>
      <c r="L27" s="748"/>
      <c r="M27" s="749"/>
      <c r="N27" s="749"/>
      <c r="O27" s="750"/>
      <c r="R27" s="461"/>
    </row>
    <row r="28" spans="1:27" ht="18" customHeight="1">
      <c r="A28" s="748"/>
      <c r="B28" s="750"/>
      <c r="C28" s="748"/>
      <c r="D28" s="749"/>
      <c r="E28" s="749"/>
      <c r="F28" s="749"/>
      <c r="G28" s="750"/>
      <c r="H28" s="751"/>
      <c r="I28" s="752"/>
      <c r="J28" s="752"/>
      <c r="K28" s="753"/>
      <c r="L28" s="748"/>
      <c r="M28" s="749"/>
      <c r="N28" s="749"/>
      <c r="O28" s="750"/>
      <c r="R28" s="461"/>
    </row>
    <row r="29" spans="1:27" ht="18" customHeight="1">
      <c r="A29" s="748"/>
      <c r="B29" s="750"/>
      <c r="C29" s="748"/>
      <c r="D29" s="749"/>
      <c r="E29" s="749"/>
      <c r="F29" s="749"/>
      <c r="G29" s="750"/>
      <c r="H29" s="751"/>
      <c r="I29" s="752"/>
      <c r="J29" s="752"/>
      <c r="K29" s="753"/>
      <c r="L29" s="748"/>
      <c r="M29" s="749"/>
      <c r="N29" s="749"/>
      <c r="O29" s="750"/>
      <c r="R29" s="461"/>
    </row>
    <row r="30" spans="1:27" ht="18" customHeight="1">
      <c r="A30" s="748"/>
      <c r="B30" s="750"/>
      <c r="C30" s="748"/>
      <c r="D30" s="749"/>
      <c r="E30" s="749"/>
      <c r="F30" s="749"/>
      <c r="G30" s="750"/>
      <c r="H30" s="751"/>
      <c r="I30" s="752"/>
      <c r="J30" s="752"/>
      <c r="K30" s="753"/>
      <c r="L30" s="748"/>
      <c r="M30" s="749"/>
      <c r="N30" s="749"/>
      <c r="O30" s="750"/>
      <c r="R30" s="461"/>
    </row>
    <row r="31" spans="1:27" ht="18" customHeight="1">
      <c r="A31" s="757"/>
      <c r="B31" s="757"/>
      <c r="C31" s="757"/>
      <c r="D31" s="757"/>
      <c r="E31" s="757"/>
      <c r="F31" s="757"/>
      <c r="G31" s="757"/>
      <c r="H31" s="751"/>
      <c r="I31" s="752"/>
      <c r="J31" s="752"/>
      <c r="K31" s="753"/>
      <c r="L31" s="757"/>
      <c r="M31" s="757"/>
      <c r="N31" s="757"/>
      <c r="O31" s="757"/>
      <c r="R31" s="461"/>
    </row>
    <row r="32" spans="1:27" ht="18" customHeight="1">
      <c r="A32" s="757"/>
      <c r="B32" s="757"/>
      <c r="C32" s="748"/>
      <c r="D32" s="749"/>
      <c r="E32" s="749"/>
      <c r="F32" s="749"/>
      <c r="G32" s="750"/>
      <c r="H32" s="751"/>
      <c r="I32" s="752"/>
      <c r="J32" s="752"/>
      <c r="K32" s="753"/>
      <c r="L32" s="748"/>
      <c r="M32" s="749"/>
      <c r="N32" s="749"/>
      <c r="O32" s="750"/>
      <c r="R32" s="461"/>
    </row>
    <row r="33" spans="1:18" ht="18" customHeight="1">
      <c r="A33" s="748"/>
      <c r="B33" s="750"/>
      <c r="C33" s="748"/>
      <c r="D33" s="749"/>
      <c r="E33" s="749"/>
      <c r="F33" s="749"/>
      <c r="G33" s="750"/>
      <c r="H33" s="751"/>
      <c r="I33" s="752"/>
      <c r="J33" s="752"/>
      <c r="K33" s="753"/>
      <c r="L33" s="748"/>
      <c r="M33" s="749"/>
      <c r="N33" s="749"/>
      <c r="O33" s="750"/>
      <c r="R33" s="461"/>
    </row>
    <row r="34" spans="1:18" ht="18" customHeight="1">
      <c r="A34" s="748"/>
      <c r="B34" s="750"/>
      <c r="C34" s="748"/>
      <c r="D34" s="749"/>
      <c r="E34" s="749"/>
      <c r="F34" s="749"/>
      <c r="G34" s="750"/>
      <c r="H34" s="751"/>
      <c r="I34" s="752"/>
      <c r="J34" s="752"/>
      <c r="K34" s="753"/>
      <c r="L34" s="748"/>
      <c r="M34" s="749"/>
      <c r="N34" s="749"/>
      <c r="O34" s="750"/>
      <c r="R34" s="461"/>
    </row>
    <row r="35" spans="1:18" ht="18" customHeight="1">
      <c r="A35" s="748"/>
      <c r="B35" s="750"/>
      <c r="C35" s="748"/>
      <c r="D35" s="749"/>
      <c r="E35" s="749"/>
      <c r="F35" s="749"/>
      <c r="G35" s="750"/>
      <c r="H35" s="751"/>
      <c r="I35" s="752"/>
      <c r="J35" s="752"/>
      <c r="K35" s="753"/>
      <c r="L35" s="748"/>
      <c r="M35" s="749"/>
      <c r="N35" s="749"/>
      <c r="O35" s="750"/>
      <c r="R35" s="461"/>
    </row>
    <row r="36" spans="1:18" ht="18" customHeight="1">
      <c r="A36" s="748"/>
      <c r="B36" s="750"/>
      <c r="C36" s="748"/>
      <c r="D36" s="749"/>
      <c r="E36" s="749"/>
      <c r="F36" s="749"/>
      <c r="G36" s="750"/>
      <c r="H36" s="751"/>
      <c r="I36" s="752"/>
      <c r="J36" s="752"/>
      <c r="K36" s="753"/>
      <c r="L36" s="748"/>
      <c r="M36" s="749"/>
      <c r="N36" s="749"/>
      <c r="O36" s="750"/>
      <c r="R36" s="461"/>
    </row>
    <row r="37" spans="1:18" ht="18" customHeight="1">
      <c r="A37" s="757"/>
      <c r="B37" s="757"/>
      <c r="C37" s="757"/>
      <c r="D37" s="757"/>
      <c r="E37" s="757"/>
      <c r="F37" s="757"/>
      <c r="G37" s="757"/>
      <c r="H37" s="751"/>
      <c r="I37" s="752"/>
      <c r="J37" s="752"/>
      <c r="K37" s="753"/>
      <c r="L37" s="757"/>
      <c r="M37" s="757"/>
      <c r="N37" s="757"/>
      <c r="O37" s="757"/>
      <c r="R37" s="461"/>
    </row>
    <row r="38" spans="1:18" ht="18" customHeight="1">
      <c r="A38" s="757"/>
      <c r="B38" s="757"/>
      <c r="C38" s="748"/>
      <c r="D38" s="749"/>
      <c r="E38" s="749"/>
      <c r="F38" s="749"/>
      <c r="G38" s="750"/>
      <c r="H38" s="751"/>
      <c r="I38" s="752"/>
      <c r="J38" s="752"/>
      <c r="K38" s="753"/>
      <c r="L38" s="748"/>
      <c r="M38" s="749"/>
      <c r="N38" s="749"/>
      <c r="O38" s="750"/>
      <c r="R38" s="461"/>
    </row>
    <row r="39" spans="1:18" ht="18" customHeight="1">
      <c r="A39" s="748"/>
      <c r="B39" s="750"/>
      <c r="C39" s="748"/>
      <c r="D39" s="749"/>
      <c r="E39" s="749"/>
      <c r="F39" s="749"/>
      <c r="G39" s="750"/>
      <c r="H39" s="751"/>
      <c r="I39" s="752"/>
      <c r="J39" s="752"/>
      <c r="K39" s="753"/>
      <c r="L39" s="748"/>
      <c r="M39" s="749"/>
      <c r="N39" s="749"/>
      <c r="O39" s="750"/>
      <c r="R39" s="461"/>
    </row>
    <row r="40" spans="1:18" ht="18" customHeight="1">
      <c r="A40" s="748"/>
      <c r="B40" s="750"/>
      <c r="C40" s="748"/>
      <c r="D40" s="749"/>
      <c r="E40" s="749"/>
      <c r="F40" s="749"/>
      <c r="G40" s="750"/>
      <c r="H40" s="751"/>
      <c r="I40" s="752"/>
      <c r="J40" s="752"/>
      <c r="K40" s="753"/>
      <c r="L40" s="748"/>
      <c r="M40" s="749"/>
      <c r="N40" s="749"/>
      <c r="O40" s="750"/>
      <c r="R40" s="461"/>
    </row>
    <row r="41" spans="1:18" ht="18" customHeight="1">
      <c r="A41" s="748"/>
      <c r="B41" s="750"/>
      <c r="C41" s="748"/>
      <c r="D41" s="749"/>
      <c r="E41" s="749"/>
      <c r="F41" s="749"/>
      <c r="G41" s="750"/>
      <c r="H41" s="751"/>
      <c r="I41" s="752"/>
      <c r="J41" s="752"/>
      <c r="K41" s="753"/>
      <c r="L41" s="748"/>
      <c r="M41" s="749"/>
      <c r="N41" s="749"/>
      <c r="O41" s="750"/>
      <c r="R41" s="461"/>
    </row>
    <row r="42" spans="1:18" ht="18" customHeight="1">
      <c r="A42" s="748"/>
      <c r="B42" s="750"/>
      <c r="C42" s="748"/>
      <c r="D42" s="749"/>
      <c r="E42" s="749"/>
      <c r="F42" s="749"/>
      <c r="G42" s="750"/>
      <c r="H42" s="751"/>
      <c r="I42" s="752"/>
      <c r="J42" s="752"/>
      <c r="K42" s="753"/>
      <c r="L42" s="748"/>
      <c r="M42" s="749"/>
      <c r="N42" s="749"/>
      <c r="O42" s="750"/>
      <c r="R42" s="461"/>
    </row>
    <row r="43" spans="1:18" ht="18" customHeight="1">
      <c r="A43" s="757"/>
      <c r="B43" s="757"/>
      <c r="C43" s="757"/>
      <c r="D43" s="757"/>
      <c r="E43" s="757"/>
      <c r="F43" s="757"/>
      <c r="G43" s="757"/>
      <c r="H43" s="751"/>
      <c r="I43" s="752"/>
      <c r="J43" s="752"/>
      <c r="K43" s="753"/>
      <c r="L43" s="757"/>
      <c r="M43" s="757"/>
      <c r="N43" s="757"/>
      <c r="O43" s="757"/>
      <c r="R43" s="461"/>
    </row>
    <row r="44" spans="1:18" ht="18" customHeight="1">
      <c r="A44" s="757"/>
      <c r="B44" s="757"/>
      <c r="C44" s="748"/>
      <c r="D44" s="749"/>
      <c r="E44" s="749"/>
      <c r="F44" s="749"/>
      <c r="G44" s="750"/>
      <c r="H44" s="751"/>
      <c r="I44" s="752"/>
      <c r="J44" s="752"/>
      <c r="K44" s="753"/>
      <c r="L44" s="748"/>
      <c r="M44" s="749"/>
      <c r="N44" s="749"/>
      <c r="O44" s="750"/>
      <c r="R44" s="461"/>
    </row>
    <row r="45" spans="1:18" ht="18" customHeight="1">
      <c r="A45" s="748"/>
      <c r="B45" s="750"/>
      <c r="C45" s="748"/>
      <c r="D45" s="749"/>
      <c r="E45" s="749"/>
      <c r="F45" s="749"/>
      <c r="G45" s="750"/>
      <c r="H45" s="751"/>
      <c r="I45" s="752"/>
      <c r="J45" s="752"/>
      <c r="K45" s="753"/>
      <c r="L45" s="748"/>
      <c r="M45" s="749"/>
      <c r="N45" s="749"/>
      <c r="O45" s="750"/>
      <c r="R45" s="461"/>
    </row>
    <row r="46" spans="1:18" ht="18" customHeight="1">
      <c r="A46" s="748"/>
      <c r="B46" s="750"/>
      <c r="C46" s="748"/>
      <c r="D46" s="749"/>
      <c r="E46" s="749"/>
      <c r="F46" s="749"/>
      <c r="G46" s="750"/>
      <c r="H46" s="751"/>
      <c r="I46" s="752"/>
      <c r="J46" s="752"/>
      <c r="K46" s="753"/>
      <c r="L46" s="748"/>
      <c r="M46" s="749"/>
      <c r="N46" s="749"/>
      <c r="O46" s="750"/>
      <c r="R46" s="461"/>
    </row>
    <row r="47" spans="1:18" ht="18" customHeight="1">
      <c r="A47" s="748"/>
      <c r="B47" s="750"/>
      <c r="C47" s="748"/>
      <c r="D47" s="749"/>
      <c r="E47" s="749"/>
      <c r="F47" s="749"/>
      <c r="G47" s="750"/>
      <c r="H47" s="751"/>
      <c r="I47" s="752"/>
      <c r="J47" s="752"/>
      <c r="K47" s="753"/>
      <c r="L47" s="748"/>
      <c r="M47" s="749"/>
      <c r="N47" s="749"/>
      <c r="O47" s="750"/>
      <c r="R47" s="461"/>
    </row>
    <row r="48" spans="1:18" ht="18" customHeight="1">
      <c r="A48" s="748"/>
      <c r="B48" s="750"/>
      <c r="C48" s="748"/>
      <c r="D48" s="749"/>
      <c r="E48" s="749"/>
      <c r="F48" s="749"/>
      <c r="G48" s="750"/>
      <c r="H48" s="751"/>
      <c r="I48" s="752"/>
      <c r="J48" s="752"/>
      <c r="K48" s="753"/>
      <c r="L48" s="748"/>
      <c r="M48" s="749"/>
      <c r="N48" s="749"/>
      <c r="O48" s="750"/>
      <c r="R48" s="461"/>
    </row>
    <row r="49" spans="1:18" ht="18" customHeight="1">
      <c r="A49" s="757"/>
      <c r="B49" s="757"/>
      <c r="C49" s="757"/>
      <c r="D49" s="757"/>
      <c r="E49" s="757"/>
      <c r="F49" s="757"/>
      <c r="G49" s="757"/>
      <c r="H49" s="751"/>
      <c r="I49" s="752"/>
      <c r="J49" s="752"/>
      <c r="K49" s="753"/>
      <c r="L49" s="757"/>
      <c r="M49" s="757"/>
      <c r="N49" s="757"/>
      <c r="O49" s="757"/>
      <c r="R49" s="461"/>
    </row>
    <row r="50" spans="1:18" ht="18" customHeight="1">
      <c r="A50" s="757"/>
      <c r="B50" s="757"/>
      <c r="C50" s="748"/>
      <c r="D50" s="749"/>
      <c r="E50" s="749"/>
      <c r="F50" s="749"/>
      <c r="G50" s="750"/>
      <c r="H50" s="751"/>
      <c r="I50" s="752"/>
      <c r="J50" s="752"/>
      <c r="K50" s="753"/>
      <c r="L50" s="748"/>
      <c r="M50" s="749"/>
      <c r="N50" s="749"/>
      <c r="O50" s="750"/>
      <c r="R50" s="461"/>
    </row>
    <row r="51" spans="1:18" ht="18" customHeight="1">
      <c r="A51" s="748"/>
      <c r="B51" s="750"/>
      <c r="C51" s="748"/>
      <c r="D51" s="749"/>
      <c r="E51" s="749"/>
      <c r="F51" s="749"/>
      <c r="G51" s="750"/>
      <c r="H51" s="751"/>
      <c r="I51" s="752"/>
      <c r="J51" s="752"/>
      <c r="K51" s="753"/>
      <c r="L51" s="748"/>
      <c r="M51" s="749"/>
      <c r="N51" s="749"/>
      <c r="O51" s="750"/>
      <c r="R51" s="461"/>
    </row>
    <row r="52" spans="1:18" ht="18" customHeight="1">
      <c r="A52" s="748"/>
      <c r="B52" s="750"/>
      <c r="C52" s="748"/>
      <c r="D52" s="749"/>
      <c r="E52" s="749"/>
      <c r="F52" s="749"/>
      <c r="G52" s="750"/>
      <c r="H52" s="751"/>
      <c r="I52" s="752"/>
      <c r="J52" s="752"/>
      <c r="K52" s="753"/>
      <c r="L52" s="748"/>
      <c r="M52" s="749"/>
      <c r="N52" s="749"/>
      <c r="O52" s="750"/>
      <c r="R52" s="461"/>
    </row>
    <row r="53" spans="1:18" ht="18" customHeight="1">
      <c r="A53" s="748"/>
      <c r="B53" s="750"/>
      <c r="C53" s="748"/>
      <c r="D53" s="749"/>
      <c r="E53" s="749"/>
      <c r="F53" s="749"/>
      <c r="G53" s="750"/>
      <c r="H53" s="751"/>
      <c r="I53" s="752"/>
      <c r="J53" s="752"/>
      <c r="K53" s="753"/>
      <c r="L53" s="748"/>
      <c r="M53" s="749"/>
      <c r="N53" s="749"/>
      <c r="O53" s="750"/>
      <c r="R53" s="461"/>
    </row>
    <row r="54" spans="1:18" ht="18" customHeight="1">
      <c r="A54" s="748"/>
      <c r="B54" s="750"/>
      <c r="C54" s="748"/>
      <c r="D54" s="749"/>
      <c r="E54" s="749"/>
      <c r="F54" s="749"/>
      <c r="G54" s="750"/>
      <c r="H54" s="751"/>
      <c r="I54" s="752"/>
      <c r="J54" s="752"/>
      <c r="K54" s="753"/>
      <c r="L54" s="748"/>
      <c r="M54" s="749"/>
      <c r="N54" s="749"/>
      <c r="O54" s="750"/>
      <c r="P54" s="72"/>
      <c r="R54" s="461"/>
    </row>
    <row r="55" spans="1:18" ht="18" customHeight="1">
      <c r="A55" s="748"/>
      <c r="B55" s="750"/>
      <c r="C55" s="748"/>
      <c r="D55" s="749"/>
      <c r="E55" s="749"/>
      <c r="F55" s="749"/>
      <c r="G55" s="750"/>
      <c r="H55" s="751"/>
      <c r="I55" s="752"/>
      <c r="J55" s="752"/>
      <c r="K55" s="753"/>
      <c r="L55" s="748"/>
      <c r="M55" s="749"/>
      <c r="N55" s="749"/>
      <c r="O55" s="750"/>
      <c r="R55" s="461"/>
    </row>
    <row r="56" spans="1:18" ht="18" customHeight="1">
      <c r="A56" s="748"/>
      <c r="B56" s="750"/>
      <c r="C56" s="748"/>
      <c r="D56" s="749"/>
      <c r="E56" s="749"/>
      <c r="F56" s="749"/>
      <c r="G56" s="750"/>
      <c r="H56" s="751"/>
      <c r="I56" s="752"/>
      <c r="J56" s="752"/>
      <c r="K56" s="753"/>
      <c r="L56" s="748"/>
      <c r="M56" s="749"/>
      <c r="N56" s="749"/>
      <c r="O56" s="750"/>
      <c r="R56" s="461"/>
    </row>
    <row r="57" spans="1:18" ht="18" customHeight="1">
      <c r="A57" s="748"/>
      <c r="B57" s="750"/>
      <c r="C57" s="748"/>
      <c r="D57" s="749"/>
      <c r="E57" s="749"/>
      <c r="F57" s="749"/>
      <c r="G57" s="750"/>
      <c r="H57" s="751"/>
      <c r="I57" s="752"/>
      <c r="J57" s="752"/>
      <c r="K57" s="753"/>
      <c r="L57" s="748"/>
      <c r="M57" s="749"/>
      <c r="N57" s="749"/>
      <c r="O57" s="750"/>
      <c r="R57" s="461"/>
    </row>
    <row r="58" spans="1:18" ht="18" customHeight="1">
      <c r="A58" s="748"/>
      <c r="B58" s="750"/>
      <c r="C58" s="748"/>
      <c r="D58" s="749"/>
      <c r="E58" s="749"/>
      <c r="F58" s="749"/>
      <c r="G58" s="750"/>
      <c r="H58" s="751"/>
      <c r="I58" s="752"/>
      <c r="J58" s="752"/>
      <c r="K58" s="753"/>
      <c r="L58" s="748"/>
      <c r="M58" s="749"/>
      <c r="N58" s="749"/>
      <c r="O58" s="750"/>
      <c r="R58" s="461"/>
    </row>
    <row r="59" spans="1:18" ht="18" customHeight="1">
      <c r="A59" s="748"/>
      <c r="B59" s="750"/>
      <c r="C59" s="748"/>
      <c r="D59" s="749"/>
      <c r="E59" s="749"/>
      <c r="F59" s="749"/>
      <c r="G59" s="750"/>
      <c r="H59" s="751"/>
      <c r="I59" s="752"/>
      <c r="J59" s="752"/>
      <c r="K59" s="753"/>
      <c r="L59" s="748"/>
      <c r="M59" s="749"/>
      <c r="N59" s="749"/>
      <c r="O59" s="750"/>
      <c r="R59" s="461"/>
    </row>
    <row r="60" spans="1:18" ht="18" customHeight="1">
      <c r="A60" s="748"/>
      <c r="B60" s="750"/>
      <c r="C60" s="748"/>
      <c r="D60" s="749"/>
      <c r="E60" s="749"/>
      <c r="F60" s="749"/>
      <c r="G60" s="750"/>
      <c r="H60" s="751"/>
      <c r="I60" s="752"/>
      <c r="J60" s="752"/>
      <c r="K60" s="753"/>
      <c r="L60" s="748"/>
      <c r="M60" s="749"/>
      <c r="N60" s="749"/>
      <c r="O60" s="750"/>
      <c r="R60" s="461"/>
    </row>
    <row r="61" spans="1:18" ht="18" customHeight="1">
      <c r="A61" s="748"/>
      <c r="B61" s="750"/>
      <c r="C61" s="748"/>
      <c r="D61" s="749"/>
      <c r="E61" s="749"/>
      <c r="F61" s="749"/>
      <c r="G61" s="750"/>
      <c r="H61" s="751"/>
      <c r="I61" s="752"/>
      <c r="J61" s="752"/>
      <c r="K61" s="753"/>
      <c r="L61" s="748"/>
      <c r="M61" s="749"/>
      <c r="N61" s="749"/>
      <c r="O61" s="750"/>
      <c r="R61" s="461"/>
    </row>
    <row r="62" spans="1:18" ht="18" customHeight="1">
      <c r="A62" s="748"/>
      <c r="B62" s="750"/>
      <c r="C62" s="748"/>
      <c r="D62" s="749"/>
      <c r="E62" s="749"/>
      <c r="F62" s="749"/>
      <c r="G62" s="750"/>
      <c r="H62" s="751"/>
      <c r="I62" s="752"/>
      <c r="J62" s="752"/>
      <c r="K62" s="753"/>
      <c r="L62" s="748"/>
      <c r="M62" s="749"/>
      <c r="N62" s="749"/>
      <c r="O62" s="750"/>
      <c r="R62" s="461"/>
    </row>
    <row r="63" spans="1:18" ht="18" customHeight="1">
      <c r="A63" s="748"/>
      <c r="B63" s="750"/>
      <c r="C63" s="748"/>
      <c r="D63" s="749"/>
      <c r="E63" s="749"/>
      <c r="F63" s="749"/>
      <c r="G63" s="750"/>
      <c r="H63" s="751"/>
      <c r="I63" s="752"/>
      <c r="J63" s="752"/>
      <c r="K63" s="753"/>
      <c r="L63" s="748"/>
      <c r="M63" s="749"/>
      <c r="N63" s="749"/>
      <c r="O63" s="750"/>
      <c r="R63" s="461"/>
    </row>
    <row r="64" spans="1:18">
      <c r="A64" s="748"/>
      <c r="B64" s="750"/>
      <c r="C64" s="748"/>
      <c r="D64" s="749"/>
      <c r="E64" s="749"/>
      <c r="F64" s="749"/>
      <c r="G64" s="750"/>
      <c r="H64" s="751"/>
      <c r="I64" s="752"/>
      <c r="J64" s="752"/>
      <c r="K64" s="753"/>
      <c r="L64" s="748"/>
      <c r="M64" s="749"/>
      <c r="N64" s="749"/>
      <c r="O64" s="750"/>
      <c r="R64" s="461"/>
    </row>
    <row r="65" spans="1:18">
      <c r="A65" s="748"/>
      <c r="B65" s="750"/>
      <c r="C65" s="748"/>
      <c r="D65" s="749"/>
      <c r="E65" s="749"/>
      <c r="F65" s="749"/>
      <c r="G65" s="750"/>
      <c r="H65" s="751"/>
      <c r="I65" s="752"/>
      <c r="J65" s="752"/>
      <c r="K65" s="753"/>
      <c r="L65" s="748"/>
      <c r="M65" s="749"/>
      <c r="N65" s="749"/>
      <c r="O65" s="750"/>
      <c r="R65" s="461"/>
    </row>
    <row r="66" spans="1:18">
      <c r="A66" s="748"/>
      <c r="B66" s="750"/>
      <c r="C66" s="748"/>
      <c r="D66" s="749"/>
      <c r="E66" s="749"/>
      <c r="F66" s="749"/>
      <c r="G66" s="750"/>
      <c r="H66" s="751"/>
      <c r="I66" s="752"/>
      <c r="J66" s="752"/>
      <c r="K66" s="753"/>
      <c r="L66" s="748"/>
      <c r="M66" s="749"/>
      <c r="N66" s="749"/>
      <c r="O66" s="750"/>
      <c r="R66" s="461"/>
    </row>
    <row r="67" spans="1:18">
      <c r="A67" s="748"/>
      <c r="B67" s="750"/>
      <c r="C67" s="748"/>
      <c r="D67" s="749"/>
      <c r="E67" s="749"/>
      <c r="F67" s="749"/>
      <c r="G67" s="750"/>
      <c r="H67" s="751"/>
      <c r="I67" s="752"/>
      <c r="J67" s="752"/>
      <c r="K67" s="753"/>
      <c r="L67" s="748"/>
      <c r="M67" s="749"/>
      <c r="N67" s="749"/>
      <c r="O67" s="750"/>
      <c r="R67" s="461"/>
    </row>
    <row r="68" spans="1:18">
      <c r="A68" s="748"/>
      <c r="B68" s="750"/>
      <c r="C68" s="748"/>
      <c r="D68" s="749"/>
      <c r="E68" s="749"/>
      <c r="F68" s="749"/>
      <c r="G68" s="750"/>
      <c r="H68" s="751"/>
      <c r="I68" s="752"/>
      <c r="J68" s="752"/>
      <c r="K68" s="753"/>
      <c r="L68" s="748"/>
      <c r="M68" s="749"/>
      <c r="N68" s="749"/>
      <c r="O68" s="750"/>
      <c r="R68" s="461"/>
    </row>
    <row r="69" spans="1:18">
      <c r="A69" s="748"/>
      <c r="B69" s="750"/>
      <c r="C69" s="748"/>
      <c r="D69" s="749"/>
      <c r="E69" s="749"/>
      <c r="F69" s="749"/>
      <c r="G69" s="750"/>
      <c r="H69" s="751"/>
      <c r="I69" s="752"/>
      <c r="J69" s="752"/>
      <c r="K69" s="753"/>
      <c r="L69" s="748"/>
      <c r="M69" s="749"/>
      <c r="N69" s="749"/>
      <c r="O69" s="750"/>
      <c r="R69" s="461"/>
    </row>
    <row r="70" spans="1:18">
      <c r="A70" s="748"/>
      <c r="B70" s="750"/>
      <c r="C70" s="748"/>
      <c r="D70" s="749"/>
      <c r="E70" s="749"/>
      <c r="F70" s="749"/>
      <c r="G70" s="750"/>
      <c r="H70" s="751"/>
      <c r="I70" s="752"/>
      <c r="J70" s="752"/>
      <c r="K70" s="753"/>
      <c r="L70" s="748"/>
      <c r="M70" s="749"/>
      <c r="N70" s="749"/>
      <c r="O70" s="750"/>
      <c r="R70" s="461"/>
    </row>
    <row r="71" spans="1:18">
      <c r="A71" s="748"/>
      <c r="B71" s="750"/>
      <c r="C71" s="748"/>
      <c r="D71" s="749"/>
      <c r="E71" s="749"/>
      <c r="F71" s="749"/>
      <c r="G71" s="750"/>
      <c r="H71" s="751"/>
      <c r="I71" s="752"/>
      <c r="J71" s="752"/>
      <c r="K71" s="753"/>
      <c r="L71" s="748"/>
      <c r="M71" s="749"/>
      <c r="N71" s="749"/>
      <c r="O71" s="750"/>
      <c r="R71" s="461"/>
    </row>
    <row r="72" spans="1:18">
      <c r="A72" s="748"/>
      <c r="B72" s="750"/>
      <c r="C72" s="748"/>
      <c r="D72" s="749"/>
      <c r="E72" s="749"/>
      <c r="F72" s="749"/>
      <c r="G72" s="750"/>
      <c r="H72" s="751"/>
      <c r="I72" s="752"/>
      <c r="J72" s="752"/>
      <c r="K72" s="753"/>
      <c r="L72" s="748"/>
      <c r="M72" s="749"/>
      <c r="N72" s="749"/>
      <c r="O72" s="750"/>
      <c r="R72" s="461"/>
    </row>
    <row r="73" spans="1:18">
      <c r="A73" s="748"/>
      <c r="B73" s="750"/>
      <c r="C73" s="748"/>
      <c r="D73" s="749"/>
      <c r="E73" s="749"/>
      <c r="F73" s="749"/>
      <c r="G73" s="750"/>
      <c r="H73" s="751"/>
      <c r="I73" s="752"/>
      <c r="J73" s="752"/>
      <c r="K73" s="753"/>
      <c r="L73" s="748"/>
      <c r="M73" s="749"/>
      <c r="N73" s="749"/>
      <c r="O73" s="750"/>
      <c r="R73" s="461"/>
    </row>
    <row r="74" spans="1:18">
      <c r="A74" s="748"/>
      <c r="B74" s="750"/>
      <c r="C74" s="748"/>
      <c r="D74" s="749"/>
      <c r="E74" s="749"/>
      <c r="F74" s="749"/>
      <c r="G74" s="750"/>
      <c r="H74" s="751"/>
      <c r="I74" s="752"/>
      <c r="J74" s="752"/>
      <c r="K74" s="753"/>
      <c r="L74" s="748"/>
      <c r="M74" s="749"/>
      <c r="N74" s="749"/>
      <c r="O74" s="750"/>
      <c r="R74" s="461"/>
    </row>
    <row r="75" spans="1:18">
      <c r="A75" s="748"/>
      <c r="B75" s="750"/>
      <c r="C75" s="748"/>
      <c r="D75" s="749"/>
      <c r="E75" s="749"/>
      <c r="F75" s="749"/>
      <c r="G75" s="750"/>
      <c r="H75" s="751"/>
      <c r="I75" s="752"/>
      <c r="J75" s="752"/>
      <c r="K75" s="753"/>
      <c r="L75" s="748"/>
      <c r="M75" s="749"/>
      <c r="N75" s="749"/>
      <c r="O75" s="750"/>
      <c r="R75" s="461"/>
    </row>
    <row r="76" spans="1:18">
      <c r="A76" s="748"/>
      <c r="B76" s="750"/>
      <c r="C76" s="748"/>
      <c r="D76" s="749"/>
      <c r="E76" s="749"/>
      <c r="F76" s="749"/>
      <c r="G76" s="750"/>
      <c r="H76" s="751"/>
      <c r="I76" s="752"/>
      <c r="J76" s="752"/>
      <c r="K76" s="753"/>
      <c r="L76" s="748"/>
      <c r="M76" s="749"/>
      <c r="N76" s="749"/>
      <c r="O76" s="750"/>
      <c r="R76" s="461"/>
    </row>
    <row r="77" spans="1:18">
      <c r="A77" s="748"/>
      <c r="B77" s="750"/>
      <c r="C77" s="748"/>
      <c r="D77" s="749"/>
      <c r="E77" s="749"/>
      <c r="F77" s="749"/>
      <c r="G77" s="750"/>
      <c r="H77" s="751"/>
      <c r="I77" s="752"/>
      <c r="J77" s="752"/>
      <c r="K77" s="753"/>
      <c r="L77" s="748"/>
      <c r="M77" s="749"/>
      <c r="N77" s="749"/>
      <c r="O77" s="750"/>
      <c r="R77" s="461"/>
    </row>
    <row r="78" spans="1:18">
      <c r="A78" s="748"/>
      <c r="B78" s="750"/>
      <c r="C78" s="748"/>
      <c r="D78" s="749"/>
      <c r="E78" s="749"/>
      <c r="F78" s="749"/>
      <c r="G78" s="750"/>
      <c r="H78" s="751"/>
      <c r="I78" s="752"/>
      <c r="J78" s="752"/>
      <c r="K78" s="753"/>
      <c r="L78" s="748"/>
      <c r="M78" s="749"/>
      <c r="N78" s="749"/>
      <c r="O78" s="750"/>
      <c r="R78" s="461"/>
    </row>
    <row r="79" spans="1:18">
      <c r="A79" s="748"/>
      <c r="B79" s="750"/>
      <c r="C79" s="748"/>
      <c r="D79" s="749"/>
      <c r="E79" s="749"/>
      <c r="F79" s="749"/>
      <c r="G79" s="750"/>
      <c r="H79" s="751"/>
      <c r="I79" s="752"/>
      <c r="J79" s="752"/>
      <c r="K79" s="753"/>
      <c r="L79" s="748"/>
      <c r="M79" s="749"/>
      <c r="N79" s="749"/>
      <c r="O79" s="750"/>
      <c r="R79" s="461"/>
    </row>
    <row r="80" spans="1:18">
      <c r="A80" s="748"/>
      <c r="B80" s="750"/>
      <c r="C80" s="748"/>
      <c r="D80" s="749"/>
      <c r="E80" s="749"/>
      <c r="F80" s="749"/>
      <c r="G80" s="750"/>
      <c r="H80" s="751"/>
      <c r="I80" s="752"/>
      <c r="J80" s="752"/>
      <c r="K80" s="753"/>
      <c r="L80" s="748"/>
      <c r="M80" s="749"/>
      <c r="N80" s="749"/>
      <c r="O80" s="750"/>
      <c r="R80" s="461"/>
    </row>
    <row r="81" spans="1:18">
      <c r="A81" s="748"/>
      <c r="B81" s="750"/>
      <c r="C81" s="748"/>
      <c r="D81" s="749"/>
      <c r="E81" s="749"/>
      <c r="F81" s="749"/>
      <c r="G81" s="750"/>
      <c r="H81" s="751"/>
      <c r="I81" s="752"/>
      <c r="J81" s="752"/>
      <c r="K81" s="753"/>
      <c r="L81" s="748"/>
      <c r="M81" s="749"/>
      <c r="N81" s="749"/>
      <c r="O81" s="750"/>
      <c r="R81" s="461"/>
    </row>
    <row r="82" spans="1:18">
      <c r="A82" s="748"/>
      <c r="B82" s="750"/>
      <c r="C82" s="748"/>
      <c r="D82" s="749"/>
      <c r="E82" s="749"/>
      <c r="F82" s="749"/>
      <c r="G82" s="750"/>
      <c r="H82" s="751"/>
      <c r="I82" s="752"/>
      <c r="J82" s="752"/>
      <c r="K82" s="753"/>
      <c r="L82" s="748"/>
      <c r="M82" s="749"/>
      <c r="N82" s="749"/>
      <c r="O82" s="750"/>
      <c r="R82" s="461"/>
    </row>
    <row r="83" spans="1:18">
      <c r="A83" s="748"/>
      <c r="B83" s="750"/>
      <c r="C83" s="748"/>
      <c r="D83" s="749"/>
      <c r="E83" s="749"/>
      <c r="F83" s="749"/>
      <c r="G83" s="750"/>
      <c r="H83" s="751"/>
      <c r="I83" s="752"/>
      <c r="J83" s="752"/>
      <c r="K83" s="753"/>
      <c r="L83" s="748"/>
      <c r="M83" s="749"/>
      <c r="N83" s="749"/>
      <c r="O83" s="750"/>
      <c r="R83" s="461"/>
    </row>
    <row r="84" spans="1:18">
      <c r="A84" s="748"/>
      <c r="B84" s="750"/>
      <c r="C84" s="748"/>
      <c r="D84" s="749"/>
      <c r="E84" s="749"/>
      <c r="F84" s="749"/>
      <c r="G84" s="750"/>
      <c r="H84" s="751"/>
      <c r="I84" s="752"/>
      <c r="J84" s="752"/>
      <c r="K84" s="753"/>
      <c r="L84" s="748"/>
      <c r="M84" s="749"/>
      <c r="N84" s="749"/>
      <c r="O84" s="750"/>
      <c r="R84" s="461"/>
    </row>
    <row r="85" spans="1:18">
      <c r="A85" s="748"/>
      <c r="B85" s="750"/>
      <c r="C85" s="748"/>
      <c r="D85" s="749"/>
      <c r="E85" s="749"/>
      <c r="F85" s="749"/>
      <c r="G85" s="750"/>
      <c r="H85" s="751"/>
      <c r="I85" s="752"/>
      <c r="J85" s="752"/>
      <c r="K85" s="753"/>
      <c r="L85" s="748"/>
      <c r="M85" s="749"/>
      <c r="N85" s="749"/>
      <c r="O85" s="750"/>
      <c r="R85" s="461"/>
    </row>
    <row r="86" spans="1:18">
      <c r="A86" s="748"/>
      <c r="B86" s="750"/>
      <c r="C86" s="748"/>
      <c r="D86" s="749"/>
      <c r="E86" s="749"/>
      <c r="F86" s="749"/>
      <c r="G86" s="750"/>
      <c r="H86" s="751"/>
      <c r="I86" s="752"/>
      <c r="J86" s="752"/>
      <c r="K86" s="753"/>
      <c r="L86" s="748"/>
      <c r="M86" s="749"/>
      <c r="N86" s="749"/>
      <c r="O86" s="750"/>
      <c r="R86" s="461"/>
    </row>
    <row r="87" spans="1:18">
      <c r="A87" s="748"/>
      <c r="B87" s="750"/>
      <c r="C87" s="748"/>
      <c r="D87" s="749"/>
      <c r="E87" s="749"/>
      <c r="F87" s="749"/>
      <c r="G87" s="750"/>
      <c r="H87" s="751"/>
      <c r="I87" s="752"/>
      <c r="J87" s="752"/>
      <c r="K87" s="753"/>
      <c r="L87" s="748"/>
      <c r="M87" s="749"/>
      <c r="N87" s="749"/>
      <c r="O87" s="750"/>
      <c r="R87" s="461"/>
    </row>
    <row r="88" spans="1:18">
      <c r="A88" s="748"/>
      <c r="B88" s="750"/>
      <c r="C88" s="748"/>
      <c r="D88" s="749"/>
      <c r="E88" s="749"/>
      <c r="F88" s="749"/>
      <c r="G88" s="750"/>
      <c r="H88" s="751"/>
      <c r="I88" s="752"/>
      <c r="J88" s="752"/>
      <c r="K88" s="753"/>
      <c r="L88" s="748"/>
      <c r="M88" s="749"/>
      <c r="N88" s="749"/>
      <c r="O88" s="750"/>
      <c r="R88" s="461"/>
    </row>
    <row r="89" spans="1:18">
      <c r="A89" s="748"/>
      <c r="B89" s="750"/>
      <c r="C89" s="748"/>
      <c r="D89" s="749"/>
      <c r="E89" s="749"/>
      <c r="F89" s="749"/>
      <c r="G89" s="750"/>
      <c r="H89" s="751"/>
      <c r="I89" s="752"/>
      <c r="J89" s="752"/>
      <c r="K89" s="753"/>
      <c r="L89" s="748"/>
      <c r="M89" s="749"/>
      <c r="N89" s="749"/>
      <c r="O89" s="750"/>
      <c r="R89" s="461"/>
    </row>
    <row r="90" spans="1:18">
      <c r="A90" s="748"/>
      <c r="B90" s="750"/>
      <c r="C90" s="748"/>
      <c r="D90" s="749"/>
      <c r="E90" s="749"/>
      <c r="F90" s="749"/>
      <c r="G90" s="750"/>
      <c r="H90" s="751"/>
      <c r="I90" s="752"/>
      <c r="J90" s="752"/>
      <c r="K90" s="753"/>
      <c r="L90" s="748"/>
      <c r="M90" s="749"/>
      <c r="N90" s="749"/>
      <c r="O90" s="750"/>
      <c r="R90" s="461"/>
    </row>
    <row r="91" spans="1:18">
      <c r="A91" s="748"/>
      <c r="B91" s="750"/>
      <c r="C91" s="748"/>
      <c r="D91" s="749"/>
      <c r="E91" s="749"/>
      <c r="F91" s="749"/>
      <c r="G91" s="750"/>
      <c r="H91" s="751"/>
      <c r="I91" s="752"/>
      <c r="J91" s="752"/>
      <c r="K91" s="753"/>
      <c r="L91" s="748"/>
      <c r="M91" s="749"/>
      <c r="N91" s="749"/>
      <c r="O91" s="750"/>
      <c r="R91" s="461"/>
    </row>
    <row r="92" spans="1:18">
      <c r="A92" s="748"/>
      <c r="B92" s="750"/>
      <c r="C92" s="748"/>
      <c r="D92" s="749"/>
      <c r="E92" s="749"/>
      <c r="F92" s="749"/>
      <c r="G92" s="750"/>
      <c r="H92" s="751"/>
      <c r="I92" s="752"/>
      <c r="J92" s="752"/>
      <c r="K92" s="753"/>
      <c r="L92" s="748"/>
      <c r="M92" s="749"/>
      <c r="N92" s="749"/>
      <c r="O92" s="750"/>
      <c r="R92" s="461"/>
    </row>
    <row r="93" spans="1:18">
      <c r="A93" s="748"/>
      <c r="B93" s="750"/>
      <c r="C93" s="748"/>
      <c r="D93" s="749"/>
      <c r="E93" s="749"/>
      <c r="F93" s="749"/>
      <c r="G93" s="750"/>
      <c r="H93" s="751"/>
      <c r="I93" s="752"/>
      <c r="J93" s="752"/>
      <c r="K93" s="753"/>
      <c r="L93" s="748"/>
      <c r="M93" s="749"/>
      <c r="N93" s="749"/>
      <c r="O93" s="750"/>
      <c r="R93" s="461"/>
    </row>
    <row r="94" spans="1:18">
      <c r="A94" s="748"/>
      <c r="B94" s="750"/>
      <c r="C94" s="748"/>
      <c r="D94" s="749"/>
      <c r="E94" s="749"/>
      <c r="F94" s="749"/>
      <c r="G94" s="750"/>
      <c r="H94" s="751"/>
      <c r="I94" s="752"/>
      <c r="J94" s="752"/>
      <c r="K94" s="753"/>
      <c r="L94" s="748"/>
      <c r="M94" s="749"/>
      <c r="N94" s="749"/>
      <c r="O94" s="750"/>
      <c r="R94" s="461"/>
    </row>
    <row r="95" spans="1:18">
      <c r="A95" s="748"/>
      <c r="B95" s="750"/>
      <c r="C95" s="748"/>
      <c r="D95" s="749"/>
      <c r="E95" s="749"/>
      <c r="F95" s="749"/>
      <c r="G95" s="750"/>
      <c r="H95" s="751"/>
      <c r="I95" s="752"/>
      <c r="J95" s="752"/>
      <c r="K95" s="753"/>
      <c r="L95" s="748"/>
      <c r="M95" s="749"/>
      <c r="N95" s="749"/>
      <c r="O95" s="750"/>
      <c r="R95" s="461"/>
    </row>
    <row r="96" spans="1:18">
      <c r="A96" s="748"/>
      <c r="B96" s="750"/>
      <c r="C96" s="748"/>
      <c r="D96" s="749"/>
      <c r="E96" s="749"/>
      <c r="F96" s="749"/>
      <c r="G96" s="750"/>
      <c r="H96" s="751"/>
      <c r="I96" s="752"/>
      <c r="J96" s="752"/>
      <c r="K96" s="753"/>
      <c r="L96" s="748"/>
      <c r="M96" s="749"/>
      <c r="N96" s="749"/>
      <c r="O96" s="750"/>
      <c r="R96" s="461"/>
    </row>
    <row r="97" spans="1:18">
      <c r="A97" s="748"/>
      <c r="B97" s="750"/>
      <c r="C97" s="748"/>
      <c r="D97" s="749"/>
      <c r="E97" s="749"/>
      <c r="F97" s="749"/>
      <c r="G97" s="750"/>
      <c r="H97" s="751"/>
      <c r="I97" s="752"/>
      <c r="J97" s="752"/>
      <c r="K97" s="753"/>
      <c r="L97" s="748"/>
      <c r="M97" s="749"/>
      <c r="N97" s="749"/>
      <c r="O97" s="750"/>
      <c r="R97" s="461"/>
    </row>
    <row r="98" spans="1:18">
      <c r="A98" s="748"/>
      <c r="B98" s="750"/>
      <c r="C98" s="748"/>
      <c r="D98" s="749"/>
      <c r="E98" s="749"/>
      <c r="F98" s="749"/>
      <c r="G98" s="750"/>
      <c r="H98" s="751"/>
      <c r="I98" s="752"/>
      <c r="J98" s="752"/>
      <c r="K98" s="753"/>
      <c r="L98" s="748"/>
      <c r="M98" s="749"/>
      <c r="N98" s="749"/>
      <c r="O98" s="750"/>
      <c r="R98" s="461"/>
    </row>
    <row r="99" spans="1:18">
      <c r="A99" s="748"/>
      <c r="B99" s="750"/>
      <c r="C99" s="748"/>
      <c r="D99" s="749"/>
      <c r="E99" s="749"/>
      <c r="F99" s="749"/>
      <c r="G99" s="750"/>
      <c r="H99" s="751"/>
      <c r="I99" s="752"/>
      <c r="J99" s="752"/>
      <c r="K99" s="753"/>
      <c r="L99" s="748"/>
      <c r="M99" s="749"/>
      <c r="N99" s="749"/>
      <c r="O99" s="750"/>
      <c r="R99" s="461"/>
    </row>
    <row r="100" spans="1:18">
      <c r="A100" s="748"/>
      <c r="B100" s="750"/>
      <c r="C100" s="748"/>
      <c r="D100" s="749"/>
      <c r="E100" s="749"/>
      <c r="F100" s="749"/>
      <c r="G100" s="750"/>
      <c r="H100" s="751"/>
      <c r="I100" s="752"/>
      <c r="J100" s="752"/>
      <c r="K100" s="753"/>
      <c r="L100" s="748"/>
      <c r="M100" s="749"/>
      <c r="N100" s="749"/>
      <c r="O100" s="750"/>
      <c r="R100" s="461"/>
    </row>
    <row r="101" spans="1:18">
      <c r="A101" s="748"/>
      <c r="B101" s="750"/>
      <c r="C101" s="748"/>
      <c r="D101" s="749"/>
      <c r="E101" s="749"/>
      <c r="F101" s="749"/>
      <c r="G101" s="750"/>
      <c r="H101" s="751"/>
      <c r="I101" s="752"/>
      <c r="J101" s="752"/>
      <c r="K101" s="753"/>
      <c r="L101" s="748"/>
      <c r="M101" s="749"/>
      <c r="N101" s="749"/>
      <c r="O101" s="750"/>
      <c r="R101" s="461"/>
    </row>
    <row r="102" spans="1:18">
      <c r="A102" s="748"/>
      <c r="B102" s="750"/>
      <c r="C102" s="748"/>
      <c r="D102" s="749"/>
      <c r="E102" s="749"/>
      <c r="F102" s="749"/>
      <c r="G102" s="750"/>
      <c r="H102" s="751"/>
      <c r="I102" s="752"/>
      <c r="J102" s="752"/>
      <c r="K102" s="753"/>
      <c r="L102" s="748"/>
      <c r="M102" s="749"/>
      <c r="N102" s="749"/>
      <c r="O102" s="750"/>
      <c r="R102" s="461"/>
    </row>
    <row r="103" spans="1:18">
      <c r="A103" s="748"/>
      <c r="B103" s="750"/>
      <c r="C103" s="748"/>
      <c r="D103" s="749"/>
      <c r="E103" s="749"/>
      <c r="F103" s="749"/>
      <c r="G103" s="750"/>
      <c r="H103" s="751"/>
      <c r="I103" s="752"/>
      <c r="J103" s="752"/>
      <c r="K103" s="753"/>
      <c r="L103" s="748"/>
      <c r="M103" s="749"/>
      <c r="N103" s="749"/>
      <c r="O103" s="750"/>
      <c r="R103" s="461"/>
    </row>
    <row r="104" spans="1:18">
      <c r="A104" s="748"/>
      <c r="B104" s="750"/>
      <c r="C104" s="748"/>
      <c r="D104" s="749"/>
      <c r="E104" s="749"/>
      <c r="F104" s="749"/>
      <c r="G104" s="750"/>
      <c r="H104" s="751"/>
      <c r="I104" s="752"/>
      <c r="J104" s="752"/>
      <c r="K104" s="753"/>
      <c r="L104" s="748"/>
      <c r="M104" s="749"/>
      <c r="N104" s="749"/>
      <c r="O104" s="750"/>
      <c r="R104" s="461"/>
    </row>
  </sheetData>
  <sheetProtection algorithmName="SHA-512" hashValue="6jPsqzqdGaqeVHG/tHXo/ebijQuj1SPd5GhUsqppoKaV8I0nFcOTSLI9dGFJKQ77/c+N3qcHpbWNmXgdQBeASQ==" saltValue="4NbsWeXX7CaGUcxDCG2VgQ==" spinCount="100000" sheet="1" objects="1" scenarios="1"/>
  <mergeCells count="407">
    <mergeCell ref="A54:B54"/>
    <mergeCell ref="C54:G54"/>
    <mergeCell ref="L54:O54"/>
    <mergeCell ref="A52:B52"/>
    <mergeCell ref="C52:G52"/>
    <mergeCell ref="L52:O52"/>
    <mergeCell ref="A53:B53"/>
    <mergeCell ref="C53:G53"/>
    <mergeCell ref="L53:O53"/>
    <mergeCell ref="H52:K52"/>
    <mergeCell ref="H53:K53"/>
    <mergeCell ref="H54:K54"/>
    <mergeCell ref="A50:B50"/>
    <mergeCell ref="C50:G50"/>
    <mergeCell ref="L50:O50"/>
    <mergeCell ref="A51:B51"/>
    <mergeCell ref="C51:G51"/>
    <mergeCell ref="L51:O51"/>
    <mergeCell ref="L48:O48"/>
    <mergeCell ref="A49:B49"/>
    <mergeCell ref="C49:G49"/>
    <mergeCell ref="L49:O49"/>
    <mergeCell ref="A48:B48"/>
    <mergeCell ref="C48:G48"/>
    <mergeCell ref="H48:K48"/>
    <mergeCell ref="H49:K49"/>
    <mergeCell ref="H50:K50"/>
    <mergeCell ref="H51:K51"/>
    <mergeCell ref="A46:B46"/>
    <mergeCell ref="C46:G46"/>
    <mergeCell ref="L46:O46"/>
    <mergeCell ref="A47:B47"/>
    <mergeCell ref="C47:G47"/>
    <mergeCell ref="L47:O47"/>
    <mergeCell ref="A44:B44"/>
    <mergeCell ref="C44:G44"/>
    <mergeCell ref="L44:O44"/>
    <mergeCell ref="A45:B45"/>
    <mergeCell ref="C45:G45"/>
    <mergeCell ref="L45:O45"/>
    <mergeCell ref="H44:K44"/>
    <mergeCell ref="H45:K45"/>
    <mergeCell ref="H46:K46"/>
    <mergeCell ref="H47:K47"/>
    <mergeCell ref="A43:B43"/>
    <mergeCell ref="C43:G43"/>
    <mergeCell ref="L43:O43"/>
    <mergeCell ref="A41:B41"/>
    <mergeCell ref="C41:G41"/>
    <mergeCell ref="L41:O41"/>
    <mergeCell ref="A42:B42"/>
    <mergeCell ref="C42:G42"/>
    <mergeCell ref="L42:O42"/>
    <mergeCell ref="H41:K41"/>
    <mergeCell ref="H42:K42"/>
    <mergeCell ref="H43:K43"/>
    <mergeCell ref="A39:B39"/>
    <mergeCell ref="C39:G39"/>
    <mergeCell ref="L39:O39"/>
    <mergeCell ref="A40:B40"/>
    <mergeCell ref="C40:G40"/>
    <mergeCell ref="L40:O40"/>
    <mergeCell ref="A37:B37"/>
    <mergeCell ref="C37:G37"/>
    <mergeCell ref="L37:O37"/>
    <mergeCell ref="A38:B38"/>
    <mergeCell ref="C38:G38"/>
    <mergeCell ref="L38:O38"/>
    <mergeCell ref="H37:K37"/>
    <mergeCell ref="H38:K38"/>
    <mergeCell ref="H39:K39"/>
    <mergeCell ref="H40:K40"/>
    <mergeCell ref="A35:B35"/>
    <mergeCell ref="C35:G35"/>
    <mergeCell ref="L35:O35"/>
    <mergeCell ref="A36:B36"/>
    <mergeCell ref="C36:G36"/>
    <mergeCell ref="L36:O36"/>
    <mergeCell ref="A33:B33"/>
    <mergeCell ref="C33:G33"/>
    <mergeCell ref="L33:O33"/>
    <mergeCell ref="A34:B34"/>
    <mergeCell ref="C34:G34"/>
    <mergeCell ref="L34:O34"/>
    <mergeCell ref="H33:K33"/>
    <mergeCell ref="H34:K34"/>
    <mergeCell ref="H35:K35"/>
    <mergeCell ref="H36:K36"/>
    <mergeCell ref="A31:B31"/>
    <mergeCell ref="C31:G31"/>
    <mergeCell ref="L31:O31"/>
    <mergeCell ref="A32:B32"/>
    <mergeCell ref="C32:G32"/>
    <mergeCell ref="L32:O32"/>
    <mergeCell ref="A29:B29"/>
    <mergeCell ref="C29:G29"/>
    <mergeCell ref="L29:O29"/>
    <mergeCell ref="A30:B30"/>
    <mergeCell ref="C30:G30"/>
    <mergeCell ref="L30:O30"/>
    <mergeCell ref="H29:K29"/>
    <mergeCell ref="H30:K30"/>
    <mergeCell ref="H31:K31"/>
    <mergeCell ref="H32:K32"/>
    <mergeCell ref="A27:B27"/>
    <mergeCell ref="C27:G27"/>
    <mergeCell ref="L27:O27"/>
    <mergeCell ref="A28:B28"/>
    <mergeCell ref="C28:G28"/>
    <mergeCell ref="L28:O28"/>
    <mergeCell ref="A25:B25"/>
    <mergeCell ref="C25:G25"/>
    <mergeCell ref="L25:O25"/>
    <mergeCell ref="A26:B26"/>
    <mergeCell ref="C26:G26"/>
    <mergeCell ref="L26:O26"/>
    <mergeCell ref="H25:K25"/>
    <mergeCell ref="H26:K26"/>
    <mergeCell ref="H27:K27"/>
    <mergeCell ref="H28:K28"/>
    <mergeCell ref="A24:B24"/>
    <mergeCell ref="C24:G24"/>
    <mergeCell ref="L24:O24"/>
    <mergeCell ref="A21:B21"/>
    <mergeCell ref="C21:G21"/>
    <mergeCell ref="L21:O21"/>
    <mergeCell ref="A22:B22"/>
    <mergeCell ref="C22:G22"/>
    <mergeCell ref="L22:O22"/>
    <mergeCell ref="A19:B19"/>
    <mergeCell ref="C19:G19"/>
    <mergeCell ref="L19:O19"/>
    <mergeCell ref="A20:B20"/>
    <mergeCell ref="C20:G20"/>
    <mergeCell ref="L20:O20"/>
    <mergeCell ref="A23:B23"/>
    <mergeCell ref="C23:G23"/>
    <mergeCell ref="L23:O23"/>
    <mergeCell ref="A17:B17"/>
    <mergeCell ref="C17:G17"/>
    <mergeCell ref="L17:O17"/>
    <mergeCell ref="A18:B18"/>
    <mergeCell ref="C18:G18"/>
    <mergeCell ref="L18:O18"/>
    <mergeCell ref="A15:B15"/>
    <mergeCell ref="C15:G15"/>
    <mergeCell ref="L15:O15"/>
    <mergeCell ref="A16:B16"/>
    <mergeCell ref="C16:G16"/>
    <mergeCell ref="L16:O16"/>
    <mergeCell ref="A13:B13"/>
    <mergeCell ref="C13:G13"/>
    <mergeCell ref="L13:O13"/>
    <mergeCell ref="A14:B14"/>
    <mergeCell ref="C14:G14"/>
    <mergeCell ref="L14:O14"/>
    <mergeCell ref="A11:B11"/>
    <mergeCell ref="C11:G11"/>
    <mergeCell ref="L11:O11"/>
    <mergeCell ref="A12:B12"/>
    <mergeCell ref="C12:G12"/>
    <mergeCell ref="L12:O12"/>
    <mergeCell ref="A6:B6"/>
    <mergeCell ref="C6:G6"/>
    <mergeCell ref="L6:O6"/>
    <mergeCell ref="A7:B7"/>
    <mergeCell ref="A9:B9"/>
    <mergeCell ref="C9:G9"/>
    <mergeCell ref="L9:O9"/>
    <mergeCell ref="A10:B10"/>
    <mergeCell ref="C10:G10"/>
    <mergeCell ref="L10:O10"/>
    <mergeCell ref="C7:G7"/>
    <mergeCell ref="L7:O7"/>
    <mergeCell ref="A8:B8"/>
    <mergeCell ref="C8:G8"/>
    <mergeCell ref="L8:O8"/>
    <mergeCell ref="L1:M1"/>
    <mergeCell ref="N1:O1"/>
    <mergeCell ref="N2:O2"/>
    <mergeCell ref="A4:B4"/>
    <mergeCell ref="C4:G4"/>
    <mergeCell ref="H4:K4"/>
    <mergeCell ref="L4:O4"/>
    <mergeCell ref="A5:B5"/>
    <mergeCell ref="C5:G5"/>
    <mergeCell ref="L5:O5"/>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C84:G84"/>
    <mergeCell ref="C85:G85"/>
    <mergeCell ref="C86:G86"/>
    <mergeCell ref="C87:G87"/>
    <mergeCell ref="C88:G88"/>
    <mergeCell ref="C89:G89"/>
    <mergeCell ref="C90:G90"/>
    <mergeCell ref="C91:G91"/>
    <mergeCell ref="C92:G92"/>
    <mergeCell ref="C93:G93"/>
    <mergeCell ref="C94:G94"/>
    <mergeCell ref="C95:G95"/>
    <mergeCell ref="C96:G96"/>
    <mergeCell ref="C97:G97"/>
    <mergeCell ref="C98:G98"/>
    <mergeCell ref="C99:G99"/>
    <mergeCell ref="C100:G100"/>
    <mergeCell ref="C101:G101"/>
    <mergeCell ref="C102:G102"/>
    <mergeCell ref="C103:G103"/>
    <mergeCell ref="C104:G104"/>
    <mergeCell ref="H5:K5"/>
    <mergeCell ref="H6:K6"/>
    <mergeCell ref="H7:K7"/>
    <mergeCell ref="H8:K8"/>
    <mergeCell ref="H9:K9"/>
    <mergeCell ref="H10:K10"/>
    <mergeCell ref="H11:K11"/>
    <mergeCell ref="H12:K12"/>
    <mergeCell ref="H13:K13"/>
    <mergeCell ref="H14:K14"/>
    <mergeCell ref="H15:K15"/>
    <mergeCell ref="H16:K16"/>
    <mergeCell ref="H17:K17"/>
    <mergeCell ref="H18:K18"/>
    <mergeCell ref="H19:K19"/>
    <mergeCell ref="H20:K20"/>
    <mergeCell ref="H21:K21"/>
    <mergeCell ref="H22:K22"/>
    <mergeCell ref="H23:K23"/>
    <mergeCell ref="H24:K24"/>
    <mergeCell ref="H55:K55"/>
    <mergeCell ref="H56:K56"/>
    <mergeCell ref="H57:K57"/>
    <mergeCell ref="H58:K58"/>
    <mergeCell ref="H59:K59"/>
    <mergeCell ref="H60:K60"/>
    <mergeCell ref="H61:K61"/>
    <mergeCell ref="H62:K62"/>
    <mergeCell ref="H63:K63"/>
    <mergeCell ref="H64:K64"/>
    <mergeCell ref="H65:K65"/>
    <mergeCell ref="H66:K66"/>
    <mergeCell ref="H67:K67"/>
    <mergeCell ref="H68:K68"/>
    <mergeCell ref="H69:K69"/>
    <mergeCell ref="H70:K70"/>
    <mergeCell ref="H71:K71"/>
    <mergeCell ref="H72:K72"/>
    <mergeCell ref="H73:K73"/>
    <mergeCell ref="H74:K74"/>
    <mergeCell ref="H75:K75"/>
    <mergeCell ref="H76:K76"/>
    <mergeCell ref="H77:K77"/>
    <mergeCell ref="H78:K78"/>
    <mergeCell ref="H79:K79"/>
    <mergeCell ref="H80:K80"/>
    <mergeCell ref="H81:K81"/>
    <mergeCell ref="H82:K82"/>
    <mergeCell ref="H83:K83"/>
    <mergeCell ref="H84:K84"/>
    <mergeCell ref="H85:K85"/>
    <mergeCell ref="H86:K86"/>
    <mergeCell ref="H87:K87"/>
    <mergeCell ref="H88:K88"/>
    <mergeCell ref="H89:K89"/>
    <mergeCell ref="H90:K90"/>
    <mergeCell ref="H100:K100"/>
    <mergeCell ref="H101:K101"/>
    <mergeCell ref="H102:K102"/>
    <mergeCell ref="H103:K103"/>
    <mergeCell ref="H104:K104"/>
    <mergeCell ref="H91:K91"/>
    <mergeCell ref="H92:K92"/>
    <mergeCell ref="H93:K93"/>
    <mergeCell ref="H94:K94"/>
    <mergeCell ref="H95:K95"/>
    <mergeCell ref="H96:K96"/>
    <mergeCell ref="H97:K97"/>
    <mergeCell ref="H98:K98"/>
    <mergeCell ref="H99:K99"/>
    <mergeCell ref="L55:O55"/>
    <mergeCell ref="L56:O56"/>
    <mergeCell ref="L57:O57"/>
    <mergeCell ref="L58:O58"/>
    <mergeCell ref="L59:O59"/>
    <mergeCell ref="L60:O60"/>
    <mergeCell ref="L61:O61"/>
    <mergeCell ref="L62:O62"/>
    <mergeCell ref="L63:O63"/>
    <mergeCell ref="L64:O64"/>
    <mergeCell ref="L65:O65"/>
    <mergeCell ref="L66:O66"/>
    <mergeCell ref="L67:O67"/>
    <mergeCell ref="L68:O68"/>
    <mergeCell ref="L69:O69"/>
    <mergeCell ref="L70:O70"/>
    <mergeCell ref="L71:O71"/>
    <mergeCell ref="L72:O72"/>
    <mergeCell ref="L73:O73"/>
    <mergeCell ref="L74:O74"/>
    <mergeCell ref="L75:O75"/>
    <mergeCell ref="L76:O76"/>
    <mergeCell ref="L77:O77"/>
    <mergeCell ref="L78:O78"/>
    <mergeCell ref="L79:O79"/>
    <mergeCell ref="L80:O80"/>
    <mergeCell ref="L81:O81"/>
    <mergeCell ref="L82:O82"/>
    <mergeCell ref="L83:O83"/>
    <mergeCell ref="L84:O84"/>
    <mergeCell ref="L85:O85"/>
    <mergeCell ref="L86:O86"/>
    <mergeCell ref="L87:O87"/>
    <mergeCell ref="L88:O88"/>
    <mergeCell ref="L89:O89"/>
    <mergeCell ref="L90:O90"/>
    <mergeCell ref="L100:O100"/>
    <mergeCell ref="L101:O101"/>
    <mergeCell ref="L102:O102"/>
    <mergeCell ref="L103:O103"/>
    <mergeCell ref="L104:O104"/>
    <mergeCell ref="L91:O91"/>
    <mergeCell ref="L92:O92"/>
    <mergeCell ref="L93:O93"/>
    <mergeCell ref="L94:O94"/>
    <mergeCell ref="L95:O95"/>
    <mergeCell ref="L96:O96"/>
    <mergeCell ref="L97:O97"/>
    <mergeCell ref="L98:O98"/>
    <mergeCell ref="L99:O99"/>
  </mergeCells>
  <phoneticPr fontId="5"/>
  <dataValidations count="1">
    <dataValidation type="list" errorStyle="information" allowBlank="1" showInputMessage="1" showErrorMessage="1" error="任意の文字列も入力可能です。" sqref="H5:K104" xr:uid="{00000000-0002-0000-0200-000000000000}">
      <formula1>監視点用燃料種類_選択</formula1>
    </dataValidation>
  </dataValidations>
  <pageMargins left="0.78740157480314965" right="0.59055118110236227" top="0.78740157480314965" bottom="0.59055118110236227" header="0.31496062992125984" footer="0.31496062992125984"/>
  <pageSetup paperSize="9" scale="76"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320"/>
  <sheetViews>
    <sheetView showGridLines="0" zoomScale="70" zoomScaleNormal="70" zoomScaleSheetLayoutView="40" workbookViewId="0">
      <pane ySplit="9" topLeftCell="A10" activePane="bottomLeft" state="frozen"/>
      <selection pane="bottomLeft"/>
    </sheetView>
  </sheetViews>
  <sheetFormatPr defaultColWidth="5.625" defaultRowHeight="18"/>
  <cols>
    <col min="1" max="1" width="43.75" style="67" customWidth="1"/>
    <col min="2" max="2" width="14.875" style="67" customWidth="1"/>
    <col min="3" max="3" width="5.625" style="67"/>
    <col min="4" max="4" width="10.625" style="67" customWidth="1"/>
    <col min="5" max="5" width="20.5" style="67" customWidth="1"/>
    <col min="6" max="19" width="10.625" style="67" customWidth="1"/>
    <col min="20" max="22" width="5.625" style="67"/>
    <col min="23" max="23" width="5.625" style="67" customWidth="1"/>
    <col min="24" max="16384" width="5.625" style="67"/>
  </cols>
  <sheetData>
    <row r="1" spans="1:32">
      <c r="A1" s="3" t="s">
        <v>304</v>
      </c>
      <c r="B1" s="3"/>
      <c r="C1" s="3"/>
      <c r="D1" s="3"/>
      <c r="E1" s="3"/>
      <c r="F1" s="3"/>
      <c r="G1" s="3"/>
      <c r="H1" s="3"/>
      <c r="I1" s="3"/>
      <c r="J1" s="3"/>
      <c r="K1" s="3"/>
      <c r="L1" s="3"/>
      <c r="M1" s="3"/>
      <c r="N1" s="3"/>
      <c r="O1" s="3"/>
      <c r="P1" s="743" t="s">
        <v>0</v>
      </c>
      <c r="Q1" s="744"/>
      <c r="R1" s="745" t="str">
        <f>IF(事業所概要_算定体制!D13="","",事業所概要_算定体制!D13)</f>
        <v/>
      </c>
      <c r="S1" s="746"/>
    </row>
    <row r="2" spans="1:32">
      <c r="A2" s="3"/>
      <c r="B2" s="3"/>
      <c r="C2" s="3"/>
      <c r="D2" s="3"/>
      <c r="E2" s="3"/>
      <c r="F2" s="3"/>
      <c r="G2" s="3"/>
      <c r="H2" s="3"/>
      <c r="I2" s="3"/>
      <c r="J2" s="3"/>
      <c r="K2" s="3"/>
      <c r="L2" s="3"/>
      <c r="M2" s="3"/>
      <c r="N2" s="3"/>
      <c r="O2" s="3"/>
      <c r="P2" s="3"/>
      <c r="Q2" s="3"/>
      <c r="R2" s="772" t="str">
        <f>CONCATENATE(事業所概要_算定体制!$B$3,事業所概要_算定体制!$C$3,"年度")</f>
        <v>令和７年度</v>
      </c>
      <c r="S2" s="772"/>
    </row>
    <row r="3" spans="1:32" ht="18.75" thickBot="1">
      <c r="A3" s="3" t="s">
        <v>285</v>
      </c>
      <c r="B3" s="3"/>
      <c r="C3" s="3"/>
      <c r="D3" s="3"/>
      <c r="E3" s="3"/>
      <c r="F3" s="3"/>
      <c r="G3" s="3"/>
      <c r="H3" s="3"/>
      <c r="I3" s="3"/>
      <c r="J3" s="3"/>
      <c r="K3" s="3"/>
      <c r="L3" s="3"/>
      <c r="M3" s="3"/>
      <c r="N3" s="3"/>
      <c r="O3" s="3"/>
      <c r="P3" s="3"/>
      <c r="Q3" s="3"/>
      <c r="R3" s="3"/>
      <c r="S3" s="3"/>
    </row>
    <row r="4" spans="1:32" ht="19.5" customHeight="1">
      <c r="A4" s="764" t="s">
        <v>286</v>
      </c>
      <c r="B4" s="766" t="s">
        <v>69</v>
      </c>
      <c r="C4" s="766" t="s">
        <v>70</v>
      </c>
      <c r="D4" s="768" t="s">
        <v>287</v>
      </c>
      <c r="E4" s="770" t="s">
        <v>288</v>
      </c>
      <c r="F4" s="758" t="s">
        <v>993</v>
      </c>
      <c r="G4" s="758"/>
      <c r="H4" s="758"/>
      <c r="I4" s="758"/>
      <c r="J4" s="758"/>
      <c r="K4" s="758"/>
      <c r="L4" s="758"/>
      <c r="M4" s="758"/>
      <c r="N4" s="758"/>
      <c r="O4" s="758"/>
      <c r="P4" s="758"/>
      <c r="Q4" s="759"/>
      <c r="R4" s="760" t="s">
        <v>289</v>
      </c>
      <c r="S4" s="762" t="s">
        <v>302</v>
      </c>
    </row>
    <row r="5" spans="1:32" ht="18.75" thickBot="1">
      <c r="A5" s="765"/>
      <c r="B5" s="767"/>
      <c r="C5" s="767"/>
      <c r="D5" s="769"/>
      <c r="E5" s="771"/>
      <c r="F5" s="145" t="s">
        <v>987</v>
      </c>
      <c r="G5" s="145" t="s">
        <v>988</v>
      </c>
      <c r="H5" s="145" t="s">
        <v>989</v>
      </c>
      <c r="I5" s="145" t="s">
        <v>990</v>
      </c>
      <c r="J5" s="145" t="s">
        <v>991</v>
      </c>
      <c r="K5" s="145" t="s">
        <v>992</v>
      </c>
      <c r="L5" s="145" t="s">
        <v>994</v>
      </c>
      <c r="M5" s="145" t="s">
        <v>995</v>
      </c>
      <c r="N5" s="145" t="s">
        <v>996</v>
      </c>
      <c r="O5" s="145" t="s">
        <v>997</v>
      </c>
      <c r="P5" s="145" t="s">
        <v>998</v>
      </c>
      <c r="Q5" s="33" t="s">
        <v>999</v>
      </c>
      <c r="R5" s="761"/>
      <c r="S5" s="763"/>
    </row>
    <row r="6" spans="1:32" ht="24.75" thickBot="1">
      <c r="A6" s="782" t="s">
        <v>290</v>
      </c>
      <c r="B6" s="783"/>
      <c r="C6" s="607" t="s">
        <v>300</v>
      </c>
      <c r="D6" s="122" t="str">
        <f>IF(COUNT(D10:D34,D46:D80,D86:D120,D126:D160,D166:D200,D206:D240,D246:D280,D286:D320)=0,"",SUM(D10:D34)+SUM(D46:D80)+SUM(D86:D120)+SUM(D126:D160)+SUM(D166:D200)+SUM(D206:D240)+SUM(D246:D280)+SUM(D286:D320))</f>
        <v/>
      </c>
      <c r="E6" s="123"/>
      <c r="F6" s="122" t="str">
        <f t="shared" ref="F6:Q6" si="0">IF(COUNT($D$10:$D$34,$D$46:$D$80,$D$86:$D$120,$D$126:$D$160,$D$166:$D$200,$D$206:$D$240,$D$246:$D$280,$D$286:$D$320)=0,"",SUM(F$10:F$34)+SUM(F$46:F$80)+SUM(F$86:F$120)+SUM(F$126:F$160)+SUM(F$166:F$200)+SUM(F$206:F$240)+SUM(F$246:F$280)+SUM(F$286:F$320)+SUMIFS($D$10:$D$34,$E$10:$E$34,"変更なし")+SUMIFS($D$46:$D$80,$E$46:$E$80,"変更なし")+SUMIFS($D$86:$D$120,$E$86:$E$120,"変更なし")+SUMIFS($D$126:$D$160,$E$126:$E$160,"変更なし")+SUMIFS($D$166:$D$200,$E$166:$E$200,"変更なし")+SUMIFS($D$206:$D$240,$E$206:$E$240,"変更なし")+SUMIFS($D$246:$D$280,$E$246:$E$280,"変更なし")+SUMIFS($D$286:$D$320,$E$286:$E$320,"変更なし"))</f>
        <v/>
      </c>
      <c r="G6" s="122" t="str">
        <f t="shared" si="0"/>
        <v/>
      </c>
      <c r="H6" s="122" t="str">
        <f t="shared" si="0"/>
        <v/>
      </c>
      <c r="I6" s="122" t="str">
        <f t="shared" si="0"/>
        <v/>
      </c>
      <c r="J6" s="122" t="str">
        <f t="shared" si="0"/>
        <v/>
      </c>
      <c r="K6" s="122" t="str">
        <f t="shared" si="0"/>
        <v/>
      </c>
      <c r="L6" s="122" t="str">
        <f t="shared" si="0"/>
        <v/>
      </c>
      <c r="M6" s="122" t="str">
        <f t="shared" si="0"/>
        <v/>
      </c>
      <c r="N6" s="122" t="str">
        <f t="shared" si="0"/>
        <v/>
      </c>
      <c r="O6" s="122" t="str">
        <f t="shared" si="0"/>
        <v/>
      </c>
      <c r="P6" s="122" t="str">
        <f t="shared" si="0"/>
        <v/>
      </c>
      <c r="Q6" s="122" t="str">
        <f t="shared" si="0"/>
        <v/>
      </c>
      <c r="R6" s="437">
        <f>IF(COUNT(R10:R34,R46:R80,R86:R120,R126:R160,R166:R200,R206:R240,R246:R280,R286:R320)=0,"",SUM(R10:R34)+SUM(R46:R80)+SUM(R86:R120)+SUM(R126:R160)+SUM(R166:R200)+SUM(R206:R240)+SUM(R246:R280)+SUM(R286:R320))</f>
        <v>0</v>
      </c>
      <c r="S6" s="437">
        <f>IF(COUNT(S10:S34,S46:S80,S86:S120,S126:S160,S166:S200,S206:S240,S246:S280,S286:S320)=0,"",SUM(S10:S34)+SUM(S46:S80)+SUM(S86:S120)+SUM(S126:S160)+SUM(S166:S200)+SUM(S206:S240)+SUM(S246:S280)+SUM(S286:S320))</f>
        <v>0</v>
      </c>
    </row>
    <row r="7" spans="1:32" ht="18.75" thickBot="1">
      <c r="A7" s="3"/>
      <c r="B7" s="3"/>
      <c r="C7" s="3"/>
      <c r="D7" s="3"/>
      <c r="E7" s="3"/>
      <c r="F7" s="3"/>
      <c r="G7" s="3"/>
      <c r="H7" s="3"/>
      <c r="I7" s="3"/>
      <c r="J7" s="3"/>
      <c r="K7" s="3"/>
      <c r="L7" s="3"/>
      <c r="M7" s="3"/>
      <c r="N7" s="3"/>
      <c r="O7" s="3"/>
      <c r="P7" s="3"/>
      <c r="Q7" s="3"/>
      <c r="R7" s="3"/>
      <c r="S7" s="3"/>
    </row>
    <row r="8" spans="1:32">
      <c r="A8" s="764" t="s">
        <v>286</v>
      </c>
      <c r="B8" s="766" t="s">
        <v>69</v>
      </c>
      <c r="C8" s="766" t="s">
        <v>70</v>
      </c>
      <c r="D8" s="768" t="s">
        <v>287</v>
      </c>
      <c r="E8" s="770" t="s">
        <v>288</v>
      </c>
      <c r="F8" s="758" t="s">
        <v>993</v>
      </c>
      <c r="G8" s="758"/>
      <c r="H8" s="758"/>
      <c r="I8" s="758"/>
      <c r="J8" s="758"/>
      <c r="K8" s="758"/>
      <c r="L8" s="758"/>
      <c r="M8" s="758"/>
      <c r="N8" s="758"/>
      <c r="O8" s="758"/>
      <c r="P8" s="758"/>
      <c r="Q8" s="759"/>
      <c r="R8" s="760" t="s">
        <v>289</v>
      </c>
      <c r="S8" s="762" t="s">
        <v>302</v>
      </c>
    </row>
    <row r="9" spans="1:32" ht="18.75" thickBot="1">
      <c r="A9" s="765"/>
      <c r="B9" s="767"/>
      <c r="C9" s="767"/>
      <c r="D9" s="769"/>
      <c r="E9" s="771"/>
      <c r="F9" s="145" t="s">
        <v>987</v>
      </c>
      <c r="G9" s="145" t="s">
        <v>988</v>
      </c>
      <c r="H9" s="145" t="s">
        <v>989</v>
      </c>
      <c r="I9" s="145" t="s">
        <v>990</v>
      </c>
      <c r="J9" s="145" t="s">
        <v>991</v>
      </c>
      <c r="K9" s="145" t="s">
        <v>992</v>
      </c>
      <c r="L9" s="145" t="s">
        <v>994</v>
      </c>
      <c r="M9" s="145" t="s">
        <v>995</v>
      </c>
      <c r="N9" s="145" t="s">
        <v>996</v>
      </c>
      <c r="O9" s="145" t="s">
        <v>997</v>
      </c>
      <c r="P9" s="145" t="s">
        <v>998</v>
      </c>
      <c r="Q9" s="33" t="s">
        <v>999</v>
      </c>
      <c r="R9" s="761"/>
      <c r="S9" s="763"/>
    </row>
    <row r="10" spans="1:32" s="462" customFormat="1" ht="27.95" customHeight="1">
      <c r="A10" s="479"/>
      <c r="B10" s="519"/>
      <c r="C10" s="603" t="s">
        <v>300</v>
      </c>
      <c r="D10" s="116"/>
      <c r="E10" s="604"/>
      <c r="F10" s="117"/>
      <c r="G10" s="117"/>
      <c r="H10" s="117"/>
      <c r="I10" s="117"/>
      <c r="J10" s="117"/>
      <c r="K10" s="117"/>
      <c r="L10" s="117"/>
      <c r="M10" s="117"/>
      <c r="N10" s="117"/>
      <c r="O10" s="117"/>
      <c r="P10" s="117"/>
      <c r="Q10" s="118"/>
      <c r="R10" s="191">
        <f>IF(E10="変更なし",D10,IF(E10="右記のとおり変更",Q10,0))</f>
        <v>0</v>
      </c>
      <c r="S10" s="192">
        <f>IF(E10="変更なし",D10,IF(E10="右記のとおり変更",(D10+SUM(F10:P10))/12,0))</f>
        <v>0</v>
      </c>
      <c r="T10" s="88"/>
      <c r="U10" s="88"/>
      <c r="V10" s="88"/>
      <c r="W10" s="88"/>
      <c r="X10" s="88"/>
      <c r="Y10" s="88"/>
      <c r="Z10" s="88"/>
      <c r="AA10" s="88"/>
      <c r="AB10" s="88"/>
      <c r="AC10" s="88"/>
      <c r="AD10" s="88"/>
      <c r="AE10" s="88"/>
      <c r="AF10" s="88"/>
    </row>
    <row r="11" spans="1:32" s="462" customFormat="1" ht="27.95" customHeight="1">
      <c r="A11" s="479"/>
      <c r="B11" s="519"/>
      <c r="C11" s="603" t="s">
        <v>300</v>
      </c>
      <c r="D11" s="116"/>
      <c r="E11" s="604"/>
      <c r="F11" s="116"/>
      <c r="G11" s="116"/>
      <c r="H11" s="116"/>
      <c r="I11" s="116"/>
      <c r="J11" s="116"/>
      <c r="K11" s="116"/>
      <c r="L11" s="116"/>
      <c r="M11" s="116"/>
      <c r="N11" s="116"/>
      <c r="O11" s="116"/>
      <c r="P11" s="116"/>
      <c r="Q11" s="119"/>
      <c r="R11" s="193">
        <f t="shared" ref="R11:R34" si="1">IF(E11="変更なし",D11,IF(E11="右記のとおり変更",Q11,0))</f>
        <v>0</v>
      </c>
      <c r="S11" s="194">
        <f t="shared" ref="S11:S34" si="2">IF(E11="変更なし",D11,IF(E11="右記のとおり変更",(D11+SUM(F11:P11))/12,0))</f>
        <v>0</v>
      </c>
      <c r="T11" s="88"/>
      <c r="U11" s="88"/>
      <c r="V11" s="88"/>
      <c r="W11" s="88"/>
      <c r="X11" s="88"/>
      <c r="Y11" s="88"/>
      <c r="Z11" s="88"/>
      <c r="AA11" s="88"/>
      <c r="AB11" s="88"/>
      <c r="AC11" s="88"/>
      <c r="AD11" s="88"/>
      <c r="AE11" s="88"/>
      <c r="AF11" s="88"/>
    </row>
    <row r="12" spans="1:32" s="462" customFormat="1" ht="27.95" customHeight="1">
      <c r="A12" s="479"/>
      <c r="B12" s="519"/>
      <c r="C12" s="603" t="s">
        <v>300</v>
      </c>
      <c r="D12" s="116"/>
      <c r="E12" s="604"/>
      <c r="F12" s="116"/>
      <c r="G12" s="116"/>
      <c r="H12" s="116"/>
      <c r="I12" s="116"/>
      <c r="J12" s="116"/>
      <c r="K12" s="116"/>
      <c r="L12" s="116"/>
      <c r="M12" s="116"/>
      <c r="N12" s="116"/>
      <c r="O12" s="116"/>
      <c r="P12" s="116"/>
      <c r="Q12" s="119"/>
      <c r="R12" s="193">
        <f>IF(E12="変更なし",D12,IF(E12="右記のとおり変更",Q12,0))</f>
        <v>0</v>
      </c>
      <c r="S12" s="194">
        <f>IF(E12="変更なし",D12,IF(E12="右記のとおり変更",(D12+SUM(F12:P12))/12,0))</f>
        <v>0</v>
      </c>
      <c r="T12" s="88"/>
      <c r="U12" s="88"/>
      <c r="V12" s="88"/>
      <c r="W12" s="88"/>
      <c r="X12" s="88"/>
      <c r="Y12" s="88"/>
      <c r="Z12" s="88"/>
      <c r="AA12" s="88"/>
      <c r="AB12" s="88"/>
      <c r="AC12" s="88"/>
      <c r="AD12" s="88"/>
      <c r="AE12" s="88"/>
      <c r="AF12" s="88"/>
    </row>
    <row r="13" spans="1:32" s="462" customFormat="1" ht="27.95" customHeight="1">
      <c r="A13" s="479"/>
      <c r="B13" s="519"/>
      <c r="C13" s="603" t="s">
        <v>300</v>
      </c>
      <c r="D13" s="116"/>
      <c r="E13" s="604"/>
      <c r="F13" s="116"/>
      <c r="G13" s="116"/>
      <c r="H13" s="116"/>
      <c r="I13" s="116"/>
      <c r="J13" s="116"/>
      <c r="K13" s="116"/>
      <c r="L13" s="116"/>
      <c r="M13" s="116"/>
      <c r="N13" s="116"/>
      <c r="O13" s="116"/>
      <c r="P13" s="116"/>
      <c r="Q13" s="119"/>
      <c r="R13" s="193">
        <f t="shared" si="1"/>
        <v>0</v>
      </c>
      <c r="S13" s="194">
        <f t="shared" si="2"/>
        <v>0</v>
      </c>
      <c r="T13" s="88"/>
      <c r="U13" s="88"/>
      <c r="V13" s="88"/>
      <c r="W13" s="88"/>
      <c r="X13" s="88"/>
      <c r="Y13" s="88"/>
      <c r="Z13" s="88"/>
      <c r="AA13" s="88"/>
      <c r="AB13" s="88"/>
      <c r="AC13" s="88"/>
      <c r="AD13" s="88"/>
      <c r="AE13" s="88"/>
      <c r="AF13" s="88"/>
    </row>
    <row r="14" spans="1:32" s="462" customFormat="1" ht="27.95" customHeight="1">
      <c r="A14" s="479"/>
      <c r="B14" s="519"/>
      <c r="C14" s="603" t="s">
        <v>300</v>
      </c>
      <c r="D14" s="116"/>
      <c r="E14" s="604"/>
      <c r="F14" s="116"/>
      <c r="G14" s="116"/>
      <c r="H14" s="116"/>
      <c r="I14" s="116"/>
      <c r="J14" s="116"/>
      <c r="K14" s="116"/>
      <c r="L14" s="116"/>
      <c r="M14" s="116"/>
      <c r="N14" s="116"/>
      <c r="O14" s="116"/>
      <c r="P14" s="116"/>
      <c r="Q14" s="119"/>
      <c r="R14" s="193">
        <f>IF(E14="変更なし",D14,IF(E14="右記のとおり変更",Q14,0))</f>
        <v>0</v>
      </c>
      <c r="S14" s="194">
        <f>IF(E14="変更なし",D14,IF(E14="右記のとおり変更",(D14+SUM(F14:P14))/12,0))</f>
        <v>0</v>
      </c>
      <c r="T14" s="88"/>
      <c r="U14" s="88"/>
      <c r="V14" s="88"/>
      <c r="W14" s="88"/>
      <c r="X14" s="88"/>
      <c r="Y14" s="88"/>
      <c r="Z14" s="88"/>
      <c r="AA14" s="88"/>
      <c r="AB14" s="88"/>
      <c r="AC14" s="88"/>
      <c r="AD14" s="88"/>
      <c r="AE14" s="88"/>
      <c r="AF14" s="88"/>
    </row>
    <row r="15" spans="1:32" s="462" customFormat="1" ht="27.95" customHeight="1">
      <c r="A15" s="479"/>
      <c r="B15" s="519"/>
      <c r="C15" s="603" t="s">
        <v>300</v>
      </c>
      <c r="D15" s="116"/>
      <c r="E15" s="604"/>
      <c r="F15" s="116"/>
      <c r="G15" s="116"/>
      <c r="H15" s="116"/>
      <c r="I15" s="116"/>
      <c r="J15" s="116"/>
      <c r="K15" s="116"/>
      <c r="L15" s="116"/>
      <c r="M15" s="116"/>
      <c r="N15" s="116"/>
      <c r="O15" s="116"/>
      <c r="P15" s="116"/>
      <c r="Q15" s="119"/>
      <c r="R15" s="193">
        <f t="shared" si="1"/>
        <v>0</v>
      </c>
      <c r="S15" s="194">
        <f t="shared" si="2"/>
        <v>0</v>
      </c>
      <c r="T15" s="88"/>
      <c r="U15" s="88"/>
      <c r="V15" s="88"/>
      <c r="W15" s="88"/>
      <c r="X15" s="88"/>
      <c r="Y15" s="88"/>
      <c r="Z15" s="88"/>
      <c r="AA15" s="88"/>
      <c r="AB15" s="88"/>
      <c r="AC15" s="88"/>
      <c r="AD15" s="88"/>
      <c r="AE15" s="88"/>
      <c r="AF15" s="88"/>
    </row>
    <row r="16" spans="1:32" s="462" customFormat="1" ht="27.75" customHeight="1">
      <c r="A16" s="479"/>
      <c r="B16" s="519"/>
      <c r="C16" s="603" t="s">
        <v>300</v>
      </c>
      <c r="D16" s="116"/>
      <c r="E16" s="604"/>
      <c r="F16" s="116"/>
      <c r="G16" s="116"/>
      <c r="H16" s="116"/>
      <c r="I16" s="116"/>
      <c r="J16" s="116"/>
      <c r="K16" s="116"/>
      <c r="L16" s="116"/>
      <c r="M16" s="116"/>
      <c r="N16" s="116"/>
      <c r="O16" s="116"/>
      <c r="P16" s="116"/>
      <c r="Q16" s="119"/>
      <c r="R16" s="193">
        <f t="shared" si="1"/>
        <v>0</v>
      </c>
      <c r="S16" s="194">
        <f t="shared" si="2"/>
        <v>0</v>
      </c>
      <c r="T16" s="88"/>
      <c r="U16" s="88"/>
      <c r="V16" s="88"/>
      <c r="W16" s="88"/>
      <c r="X16" s="88"/>
      <c r="Y16" s="88"/>
      <c r="Z16" s="88"/>
      <c r="AA16" s="88"/>
      <c r="AB16" s="88"/>
      <c r="AC16" s="88"/>
      <c r="AD16" s="88"/>
      <c r="AE16" s="88"/>
      <c r="AF16" s="88"/>
    </row>
    <row r="17" spans="1:32" s="462" customFormat="1" ht="27.95" customHeight="1">
      <c r="A17" s="479"/>
      <c r="B17" s="519"/>
      <c r="C17" s="603" t="s">
        <v>300</v>
      </c>
      <c r="D17" s="116"/>
      <c r="E17" s="604"/>
      <c r="F17" s="116"/>
      <c r="G17" s="116"/>
      <c r="H17" s="116"/>
      <c r="I17" s="116"/>
      <c r="J17" s="116"/>
      <c r="K17" s="116"/>
      <c r="L17" s="116"/>
      <c r="M17" s="116"/>
      <c r="N17" s="116"/>
      <c r="O17" s="116"/>
      <c r="P17" s="116"/>
      <c r="Q17" s="119"/>
      <c r="R17" s="193">
        <f t="shared" si="1"/>
        <v>0</v>
      </c>
      <c r="S17" s="194">
        <f t="shared" si="2"/>
        <v>0</v>
      </c>
      <c r="T17" s="88"/>
      <c r="U17" s="88"/>
      <c r="V17" s="88"/>
      <c r="W17" s="88"/>
      <c r="X17" s="88"/>
      <c r="Y17" s="88"/>
      <c r="Z17" s="88"/>
      <c r="AA17" s="88"/>
      <c r="AB17" s="88"/>
      <c r="AC17" s="88"/>
      <c r="AD17" s="88"/>
      <c r="AE17" s="88"/>
      <c r="AF17" s="88"/>
    </row>
    <row r="18" spans="1:32" s="462" customFormat="1" ht="27.95" customHeight="1">
      <c r="A18" s="479"/>
      <c r="B18" s="519"/>
      <c r="C18" s="603" t="s">
        <v>300</v>
      </c>
      <c r="D18" s="116"/>
      <c r="E18" s="604"/>
      <c r="F18" s="116"/>
      <c r="G18" s="116"/>
      <c r="H18" s="116"/>
      <c r="I18" s="116"/>
      <c r="J18" s="116"/>
      <c r="K18" s="116"/>
      <c r="L18" s="116"/>
      <c r="M18" s="116"/>
      <c r="N18" s="116"/>
      <c r="O18" s="116"/>
      <c r="P18" s="116"/>
      <c r="Q18" s="119"/>
      <c r="R18" s="193">
        <f>IF(E18="変更なし",D18,IF(E18="右記のとおり変更",Q18,0))</f>
        <v>0</v>
      </c>
      <c r="S18" s="194">
        <f>IF(E18="変更なし",D18,IF(E18="右記のとおり変更",(D18+SUM(F18:P18))/12,0))</f>
        <v>0</v>
      </c>
      <c r="T18" s="88"/>
      <c r="U18" s="88"/>
      <c r="V18" s="88"/>
      <c r="W18" s="88"/>
      <c r="X18" s="88"/>
      <c r="Y18" s="88"/>
      <c r="Z18" s="88"/>
      <c r="AA18" s="88"/>
      <c r="AB18" s="88"/>
      <c r="AC18" s="88"/>
      <c r="AD18" s="88"/>
      <c r="AE18" s="88"/>
      <c r="AF18" s="88"/>
    </row>
    <row r="19" spans="1:32" s="462" customFormat="1" ht="27.95" customHeight="1">
      <c r="A19" s="479"/>
      <c r="B19" s="519"/>
      <c r="C19" s="603" t="s">
        <v>300</v>
      </c>
      <c r="D19" s="116"/>
      <c r="E19" s="604"/>
      <c r="F19" s="116"/>
      <c r="G19" s="116"/>
      <c r="H19" s="116"/>
      <c r="I19" s="116"/>
      <c r="J19" s="116"/>
      <c r="K19" s="116"/>
      <c r="L19" s="116"/>
      <c r="M19" s="116"/>
      <c r="N19" s="116"/>
      <c r="O19" s="116"/>
      <c r="P19" s="116"/>
      <c r="Q19" s="119"/>
      <c r="R19" s="193">
        <f>IF(E19="変更なし",D19,IF(E19="右記のとおり変更",Q19,0))</f>
        <v>0</v>
      </c>
      <c r="S19" s="194">
        <f>IF(E19="変更なし",D19,IF(E19="右記のとおり変更",(D19+SUM(F19:P19))/12,0))</f>
        <v>0</v>
      </c>
      <c r="T19" s="88"/>
      <c r="U19" s="88"/>
      <c r="V19" s="88"/>
      <c r="W19" s="88"/>
      <c r="X19" s="88"/>
      <c r="Y19" s="88"/>
      <c r="Z19" s="88"/>
      <c r="AA19" s="88"/>
      <c r="AB19" s="88"/>
      <c r="AC19" s="88"/>
      <c r="AD19" s="88"/>
      <c r="AE19" s="88"/>
      <c r="AF19" s="88"/>
    </row>
    <row r="20" spans="1:32" s="462" customFormat="1" ht="27.95" customHeight="1">
      <c r="A20" s="479"/>
      <c r="B20" s="519"/>
      <c r="C20" s="603" t="s">
        <v>300</v>
      </c>
      <c r="D20" s="116"/>
      <c r="E20" s="604"/>
      <c r="F20" s="116"/>
      <c r="G20" s="116"/>
      <c r="H20" s="116"/>
      <c r="I20" s="116"/>
      <c r="J20" s="116"/>
      <c r="K20" s="116"/>
      <c r="L20" s="116"/>
      <c r="M20" s="116"/>
      <c r="N20" s="116"/>
      <c r="O20" s="116"/>
      <c r="P20" s="116"/>
      <c r="Q20" s="119"/>
      <c r="R20" s="193">
        <f t="shared" si="1"/>
        <v>0</v>
      </c>
      <c r="S20" s="194">
        <f t="shared" si="2"/>
        <v>0</v>
      </c>
      <c r="T20" s="88"/>
      <c r="U20" s="88"/>
      <c r="V20" s="88"/>
      <c r="W20" s="88"/>
      <c r="X20" s="88"/>
      <c r="Y20" s="88"/>
      <c r="Z20" s="88"/>
      <c r="AA20" s="88"/>
      <c r="AB20" s="88"/>
      <c r="AC20" s="88"/>
      <c r="AD20" s="88"/>
      <c r="AE20" s="88"/>
      <c r="AF20" s="88"/>
    </row>
    <row r="21" spans="1:32" s="462" customFormat="1" ht="27.95" customHeight="1">
      <c r="A21" s="479"/>
      <c r="B21" s="519"/>
      <c r="C21" s="603" t="s">
        <v>300</v>
      </c>
      <c r="D21" s="116"/>
      <c r="E21" s="604"/>
      <c r="F21" s="116"/>
      <c r="G21" s="116"/>
      <c r="H21" s="116"/>
      <c r="I21" s="116"/>
      <c r="J21" s="116"/>
      <c r="K21" s="116"/>
      <c r="L21" s="116"/>
      <c r="M21" s="116"/>
      <c r="N21" s="116"/>
      <c r="O21" s="116"/>
      <c r="P21" s="116"/>
      <c r="Q21" s="119"/>
      <c r="R21" s="193">
        <f t="shared" si="1"/>
        <v>0</v>
      </c>
      <c r="S21" s="194">
        <f t="shared" si="2"/>
        <v>0</v>
      </c>
      <c r="T21" s="88"/>
      <c r="U21" s="88"/>
      <c r="V21" s="88"/>
      <c r="W21" s="88"/>
      <c r="X21" s="88"/>
      <c r="Y21" s="88"/>
      <c r="Z21" s="88"/>
      <c r="AA21" s="88"/>
      <c r="AB21" s="88"/>
      <c r="AC21" s="88"/>
      <c r="AD21" s="88"/>
      <c r="AE21" s="88"/>
      <c r="AF21" s="88"/>
    </row>
    <row r="22" spans="1:32" s="462" customFormat="1" ht="27.95" customHeight="1">
      <c r="A22" s="479"/>
      <c r="B22" s="519"/>
      <c r="C22" s="603" t="s">
        <v>300</v>
      </c>
      <c r="D22" s="116"/>
      <c r="E22" s="604"/>
      <c r="F22" s="116"/>
      <c r="G22" s="116"/>
      <c r="H22" s="116"/>
      <c r="I22" s="116"/>
      <c r="J22" s="116"/>
      <c r="K22" s="116"/>
      <c r="L22" s="116"/>
      <c r="M22" s="116"/>
      <c r="N22" s="116"/>
      <c r="O22" s="116"/>
      <c r="P22" s="116"/>
      <c r="Q22" s="119"/>
      <c r="R22" s="193">
        <f t="shared" si="1"/>
        <v>0</v>
      </c>
      <c r="S22" s="194">
        <f t="shared" si="2"/>
        <v>0</v>
      </c>
      <c r="T22" s="88"/>
      <c r="U22" s="88"/>
      <c r="V22" s="88"/>
      <c r="W22" s="88"/>
      <c r="X22" s="88"/>
      <c r="Y22" s="88"/>
      <c r="Z22" s="88"/>
      <c r="AA22" s="88"/>
      <c r="AB22" s="88"/>
      <c r="AC22" s="88"/>
      <c r="AD22" s="88"/>
      <c r="AE22" s="88"/>
      <c r="AF22" s="88"/>
    </row>
    <row r="23" spans="1:32" s="462" customFormat="1" ht="27.95" customHeight="1">
      <c r="A23" s="479"/>
      <c r="B23" s="519"/>
      <c r="C23" s="603" t="s">
        <v>300</v>
      </c>
      <c r="D23" s="116"/>
      <c r="E23" s="604"/>
      <c r="F23" s="116"/>
      <c r="G23" s="116"/>
      <c r="H23" s="116"/>
      <c r="I23" s="116"/>
      <c r="J23" s="116"/>
      <c r="K23" s="116"/>
      <c r="L23" s="116"/>
      <c r="M23" s="116"/>
      <c r="N23" s="116"/>
      <c r="O23" s="116"/>
      <c r="P23" s="116"/>
      <c r="Q23" s="119"/>
      <c r="R23" s="193">
        <f t="shared" si="1"/>
        <v>0</v>
      </c>
      <c r="S23" s="194">
        <f t="shared" si="2"/>
        <v>0</v>
      </c>
      <c r="T23" s="88"/>
      <c r="U23" s="88"/>
      <c r="V23" s="88"/>
      <c r="W23" s="88"/>
      <c r="X23" s="88"/>
      <c r="Y23" s="88"/>
      <c r="Z23" s="88"/>
      <c r="AA23" s="88"/>
      <c r="AB23" s="88"/>
      <c r="AC23" s="88"/>
      <c r="AD23" s="88"/>
      <c r="AE23" s="88"/>
      <c r="AF23" s="88"/>
    </row>
    <row r="24" spans="1:32" s="462" customFormat="1" ht="27.95" customHeight="1">
      <c r="A24" s="479"/>
      <c r="B24" s="519"/>
      <c r="C24" s="603" t="s">
        <v>300</v>
      </c>
      <c r="D24" s="116"/>
      <c r="E24" s="604"/>
      <c r="F24" s="116"/>
      <c r="G24" s="116"/>
      <c r="H24" s="116"/>
      <c r="I24" s="116"/>
      <c r="J24" s="116"/>
      <c r="K24" s="116"/>
      <c r="L24" s="116"/>
      <c r="M24" s="116"/>
      <c r="N24" s="116"/>
      <c r="O24" s="116"/>
      <c r="P24" s="116"/>
      <c r="Q24" s="119"/>
      <c r="R24" s="193">
        <f t="shared" si="1"/>
        <v>0</v>
      </c>
      <c r="S24" s="194">
        <f t="shared" si="2"/>
        <v>0</v>
      </c>
      <c r="T24" s="88"/>
      <c r="U24" s="88"/>
      <c r="V24" s="88"/>
      <c r="W24" s="88"/>
      <c r="X24" s="88"/>
      <c r="Y24" s="88"/>
      <c r="Z24" s="88"/>
      <c r="AA24" s="88"/>
      <c r="AB24" s="88"/>
      <c r="AC24" s="88"/>
      <c r="AD24" s="88"/>
      <c r="AE24" s="88"/>
      <c r="AF24" s="88"/>
    </row>
    <row r="25" spans="1:32" s="462" customFormat="1" ht="27.95" customHeight="1">
      <c r="A25" s="479"/>
      <c r="B25" s="519"/>
      <c r="C25" s="603" t="s">
        <v>300</v>
      </c>
      <c r="D25" s="116"/>
      <c r="E25" s="604"/>
      <c r="F25" s="116"/>
      <c r="G25" s="116"/>
      <c r="H25" s="116"/>
      <c r="I25" s="116"/>
      <c r="J25" s="116"/>
      <c r="K25" s="116"/>
      <c r="L25" s="116"/>
      <c r="M25" s="116"/>
      <c r="N25" s="116"/>
      <c r="O25" s="116"/>
      <c r="P25" s="116"/>
      <c r="Q25" s="119"/>
      <c r="R25" s="193">
        <f t="shared" si="1"/>
        <v>0</v>
      </c>
      <c r="S25" s="194">
        <f t="shared" si="2"/>
        <v>0</v>
      </c>
      <c r="T25" s="88"/>
      <c r="U25" s="88"/>
      <c r="V25" s="88"/>
      <c r="W25" s="88"/>
      <c r="X25" s="88"/>
      <c r="Y25" s="88"/>
      <c r="Z25" s="88"/>
      <c r="AA25" s="88"/>
      <c r="AB25" s="88"/>
      <c r="AC25" s="88"/>
      <c r="AD25" s="88"/>
      <c r="AE25" s="88"/>
      <c r="AF25" s="88"/>
    </row>
    <row r="26" spans="1:32" s="462" customFormat="1" ht="27.95" customHeight="1">
      <c r="A26" s="479"/>
      <c r="B26" s="519"/>
      <c r="C26" s="603" t="s">
        <v>300</v>
      </c>
      <c r="D26" s="116"/>
      <c r="E26" s="604"/>
      <c r="F26" s="116"/>
      <c r="G26" s="116"/>
      <c r="H26" s="116"/>
      <c r="I26" s="116"/>
      <c r="J26" s="116"/>
      <c r="K26" s="116"/>
      <c r="L26" s="116"/>
      <c r="M26" s="116"/>
      <c r="N26" s="116"/>
      <c r="O26" s="116"/>
      <c r="P26" s="116"/>
      <c r="Q26" s="119"/>
      <c r="R26" s="193">
        <f t="shared" si="1"/>
        <v>0</v>
      </c>
      <c r="S26" s="194">
        <f t="shared" si="2"/>
        <v>0</v>
      </c>
      <c r="T26" s="88"/>
      <c r="U26" s="88"/>
      <c r="V26" s="88"/>
      <c r="W26" s="88"/>
      <c r="X26" s="88"/>
      <c r="Y26" s="88"/>
      <c r="Z26" s="88"/>
      <c r="AA26" s="88"/>
      <c r="AB26" s="88"/>
      <c r="AC26" s="88"/>
      <c r="AD26" s="88"/>
      <c r="AE26" s="88"/>
      <c r="AF26" s="88"/>
    </row>
    <row r="27" spans="1:32" s="462" customFormat="1" ht="27.95" customHeight="1">
      <c r="A27" s="479"/>
      <c r="B27" s="519"/>
      <c r="C27" s="603" t="s">
        <v>300</v>
      </c>
      <c r="D27" s="116"/>
      <c r="E27" s="604"/>
      <c r="F27" s="116"/>
      <c r="G27" s="116"/>
      <c r="H27" s="116"/>
      <c r="I27" s="116"/>
      <c r="J27" s="116"/>
      <c r="K27" s="116"/>
      <c r="L27" s="116"/>
      <c r="M27" s="116"/>
      <c r="N27" s="116"/>
      <c r="O27" s="116"/>
      <c r="P27" s="116"/>
      <c r="Q27" s="119"/>
      <c r="R27" s="193">
        <f t="shared" si="1"/>
        <v>0</v>
      </c>
      <c r="S27" s="194">
        <f t="shared" si="2"/>
        <v>0</v>
      </c>
      <c r="T27" s="88"/>
      <c r="U27" s="88"/>
      <c r="V27" s="88"/>
      <c r="W27" s="88"/>
      <c r="X27" s="88"/>
      <c r="Y27" s="88"/>
      <c r="Z27" s="88"/>
      <c r="AA27" s="88"/>
      <c r="AB27" s="88"/>
      <c r="AC27" s="88"/>
      <c r="AD27" s="88"/>
      <c r="AE27" s="88"/>
      <c r="AF27" s="88"/>
    </row>
    <row r="28" spans="1:32" s="462" customFormat="1" ht="27.95" customHeight="1">
      <c r="A28" s="479"/>
      <c r="B28" s="519"/>
      <c r="C28" s="603" t="s">
        <v>300</v>
      </c>
      <c r="D28" s="116"/>
      <c r="E28" s="604"/>
      <c r="F28" s="116"/>
      <c r="G28" s="116"/>
      <c r="H28" s="116"/>
      <c r="I28" s="116"/>
      <c r="J28" s="116"/>
      <c r="K28" s="116"/>
      <c r="L28" s="116"/>
      <c r="M28" s="116"/>
      <c r="N28" s="116"/>
      <c r="O28" s="116"/>
      <c r="P28" s="116"/>
      <c r="Q28" s="119"/>
      <c r="R28" s="193">
        <f t="shared" si="1"/>
        <v>0</v>
      </c>
      <c r="S28" s="194">
        <f t="shared" si="2"/>
        <v>0</v>
      </c>
      <c r="T28" s="88"/>
      <c r="U28" s="88"/>
      <c r="V28" s="88"/>
      <c r="W28" s="88"/>
      <c r="X28" s="88"/>
      <c r="Y28" s="88"/>
      <c r="Z28" s="88"/>
      <c r="AA28" s="88"/>
      <c r="AB28" s="88"/>
      <c r="AC28" s="88"/>
      <c r="AD28" s="88"/>
      <c r="AE28" s="88"/>
      <c r="AF28" s="88"/>
    </row>
    <row r="29" spans="1:32" s="462" customFormat="1" ht="27.95" customHeight="1">
      <c r="A29" s="479"/>
      <c r="B29" s="519"/>
      <c r="C29" s="603" t="s">
        <v>300</v>
      </c>
      <c r="D29" s="116"/>
      <c r="E29" s="604"/>
      <c r="F29" s="116"/>
      <c r="G29" s="116"/>
      <c r="H29" s="116"/>
      <c r="I29" s="116"/>
      <c r="J29" s="116"/>
      <c r="K29" s="116"/>
      <c r="L29" s="116"/>
      <c r="M29" s="116"/>
      <c r="N29" s="116"/>
      <c r="O29" s="116"/>
      <c r="P29" s="116"/>
      <c r="Q29" s="119"/>
      <c r="R29" s="193">
        <f t="shared" si="1"/>
        <v>0</v>
      </c>
      <c r="S29" s="194">
        <f t="shared" si="2"/>
        <v>0</v>
      </c>
      <c r="T29" s="88"/>
      <c r="U29" s="88"/>
      <c r="V29" s="88"/>
      <c r="W29" s="88"/>
      <c r="X29" s="88"/>
      <c r="Y29" s="88"/>
      <c r="Z29" s="88"/>
      <c r="AA29" s="88"/>
      <c r="AB29" s="88"/>
      <c r="AC29" s="88"/>
      <c r="AD29" s="88"/>
      <c r="AE29" s="88"/>
      <c r="AF29" s="88"/>
    </row>
    <row r="30" spans="1:32" s="462" customFormat="1" ht="27.95" customHeight="1">
      <c r="A30" s="479"/>
      <c r="B30" s="519"/>
      <c r="C30" s="603" t="s">
        <v>300</v>
      </c>
      <c r="D30" s="116"/>
      <c r="E30" s="604"/>
      <c r="F30" s="116"/>
      <c r="G30" s="116"/>
      <c r="H30" s="116"/>
      <c r="I30" s="116"/>
      <c r="J30" s="116"/>
      <c r="K30" s="116"/>
      <c r="L30" s="116"/>
      <c r="M30" s="116"/>
      <c r="N30" s="116"/>
      <c r="O30" s="116"/>
      <c r="P30" s="116"/>
      <c r="Q30" s="119"/>
      <c r="R30" s="193">
        <f t="shared" si="1"/>
        <v>0</v>
      </c>
      <c r="S30" s="194">
        <f t="shared" si="2"/>
        <v>0</v>
      </c>
      <c r="T30" s="88"/>
      <c r="U30" s="88"/>
      <c r="V30" s="88"/>
      <c r="W30" s="88"/>
      <c r="X30" s="88"/>
      <c r="Y30" s="88"/>
      <c r="Z30" s="88"/>
      <c r="AA30" s="88"/>
      <c r="AB30" s="88"/>
      <c r="AC30" s="88"/>
      <c r="AD30" s="88"/>
      <c r="AE30" s="88"/>
      <c r="AF30" s="88"/>
    </row>
    <row r="31" spans="1:32" s="462" customFormat="1" ht="27.95" customHeight="1">
      <c r="A31" s="479"/>
      <c r="B31" s="519"/>
      <c r="C31" s="603" t="s">
        <v>300</v>
      </c>
      <c r="D31" s="116"/>
      <c r="E31" s="604"/>
      <c r="F31" s="116"/>
      <c r="G31" s="116"/>
      <c r="H31" s="116"/>
      <c r="I31" s="116"/>
      <c r="J31" s="116"/>
      <c r="K31" s="116"/>
      <c r="L31" s="116"/>
      <c r="M31" s="116"/>
      <c r="N31" s="116"/>
      <c r="O31" s="116"/>
      <c r="P31" s="116"/>
      <c r="Q31" s="119"/>
      <c r="R31" s="193">
        <f>IF(E31="変更なし",D31,IF(E31="右記のとおり変更",Q31,0))</f>
        <v>0</v>
      </c>
      <c r="S31" s="194">
        <f>IF(E31="変更なし",D31,IF(E31="右記のとおり変更",(D31+SUM(F31:P31))/12,0))</f>
        <v>0</v>
      </c>
      <c r="T31" s="88"/>
      <c r="U31" s="88"/>
      <c r="V31" s="88"/>
      <c r="W31" s="88"/>
      <c r="X31" s="88"/>
      <c r="Y31" s="88"/>
      <c r="Z31" s="88"/>
      <c r="AA31" s="88"/>
      <c r="AB31" s="88"/>
      <c r="AC31" s="88"/>
      <c r="AD31" s="88"/>
      <c r="AE31" s="88"/>
      <c r="AF31" s="88"/>
    </row>
    <row r="32" spans="1:32" s="462" customFormat="1" ht="27.95" customHeight="1">
      <c r="A32" s="479"/>
      <c r="B32" s="519"/>
      <c r="C32" s="603" t="s">
        <v>300</v>
      </c>
      <c r="D32" s="116"/>
      <c r="E32" s="604"/>
      <c r="F32" s="116"/>
      <c r="G32" s="116"/>
      <c r="H32" s="116"/>
      <c r="I32" s="116"/>
      <c r="J32" s="116"/>
      <c r="K32" s="116"/>
      <c r="L32" s="116"/>
      <c r="M32" s="116"/>
      <c r="N32" s="116"/>
      <c r="O32" s="116"/>
      <c r="P32" s="116"/>
      <c r="Q32" s="119"/>
      <c r="R32" s="193">
        <f>IF(E32="変更なし",D32,IF(E32="右記のとおり変更",Q32,0))</f>
        <v>0</v>
      </c>
      <c r="S32" s="194">
        <f>IF(E32="変更なし",D32,IF(E32="右記のとおり変更",(D32+SUM(F32:P32))/12,0))</f>
        <v>0</v>
      </c>
      <c r="T32" s="88"/>
      <c r="U32" s="88"/>
      <c r="V32" s="88"/>
      <c r="W32" s="88"/>
      <c r="X32" s="88"/>
      <c r="Y32" s="88"/>
      <c r="Z32" s="88"/>
      <c r="AA32" s="88"/>
      <c r="AB32" s="88"/>
      <c r="AC32" s="88"/>
      <c r="AD32" s="88"/>
      <c r="AE32" s="88"/>
      <c r="AF32" s="88"/>
    </row>
    <row r="33" spans="1:32" s="462" customFormat="1" ht="27.95" customHeight="1">
      <c r="A33" s="479"/>
      <c r="B33" s="519"/>
      <c r="C33" s="603" t="s">
        <v>300</v>
      </c>
      <c r="D33" s="116"/>
      <c r="E33" s="604"/>
      <c r="F33" s="116"/>
      <c r="G33" s="116"/>
      <c r="H33" s="116"/>
      <c r="I33" s="116"/>
      <c r="J33" s="116"/>
      <c r="K33" s="116"/>
      <c r="L33" s="116"/>
      <c r="M33" s="116"/>
      <c r="N33" s="116"/>
      <c r="O33" s="116"/>
      <c r="P33" s="116"/>
      <c r="Q33" s="119"/>
      <c r="R33" s="193">
        <f t="shared" si="1"/>
        <v>0</v>
      </c>
      <c r="S33" s="194">
        <f t="shared" si="2"/>
        <v>0</v>
      </c>
      <c r="T33" s="88"/>
      <c r="U33" s="88"/>
      <c r="V33" s="88"/>
      <c r="W33" s="88"/>
      <c r="X33" s="88"/>
      <c r="Y33" s="88"/>
      <c r="Z33" s="88"/>
      <c r="AA33" s="88"/>
      <c r="AB33" s="88"/>
      <c r="AC33" s="88"/>
      <c r="AD33" s="88"/>
      <c r="AE33" s="88"/>
      <c r="AF33" s="88"/>
    </row>
    <row r="34" spans="1:32" s="462" customFormat="1" ht="27.95" customHeight="1" thickBot="1">
      <c r="A34" s="480"/>
      <c r="B34" s="411"/>
      <c r="C34" s="605" t="s">
        <v>300</v>
      </c>
      <c r="D34" s="140"/>
      <c r="E34" s="606"/>
      <c r="F34" s="140"/>
      <c r="G34" s="140"/>
      <c r="H34" s="140"/>
      <c r="I34" s="140"/>
      <c r="J34" s="140"/>
      <c r="K34" s="140"/>
      <c r="L34" s="140"/>
      <c r="M34" s="140"/>
      <c r="N34" s="140"/>
      <c r="O34" s="140"/>
      <c r="P34" s="140"/>
      <c r="Q34" s="141"/>
      <c r="R34" s="195">
        <f t="shared" si="1"/>
        <v>0</v>
      </c>
      <c r="S34" s="196">
        <f t="shared" si="2"/>
        <v>0</v>
      </c>
      <c r="T34" s="88"/>
      <c r="U34" s="88"/>
      <c r="V34" s="88"/>
      <c r="W34" s="88"/>
      <c r="X34" s="88"/>
      <c r="Y34" s="88"/>
      <c r="Z34" s="88"/>
      <c r="AA34" s="88"/>
      <c r="AB34" s="88"/>
      <c r="AC34" s="88"/>
      <c r="AD34" s="88"/>
      <c r="AE34" s="88"/>
      <c r="AF34" s="88"/>
    </row>
    <row r="35" spans="1:32" ht="27.95" customHeight="1">
      <c r="A35" s="124" t="str">
        <f>IF(COUNTIFS(B:B,"その他")&gt;0, "把握方法に「その他」がありますので書類名等を参考欄↓に入力してください。","")</f>
        <v/>
      </c>
      <c r="B35" s="3"/>
      <c r="C35" s="3"/>
      <c r="D35" s="3"/>
      <c r="E35" s="3"/>
      <c r="F35" s="3"/>
      <c r="G35" s="3"/>
      <c r="H35" s="3"/>
      <c r="I35" s="3"/>
      <c r="J35" s="3"/>
      <c r="K35" s="3"/>
      <c r="L35" s="3"/>
      <c r="M35" s="3"/>
      <c r="N35" s="3"/>
      <c r="O35" s="3"/>
      <c r="P35" s="3"/>
      <c r="Q35" s="3"/>
      <c r="R35" s="3"/>
      <c r="S35" s="125" t="s">
        <v>291</v>
      </c>
    </row>
    <row r="36" spans="1:32" ht="27.95" customHeight="1" thickBot="1">
      <c r="A36" s="3" t="s">
        <v>292</v>
      </c>
      <c r="B36" s="3"/>
      <c r="C36" s="3"/>
      <c r="D36" s="3"/>
      <c r="E36" s="3"/>
      <c r="F36" s="3"/>
      <c r="G36" s="3"/>
      <c r="H36" s="3"/>
      <c r="I36" s="3"/>
      <c r="J36" s="3"/>
      <c r="K36" s="3"/>
      <c r="L36" s="3"/>
      <c r="M36" s="3"/>
      <c r="N36" s="3"/>
      <c r="O36" s="3"/>
      <c r="P36" s="3"/>
      <c r="Q36" s="3"/>
      <c r="R36" s="3"/>
      <c r="S36" s="3"/>
    </row>
    <row r="37" spans="1:32" ht="24.95" customHeight="1">
      <c r="A37" s="773"/>
      <c r="B37" s="774"/>
      <c r="C37" s="774"/>
      <c r="D37" s="774"/>
      <c r="E37" s="774"/>
      <c r="F37" s="774"/>
      <c r="G37" s="774"/>
      <c r="H37" s="774"/>
      <c r="I37" s="774"/>
      <c r="J37" s="774"/>
      <c r="K37" s="774"/>
      <c r="L37" s="774"/>
      <c r="M37" s="774"/>
      <c r="N37" s="774"/>
      <c r="O37" s="774"/>
      <c r="P37" s="774"/>
      <c r="Q37" s="774"/>
      <c r="R37" s="774"/>
      <c r="S37" s="775"/>
    </row>
    <row r="38" spans="1:32" ht="24.95" customHeight="1">
      <c r="A38" s="776"/>
      <c r="B38" s="777"/>
      <c r="C38" s="777"/>
      <c r="D38" s="777"/>
      <c r="E38" s="777"/>
      <c r="F38" s="777"/>
      <c r="G38" s="777"/>
      <c r="H38" s="777"/>
      <c r="I38" s="777"/>
      <c r="J38" s="777"/>
      <c r="K38" s="777"/>
      <c r="L38" s="777"/>
      <c r="M38" s="777"/>
      <c r="N38" s="777"/>
      <c r="O38" s="777"/>
      <c r="P38" s="777"/>
      <c r="Q38" s="777"/>
      <c r="R38" s="777"/>
      <c r="S38" s="778"/>
    </row>
    <row r="39" spans="1:32" ht="24.95" customHeight="1" thickBot="1">
      <c r="A39" s="779"/>
      <c r="B39" s="780"/>
      <c r="C39" s="780"/>
      <c r="D39" s="780"/>
      <c r="E39" s="780"/>
      <c r="F39" s="780"/>
      <c r="G39" s="780"/>
      <c r="H39" s="780"/>
      <c r="I39" s="780"/>
      <c r="J39" s="780"/>
      <c r="K39" s="780"/>
      <c r="L39" s="780"/>
      <c r="M39" s="780"/>
      <c r="N39" s="780"/>
      <c r="O39" s="780"/>
      <c r="P39" s="780"/>
      <c r="Q39" s="780"/>
      <c r="R39" s="780"/>
      <c r="S39" s="781"/>
    </row>
    <row r="40" spans="1:32" ht="9.75" customHeight="1">
      <c r="A40" s="3"/>
      <c r="B40" s="3"/>
      <c r="C40" s="3"/>
      <c r="D40" s="3"/>
      <c r="E40" s="3"/>
      <c r="F40" s="3"/>
      <c r="G40" s="3"/>
      <c r="H40" s="3"/>
      <c r="I40" s="3"/>
      <c r="J40" s="3"/>
      <c r="K40" s="3"/>
      <c r="L40" s="3"/>
      <c r="M40" s="3"/>
      <c r="N40" s="3"/>
      <c r="O40" s="3"/>
      <c r="P40" s="3"/>
      <c r="Q40" s="3"/>
      <c r="R40" s="3"/>
      <c r="S40" s="3"/>
    </row>
    <row r="41" spans="1:32" ht="27.75" customHeight="1">
      <c r="A41" s="3" t="s">
        <v>390</v>
      </c>
      <c r="B41" s="3"/>
      <c r="C41" s="3"/>
      <c r="D41" s="3"/>
      <c r="E41" s="3"/>
      <c r="F41" s="3"/>
      <c r="G41" s="3"/>
      <c r="H41" s="3"/>
      <c r="I41" s="3"/>
      <c r="J41" s="3"/>
      <c r="K41" s="3"/>
      <c r="L41" s="3"/>
      <c r="M41" s="3"/>
      <c r="N41" s="3"/>
      <c r="O41" s="3"/>
      <c r="P41" s="743" t="s">
        <v>0</v>
      </c>
      <c r="Q41" s="744"/>
      <c r="R41" s="745" t="str">
        <f>IF(事業所概要_算定体制!$D$13="","",事業所概要_算定体制!$D$13)</f>
        <v/>
      </c>
      <c r="S41" s="746"/>
    </row>
    <row r="42" spans="1:32">
      <c r="A42" s="3"/>
      <c r="B42" s="3"/>
      <c r="C42" s="3"/>
      <c r="D42" s="3"/>
      <c r="E42" s="3"/>
      <c r="F42" s="3"/>
      <c r="G42" s="3"/>
      <c r="H42" s="3"/>
      <c r="I42" s="3"/>
      <c r="J42" s="3"/>
      <c r="K42" s="3"/>
      <c r="L42" s="3"/>
      <c r="M42" s="3"/>
      <c r="N42" s="3"/>
      <c r="O42" s="3"/>
      <c r="P42" s="3"/>
      <c r="Q42" s="3"/>
      <c r="R42" s="747" t="str">
        <f>CONCATENATE(事業所概要_算定体制!$B$3,事業所概要_算定体制!$C$3,"年度")</f>
        <v>令和７年度</v>
      </c>
      <c r="S42" s="747"/>
    </row>
    <row r="43" spans="1:32" ht="18.75" thickBot="1">
      <c r="A43" s="3" t="s">
        <v>389</v>
      </c>
      <c r="B43" s="3"/>
      <c r="C43" s="3"/>
      <c r="D43" s="3"/>
      <c r="E43" s="3"/>
      <c r="F43" s="3"/>
      <c r="G43" s="3"/>
      <c r="H43" s="3"/>
      <c r="I43" s="3"/>
      <c r="J43" s="3"/>
      <c r="K43" s="3"/>
      <c r="L43" s="3"/>
      <c r="M43" s="3"/>
      <c r="N43" s="3"/>
      <c r="O43" s="3"/>
      <c r="P43" s="3"/>
      <c r="Q43" s="3"/>
      <c r="R43" s="3"/>
      <c r="S43" s="3"/>
    </row>
    <row r="44" spans="1:32" ht="19.5" customHeight="1">
      <c r="A44" s="764" t="s">
        <v>286</v>
      </c>
      <c r="B44" s="766" t="s">
        <v>69</v>
      </c>
      <c r="C44" s="766" t="s">
        <v>70</v>
      </c>
      <c r="D44" s="768" t="s">
        <v>287</v>
      </c>
      <c r="E44" s="770" t="s">
        <v>288</v>
      </c>
      <c r="F44" s="758" t="s">
        <v>993</v>
      </c>
      <c r="G44" s="758"/>
      <c r="H44" s="758"/>
      <c r="I44" s="758"/>
      <c r="J44" s="758"/>
      <c r="K44" s="758"/>
      <c r="L44" s="758"/>
      <c r="M44" s="758"/>
      <c r="N44" s="758"/>
      <c r="O44" s="758"/>
      <c r="P44" s="758"/>
      <c r="Q44" s="759"/>
      <c r="R44" s="760" t="s">
        <v>289</v>
      </c>
      <c r="S44" s="762" t="s">
        <v>302</v>
      </c>
    </row>
    <row r="45" spans="1:32" ht="18.75" thickBot="1">
      <c r="A45" s="765"/>
      <c r="B45" s="767"/>
      <c r="C45" s="767"/>
      <c r="D45" s="769"/>
      <c r="E45" s="771"/>
      <c r="F45" s="623" t="s">
        <v>987</v>
      </c>
      <c r="G45" s="623" t="s">
        <v>988</v>
      </c>
      <c r="H45" s="623" t="s">
        <v>989</v>
      </c>
      <c r="I45" s="623" t="s">
        <v>990</v>
      </c>
      <c r="J45" s="623" t="s">
        <v>991</v>
      </c>
      <c r="K45" s="623" t="s">
        <v>992</v>
      </c>
      <c r="L45" s="623" t="s">
        <v>994</v>
      </c>
      <c r="M45" s="623" t="s">
        <v>995</v>
      </c>
      <c r="N45" s="623" t="s">
        <v>996</v>
      </c>
      <c r="O45" s="623" t="s">
        <v>997</v>
      </c>
      <c r="P45" s="623" t="s">
        <v>998</v>
      </c>
      <c r="Q45" s="33" t="s">
        <v>999</v>
      </c>
      <c r="R45" s="761"/>
      <c r="S45" s="763"/>
    </row>
    <row r="46" spans="1:32" ht="24">
      <c r="A46" s="479"/>
      <c r="B46" s="519"/>
      <c r="C46" s="603" t="s">
        <v>300</v>
      </c>
      <c r="D46" s="116"/>
      <c r="E46" s="604"/>
      <c r="F46" s="117"/>
      <c r="G46" s="117"/>
      <c r="H46" s="117"/>
      <c r="I46" s="117"/>
      <c r="J46" s="117"/>
      <c r="K46" s="117"/>
      <c r="L46" s="117"/>
      <c r="M46" s="117"/>
      <c r="N46" s="117"/>
      <c r="O46" s="117"/>
      <c r="P46" s="117"/>
      <c r="Q46" s="118"/>
      <c r="R46" s="191">
        <f t="shared" ref="R46:R55" si="3">IF(E46="変更なし",D46,IF(E46="右記のとおり変更",Q46,0))</f>
        <v>0</v>
      </c>
      <c r="S46" s="192">
        <f t="shared" ref="S46:S55" si="4">IF(E46="変更なし",D46,IF(E46="右記のとおり変更",(D46+SUM(F46:P46))/12,0))</f>
        <v>0</v>
      </c>
    </row>
    <row r="47" spans="1:32" ht="24">
      <c r="A47" s="479"/>
      <c r="B47" s="519"/>
      <c r="C47" s="603" t="s">
        <v>300</v>
      </c>
      <c r="D47" s="116"/>
      <c r="E47" s="604"/>
      <c r="F47" s="116"/>
      <c r="G47" s="116"/>
      <c r="H47" s="116"/>
      <c r="I47" s="116"/>
      <c r="J47" s="116"/>
      <c r="K47" s="116"/>
      <c r="L47" s="116"/>
      <c r="M47" s="116"/>
      <c r="N47" s="116"/>
      <c r="O47" s="116"/>
      <c r="P47" s="116"/>
      <c r="Q47" s="119"/>
      <c r="R47" s="193">
        <f t="shared" si="3"/>
        <v>0</v>
      </c>
      <c r="S47" s="194">
        <f t="shared" si="4"/>
        <v>0</v>
      </c>
    </row>
    <row r="48" spans="1:32" ht="24">
      <c r="A48" s="479"/>
      <c r="B48" s="519"/>
      <c r="C48" s="603" t="s">
        <v>300</v>
      </c>
      <c r="D48" s="116"/>
      <c r="E48" s="604"/>
      <c r="F48" s="116"/>
      <c r="G48" s="116"/>
      <c r="H48" s="116"/>
      <c r="I48" s="116"/>
      <c r="J48" s="116"/>
      <c r="K48" s="116"/>
      <c r="L48" s="116"/>
      <c r="M48" s="116"/>
      <c r="N48" s="116"/>
      <c r="O48" s="116"/>
      <c r="P48" s="116"/>
      <c r="Q48" s="119"/>
      <c r="R48" s="193">
        <f t="shared" si="3"/>
        <v>0</v>
      </c>
      <c r="S48" s="194">
        <f t="shared" si="4"/>
        <v>0</v>
      </c>
    </row>
    <row r="49" spans="1:19" ht="24">
      <c r="A49" s="479"/>
      <c r="B49" s="519"/>
      <c r="C49" s="603" t="s">
        <v>300</v>
      </c>
      <c r="D49" s="116"/>
      <c r="E49" s="604"/>
      <c r="F49" s="116"/>
      <c r="G49" s="116"/>
      <c r="H49" s="116"/>
      <c r="I49" s="116"/>
      <c r="J49" s="116"/>
      <c r="K49" s="116"/>
      <c r="L49" s="116"/>
      <c r="M49" s="116"/>
      <c r="N49" s="116"/>
      <c r="O49" s="116"/>
      <c r="P49" s="116"/>
      <c r="Q49" s="119"/>
      <c r="R49" s="193">
        <f t="shared" si="3"/>
        <v>0</v>
      </c>
      <c r="S49" s="194">
        <f t="shared" si="4"/>
        <v>0</v>
      </c>
    </row>
    <row r="50" spans="1:19" ht="24">
      <c r="A50" s="479"/>
      <c r="B50" s="519"/>
      <c r="C50" s="603" t="s">
        <v>300</v>
      </c>
      <c r="D50" s="116"/>
      <c r="E50" s="604"/>
      <c r="F50" s="116"/>
      <c r="G50" s="116"/>
      <c r="H50" s="116"/>
      <c r="I50" s="116"/>
      <c r="J50" s="116"/>
      <c r="K50" s="116"/>
      <c r="L50" s="116"/>
      <c r="M50" s="116"/>
      <c r="N50" s="116"/>
      <c r="O50" s="116"/>
      <c r="P50" s="116"/>
      <c r="Q50" s="119"/>
      <c r="R50" s="193">
        <f t="shared" si="3"/>
        <v>0</v>
      </c>
      <c r="S50" s="194">
        <f t="shared" si="4"/>
        <v>0</v>
      </c>
    </row>
    <row r="51" spans="1:19" ht="24">
      <c r="A51" s="479"/>
      <c r="B51" s="519"/>
      <c r="C51" s="603" t="s">
        <v>300</v>
      </c>
      <c r="D51" s="116"/>
      <c r="E51" s="604"/>
      <c r="F51" s="116"/>
      <c r="G51" s="116"/>
      <c r="H51" s="116"/>
      <c r="I51" s="116"/>
      <c r="J51" s="116"/>
      <c r="K51" s="116"/>
      <c r="L51" s="116"/>
      <c r="M51" s="116"/>
      <c r="N51" s="116"/>
      <c r="O51" s="116"/>
      <c r="P51" s="116"/>
      <c r="Q51" s="119"/>
      <c r="R51" s="193">
        <f t="shared" si="3"/>
        <v>0</v>
      </c>
      <c r="S51" s="194">
        <f t="shared" si="4"/>
        <v>0</v>
      </c>
    </row>
    <row r="52" spans="1:19" ht="24">
      <c r="A52" s="479"/>
      <c r="B52" s="519"/>
      <c r="C52" s="603" t="s">
        <v>300</v>
      </c>
      <c r="D52" s="116"/>
      <c r="E52" s="604"/>
      <c r="F52" s="116"/>
      <c r="G52" s="116"/>
      <c r="H52" s="116"/>
      <c r="I52" s="116"/>
      <c r="J52" s="116"/>
      <c r="K52" s="116"/>
      <c r="L52" s="116"/>
      <c r="M52" s="116"/>
      <c r="N52" s="116"/>
      <c r="O52" s="116"/>
      <c r="P52" s="116"/>
      <c r="Q52" s="119"/>
      <c r="R52" s="193">
        <f t="shared" si="3"/>
        <v>0</v>
      </c>
      <c r="S52" s="194">
        <f t="shared" si="4"/>
        <v>0</v>
      </c>
    </row>
    <row r="53" spans="1:19" ht="24">
      <c r="A53" s="479"/>
      <c r="B53" s="519"/>
      <c r="C53" s="603" t="s">
        <v>300</v>
      </c>
      <c r="D53" s="116"/>
      <c r="E53" s="604"/>
      <c r="F53" s="116"/>
      <c r="G53" s="116"/>
      <c r="H53" s="116"/>
      <c r="I53" s="116"/>
      <c r="J53" s="116"/>
      <c r="K53" s="116"/>
      <c r="L53" s="116"/>
      <c r="M53" s="116"/>
      <c r="N53" s="116"/>
      <c r="O53" s="116"/>
      <c r="P53" s="116"/>
      <c r="Q53" s="119"/>
      <c r="R53" s="193">
        <f t="shared" si="3"/>
        <v>0</v>
      </c>
      <c r="S53" s="194">
        <f t="shared" si="4"/>
        <v>0</v>
      </c>
    </row>
    <row r="54" spans="1:19" ht="24">
      <c r="A54" s="479"/>
      <c r="B54" s="519"/>
      <c r="C54" s="603" t="s">
        <v>300</v>
      </c>
      <c r="D54" s="116"/>
      <c r="E54" s="604"/>
      <c r="F54" s="116"/>
      <c r="G54" s="116"/>
      <c r="H54" s="116"/>
      <c r="I54" s="116"/>
      <c r="J54" s="116"/>
      <c r="K54" s="116"/>
      <c r="L54" s="116"/>
      <c r="M54" s="116"/>
      <c r="N54" s="116"/>
      <c r="O54" s="116"/>
      <c r="P54" s="116"/>
      <c r="Q54" s="119"/>
      <c r="R54" s="193">
        <f t="shared" si="3"/>
        <v>0</v>
      </c>
      <c r="S54" s="194">
        <f t="shared" si="4"/>
        <v>0</v>
      </c>
    </row>
    <row r="55" spans="1:19" ht="24">
      <c r="A55" s="479"/>
      <c r="B55" s="519"/>
      <c r="C55" s="603" t="s">
        <v>300</v>
      </c>
      <c r="D55" s="116"/>
      <c r="E55" s="604"/>
      <c r="F55" s="116"/>
      <c r="G55" s="116"/>
      <c r="H55" s="116"/>
      <c r="I55" s="116"/>
      <c r="J55" s="116"/>
      <c r="K55" s="116"/>
      <c r="L55" s="116"/>
      <c r="M55" s="116"/>
      <c r="N55" s="116"/>
      <c r="O55" s="116"/>
      <c r="P55" s="116"/>
      <c r="Q55" s="119"/>
      <c r="R55" s="193">
        <f t="shared" si="3"/>
        <v>0</v>
      </c>
      <c r="S55" s="194">
        <f t="shared" si="4"/>
        <v>0</v>
      </c>
    </row>
    <row r="56" spans="1:19" ht="24">
      <c r="A56" s="479"/>
      <c r="B56" s="519"/>
      <c r="C56" s="603" t="s">
        <v>300</v>
      </c>
      <c r="D56" s="116"/>
      <c r="E56" s="604"/>
      <c r="F56" s="116"/>
      <c r="G56" s="116"/>
      <c r="H56" s="116"/>
      <c r="I56" s="116"/>
      <c r="J56" s="116"/>
      <c r="K56" s="116"/>
      <c r="L56" s="116"/>
      <c r="M56" s="116"/>
      <c r="N56" s="116"/>
      <c r="O56" s="116"/>
      <c r="P56" s="116"/>
      <c r="Q56" s="119"/>
      <c r="R56" s="193">
        <f t="shared" ref="R56:R66" si="5">IF(E56="変更なし",D56,IF(E56="右記のとおり変更",Q56,0))</f>
        <v>0</v>
      </c>
      <c r="S56" s="194">
        <f t="shared" ref="S56:S66" si="6">IF(E56="変更なし",D56,IF(E56="右記のとおり変更",(D56+SUM(F56:P56))/12,0))</f>
        <v>0</v>
      </c>
    </row>
    <row r="57" spans="1:19" ht="24">
      <c r="A57" s="479"/>
      <c r="B57" s="519"/>
      <c r="C57" s="603" t="s">
        <v>300</v>
      </c>
      <c r="D57" s="116"/>
      <c r="E57" s="604"/>
      <c r="F57" s="116"/>
      <c r="G57" s="116"/>
      <c r="H57" s="116"/>
      <c r="I57" s="116"/>
      <c r="J57" s="116"/>
      <c r="K57" s="116"/>
      <c r="L57" s="116"/>
      <c r="M57" s="116"/>
      <c r="N57" s="116"/>
      <c r="O57" s="116"/>
      <c r="P57" s="116"/>
      <c r="Q57" s="119"/>
      <c r="R57" s="193">
        <f t="shared" si="5"/>
        <v>0</v>
      </c>
      <c r="S57" s="194">
        <f t="shared" si="6"/>
        <v>0</v>
      </c>
    </row>
    <row r="58" spans="1:19" ht="24">
      <c r="A58" s="479"/>
      <c r="B58" s="519"/>
      <c r="C58" s="603" t="s">
        <v>300</v>
      </c>
      <c r="D58" s="116"/>
      <c r="E58" s="604"/>
      <c r="F58" s="116"/>
      <c r="G58" s="116"/>
      <c r="H58" s="116"/>
      <c r="I58" s="116"/>
      <c r="J58" s="116"/>
      <c r="K58" s="116"/>
      <c r="L58" s="116"/>
      <c r="M58" s="116"/>
      <c r="N58" s="116"/>
      <c r="O58" s="116"/>
      <c r="P58" s="116"/>
      <c r="Q58" s="119"/>
      <c r="R58" s="193">
        <f t="shared" si="5"/>
        <v>0</v>
      </c>
      <c r="S58" s="194">
        <f t="shared" si="6"/>
        <v>0</v>
      </c>
    </row>
    <row r="59" spans="1:19" ht="24">
      <c r="A59" s="479"/>
      <c r="B59" s="519"/>
      <c r="C59" s="603" t="s">
        <v>300</v>
      </c>
      <c r="D59" s="116"/>
      <c r="E59" s="604"/>
      <c r="F59" s="116"/>
      <c r="G59" s="116"/>
      <c r="H59" s="116"/>
      <c r="I59" s="116"/>
      <c r="J59" s="116"/>
      <c r="K59" s="116"/>
      <c r="L59" s="116"/>
      <c r="M59" s="116"/>
      <c r="N59" s="116"/>
      <c r="O59" s="116"/>
      <c r="P59" s="116"/>
      <c r="Q59" s="119"/>
      <c r="R59" s="193">
        <f t="shared" si="5"/>
        <v>0</v>
      </c>
      <c r="S59" s="194">
        <f t="shared" si="6"/>
        <v>0</v>
      </c>
    </row>
    <row r="60" spans="1:19" ht="24">
      <c r="A60" s="479"/>
      <c r="B60" s="519"/>
      <c r="C60" s="603" t="s">
        <v>300</v>
      </c>
      <c r="D60" s="116"/>
      <c r="E60" s="604"/>
      <c r="F60" s="116"/>
      <c r="G60" s="116"/>
      <c r="H60" s="116"/>
      <c r="I60" s="116"/>
      <c r="J60" s="116"/>
      <c r="K60" s="116"/>
      <c r="L60" s="116"/>
      <c r="M60" s="116"/>
      <c r="N60" s="116"/>
      <c r="O60" s="116"/>
      <c r="P60" s="116"/>
      <c r="Q60" s="119"/>
      <c r="R60" s="193">
        <f t="shared" si="5"/>
        <v>0</v>
      </c>
      <c r="S60" s="194">
        <f t="shared" si="6"/>
        <v>0</v>
      </c>
    </row>
    <row r="61" spans="1:19" ht="24">
      <c r="A61" s="479"/>
      <c r="B61" s="519"/>
      <c r="C61" s="603" t="s">
        <v>300</v>
      </c>
      <c r="D61" s="116"/>
      <c r="E61" s="604"/>
      <c r="F61" s="116"/>
      <c r="G61" s="116"/>
      <c r="H61" s="116"/>
      <c r="I61" s="116"/>
      <c r="J61" s="116"/>
      <c r="K61" s="116"/>
      <c r="L61" s="116"/>
      <c r="M61" s="116"/>
      <c r="N61" s="116"/>
      <c r="O61" s="116"/>
      <c r="P61" s="116"/>
      <c r="Q61" s="119"/>
      <c r="R61" s="193">
        <f t="shared" si="5"/>
        <v>0</v>
      </c>
      <c r="S61" s="194">
        <f t="shared" si="6"/>
        <v>0</v>
      </c>
    </row>
    <row r="62" spans="1:19" ht="24">
      <c r="A62" s="479"/>
      <c r="B62" s="519"/>
      <c r="C62" s="603" t="s">
        <v>300</v>
      </c>
      <c r="D62" s="116"/>
      <c r="E62" s="604"/>
      <c r="F62" s="116"/>
      <c r="G62" s="116"/>
      <c r="H62" s="116"/>
      <c r="I62" s="116"/>
      <c r="J62" s="116"/>
      <c r="K62" s="116"/>
      <c r="L62" s="116"/>
      <c r="M62" s="116"/>
      <c r="N62" s="116"/>
      <c r="O62" s="116"/>
      <c r="P62" s="116"/>
      <c r="Q62" s="119"/>
      <c r="R62" s="193">
        <f t="shared" si="5"/>
        <v>0</v>
      </c>
      <c r="S62" s="194">
        <f t="shared" si="6"/>
        <v>0</v>
      </c>
    </row>
    <row r="63" spans="1:19" ht="24">
      <c r="A63" s="479"/>
      <c r="B63" s="519"/>
      <c r="C63" s="603" t="s">
        <v>300</v>
      </c>
      <c r="D63" s="116"/>
      <c r="E63" s="604"/>
      <c r="F63" s="116"/>
      <c r="G63" s="116"/>
      <c r="H63" s="116"/>
      <c r="I63" s="116"/>
      <c r="J63" s="116"/>
      <c r="K63" s="116"/>
      <c r="L63" s="116"/>
      <c r="M63" s="116"/>
      <c r="N63" s="116"/>
      <c r="O63" s="116"/>
      <c r="P63" s="116"/>
      <c r="Q63" s="119"/>
      <c r="R63" s="193">
        <f t="shared" si="5"/>
        <v>0</v>
      </c>
      <c r="S63" s="194">
        <f t="shared" si="6"/>
        <v>0</v>
      </c>
    </row>
    <row r="64" spans="1:19" ht="24">
      <c r="A64" s="479"/>
      <c r="B64" s="519"/>
      <c r="C64" s="603" t="s">
        <v>300</v>
      </c>
      <c r="D64" s="116"/>
      <c r="E64" s="604"/>
      <c r="F64" s="116"/>
      <c r="G64" s="116"/>
      <c r="H64" s="116"/>
      <c r="I64" s="116"/>
      <c r="J64" s="116"/>
      <c r="K64" s="116"/>
      <c r="L64" s="116"/>
      <c r="M64" s="116"/>
      <c r="N64" s="116"/>
      <c r="O64" s="116"/>
      <c r="P64" s="116"/>
      <c r="Q64" s="119"/>
      <c r="R64" s="193">
        <f t="shared" si="5"/>
        <v>0</v>
      </c>
      <c r="S64" s="194">
        <f t="shared" si="6"/>
        <v>0</v>
      </c>
    </row>
    <row r="65" spans="1:19" ht="24">
      <c r="A65" s="479"/>
      <c r="B65" s="519"/>
      <c r="C65" s="603" t="s">
        <v>300</v>
      </c>
      <c r="D65" s="116"/>
      <c r="E65" s="604"/>
      <c r="F65" s="116"/>
      <c r="G65" s="116"/>
      <c r="H65" s="116"/>
      <c r="I65" s="116"/>
      <c r="J65" s="116"/>
      <c r="K65" s="116"/>
      <c r="L65" s="116"/>
      <c r="M65" s="116"/>
      <c r="N65" s="116"/>
      <c r="O65" s="116"/>
      <c r="P65" s="116"/>
      <c r="Q65" s="119"/>
      <c r="R65" s="193">
        <f t="shared" si="5"/>
        <v>0</v>
      </c>
      <c r="S65" s="194">
        <f t="shared" si="6"/>
        <v>0</v>
      </c>
    </row>
    <row r="66" spans="1:19" ht="24">
      <c r="A66" s="479"/>
      <c r="B66" s="519"/>
      <c r="C66" s="603" t="s">
        <v>300</v>
      </c>
      <c r="D66" s="116"/>
      <c r="E66" s="604"/>
      <c r="F66" s="116"/>
      <c r="G66" s="116"/>
      <c r="H66" s="116"/>
      <c r="I66" s="116"/>
      <c r="J66" s="116"/>
      <c r="K66" s="116"/>
      <c r="L66" s="116"/>
      <c r="M66" s="116"/>
      <c r="N66" s="116"/>
      <c r="O66" s="116"/>
      <c r="P66" s="116"/>
      <c r="Q66" s="119"/>
      <c r="R66" s="193">
        <f t="shared" si="5"/>
        <v>0</v>
      </c>
      <c r="S66" s="194">
        <f t="shared" si="6"/>
        <v>0</v>
      </c>
    </row>
    <row r="67" spans="1:19" ht="24">
      <c r="A67" s="479"/>
      <c r="B67" s="519"/>
      <c r="C67" s="603" t="s">
        <v>300</v>
      </c>
      <c r="D67" s="116"/>
      <c r="E67" s="604"/>
      <c r="F67" s="116"/>
      <c r="G67" s="116"/>
      <c r="H67" s="116"/>
      <c r="I67" s="116"/>
      <c r="J67" s="116"/>
      <c r="K67" s="116"/>
      <c r="L67" s="116"/>
      <c r="M67" s="116"/>
      <c r="N67" s="116"/>
      <c r="O67" s="116"/>
      <c r="P67" s="116"/>
      <c r="Q67" s="119"/>
      <c r="R67" s="193">
        <f>IF(E67="変更なし",D67,IF(E67="右記のとおり変更",Q67,0))</f>
        <v>0</v>
      </c>
      <c r="S67" s="194">
        <f>IF(E67="変更なし",D67,IF(E67="右記のとおり変更",(D67+SUM(F67:P67))/12,0))</f>
        <v>0</v>
      </c>
    </row>
    <row r="68" spans="1:19" ht="24">
      <c r="A68" s="479"/>
      <c r="B68" s="519"/>
      <c r="C68" s="603" t="s">
        <v>300</v>
      </c>
      <c r="D68" s="116"/>
      <c r="E68" s="604"/>
      <c r="F68" s="116"/>
      <c r="G68" s="116"/>
      <c r="H68" s="116"/>
      <c r="I68" s="116"/>
      <c r="J68" s="116"/>
      <c r="K68" s="116"/>
      <c r="L68" s="116"/>
      <c r="M68" s="116"/>
      <c r="N68" s="116"/>
      <c r="O68" s="116"/>
      <c r="P68" s="116"/>
      <c r="Q68" s="119"/>
      <c r="R68" s="193">
        <f>IF(E68="変更なし",D68,IF(E68="右記のとおり変更",Q68,0))</f>
        <v>0</v>
      </c>
      <c r="S68" s="194">
        <f>IF(E68="変更なし",D68,IF(E68="右記のとおり変更",(D68+SUM(F68:P68))/12,0))</f>
        <v>0</v>
      </c>
    </row>
    <row r="69" spans="1:19" ht="24">
      <c r="A69" s="479"/>
      <c r="B69" s="519"/>
      <c r="C69" s="603" t="s">
        <v>300</v>
      </c>
      <c r="D69" s="116"/>
      <c r="E69" s="604"/>
      <c r="F69" s="116"/>
      <c r="G69" s="116"/>
      <c r="H69" s="116"/>
      <c r="I69" s="116"/>
      <c r="J69" s="116"/>
      <c r="K69" s="116"/>
      <c r="L69" s="116"/>
      <c r="M69" s="116"/>
      <c r="N69" s="116"/>
      <c r="O69" s="116"/>
      <c r="P69" s="116"/>
      <c r="Q69" s="119"/>
      <c r="R69" s="193">
        <f>IF(E69="変更なし",D69,IF(E69="右記のとおり変更",Q69,0))</f>
        <v>0</v>
      </c>
      <c r="S69" s="194">
        <f>IF(E69="変更なし",D69,IF(E69="右記のとおり変更",(D69+SUM(F69:P69))/12,0))</f>
        <v>0</v>
      </c>
    </row>
    <row r="70" spans="1:19" ht="24">
      <c r="A70" s="481"/>
      <c r="B70" s="519"/>
      <c r="C70" s="562" t="s">
        <v>300</v>
      </c>
      <c r="D70" s="120"/>
      <c r="E70" s="604"/>
      <c r="F70" s="120"/>
      <c r="G70" s="120"/>
      <c r="H70" s="120"/>
      <c r="I70" s="120"/>
      <c r="J70" s="120"/>
      <c r="K70" s="120"/>
      <c r="L70" s="120"/>
      <c r="M70" s="120"/>
      <c r="N70" s="120"/>
      <c r="O70" s="120"/>
      <c r="P70" s="120"/>
      <c r="Q70" s="121"/>
      <c r="R70" s="197">
        <f>IF(E70="変更なし",D70,IF(E70="右記のとおり変更",Q70,0))</f>
        <v>0</v>
      </c>
      <c r="S70" s="198">
        <f>IF(E70="変更なし",D70,IF(E70="右記のとおり変更",(D70+SUM(F70:P70))/12,0))</f>
        <v>0</v>
      </c>
    </row>
    <row r="71" spans="1:19" ht="24">
      <c r="A71" s="481"/>
      <c r="B71" s="519"/>
      <c r="C71" s="562" t="s">
        <v>300</v>
      </c>
      <c r="D71" s="120"/>
      <c r="E71" s="604"/>
      <c r="F71" s="120"/>
      <c r="G71" s="120"/>
      <c r="H71" s="120"/>
      <c r="I71" s="120"/>
      <c r="J71" s="120"/>
      <c r="K71" s="120"/>
      <c r="L71" s="120"/>
      <c r="M71" s="120"/>
      <c r="N71" s="120"/>
      <c r="O71" s="120"/>
      <c r="P71" s="120"/>
      <c r="Q71" s="121"/>
      <c r="R71" s="197">
        <f t="shared" ref="R71:R80" si="7">IF(E71="変更なし",D71,IF(E71="右記のとおり変更",Q71,0))</f>
        <v>0</v>
      </c>
      <c r="S71" s="198">
        <f t="shared" ref="S71:S80" si="8">IF(E71="変更なし",D71,IF(E71="右記のとおり変更",(D71+SUM(F71:P71))/12,0))</f>
        <v>0</v>
      </c>
    </row>
    <row r="72" spans="1:19" ht="24">
      <c r="A72" s="481"/>
      <c r="B72" s="519"/>
      <c r="C72" s="562" t="s">
        <v>300</v>
      </c>
      <c r="D72" s="120"/>
      <c r="E72" s="604"/>
      <c r="F72" s="120"/>
      <c r="G72" s="120"/>
      <c r="H72" s="120"/>
      <c r="I72" s="120"/>
      <c r="J72" s="120"/>
      <c r="K72" s="120"/>
      <c r="L72" s="120"/>
      <c r="M72" s="120"/>
      <c r="N72" s="120"/>
      <c r="O72" s="120"/>
      <c r="P72" s="120"/>
      <c r="Q72" s="121"/>
      <c r="R72" s="197">
        <f t="shared" si="7"/>
        <v>0</v>
      </c>
      <c r="S72" s="198">
        <f t="shared" si="8"/>
        <v>0</v>
      </c>
    </row>
    <row r="73" spans="1:19" ht="24">
      <c r="A73" s="481"/>
      <c r="B73" s="519"/>
      <c r="C73" s="562" t="s">
        <v>300</v>
      </c>
      <c r="D73" s="120"/>
      <c r="E73" s="604"/>
      <c r="F73" s="120"/>
      <c r="G73" s="120"/>
      <c r="H73" s="120"/>
      <c r="I73" s="120"/>
      <c r="J73" s="120"/>
      <c r="K73" s="120"/>
      <c r="L73" s="120"/>
      <c r="M73" s="120"/>
      <c r="N73" s="120"/>
      <c r="O73" s="120"/>
      <c r="P73" s="120"/>
      <c r="Q73" s="121"/>
      <c r="R73" s="197">
        <f t="shared" si="7"/>
        <v>0</v>
      </c>
      <c r="S73" s="198">
        <f t="shared" si="8"/>
        <v>0</v>
      </c>
    </row>
    <row r="74" spans="1:19" ht="24">
      <c r="A74" s="481"/>
      <c r="B74" s="519"/>
      <c r="C74" s="562" t="s">
        <v>300</v>
      </c>
      <c r="D74" s="120"/>
      <c r="E74" s="604"/>
      <c r="F74" s="120"/>
      <c r="G74" s="120"/>
      <c r="H74" s="120"/>
      <c r="I74" s="120"/>
      <c r="J74" s="120"/>
      <c r="K74" s="120"/>
      <c r="L74" s="120"/>
      <c r="M74" s="120"/>
      <c r="N74" s="120"/>
      <c r="O74" s="120"/>
      <c r="P74" s="120"/>
      <c r="Q74" s="121"/>
      <c r="R74" s="197">
        <f t="shared" si="7"/>
        <v>0</v>
      </c>
      <c r="S74" s="198">
        <f t="shared" si="8"/>
        <v>0</v>
      </c>
    </row>
    <row r="75" spans="1:19" ht="24">
      <c r="A75" s="481"/>
      <c r="B75" s="519"/>
      <c r="C75" s="562" t="s">
        <v>300</v>
      </c>
      <c r="D75" s="120"/>
      <c r="E75" s="604"/>
      <c r="F75" s="120"/>
      <c r="G75" s="120"/>
      <c r="H75" s="120"/>
      <c r="I75" s="120"/>
      <c r="J75" s="120"/>
      <c r="K75" s="120"/>
      <c r="L75" s="120"/>
      <c r="M75" s="120"/>
      <c r="N75" s="120"/>
      <c r="O75" s="120"/>
      <c r="P75" s="120"/>
      <c r="Q75" s="121"/>
      <c r="R75" s="197">
        <f t="shared" si="7"/>
        <v>0</v>
      </c>
      <c r="S75" s="198">
        <f t="shared" si="8"/>
        <v>0</v>
      </c>
    </row>
    <row r="76" spans="1:19" ht="24">
      <c r="A76" s="481"/>
      <c r="B76" s="519"/>
      <c r="C76" s="562" t="s">
        <v>300</v>
      </c>
      <c r="D76" s="120"/>
      <c r="E76" s="604"/>
      <c r="F76" s="120"/>
      <c r="G76" s="120"/>
      <c r="H76" s="120"/>
      <c r="I76" s="120"/>
      <c r="J76" s="120"/>
      <c r="K76" s="120"/>
      <c r="L76" s="120"/>
      <c r="M76" s="120"/>
      <c r="N76" s="120"/>
      <c r="O76" s="120"/>
      <c r="P76" s="120"/>
      <c r="Q76" s="121"/>
      <c r="R76" s="197">
        <f t="shared" si="7"/>
        <v>0</v>
      </c>
      <c r="S76" s="198">
        <f t="shared" si="8"/>
        <v>0</v>
      </c>
    </row>
    <row r="77" spans="1:19" ht="24">
      <c r="A77" s="481"/>
      <c r="B77" s="519"/>
      <c r="C77" s="562" t="s">
        <v>300</v>
      </c>
      <c r="D77" s="120"/>
      <c r="E77" s="604"/>
      <c r="F77" s="120"/>
      <c r="G77" s="120"/>
      <c r="H77" s="120"/>
      <c r="I77" s="120"/>
      <c r="J77" s="120"/>
      <c r="K77" s="120"/>
      <c r="L77" s="120"/>
      <c r="M77" s="120"/>
      <c r="N77" s="120"/>
      <c r="O77" s="120"/>
      <c r="P77" s="120"/>
      <c r="Q77" s="121"/>
      <c r="R77" s="197">
        <f t="shared" si="7"/>
        <v>0</v>
      </c>
      <c r="S77" s="198">
        <f t="shared" si="8"/>
        <v>0</v>
      </c>
    </row>
    <row r="78" spans="1:19" ht="24">
      <c r="A78" s="481"/>
      <c r="B78" s="519"/>
      <c r="C78" s="562" t="s">
        <v>300</v>
      </c>
      <c r="D78" s="120"/>
      <c r="E78" s="604"/>
      <c r="F78" s="120"/>
      <c r="G78" s="120"/>
      <c r="H78" s="120"/>
      <c r="I78" s="120"/>
      <c r="J78" s="120"/>
      <c r="K78" s="120"/>
      <c r="L78" s="120"/>
      <c r="M78" s="120"/>
      <c r="N78" s="120"/>
      <c r="O78" s="120"/>
      <c r="P78" s="120"/>
      <c r="Q78" s="121"/>
      <c r="R78" s="197">
        <f t="shared" si="7"/>
        <v>0</v>
      </c>
      <c r="S78" s="198">
        <f t="shared" si="8"/>
        <v>0</v>
      </c>
    </row>
    <row r="79" spans="1:19" ht="24">
      <c r="A79" s="481"/>
      <c r="B79" s="519"/>
      <c r="C79" s="562" t="s">
        <v>300</v>
      </c>
      <c r="D79" s="120"/>
      <c r="E79" s="604"/>
      <c r="F79" s="120"/>
      <c r="G79" s="120"/>
      <c r="H79" s="120"/>
      <c r="I79" s="120"/>
      <c r="J79" s="120"/>
      <c r="K79" s="120"/>
      <c r="L79" s="120"/>
      <c r="M79" s="120"/>
      <c r="N79" s="120"/>
      <c r="O79" s="120"/>
      <c r="P79" s="120"/>
      <c r="Q79" s="121"/>
      <c r="R79" s="197">
        <f t="shared" si="7"/>
        <v>0</v>
      </c>
      <c r="S79" s="198">
        <f t="shared" si="8"/>
        <v>0</v>
      </c>
    </row>
    <row r="80" spans="1:19" ht="24.75" thickBot="1">
      <c r="A80" s="480"/>
      <c r="B80" s="411"/>
      <c r="C80" s="605" t="s">
        <v>300</v>
      </c>
      <c r="D80" s="140"/>
      <c r="E80" s="606"/>
      <c r="F80" s="140"/>
      <c r="G80" s="140"/>
      <c r="H80" s="140"/>
      <c r="I80" s="140"/>
      <c r="J80" s="140"/>
      <c r="K80" s="140"/>
      <c r="L80" s="140"/>
      <c r="M80" s="140"/>
      <c r="N80" s="140"/>
      <c r="O80" s="140"/>
      <c r="P80" s="140"/>
      <c r="Q80" s="141"/>
      <c r="R80" s="195">
        <f t="shared" si="7"/>
        <v>0</v>
      </c>
      <c r="S80" s="196">
        <f t="shared" si="8"/>
        <v>0</v>
      </c>
    </row>
    <row r="81" spans="1:19" ht="28.5" customHeight="1">
      <c r="A81" s="3" t="s">
        <v>390</v>
      </c>
      <c r="B81" s="3"/>
      <c r="C81" s="3"/>
      <c r="D81" s="3"/>
      <c r="E81" s="3"/>
      <c r="F81" s="3"/>
      <c r="G81" s="3"/>
      <c r="H81" s="3"/>
      <c r="I81" s="3"/>
      <c r="J81" s="3"/>
      <c r="K81" s="3"/>
      <c r="L81" s="3"/>
      <c r="M81" s="3"/>
      <c r="N81" s="3"/>
      <c r="O81" s="3"/>
      <c r="P81" s="743" t="s">
        <v>0</v>
      </c>
      <c r="Q81" s="744"/>
      <c r="R81" s="745" t="str">
        <f>IF(事業所概要_算定体制!$D$13="","",事業所概要_算定体制!$D$13)</f>
        <v/>
      </c>
      <c r="S81" s="746"/>
    </row>
    <row r="82" spans="1:19">
      <c r="A82" s="3"/>
      <c r="B82" s="3"/>
      <c r="C82" s="3"/>
      <c r="D82" s="3"/>
      <c r="E82" s="3"/>
      <c r="F82" s="3"/>
      <c r="G82" s="3"/>
      <c r="H82" s="3"/>
      <c r="I82" s="3"/>
      <c r="J82" s="3"/>
      <c r="K82" s="3"/>
      <c r="L82" s="3"/>
      <c r="M82" s="3"/>
      <c r="N82" s="3"/>
      <c r="O82" s="3"/>
      <c r="P82" s="3"/>
      <c r="Q82" s="3"/>
      <c r="R82" s="747" t="str">
        <f>CONCATENATE(事業所概要_算定体制!$B$3,事業所概要_算定体制!$C$3,"年度")</f>
        <v>令和７年度</v>
      </c>
      <c r="S82" s="747"/>
    </row>
    <row r="83" spans="1:19" ht="18.75" thickBot="1">
      <c r="A83" s="3" t="s">
        <v>389</v>
      </c>
      <c r="B83" s="3"/>
      <c r="C83" s="3"/>
      <c r="D83" s="3"/>
      <c r="E83" s="3"/>
      <c r="F83" s="3"/>
      <c r="G83" s="3"/>
      <c r="H83" s="3"/>
      <c r="I83" s="3"/>
      <c r="J83" s="3"/>
      <c r="K83" s="3"/>
      <c r="L83" s="3"/>
      <c r="M83" s="3"/>
      <c r="N83" s="3"/>
      <c r="O83" s="3"/>
      <c r="P83" s="3"/>
      <c r="Q83" s="3"/>
      <c r="R83" s="3"/>
      <c r="S83" s="3"/>
    </row>
    <row r="84" spans="1:19">
      <c r="A84" s="764" t="s">
        <v>286</v>
      </c>
      <c r="B84" s="766" t="s">
        <v>69</v>
      </c>
      <c r="C84" s="766" t="s">
        <v>70</v>
      </c>
      <c r="D84" s="768" t="s">
        <v>287</v>
      </c>
      <c r="E84" s="770" t="s">
        <v>288</v>
      </c>
      <c r="F84" s="758" t="s">
        <v>993</v>
      </c>
      <c r="G84" s="758"/>
      <c r="H84" s="758"/>
      <c r="I84" s="758"/>
      <c r="J84" s="758"/>
      <c r="K84" s="758"/>
      <c r="L84" s="758"/>
      <c r="M84" s="758"/>
      <c r="N84" s="758"/>
      <c r="O84" s="758"/>
      <c r="P84" s="758"/>
      <c r="Q84" s="759"/>
      <c r="R84" s="760" t="s">
        <v>289</v>
      </c>
      <c r="S84" s="762" t="s">
        <v>302</v>
      </c>
    </row>
    <row r="85" spans="1:19" ht="18" customHeight="1" thickBot="1">
      <c r="A85" s="765"/>
      <c r="B85" s="767"/>
      <c r="C85" s="767"/>
      <c r="D85" s="769"/>
      <c r="E85" s="771"/>
      <c r="F85" s="623" t="s">
        <v>987</v>
      </c>
      <c r="G85" s="623" t="s">
        <v>988</v>
      </c>
      <c r="H85" s="623" t="s">
        <v>989</v>
      </c>
      <c r="I85" s="623" t="s">
        <v>990</v>
      </c>
      <c r="J85" s="623" t="s">
        <v>991</v>
      </c>
      <c r="K85" s="623" t="s">
        <v>992</v>
      </c>
      <c r="L85" s="623" t="s">
        <v>994</v>
      </c>
      <c r="M85" s="623" t="s">
        <v>995</v>
      </c>
      <c r="N85" s="623" t="s">
        <v>996</v>
      </c>
      <c r="O85" s="623" t="s">
        <v>997</v>
      </c>
      <c r="P85" s="623" t="s">
        <v>998</v>
      </c>
      <c r="Q85" s="33" t="s">
        <v>999</v>
      </c>
      <c r="R85" s="761"/>
      <c r="S85" s="763"/>
    </row>
    <row r="86" spans="1:19" ht="24">
      <c r="A86" s="479"/>
      <c r="B86" s="519"/>
      <c r="C86" s="603" t="s">
        <v>300</v>
      </c>
      <c r="D86" s="116"/>
      <c r="E86" s="604"/>
      <c r="F86" s="117"/>
      <c r="G86" s="117"/>
      <c r="H86" s="117"/>
      <c r="I86" s="117"/>
      <c r="J86" s="117"/>
      <c r="K86" s="117"/>
      <c r="L86" s="117"/>
      <c r="M86" s="117"/>
      <c r="N86" s="117"/>
      <c r="O86" s="117"/>
      <c r="P86" s="117"/>
      <c r="Q86" s="118"/>
      <c r="R86" s="191">
        <f t="shared" ref="R86:R106" si="9">IF(E86="変更なし",D86,IF(E86="右記のとおり変更",Q86,0))</f>
        <v>0</v>
      </c>
      <c r="S86" s="192">
        <f t="shared" ref="S86:S106" si="10">IF(E86="変更なし",D86,IF(E86="右記のとおり変更",(D86+SUM(F86:P86))/12,0))</f>
        <v>0</v>
      </c>
    </row>
    <row r="87" spans="1:19" ht="24">
      <c r="A87" s="479"/>
      <c r="B87" s="519"/>
      <c r="C87" s="603" t="s">
        <v>300</v>
      </c>
      <c r="D87" s="116"/>
      <c r="E87" s="604"/>
      <c r="F87" s="116"/>
      <c r="G87" s="116"/>
      <c r="H87" s="116"/>
      <c r="I87" s="116"/>
      <c r="J87" s="116"/>
      <c r="K87" s="116"/>
      <c r="L87" s="116"/>
      <c r="M87" s="116"/>
      <c r="N87" s="116"/>
      <c r="O87" s="116"/>
      <c r="P87" s="116"/>
      <c r="Q87" s="119"/>
      <c r="R87" s="193">
        <f t="shared" si="9"/>
        <v>0</v>
      </c>
      <c r="S87" s="194">
        <f t="shared" si="10"/>
        <v>0</v>
      </c>
    </row>
    <row r="88" spans="1:19" ht="24">
      <c r="A88" s="479"/>
      <c r="B88" s="519"/>
      <c r="C88" s="603" t="s">
        <v>300</v>
      </c>
      <c r="D88" s="116"/>
      <c r="E88" s="604"/>
      <c r="F88" s="116"/>
      <c r="G88" s="116"/>
      <c r="H88" s="116"/>
      <c r="I88" s="116"/>
      <c r="J88" s="116"/>
      <c r="K88" s="116"/>
      <c r="L88" s="116"/>
      <c r="M88" s="116"/>
      <c r="N88" s="116"/>
      <c r="O88" s="116"/>
      <c r="P88" s="116"/>
      <c r="Q88" s="119"/>
      <c r="R88" s="193">
        <f t="shared" si="9"/>
        <v>0</v>
      </c>
      <c r="S88" s="194">
        <f t="shared" si="10"/>
        <v>0</v>
      </c>
    </row>
    <row r="89" spans="1:19" ht="24">
      <c r="A89" s="479"/>
      <c r="B89" s="519"/>
      <c r="C89" s="603" t="s">
        <v>300</v>
      </c>
      <c r="D89" s="116"/>
      <c r="E89" s="604"/>
      <c r="F89" s="116"/>
      <c r="G89" s="116"/>
      <c r="H89" s="116"/>
      <c r="I89" s="116"/>
      <c r="J89" s="116"/>
      <c r="K89" s="116"/>
      <c r="L89" s="116"/>
      <c r="M89" s="116"/>
      <c r="N89" s="116"/>
      <c r="O89" s="116"/>
      <c r="P89" s="116"/>
      <c r="Q89" s="119"/>
      <c r="R89" s="193">
        <f t="shared" si="9"/>
        <v>0</v>
      </c>
      <c r="S89" s="194">
        <f t="shared" si="10"/>
        <v>0</v>
      </c>
    </row>
    <row r="90" spans="1:19" ht="24">
      <c r="A90" s="479"/>
      <c r="B90" s="519"/>
      <c r="C90" s="603" t="s">
        <v>300</v>
      </c>
      <c r="D90" s="116"/>
      <c r="E90" s="604"/>
      <c r="F90" s="116"/>
      <c r="G90" s="116"/>
      <c r="H90" s="116"/>
      <c r="I90" s="116"/>
      <c r="J90" s="116"/>
      <c r="K90" s="116"/>
      <c r="L90" s="116"/>
      <c r="M90" s="116"/>
      <c r="N90" s="116"/>
      <c r="O90" s="116"/>
      <c r="P90" s="116"/>
      <c r="Q90" s="119"/>
      <c r="R90" s="193">
        <f t="shared" si="9"/>
        <v>0</v>
      </c>
      <c r="S90" s="194">
        <f t="shared" si="10"/>
        <v>0</v>
      </c>
    </row>
    <row r="91" spans="1:19" ht="24">
      <c r="A91" s="479"/>
      <c r="B91" s="519"/>
      <c r="C91" s="603" t="s">
        <v>300</v>
      </c>
      <c r="D91" s="116"/>
      <c r="E91" s="604"/>
      <c r="F91" s="116"/>
      <c r="G91" s="116"/>
      <c r="H91" s="116"/>
      <c r="I91" s="116"/>
      <c r="J91" s="116"/>
      <c r="K91" s="116"/>
      <c r="L91" s="116"/>
      <c r="M91" s="116"/>
      <c r="N91" s="116"/>
      <c r="O91" s="116"/>
      <c r="P91" s="116"/>
      <c r="Q91" s="119"/>
      <c r="R91" s="193">
        <f t="shared" si="9"/>
        <v>0</v>
      </c>
      <c r="S91" s="194">
        <f t="shared" si="10"/>
        <v>0</v>
      </c>
    </row>
    <row r="92" spans="1:19" ht="24">
      <c r="A92" s="479"/>
      <c r="B92" s="519"/>
      <c r="C92" s="603" t="s">
        <v>300</v>
      </c>
      <c r="D92" s="116"/>
      <c r="E92" s="604"/>
      <c r="F92" s="116"/>
      <c r="G92" s="116"/>
      <c r="H92" s="116"/>
      <c r="I92" s="116"/>
      <c r="J92" s="116"/>
      <c r="K92" s="116"/>
      <c r="L92" s="116"/>
      <c r="M92" s="116"/>
      <c r="N92" s="116"/>
      <c r="O92" s="116"/>
      <c r="P92" s="116"/>
      <c r="Q92" s="119"/>
      <c r="R92" s="193">
        <f t="shared" si="9"/>
        <v>0</v>
      </c>
      <c r="S92" s="194">
        <f t="shared" si="10"/>
        <v>0</v>
      </c>
    </row>
    <row r="93" spans="1:19" ht="24">
      <c r="A93" s="479"/>
      <c r="B93" s="519"/>
      <c r="C93" s="603" t="s">
        <v>300</v>
      </c>
      <c r="D93" s="116"/>
      <c r="E93" s="604"/>
      <c r="F93" s="116"/>
      <c r="G93" s="116"/>
      <c r="H93" s="116"/>
      <c r="I93" s="116"/>
      <c r="J93" s="116"/>
      <c r="K93" s="116"/>
      <c r="L93" s="116"/>
      <c r="M93" s="116"/>
      <c r="N93" s="116"/>
      <c r="O93" s="116"/>
      <c r="P93" s="116"/>
      <c r="Q93" s="119"/>
      <c r="R93" s="193">
        <f t="shared" si="9"/>
        <v>0</v>
      </c>
      <c r="S93" s="194">
        <f t="shared" si="10"/>
        <v>0</v>
      </c>
    </row>
    <row r="94" spans="1:19" ht="24">
      <c r="A94" s="479"/>
      <c r="B94" s="519"/>
      <c r="C94" s="603" t="s">
        <v>300</v>
      </c>
      <c r="D94" s="116"/>
      <c r="E94" s="604"/>
      <c r="F94" s="116"/>
      <c r="G94" s="116"/>
      <c r="H94" s="116"/>
      <c r="I94" s="116"/>
      <c r="J94" s="116"/>
      <c r="K94" s="116"/>
      <c r="L94" s="116"/>
      <c r="M94" s="116"/>
      <c r="N94" s="116"/>
      <c r="O94" s="116"/>
      <c r="P94" s="116"/>
      <c r="Q94" s="119"/>
      <c r="R94" s="193">
        <f t="shared" si="9"/>
        <v>0</v>
      </c>
      <c r="S94" s="194">
        <f t="shared" si="10"/>
        <v>0</v>
      </c>
    </row>
    <row r="95" spans="1:19" ht="24">
      <c r="A95" s="479"/>
      <c r="B95" s="519"/>
      <c r="C95" s="603" t="s">
        <v>300</v>
      </c>
      <c r="D95" s="116"/>
      <c r="E95" s="604"/>
      <c r="F95" s="116"/>
      <c r="G95" s="116"/>
      <c r="H95" s="116"/>
      <c r="I95" s="116"/>
      <c r="J95" s="116"/>
      <c r="K95" s="116"/>
      <c r="L95" s="116"/>
      <c r="M95" s="116"/>
      <c r="N95" s="116"/>
      <c r="O95" s="116"/>
      <c r="P95" s="116"/>
      <c r="Q95" s="119"/>
      <c r="R95" s="193">
        <f t="shared" si="9"/>
        <v>0</v>
      </c>
      <c r="S95" s="194">
        <f t="shared" si="10"/>
        <v>0</v>
      </c>
    </row>
    <row r="96" spans="1:19" ht="24">
      <c r="A96" s="479"/>
      <c r="B96" s="519"/>
      <c r="C96" s="603" t="s">
        <v>300</v>
      </c>
      <c r="D96" s="116"/>
      <c r="E96" s="604"/>
      <c r="F96" s="116"/>
      <c r="G96" s="116"/>
      <c r="H96" s="116"/>
      <c r="I96" s="116"/>
      <c r="J96" s="116"/>
      <c r="K96" s="116"/>
      <c r="L96" s="116"/>
      <c r="M96" s="116"/>
      <c r="N96" s="116"/>
      <c r="O96" s="116"/>
      <c r="P96" s="116"/>
      <c r="Q96" s="119"/>
      <c r="R96" s="193">
        <f t="shared" si="9"/>
        <v>0</v>
      </c>
      <c r="S96" s="194">
        <f t="shared" si="10"/>
        <v>0</v>
      </c>
    </row>
    <row r="97" spans="1:19" ht="24">
      <c r="A97" s="479"/>
      <c r="B97" s="519"/>
      <c r="C97" s="603" t="s">
        <v>300</v>
      </c>
      <c r="D97" s="116"/>
      <c r="E97" s="604"/>
      <c r="F97" s="116"/>
      <c r="G97" s="116"/>
      <c r="H97" s="116"/>
      <c r="I97" s="116"/>
      <c r="J97" s="116"/>
      <c r="K97" s="116"/>
      <c r="L97" s="116"/>
      <c r="M97" s="116"/>
      <c r="N97" s="116"/>
      <c r="O97" s="116"/>
      <c r="P97" s="116"/>
      <c r="Q97" s="119"/>
      <c r="R97" s="193">
        <f t="shared" si="9"/>
        <v>0</v>
      </c>
      <c r="S97" s="194">
        <f t="shared" si="10"/>
        <v>0</v>
      </c>
    </row>
    <row r="98" spans="1:19" ht="24">
      <c r="A98" s="479"/>
      <c r="B98" s="519"/>
      <c r="C98" s="603" t="s">
        <v>300</v>
      </c>
      <c r="D98" s="116"/>
      <c r="E98" s="604"/>
      <c r="F98" s="116"/>
      <c r="G98" s="116"/>
      <c r="H98" s="116"/>
      <c r="I98" s="116"/>
      <c r="J98" s="116"/>
      <c r="K98" s="116"/>
      <c r="L98" s="116"/>
      <c r="M98" s="116"/>
      <c r="N98" s="116"/>
      <c r="O98" s="116"/>
      <c r="P98" s="116"/>
      <c r="Q98" s="119"/>
      <c r="R98" s="193">
        <f t="shared" si="9"/>
        <v>0</v>
      </c>
      <c r="S98" s="194">
        <f t="shared" si="10"/>
        <v>0</v>
      </c>
    </row>
    <row r="99" spans="1:19" ht="24">
      <c r="A99" s="479"/>
      <c r="B99" s="519"/>
      <c r="C99" s="603" t="s">
        <v>300</v>
      </c>
      <c r="D99" s="116"/>
      <c r="E99" s="604"/>
      <c r="F99" s="116"/>
      <c r="G99" s="116"/>
      <c r="H99" s="116"/>
      <c r="I99" s="116"/>
      <c r="J99" s="116"/>
      <c r="K99" s="116"/>
      <c r="L99" s="116"/>
      <c r="M99" s="116"/>
      <c r="N99" s="116"/>
      <c r="O99" s="116"/>
      <c r="P99" s="116"/>
      <c r="Q99" s="119"/>
      <c r="R99" s="193">
        <f t="shared" si="9"/>
        <v>0</v>
      </c>
      <c r="S99" s="194">
        <f t="shared" si="10"/>
        <v>0</v>
      </c>
    </row>
    <row r="100" spans="1:19" ht="24">
      <c r="A100" s="479"/>
      <c r="B100" s="519"/>
      <c r="C100" s="603" t="s">
        <v>300</v>
      </c>
      <c r="D100" s="116"/>
      <c r="E100" s="604"/>
      <c r="F100" s="116"/>
      <c r="G100" s="116"/>
      <c r="H100" s="116"/>
      <c r="I100" s="116"/>
      <c r="J100" s="116"/>
      <c r="K100" s="116"/>
      <c r="L100" s="116"/>
      <c r="M100" s="116"/>
      <c r="N100" s="116"/>
      <c r="O100" s="116"/>
      <c r="P100" s="116"/>
      <c r="Q100" s="119"/>
      <c r="R100" s="193">
        <f t="shared" si="9"/>
        <v>0</v>
      </c>
      <c r="S100" s="194">
        <f t="shared" si="10"/>
        <v>0</v>
      </c>
    </row>
    <row r="101" spans="1:19" ht="24">
      <c r="A101" s="479"/>
      <c r="B101" s="519"/>
      <c r="C101" s="603" t="s">
        <v>300</v>
      </c>
      <c r="D101" s="116"/>
      <c r="E101" s="604"/>
      <c r="F101" s="116"/>
      <c r="G101" s="116"/>
      <c r="H101" s="116"/>
      <c r="I101" s="116"/>
      <c r="J101" s="116"/>
      <c r="K101" s="116"/>
      <c r="L101" s="116"/>
      <c r="M101" s="116"/>
      <c r="N101" s="116"/>
      <c r="O101" s="116"/>
      <c r="P101" s="116"/>
      <c r="Q101" s="119"/>
      <c r="R101" s="193">
        <f t="shared" si="9"/>
        <v>0</v>
      </c>
      <c r="S101" s="194">
        <f t="shared" si="10"/>
        <v>0</v>
      </c>
    </row>
    <row r="102" spans="1:19" ht="24">
      <c r="A102" s="479"/>
      <c r="B102" s="519"/>
      <c r="C102" s="603" t="s">
        <v>300</v>
      </c>
      <c r="D102" s="116"/>
      <c r="E102" s="604"/>
      <c r="F102" s="116"/>
      <c r="G102" s="116"/>
      <c r="H102" s="116"/>
      <c r="I102" s="116"/>
      <c r="J102" s="116"/>
      <c r="K102" s="116"/>
      <c r="L102" s="116"/>
      <c r="M102" s="116"/>
      <c r="N102" s="116"/>
      <c r="O102" s="116"/>
      <c r="P102" s="116"/>
      <c r="Q102" s="119"/>
      <c r="R102" s="193">
        <f t="shared" si="9"/>
        <v>0</v>
      </c>
      <c r="S102" s="194">
        <f t="shared" si="10"/>
        <v>0</v>
      </c>
    </row>
    <row r="103" spans="1:19" ht="24">
      <c r="A103" s="479"/>
      <c r="B103" s="519"/>
      <c r="C103" s="603" t="s">
        <v>300</v>
      </c>
      <c r="D103" s="116"/>
      <c r="E103" s="604"/>
      <c r="F103" s="116"/>
      <c r="G103" s="116"/>
      <c r="H103" s="116"/>
      <c r="I103" s="116"/>
      <c r="J103" s="116"/>
      <c r="K103" s="116"/>
      <c r="L103" s="116"/>
      <c r="M103" s="116"/>
      <c r="N103" s="116"/>
      <c r="O103" s="116"/>
      <c r="P103" s="116"/>
      <c r="Q103" s="119"/>
      <c r="R103" s="193">
        <f t="shared" si="9"/>
        <v>0</v>
      </c>
      <c r="S103" s="194">
        <f t="shared" si="10"/>
        <v>0</v>
      </c>
    </row>
    <row r="104" spans="1:19" ht="24">
      <c r="A104" s="479"/>
      <c r="B104" s="519"/>
      <c r="C104" s="603" t="s">
        <v>300</v>
      </c>
      <c r="D104" s="116"/>
      <c r="E104" s="604"/>
      <c r="F104" s="116"/>
      <c r="G104" s="116"/>
      <c r="H104" s="116"/>
      <c r="I104" s="116"/>
      <c r="J104" s="116"/>
      <c r="K104" s="116"/>
      <c r="L104" s="116"/>
      <c r="M104" s="116"/>
      <c r="N104" s="116"/>
      <c r="O104" s="116"/>
      <c r="P104" s="116"/>
      <c r="Q104" s="119"/>
      <c r="R104" s="193">
        <f t="shared" si="9"/>
        <v>0</v>
      </c>
      <c r="S104" s="194">
        <f t="shared" si="10"/>
        <v>0</v>
      </c>
    </row>
    <row r="105" spans="1:19" ht="24">
      <c r="A105" s="479"/>
      <c r="B105" s="519"/>
      <c r="C105" s="603" t="s">
        <v>300</v>
      </c>
      <c r="D105" s="116"/>
      <c r="E105" s="604"/>
      <c r="F105" s="116"/>
      <c r="G105" s="116"/>
      <c r="H105" s="116"/>
      <c r="I105" s="116"/>
      <c r="J105" s="116"/>
      <c r="K105" s="116"/>
      <c r="L105" s="116"/>
      <c r="M105" s="116"/>
      <c r="N105" s="116"/>
      <c r="O105" s="116"/>
      <c r="P105" s="116"/>
      <c r="Q105" s="119"/>
      <c r="R105" s="193">
        <f t="shared" si="9"/>
        <v>0</v>
      </c>
      <c r="S105" s="194">
        <f t="shared" si="10"/>
        <v>0</v>
      </c>
    </row>
    <row r="106" spans="1:19" ht="24">
      <c r="A106" s="479"/>
      <c r="B106" s="519"/>
      <c r="C106" s="603" t="s">
        <v>300</v>
      </c>
      <c r="D106" s="116"/>
      <c r="E106" s="604"/>
      <c r="F106" s="116"/>
      <c r="G106" s="116"/>
      <c r="H106" s="116"/>
      <c r="I106" s="116"/>
      <c r="J106" s="116"/>
      <c r="K106" s="116"/>
      <c r="L106" s="116"/>
      <c r="M106" s="116"/>
      <c r="N106" s="116"/>
      <c r="O106" s="116"/>
      <c r="P106" s="116"/>
      <c r="Q106" s="119"/>
      <c r="R106" s="193">
        <f t="shared" si="9"/>
        <v>0</v>
      </c>
      <c r="S106" s="194">
        <f t="shared" si="10"/>
        <v>0</v>
      </c>
    </row>
    <row r="107" spans="1:19" ht="24">
      <c r="A107" s="479"/>
      <c r="B107" s="519"/>
      <c r="C107" s="603" t="s">
        <v>300</v>
      </c>
      <c r="D107" s="116"/>
      <c r="E107" s="604"/>
      <c r="F107" s="116"/>
      <c r="G107" s="116"/>
      <c r="H107" s="116"/>
      <c r="I107" s="116"/>
      <c r="J107" s="116"/>
      <c r="K107" s="116"/>
      <c r="L107" s="116"/>
      <c r="M107" s="116"/>
      <c r="N107" s="116"/>
      <c r="O107" s="116"/>
      <c r="P107" s="116"/>
      <c r="Q107" s="119"/>
      <c r="R107" s="193">
        <f>IF(E107="変更なし",D107,IF(E107="右記のとおり変更",Q107,0))</f>
        <v>0</v>
      </c>
      <c r="S107" s="194">
        <f>IF(E107="変更なし",D107,IF(E107="右記のとおり変更",(D107+SUM(F107:P107))/12,0))</f>
        <v>0</v>
      </c>
    </row>
    <row r="108" spans="1:19" ht="24">
      <c r="A108" s="479"/>
      <c r="B108" s="519"/>
      <c r="C108" s="603" t="s">
        <v>300</v>
      </c>
      <c r="D108" s="116"/>
      <c r="E108" s="604"/>
      <c r="F108" s="116"/>
      <c r="G108" s="116"/>
      <c r="H108" s="116"/>
      <c r="I108" s="116"/>
      <c r="J108" s="116"/>
      <c r="K108" s="116"/>
      <c r="L108" s="116"/>
      <c r="M108" s="116"/>
      <c r="N108" s="116"/>
      <c r="O108" s="116"/>
      <c r="P108" s="116"/>
      <c r="Q108" s="119"/>
      <c r="R108" s="193">
        <f>IF(E108="変更なし",D108,IF(E108="右記のとおり変更",Q108,0))</f>
        <v>0</v>
      </c>
      <c r="S108" s="194">
        <f>IF(E108="変更なし",D108,IF(E108="右記のとおり変更",(D108+SUM(F108:P108))/12,0))</f>
        <v>0</v>
      </c>
    </row>
    <row r="109" spans="1:19" ht="24">
      <c r="A109" s="479"/>
      <c r="B109" s="519"/>
      <c r="C109" s="603" t="s">
        <v>300</v>
      </c>
      <c r="D109" s="116"/>
      <c r="E109" s="604"/>
      <c r="F109" s="116"/>
      <c r="G109" s="116"/>
      <c r="H109" s="116"/>
      <c r="I109" s="116"/>
      <c r="J109" s="116"/>
      <c r="K109" s="116"/>
      <c r="L109" s="116"/>
      <c r="M109" s="116"/>
      <c r="N109" s="116"/>
      <c r="O109" s="116"/>
      <c r="P109" s="116"/>
      <c r="Q109" s="119"/>
      <c r="R109" s="193">
        <f>IF(E109="変更なし",D109,IF(E109="右記のとおり変更",Q109,0))</f>
        <v>0</v>
      </c>
      <c r="S109" s="194">
        <f>IF(E109="変更なし",D109,IF(E109="右記のとおり変更",(D109+SUM(F109:P109))/12,0))</f>
        <v>0</v>
      </c>
    </row>
    <row r="110" spans="1:19" ht="24">
      <c r="A110" s="481"/>
      <c r="B110" s="519"/>
      <c r="C110" s="562" t="s">
        <v>300</v>
      </c>
      <c r="D110" s="120"/>
      <c r="E110" s="604"/>
      <c r="F110" s="120"/>
      <c r="G110" s="120"/>
      <c r="H110" s="120"/>
      <c r="I110" s="120"/>
      <c r="J110" s="120"/>
      <c r="K110" s="120"/>
      <c r="L110" s="120"/>
      <c r="M110" s="120"/>
      <c r="N110" s="120"/>
      <c r="O110" s="120"/>
      <c r="P110" s="120"/>
      <c r="Q110" s="121"/>
      <c r="R110" s="197">
        <f>IF(E110="変更なし",D110,IF(E110="右記のとおり変更",Q110,0))</f>
        <v>0</v>
      </c>
      <c r="S110" s="198">
        <f>IF(E110="変更なし",D110,IF(E110="右記のとおり変更",(D110+SUM(F110:P110))/12,0))</f>
        <v>0</v>
      </c>
    </row>
    <row r="111" spans="1:19" ht="24">
      <c r="A111" s="481"/>
      <c r="B111" s="519"/>
      <c r="C111" s="562" t="s">
        <v>300</v>
      </c>
      <c r="D111" s="120"/>
      <c r="E111" s="604"/>
      <c r="F111" s="120"/>
      <c r="G111" s="120"/>
      <c r="H111" s="120"/>
      <c r="I111" s="120"/>
      <c r="J111" s="120"/>
      <c r="K111" s="120"/>
      <c r="L111" s="120"/>
      <c r="M111" s="120"/>
      <c r="N111" s="120"/>
      <c r="O111" s="120"/>
      <c r="P111" s="120"/>
      <c r="Q111" s="121"/>
      <c r="R111" s="197">
        <f t="shared" ref="R111:R120" si="11">IF(E111="変更なし",D111,IF(E111="右記のとおり変更",Q111,0))</f>
        <v>0</v>
      </c>
      <c r="S111" s="198">
        <f t="shared" ref="S111:S120" si="12">IF(E111="変更なし",D111,IF(E111="右記のとおり変更",(D111+SUM(F111:P111))/12,0))</f>
        <v>0</v>
      </c>
    </row>
    <row r="112" spans="1:19" ht="24">
      <c r="A112" s="481"/>
      <c r="B112" s="519"/>
      <c r="C112" s="562" t="s">
        <v>300</v>
      </c>
      <c r="D112" s="120"/>
      <c r="E112" s="604"/>
      <c r="F112" s="120"/>
      <c r="G112" s="120"/>
      <c r="H112" s="120"/>
      <c r="I112" s="120"/>
      <c r="J112" s="120"/>
      <c r="K112" s="120"/>
      <c r="L112" s="120"/>
      <c r="M112" s="120"/>
      <c r="N112" s="120"/>
      <c r="O112" s="120"/>
      <c r="P112" s="120"/>
      <c r="Q112" s="121"/>
      <c r="R112" s="197">
        <f t="shared" si="11"/>
        <v>0</v>
      </c>
      <c r="S112" s="198">
        <f t="shared" si="12"/>
        <v>0</v>
      </c>
    </row>
    <row r="113" spans="1:19" ht="24">
      <c r="A113" s="481"/>
      <c r="B113" s="519"/>
      <c r="C113" s="562" t="s">
        <v>300</v>
      </c>
      <c r="D113" s="120"/>
      <c r="E113" s="604"/>
      <c r="F113" s="120"/>
      <c r="G113" s="120"/>
      <c r="H113" s="120"/>
      <c r="I113" s="120"/>
      <c r="J113" s="120"/>
      <c r="K113" s="120"/>
      <c r="L113" s="120"/>
      <c r="M113" s="120"/>
      <c r="N113" s="120"/>
      <c r="O113" s="120"/>
      <c r="P113" s="120"/>
      <c r="Q113" s="121"/>
      <c r="R113" s="197">
        <f t="shared" si="11"/>
        <v>0</v>
      </c>
      <c r="S113" s="198">
        <f t="shared" si="12"/>
        <v>0</v>
      </c>
    </row>
    <row r="114" spans="1:19" ht="24">
      <c r="A114" s="481"/>
      <c r="B114" s="519"/>
      <c r="C114" s="562" t="s">
        <v>300</v>
      </c>
      <c r="D114" s="120"/>
      <c r="E114" s="604"/>
      <c r="F114" s="120"/>
      <c r="G114" s="120"/>
      <c r="H114" s="120"/>
      <c r="I114" s="120"/>
      <c r="J114" s="120"/>
      <c r="K114" s="120"/>
      <c r="L114" s="120"/>
      <c r="M114" s="120"/>
      <c r="N114" s="120"/>
      <c r="O114" s="120"/>
      <c r="P114" s="120"/>
      <c r="Q114" s="121"/>
      <c r="R114" s="197">
        <f t="shared" si="11"/>
        <v>0</v>
      </c>
      <c r="S114" s="198">
        <f t="shared" si="12"/>
        <v>0</v>
      </c>
    </row>
    <row r="115" spans="1:19" ht="24">
      <c r="A115" s="481"/>
      <c r="B115" s="519"/>
      <c r="C115" s="562" t="s">
        <v>300</v>
      </c>
      <c r="D115" s="120"/>
      <c r="E115" s="604"/>
      <c r="F115" s="120"/>
      <c r="G115" s="120"/>
      <c r="H115" s="120"/>
      <c r="I115" s="120"/>
      <c r="J115" s="120"/>
      <c r="K115" s="120"/>
      <c r="L115" s="120"/>
      <c r="M115" s="120"/>
      <c r="N115" s="120"/>
      <c r="O115" s="120"/>
      <c r="P115" s="120"/>
      <c r="Q115" s="121"/>
      <c r="R115" s="197">
        <f t="shared" si="11"/>
        <v>0</v>
      </c>
      <c r="S115" s="198">
        <f t="shared" si="12"/>
        <v>0</v>
      </c>
    </row>
    <row r="116" spans="1:19" ht="24">
      <c r="A116" s="481"/>
      <c r="B116" s="519"/>
      <c r="C116" s="562" t="s">
        <v>300</v>
      </c>
      <c r="D116" s="120"/>
      <c r="E116" s="604"/>
      <c r="F116" s="120"/>
      <c r="G116" s="120"/>
      <c r="H116" s="120"/>
      <c r="I116" s="120"/>
      <c r="J116" s="120"/>
      <c r="K116" s="120"/>
      <c r="L116" s="120"/>
      <c r="M116" s="120"/>
      <c r="N116" s="120"/>
      <c r="O116" s="120"/>
      <c r="P116" s="120"/>
      <c r="Q116" s="121"/>
      <c r="R116" s="197">
        <f t="shared" si="11"/>
        <v>0</v>
      </c>
      <c r="S116" s="198">
        <f t="shared" si="12"/>
        <v>0</v>
      </c>
    </row>
    <row r="117" spans="1:19" ht="24">
      <c r="A117" s="481"/>
      <c r="B117" s="519"/>
      <c r="C117" s="562" t="s">
        <v>300</v>
      </c>
      <c r="D117" s="120"/>
      <c r="E117" s="604"/>
      <c r="F117" s="120"/>
      <c r="G117" s="120"/>
      <c r="H117" s="120"/>
      <c r="I117" s="120"/>
      <c r="J117" s="120"/>
      <c r="K117" s="120"/>
      <c r="L117" s="120"/>
      <c r="M117" s="120"/>
      <c r="N117" s="120"/>
      <c r="O117" s="120"/>
      <c r="P117" s="120"/>
      <c r="Q117" s="121"/>
      <c r="R117" s="197">
        <f t="shared" si="11"/>
        <v>0</v>
      </c>
      <c r="S117" s="198">
        <f t="shared" si="12"/>
        <v>0</v>
      </c>
    </row>
    <row r="118" spans="1:19" ht="24">
      <c r="A118" s="481"/>
      <c r="B118" s="519"/>
      <c r="C118" s="562" t="s">
        <v>300</v>
      </c>
      <c r="D118" s="120"/>
      <c r="E118" s="604"/>
      <c r="F118" s="120"/>
      <c r="G118" s="120"/>
      <c r="H118" s="120"/>
      <c r="I118" s="120"/>
      <c r="J118" s="120"/>
      <c r="K118" s="120"/>
      <c r="L118" s="120"/>
      <c r="M118" s="120"/>
      <c r="N118" s="120"/>
      <c r="O118" s="120"/>
      <c r="P118" s="120"/>
      <c r="Q118" s="121"/>
      <c r="R118" s="197">
        <f t="shared" si="11"/>
        <v>0</v>
      </c>
      <c r="S118" s="198">
        <f t="shared" si="12"/>
        <v>0</v>
      </c>
    </row>
    <row r="119" spans="1:19" ht="24">
      <c r="A119" s="481"/>
      <c r="B119" s="519"/>
      <c r="C119" s="562" t="s">
        <v>300</v>
      </c>
      <c r="D119" s="120"/>
      <c r="E119" s="604"/>
      <c r="F119" s="120"/>
      <c r="G119" s="120"/>
      <c r="H119" s="120"/>
      <c r="I119" s="120"/>
      <c r="J119" s="120"/>
      <c r="K119" s="120"/>
      <c r="L119" s="120"/>
      <c r="M119" s="120"/>
      <c r="N119" s="120"/>
      <c r="O119" s="120"/>
      <c r="P119" s="120"/>
      <c r="Q119" s="121"/>
      <c r="R119" s="197">
        <f t="shared" si="11"/>
        <v>0</v>
      </c>
      <c r="S119" s="198">
        <f t="shared" si="12"/>
        <v>0</v>
      </c>
    </row>
    <row r="120" spans="1:19" ht="24.75" thickBot="1">
      <c r="A120" s="480"/>
      <c r="B120" s="411"/>
      <c r="C120" s="605" t="s">
        <v>300</v>
      </c>
      <c r="D120" s="140"/>
      <c r="E120" s="606"/>
      <c r="F120" s="140"/>
      <c r="G120" s="140"/>
      <c r="H120" s="140"/>
      <c r="I120" s="140"/>
      <c r="J120" s="140"/>
      <c r="K120" s="140"/>
      <c r="L120" s="140"/>
      <c r="M120" s="140"/>
      <c r="N120" s="140"/>
      <c r="O120" s="140"/>
      <c r="P120" s="140"/>
      <c r="Q120" s="141"/>
      <c r="R120" s="195">
        <f t="shared" si="11"/>
        <v>0</v>
      </c>
      <c r="S120" s="196">
        <f t="shared" si="12"/>
        <v>0</v>
      </c>
    </row>
    <row r="121" spans="1:19" ht="28.5" customHeight="1">
      <c r="A121" s="3" t="s">
        <v>390</v>
      </c>
      <c r="B121" s="3"/>
      <c r="C121" s="3"/>
      <c r="D121" s="3"/>
      <c r="E121" s="3"/>
      <c r="F121" s="3"/>
      <c r="G121" s="3"/>
      <c r="H121" s="3"/>
      <c r="I121" s="3"/>
      <c r="J121" s="3"/>
      <c r="K121" s="3"/>
      <c r="L121" s="3"/>
      <c r="M121" s="3"/>
      <c r="N121" s="3"/>
      <c r="O121" s="3"/>
      <c r="P121" s="743" t="s">
        <v>0</v>
      </c>
      <c r="Q121" s="744"/>
      <c r="R121" s="745" t="str">
        <f>IF(事業所概要_算定体制!$D$13="","",事業所概要_算定体制!$D$13)</f>
        <v/>
      </c>
      <c r="S121" s="746"/>
    </row>
    <row r="122" spans="1:19">
      <c r="A122" s="3"/>
      <c r="B122" s="3"/>
      <c r="C122" s="3"/>
      <c r="D122" s="3"/>
      <c r="E122" s="3"/>
      <c r="F122" s="3"/>
      <c r="G122" s="3"/>
      <c r="H122" s="3"/>
      <c r="I122" s="3"/>
      <c r="J122" s="3"/>
      <c r="K122" s="3"/>
      <c r="L122" s="3"/>
      <c r="M122" s="3"/>
      <c r="N122" s="3"/>
      <c r="O122" s="3"/>
      <c r="P122" s="3"/>
      <c r="Q122" s="3"/>
      <c r="R122" s="747" t="str">
        <f>CONCATENATE(事業所概要_算定体制!$B$3,事業所概要_算定体制!$C$3,"年度")</f>
        <v>令和７年度</v>
      </c>
      <c r="S122" s="747"/>
    </row>
    <row r="123" spans="1:19" ht="18.75" thickBot="1">
      <c r="A123" s="3" t="s">
        <v>389</v>
      </c>
      <c r="B123" s="3"/>
      <c r="C123" s="3"/>
      <c r="D123" s="3"/>
      <c r="E123" s="3"/>
      <c r="F123" s="3"/>
      <c r="G123" s="3"/>
      <c r="H123" s="3"/>
      <c r="I123" s="3"/>
      <c r="J123" s="3"/>
      <c r="K123" s="3"/>
      <c r="L123" s="3"/>
      <c r="M123" s="3"/>
      <c r="N123" s="3"/>
      <c r="O123" s="3"/>
      <c r="P123" s="3"/>
      <c r="Q123" s="3"/>
      <c r="R123" s="3"/>
      <c r="S123" s="3"/>
    </row>
    <row r="124" spans="1:19">
      <c r="A124" s="764" t="s">
        <v>286</v>
      </c>
      <c r="B124" s="766" t="s">
        <v>69</v>
      </c>
      <c r="C124" s="766" t="s">
        <v>70</v>
      </c>
      <c r="D124" s="768" t="s">
        <v>287</v>
      </c>
      <c r="E124" s="770" t="s">
        <v>288</v>
      </c>
      <c r="F124" s="758" t="s">
        <v>993</v>
      </c>
      <c r="G124" s="758"/>
      <c r="H124" s="758"/>
      <c r="I124" s="758"/>
      <c r="J124" s="758"/>
      <c r="K124" s="758"/>
      <c r="L124" s="758"/>
      <c r="M124" s="758"/>
      <c r="N124" s="758"/>
      <c r="O124" s="758"/>
      <c r="P124" s="758"/>
      <c r="Q124" s="759"/>
      <c r="R124" s="760" t="s">
        <v>289</v>
      </c>
      <c r="S124" s="762" t="s">
        <v>302</v>
      </c>
    </row>
    <row r="125" spans="1:19" ht="18" customHeight="1" thickBot="1">
      <c r="A125" s="765"/>
      <c r="B125" s="767"/>
      <c r="C125" s="767"/>
      <c r="D125" s="769"/>
      <c r="E125" s="771"/>
      <c r="F125" s="623" t="s">
        <v>987</v>
      </c>
      <c r="G125" s="623" t="s">
        <v>988</v>
      </c>
      <c r="H125" s="623" t="s">
        <v>989</v>
      </c>
      <c r="I125" s="623" t="s">
        <v>990</v>
      </c>
      <c r="J125" s="623" t="s">
        <v>991</v>
      </c>
      <c r="K125" s="623" t="s">
        <v>992</v>
      </c>
      <c r="L125" s="623" t="s">
        <v>994</v>
      </c>
      <c r="M125" s="623" t="s">
        <v>995</v>
      </c>
      <c r="N125" s="623" t="s">
        <v>996</v>
      </c>
      <c r="O125" s="623" t="s">
        <v>997</v>
      </c>
      <c r="P125" s="623" t="s">
        <v>998</v>
      </c>
      <c r="Q125" s="33" t="s">
        <v>999</v>
      </c>
      <c r="R125" s="761"/>
      <c r="S125" s="763"/>
    </row>
    <row r="126" spans="1:19" ht="24">
      <c r="A126" s="479"/>
      <c r="B126" s="519"/>
      <c r="C126" s="603" t="s">
        <v>300</v>
      </c>
      <c r="D126" s="116"/>
      <c r="E126" s="604"/>
      <c r="F126" s="117"/>
      <c r="G126" s="117"/>
      <c r="H126" s="117"/>
      <c r="I126" s="117"/>
      <c r="J126" s="117"/>
      <c r="K126" s="117"/>
      <c r="L126" s="117"/>
      <c r="M126" s="117"/>
      <c r="N126" s="117"/>
      <c r="O126" s="117"/>
      <c r="P126" s="117"/>
      <c r="Q126" s="118"/>
      <c r="R126" s="191">
        <f t="shared" ref="R126:R146" si="13">IF(E126="変更なし",D126,IF(E126="右記のとおり変更",Q126,0))</f>
        <v>0</v>
      </c>
      <c r="S126" s="192">
        <f t="shared" ref="S126:S146" si="14">IF(E126="変更なし",D126,IF(E126="右記のとおり変更",(D126+SUM(F126:P126))/12,0))</f>
        <v>0</v>
      </c>
    </row>
    <row r="127" spans="1:19" ht="24">
      <c r="A127" s="479"/>
      <c r="B127" s="519"/>
      <c r="C127" s="603" t="s">
        <v>300</v>
      </c>
      <c r="D127" s="116"/>
      <c r="E127" s="604"/>
      <c r="F127" s="116"/>
      <c r="G127" s="116"/>
      <c r="H127" s="116"/>
      <c r="I127" s="116"/>
      <c r="J127" s="116"/>
      <c r="K127" s="116"/>
      <c r="L127" s="116"/>
      <c r="M127" s="116"/>
      <c r="N127" s="116"/>
      <c r="O127" s="116"/>
      <c r="P127" s="116"/>
      <c r="Q127" s="119"/>
      <c r="R127" s="193">
        <f t="shared" si="13"/>
        <v>0</v>
      </c>
      <c r="S127" s="194">
        <f t="shared" si="14"/>
        <v>0</v>
      </c>
    </row>
    <row r="128" spans="1:19" ht="24">
      <c r="A128" s="479"/>
      <c r="B128" s="519"/>
      <c r="C128" s="603" t="s">
        <v>300</v>
      </c>
      <c r="D128" s="116"/>
      <c r="E128" s="604"/>
      <c r="F128" s="116"/>
      <c r="G128" s="116"/>
      <c r="H128" s="116"/>
      <c r="I128" s="116"/>
      <c r="J128" s="116"/>
      <c r="K128" s="116"/>
      <c r="L128" s="116"/>
      <c r="M128" s="116"/>
      <c r="N128" s="116"/>
      <c r="O128" s="116"/>
      <c r="P128" s="116"/>
      <c r="Q128" s="119"/>
      <c r="R128" s="193">
        <f t="shared" si="13"/>
        <v>0</v>
      </c>
      <c r="S128" s="194">
        <f t="shared" si="14"/>
        <v>0</v>
      </c>
    </row>
    <row r="129" spans="1:19" ht="24">
      <c r="A129" s="479"/>
      <c r="B129" s="519"/>
      <c r="C129" s="603" t="s">
        <v>300</v>
      </c>
      <c r="D129" s="116"/>
      <c r="E129" s="604"/>
      <c r="F129" s="116"/>
      <c r="G129" s="116"/>
      <c r="H129" s="116"/>
      <c r="I129" s="116"/>
      <c r="J129" s="116"/>
      <c r="K129" s="116"/>
      <c r="L129" s="116"/>
      <c r="M129" s="116"/>
      <c r="N129" s="116"/>
      <c r="O129" s="116"/>
      <c r="P129" s="116"/>
      <c r="Q129" s="119"/>
      <c r="R129" s="193">
        <f t="shared" si="13"/>
        <v>0</v>
      </c>
      <c r="S129" s="194">
        <f t="shared" si="14"/>
        <v>0</v>
      </c>
    </row>
    <row r="130" spans="1:19" ht="24">
      <c r="A130" s="479"/>
      <c r="B130" s="519"/>
      <c r="C130" s="603" t="s">
        <v>300</v>
      </c>
      <c r="D130" s="116"/>
      <c r="E130" s="604"/>
      <c r="F130" s="116"/>
      <c r="G130" s="116"/>
      <c r="H130" s="116"/>
      <c r="I130" s="116"/>
      <c r="J130" s="116"/>
      <c r="K130" s="116"/>
      <c r="L130" s="116"/>
      <c r="M130" s="116"/>
      <c r="N130" s="116"/>
      <c r="O130" s="116"/>
      <c r="P130" s="116"/>
      <c r="Q130" s="119"/>
      <c r="R130" s="193">
        <f t="shared" si="13"/>
        <v>0</v>
      </c>
      <c r="S130" s="194">
        <f t="shared" si="14"/>
        <v>0</v>
      </c>
    </row>
    <row r="131" spans="1:19" ht="24">
      <c r="A131" s="479"/>
      <c r="B131" s="519"/>
      <c r="C131" s="603" t="s">
        <v>300</v>
      </c>
      <c r="D131" s="116"/>
      <c r="E131" s="604"/>
      <c r="F131" s="116"/>
      <c r="G131" s="116"/>
      <c r="H131" s="116"/>
      <c r="I131" s="116"/>
      <c r="J131" s="116"/>
      <c r="K131" s="116"/>
      <c r="L131" s="116"/>
      <c r="M131" s="116"/>
      <c r="N131" s="116"/>
      <c r="O131" s="116"/>
      <c r="P131" s="116"/>
      <c r="Q131" s="119"/>
      <c r="R131" s="193">
        <f t="shared" si="13"/>
        <v>0</v>
      </c>
      <c r="S131" s="194">
        <f t="shared" si="14"/>
        <v>0</v>
      </c>
    </row>
    <row r="132" spans="1:19" ht="24">
      <c r="A132" s="479"/>
      <c r="B132" s="519"/>
      <c r="C132" s="603" t="s">
        <v>300</v>
      </c>
      <c r="D132" s="116"/>
      <c r="E132" s="604"/>
      <c r="F132" s="116"/>
      <c r="G132" s="116"/>
      <c r="H132" s="116"/>
      <c r="I132" s="116"/>
      <c r="J132" s="116"/>
      <c r="K132" s="116"/>
      <c r="L132" s="116"/>
      <c r="M132" s="116"/>
      <c r="N132" s="116"/>
      <c r="O132" s="116"/>
      <c r="P132" s="116"/>
      <c r="Q132" s="119"/>
      <c r="R132" s="193">
        <f t="shared" si="13"/>
        <v>0</v>
      </c>
      <c r="S132" s="194">
        <f t="shared" si="14"/>
        <v>0</v>
      </c>
    </row>
    <row r="133" spans="1:19" ht="24">
      <c r="A133" s="479"/>
      <c r="B133" s="519"/>
      <c r="C133" s="603" t="s">
        <v>300</v>
      </c>
      <c r="D133" s="116"/>
      <c r="E133" s="604"/>
      <c r="F133" s="116"/>
      <c r="G133" s="116"/>
      <c r="H133" s="116"/>
      <c r="I133" s="116"/>
      <c r="J133" s="116"/>
      <c r="K133" s="116"/>
      <c r="L133" s="116"/>
      <c r="M133" s="116"/>
      <c r="N133" s="116"/>
      <c r="O133" s="116"/>
      <c r="P133" s="116"/>
      <c r="Q133" s="119"/>
      <c r="R133" s="193">
        <f t="shared" si="13"/>
        <v>0</v>
      </c>
      <c r="S133" s="194">
        <f t="shared" si="14"/>
        <v>0</v>
      </c>
    </row>
    <row r="134" spans="1:19" ht="24">
      <c r="A134" s="479"/>
      <c r="B134" s="519"/>
      <c r="C134" s="603" t="s">
        <v>300</v>
      </c>
      <c r="D134" s="116"/>
      <c r="E134" s="604"/>
      <c r="F134" s="116"/>
      <c r="G134" s="116"/>
      <c r="H134" s="116"/>
      <c r="I134" s="116"/>
      <c r="J134" s="116"/>
      <c r="K134" s="116"/>
      <c r="L134" s="116"/>
      <c r="M134" s="116"/>
      <c r="N134" s="116"/>
      <c r="O134" s="116"/>
      <c r="P134" s="116"/>
      <c r="Q134" s="119"/>
      <c r="R134" s="193">
        <f t="shared" si="13"/>
        <v>0</v>
      </c>
      <c r="S134" s="194">
        <f t="shared" si="14"/>
        <v>0</v>
      </c>
    </row>
    <row r="135" spans="1:19" ht="24">
      <c r="A135" s="479"/>
      <c r="B135" s="519"/>
      <c r="C135" s="603" t="s">
        <v>300</v>
      </c>
      <c r="D135" s="116"/>
      <c r="E135" s="604"/>
      <c r="F135" s="116"/>
      <c r="G135" s="116"/>
      <c r="H135" s="116"/>
      <c r="I135" s="116"/>
      <c r="J135" s="116"/>
      <c r="K135" s="116"/>
      <c r="L135" s="116"/>
      <c r="M135" s="116"/>
      <c r="N135" s="116"/>
      <c r="O135" s="116"/>
      <c r="P135" s="116"/>
      <c r="Q135" s="119"/>
      <c r="R135" s="193">
        <f t="shared" si="13"/>
        <v>0</v>
      </c>
      <c r="S135" s="194">
        <f t="shared" si="14"/>
        <v>0</v>
      </c>
    </row>
    <row r="136" spans="1:19" ht="24">
      <c r="A136" s="479"/>
      <c r="B136" s="519"/>
      <c r="C136" s="603" t="s">
        <v>300</v>
      </c>
      <c r="D136" s="116"/>
      <c r="E136" s="604"/>
      <c r="F136" s="116"/>
      <c r="G136" s="116"/>
      <c r="H136" s="116"/>
      <c r="I136" s="116"/>
      <c r="J136" s="116"/>
      <c r="K136" s="116"/>
      <c r="L136" s="116"/>
      <c r="M136" s="116"/>
      <c r="N136" s="116"/>
      <c r="O136" s="116"/>
      <c r="P136" s="116"/>
      <c r="Q136" s="119"/>
      <c r="R136" s="193">
        <f t="shared" si="13"/>
        <v>0</v>
      </c>
      <c r="S136" s="194">
        <f t="shared" si="14"/>
        <v>0</v>
      </c>
    </row>
    <row r="137" spans="1:19" ht="24">
      <c r="A137" s="479"/>
      <c r="B137" s="519"/>
      <c r="C137" s="603" t="s">
        <v>300</v>
      </c>
      <c r="D137" s="116"/>
      <c r="E137" s="604"/>
      <c r="F137" s="116"/>
      <c r="G137" s="116"/>
      <c r="H137" s="116"/>
      <c r="I137" s="116"/>
      <c r="J137" s="116"/>
      <c r="K137" s="116"/>
      <c r="L137" s="116"/>
      <c r="M137" s="116"/>
      <c r="N137" s="116"/>
      <c r="O137" s="116"/>
      <c r="P137" s="116"/>
      <c r="Q137" s="119"/>
      <c r="R137" s="193">
        <f t="shared" si="13"/>
        <v>0</v>
      </c>
      <c r="S137" s="194">
        <f t="shared" si="14"/>
        <v>0</v>
      </c>
    </row>
    <row r="138" spans="1:19" ht="24">
      <c r="A138" s="479"/>
      <c r="B138" s="519"/>
      <c r="C138" s="603" t="s">
        <v>300</v>
      </c>
      <c r="D138" s="116"/>
      <c r="E138" s="604"/>
      <c r="F138" s="116"/>
      <c r="G138" s="116"/>
      <c r="H138" s="116"/>
      <c r="I138" s="116"/>
      <c r="J138" s="116"/>
      <c r="K138" s="116"/>
      <c r="L138" s="116"/>
      <c r="M138" s="116"/>
      <c r="N138" s="116"/>
      <c r="O138" s="116"/>
      <c r="P138" s="116"/>
      <c r="Q138" s="119"/>
      <c r="R138" s="193">
        <f t="shared" si="13"/>
        <v>0</v>
      </c>
      <c r="S138" s="194">
        <f t="shared" si="14"/>
        <v>0</v>
      </c>
    </row>
    <row r="139" spans="1:19" ht="24">
      <c r="A139" s="479"/>
      <c r="B139" s="519"/>
      <c r="C139" s="603" t="s">
        <v>300</v>
      </c>
      <c r="D139" s="116"/>
      <c r="E139" s="604"/>
      <c r="F139" s="116"/>
      <c r="G139" s="116"/>
      <c r="H139" s="116"/>
      <c r="I139" s="116"/>
      <c r="J139" s="116"/>
      <c r="K139" s="116"/>
      <c r="L139" s="116"/>
      <c r="M139" s="116"/>
      <c r="N139" s="116"/>
      <c r="O139" s="116"/>
      <c r="P139" s="116"/>
      <c r="Q139" s="119"/>
      <c r="R139" s="193">
        <f t="shared" si="13"/>
        <v>0</v>
      </c>
      <c r="S139" s="194">
        <f t="shared" si="14"/>
        <v>0</v>
      </c>
    </row>
    <row r="140" spans="1:19" ht="24">
      <c r="A140" s="479"/>
      <c r="B140" s="519"/>
      <c r="C140" s="603" t="s">
        <v>300</v>
      </c>
      <c r="D140" s="116"/>
      <c r="E140" s="604"/>
      <c r="F140" s="116"/>
      <c r="G140" s="116"/>
      <c r="H140" s="116"/>
      <c r="I140" s="116"/>
      <c r="J140" s="116"/>
      <c r="K140" s="116"/>
      <c r="L140" s="116"/>
      <c r="M140" s="116"/>
      <c r="N140" s="116"/>
      <c r="O140" s="116"/>
      <c r="P140" s="116"/>
      <c r="Q140" s="119"/>
      <c r="R140" s="193">
        <f t="shared" si="13"/>
        <v>0</v>
      </c>
      <c r="S140" s="194">
        <f t="shared" si="14"/>
        <v>0</v>
      </c>
    </row>
    <row r="141" spans="1:19" ht="24">
      <c r="A141" s="479"/>
      <c r="B141" s="519"/>
      <c r="C141" s="603" t="s">
        <v>300</v>
      </c>
      <c r="D141" s="116"/>
      <c r="E141" s="604"/>
      <c r="F141" s="116"/>
      <c r="G141" s="116"/>
      <c r="H141" s="116"/>
      <c r="I141" s="116"/>
      <c r="J141" s="116"/>
      <c r="K141" s="116"/>
      <c r="L141" s="116"/>
      <c r="M141" s="116"/>
      <c r="N141" s="116"/>
      <c r="O141" s="116"/>
      <c r="P141" s="116"/>
      <c r="Q141" s="119"/>
      <c r="R141" s="193">
        <f t="shared" si="13"/>
        <v>0</v>
      </c>
      <c r="S141" s="194">
        <f t="shared" si="14"/>
        <v>0</v>
      </c>
    </row>
    <row r="142" spans="1:19" ht="24">
      <c r="A142" s="479"/>
      <c r="B142" s="519"/>
      <c r="C142" s="603" t="s">
        <v>300</v>
      </c>
      <c r="D142" s="116"/>
      <c r="E142" s="604"/>
      <c r="F142" s="116"/>
      <c r="G142" s="116"/>
      <c r="H142" s="116"/>
      <c r="I142" s="116"/>
      <c r="J142" s="116"/>
      <c r="K142" s="116"/>
      <c r="L142" s="116"/>
      <c r="M142" s="116"/>
      <c r="N142" s="116"/>
      <c r="O142" s="116"/>
      <c r="P142" s="116"/>
      <c r="Q142" s="119"/>
      <c r="R142" s="193">
        <f t="shared" si="13"/>
        <v>0</v>
      </c>
      <c r="S142" s="194">
        <f t="shared" si="14"/>
        <v>0</v>
      </c>
    </row>
    <row r="143" spans="1:19" ht="24">
      <c r="A143" s="479"/>
      <c r="B143" s="519"/>
      <c r="C143" s="603" t="s">
        <v>300</v>
      </c>
      <c r="D143" s="116"/>
      <c r="E143" s="604"/>
      <c r="F143" s="116"/>
      <c r="G143" s="116"/>
      <c r="H143" s="116"/>
      <c r="I143" s="116"/>
      <c r="J143" s="116"/>
      <c r="K143" s="116"/>
      <c r="L143" s="116"/>
      <c r="M143" s="116"/>
      <c r="N143" s="116"/>
      <c r="O143" s="116"/>
      <c r="P143" s="116"/>
      <c r="Q143" s="119"/>
      <c r="R143" s="193">
        <f t="shared" si="13"/>
        <v>0</v>
      </c>
      <c r="S143" s="194">
        <f t="shared" si="14"/>
        <v>0</v>
      </c>
    </row>
    <row r="144" spans="1:19" ht="24">
      <c r="A144" s="479"/>
      <c r="B144" s="519"/>
      <c r="C144" s="603" t="s">
        <v>300</v>
      </c>
      <c r="D144" s="116"/>
      <c r="E144" s="604"/>
      <c r="F144" s="116"/>
      <c r="G144" s="116"/>
      <c r="H144" s="116"/>
      <c r="I144" s="116"/>
      <c r="J144" s="116"/>
      <c r="K144" s="116"/>
      <c r="L144" s="116"/>
      <c r="M144" s="116"/>
      <c r="N144" s="116"/>
      <c r="O144" s="116"/>
      <c r="P144" s="116"/>
      <c r="Q144" s="119"/>
      <c r="R144" s="193">
        <f t="shared" si="13"/>
        <v>0</v>
      </c>
      <c r="S144" s="194">
        <f t="shared" si="14"/>
        <v>0</v>
      </c>
    </row>
    <row r="145" spans="1:19" ht="24">
      <c r="A145" s="479"/>
      <c r="B145" s="519"/>
      <c r="C145" s="603" t="s">
        <v>300</v>
      </c>
      <c r="D145" s="116"/>
      <c r="E145" s="604"/>
      <c r="F145" s="116"/>
      <c r="G145" s="116"/>
      <c r="H145" s="116"/>
      <c r="I145" s="116"/>
      <c r="J145" s="116"/>
      <c r="K145" s="116"/>
      <c r="L145" s="116"/>
      <c r="M145" s="116"/>
      <c r="N145" s="116"/>
      <c r="O145" s="116"/>
      <c r="P145" s="116"/>
      <c r="Q145" s="119"/>
      <c r="R145" s="193">
        <f t="shared" si="13"/>
        <v>0</v>
      </c>
      <c r="S145" s="194">
        <f t="shared" si="14"/>
        <v>0</v>
      </c>
    </row>
    <row r="146" spans="1:19" ht="24">
      <c r="A146" s="479"/>
      <c r="B146" s="519"/>
      <c r="C146" s="603" t="s">
        <v>300</v>
      </c>
      <c r="D146" s="116"/>
      <c r="E146" s="604"/>
      <c r="F146" s="116"/>
      <c r="G146" s="116"/>
      <c r="H146" s="116"/>
      <c r="I146" s="116"/>
      <c r="J146" s="116"/>
      <c r="K146" s="116"/>
      <c r="L146" s="116"/>
      <c r="M146" s="116"/>
      <c r="N146" s="116"/>
      <c r="O146" s="116"/>
      <c r="P146" s="116"/>
      <c r="Q146" s="119"/>
      <c r="R146" s="193">
        <f t="shared" si="13"/>
        <v>0</v>
      </c>
      <c r="S146" s="194">
        <f t="shared" si="14"/>
        <v>0</v>
      </c>
    </row>
    <row r="147" spans="1:19" ht="24">
      <c r="A147" s="479"/>
      <c r="B147" s="519"/>
      <c r="C147" s="603" t="s">
        <v>300</v>
      </c>
      <c r="D147" s="116"/>
      <c r="E147" s="604"/>
      <c r="F147" s="116"/>
      <c r="G147" s="116"/>
      <c r="H147" s="116"/>
      <c r="I147" s="116"/>
      <c r="J147" s="116"/>
      <c r="K147" s="116"/>
      <c r="L147" s="116"/>
      <c r="M147" s="116"/>
      <c r="N147" s="116"/>
      <c r="O147" s="116"/>
      <c r="P147" s="116"/>
      <c r="Q147" s="119"/>
      <c r="R147" s="193">
        <f>IF(E147="変更なし",D147,IF(E147="右記のとおり変更",Q147,0))</f>
        <v>0</v>
      </c>
      <c r="S147" s="194">
        <f>IF(E147="変更なし",D147,IF(E147="右記のとおり変更",(D147+SUM(F147:P147))/12,0))</f>
        <v>0</v>
      </c>
    </row>
    <row r="148" spans="1:19" ht="24">
      <c r="A148" s="479"/>
      <c r="B148" s="519"/>
      <c r="C148" s="603" t="s">
        <v>300</v>
      </c>
      <c r="D148" s="116"/>
      <c r="E148" s="604"/>
      <c r="F148" s="116"/>
      <c r="G148" s="116"/>
      <c r="H148" s="116"/>
      <c r="I148" s="116"/>
      <c r="J148" s="116"/>
      <c r="K148" s="116"/>
      <c r="L148" s="116"/>
      <c r="M148" s="116"/>
      <c r="N148" s="116"/>
      <c r="O148" s="116"/>
      <c r="P148" s="116"/>
      <c r="Q148" s="119"/>
      <c r="R148" s="193">
        <f>IF(E148="変更なし",D148,IF(E148="右記のとおり変更",Q148,0))</f>
        <v>0</v>
      </c>
      <c r="S148" s="194">
        <f>IF(E148="変更なし",D148,IF(E148="右記のとおり変更",(D148+SUM(F148:P148))/12,0))</f>
        <v>0</v>
      </c>
    </row>
    <row r="149" spans="1:19" ht="24">
      <c r="A149" s="479"/>
      <c r="B149" s="519"/>
      <c r="C149" s="603" t="s">
        <v>300</v>
      </c>
      <c r="D149" s="116"/>
      <c r="E149" s="604"/>
      <c r="F149" s="116"/>
      <c r="G149" s="116"/>
      <c r="H149" s="116"/>
      <c r="I149" s="116"/>
      <c r="J149" s="116"/>
      <c r="K149" s="116"/>
      <c r="L149" s="116"/>
      <c r="M149" s="116"/>
      <c r="N149" s="116"/>
      <c r="O149" s="116"/>
      <c r="P149" s="116"/>
      <c r="Q149" s="119"/>
      <c r="R149" s="193">
        <f>IF(E149="変更なし",D149,IF(E149="右記のとおり変更",Q149,0))</f>
        <v>0</v>
      </c>
      <c r="S149" s="194">
        <f>IF(E149="変更なし",D149,IF(E149="右記のとおり変更",(D149+SUM(F149:P149))/12,0))</f>
        <v>0</v>
      </c>
    </row>
    <row r="150" spans="1:19" ht="24">
      <c r="A150" s="481"/>
      <c r="B150" s="519"/>
      <c r="C150" s="562" t="s">
        <v>300</v>
      </c>
      <c r="D150" s="120"/>
      <c r="E150" s="604"/>
      <c r="F150" s="120"/>
      <c r="G150" s="120"/>
      <c r="H150" s="120"/>
      <c r="I150" s="120"/>
      <c r="J150" s="120"/>
      <c r="K150" s="120"/>
      <c r="L150" s="120"/>
      <c r="M150" s="120"/>
      <c r="N150" s="120"/>
      <c r="O150" s="120"/>
      <c r="P150" s="120"/>
      <c r="Q150" s="121"/>
      <c r="R150" s="197">
        <f>IF(E150="変更なし",D150,IF(E150="右記のとおり変更",Q150,0))</f>
        <v>0</v>
      </c>
      <c r="S150" s="198">
        <f>IF(E150="変更なし",D150,IF(E150="右記のとおり変更",(D150+SUM(F150:P150))/12,0))</f>
        <v>0</v>
      </c>
    </row>
    <row r="151" spans="1:19" ht="24">
      <c r="A151" s="481"/>
      <c r="B151" s="519"/>
      <c r="C151" s="562" t="s">
        <v>300</v>
      </c>
      <c r="D151" s="120"/>
      <c r="E151" s="604"/>
      <c r="F151" s="120"/>
      <c r="G151" s="120"/>
      <c r="H151" s="120"/>
      <c r="I151" s="120"/>
      <c r="J151" s="120"/>
      <c r="K151" s="120"/>
      <c r="L151" s="120"/>
      <c r="M151" s="120"/>
      <c r="N151" s="120"/>
      <c r="O151" s="120"/>
      <c r="P151" s="120"/>
      <c r="Q151" s="121"/>
      <c r="R151" s="197">
        <f t="shared" ref="R151:R160" si="15">IF(E151="変更なし",D151,IF(E151="右記のとおり変更",Q151,0))</f>
        <v>0</v>
      </c>
      <c r="S151" s="198">
        <f t="shared" ref="S151:S160" si="16">IF(E151="変更なし",D151,IF(E151="右記のとおり変更",(D151+SUM(F151:P151))/12,0))</f>
        <v>0</v>
      </c>
    </row>
    <row r="152" spans="1:19" ht="24">
      <c r="A152" s="481"/>
      <c r="B152" s="519"/>
      <c r="C152" s="562" t="s">
        <v>300</v>
      </c>
      <c r="D152" s="120"/>
      <c r="E152" s="604"/>
      <c r="F152" s="120"/>
      <c r="G152" s="120"/>
      <c r="H152" s="120"/>
      <c r="I152" s="120"/>
      <c r="J152" s="120"/>
      <c r="K152" s="120"/>
      <c r="L152" s="120"/>
      <c r="M152" s="120"/>
      <c r="N152" s="120"/>
      <c r="O152" s="120"/>
      <c r="P152" s="120"/>
      <c r="Q152" s="121"/>
      <c r="R152" s="197">
        <f t="shared" si="15"/>
        <v>0</v>
      </c>
      <c r="S152" s="198">
        <f t="shared" si="16"/>
        <v>0</v>
      </c>
    </row>
    <row r="153" spans="1:19" ht="24">
      <c r="A153" s="481"/>
      <c r="B153" s="519"/>
      <c r="C153" s="562" t="s">
        <v>300</v>
      </c>
      <c r="D153" s="120"/>
      <c r="E153" s="604"/>
      <c r="F153" s="120"/>
      <c r="G153" s="120"/>
      <c r="H153" s="120"/>
      <c r="I153" s="120"/>
      <c r="J153" s="120"/>
      <c r="K153" s="120"/>
      <c r="L153" s="120"/>
      <c r="M153" s="120"/>
      <c r="N153" s="120"/>
      <c r="O153" s="120"/>
      <c r="P153" s="120"/>
      <c r="Q153" s="121"/>
      <c r="R153" s="197">
        <f t="shared" si="15"/>
        <v>0</v>
      </c>
      <c r="S153" s="198">
        <f t="shared" si="16"/>
        <v>0</v>
      </c>
    </row>
    <row r="154" spans="1:19" ht="24">
      <c r="A154" s="481"/>
      <c r="B154" s="519"/>
      <c r="C154" s="562" t="s">
        <v>300</v>
      </c>
      <c r="D154" s="120"/>
      <c r="E154" s="604"/>
      <c r="F154" s="120"/>
      <c r="G154" s="120"/>
      <c r="H154" s="120"/>
      <c r="I154" s="120"/>
      <c r="J154" s="120"/>
      <c r="K154" s="120"/>
      <c r="L154" s="120"/>
      <c r="M154" s="120"/>
      <c r="N154" s="120"/>
      <c r="O154" s="120"/>
      <c r="P154" s="120"/>
      <c r="Q154" s="121"/>
      <c r="R154" s="197">
        <f t="shared" si="15"/>
        <v>0</v>
      </c>
      <c r="S154" s="198">
        <f t="shared" si="16"/>
        <v>0</v>
      </c>
    </row>
    <row r="155" spans="1:19" ht="24">
      <c r="A155" s="481"/>
      <c r="B155" s="519"/>
      <c r="C155" s="562" t="s">
        <v>300</v>
      </c>
      <c r="D155" s="120"/>
      <c r="E155" s="604"/>
      <c r="F155" s="120"/>
      <c r="G155" s="120"/>
      <c r="H155" s="120"/>
      <c r="I155" s="120"/>
      <c r="J155" s="120"/>
      <c r="K155" s="120"/>
      <c r="L155" s="120"/>
      <c r="M155" s="120"/>
      <c r="N155" s="120"/>
      <c r="O155" s="120"/>
      <c r="P155" s="120"/>
      <c r="Q155" s="121"/>
      <c r="R155" s="197">
        <f t="shared" si="15"/>
        <v>0</v>
      </c>
      <c r="S155" s="198">
        <f t="shared" si="16"/>
        <v>0</v>
      </c>
    </row>
    <row r="156" spans="1:19" ht="24">
      <c r="A156" s="481"/>
      <c r="B156" s="519"/>
      <c r="C156" s="562" t="s">
        <v>300</v>
      </c>
      <c r="D156" s="120"/>
      <c r="E156" s="604"/>
      <c r="F156" s="120"/>
      <c r="G156" s="120"/>
      <c r="H156" s="120"/>
      <c r="I156" s="120"/>
      <c r="J156" s="120"/>
      <c r="K156" s="120"/>
      <c r="L156" s="120"/>
      <c r="M156" s="120"/>
      <c r="N156" s="120"/>
      <c r="O156" s="120"/>
      <c r="P156" s="120"/>
      <c r="Q156" s="121"/>
      <c r="R156" s="197">
        <f t="shared" si="15"/>
        <v>0</v>
      </c>
      <c r="S156" s="198">
        <f t="shared" si="16"/>
        <v>0</v>
      </c>
    </row>
    <row r="157" spans="1:19" ht="24">
      <c r="A157" s="481"/>
      <c r="B157" s="519"/>
      <c r="C157" s="562" t="s">
        <v>300</v>
      </c>
      <c r="D157" s="120"/>
      <c r="E157" s="604"/>
      <c r="F157" s="120"/>
      <c r="G157" s="120"/>
      <c r="H157" s="120"/>
      <c r="I157" s="120"/>
      <c r="J157" s="120"/>
      <c r="K157" s="120"/>
      <c r="L157" s="120"/>
      <c r="M157" s="120"/>
      <c r="N157" s="120"/>
      <c r="O157" s="120"/>
      <c r="P157" s="120"/>
      <c r="Q157" s="121"/>
      <c r="R157" s="197">
        <f t="shared" si="15"/>
        <v>0</v>
      </c>
      <c r="S157" s="198">
        <f t="shared" si="16"/>
        <v>0</v>
      </c>
    </row>
    <row r="158" spans="1:19" ht="24">
      <c r="A158" s="481"/>
      <c r="B158" s="519"/>
      <c r="C158" s="562" t="s">
        <v>300</v>
      </c>
      <c r="D158" s="120"/>
      <c r="E158" s="604"/>
      <c r="F158" s="120"/>
      <c r="G158" s="120"/>
      <c r="H158" s="120"/>
      <c r="I158" s="120"/>
      <c r="J158" s="120"/>
      <c r="K158" s="120"/>
      <c r="L158" s="120"/>
      <c r="M158" s="120"/>
      <c r="N158" s="120"/>
      <c r="O158" s="120"/>
      <c r="P158" s="120"/>
      <c r="Q158" s="121"/>
      <c r="R158" s="197">
        <f t="shared" si="15"/>
        <v>0</v>
      </c>
      <c r="S158" s="198">
        <f t="shared" si="16"/>
        <v>0</v>
      </c>
    </row>
    <row r="159" spans="1:19" ht="24">
      <c r="A159" s="481"/>
      <c r="B159" s="519"/>
      <c r="C159" s="562" t="s">
        <v>300</v>
      </c>
      <c r="D159" s="120"/>
      <c r="E159" s="604"/>
      <c r="F159" s="120"/>
      <c r="G159" s="120"/>
      <c r="H159" s="120"/>
      <c r="I159" s="120"/>
      <c r="J159" s="120"/>
      <c r="K159" s="120"/>
      <c r="L159" s="120"/>
      <c r="M159" s="120"/>
      <c r="N159" s="120"/>
      <c r="O159" s="120"/>
      <c r="P159" s="120"/>
      <c r="Q159" s="121"/>
      <c r="R159" s="197">
        <f t="shared" si="15"/>
        <v>0</v>
      </c>
      <c r="S159" s="198">
        <f t="shared" si="16"/>
        <v>0</v>
      </c>
    </row>
    <row r="160" spans="1:19" ht="24.75" thickBot="1">
      <c r="A160" s="480"/>
      <c r="B160" s="411"/>
      <c r="C160" s="605" t="s">
        <v>300</v>
      </c>
      <c r="D160" s="140"/>
      <c r="E160" s="606"/>
      <c r="F160" s="140"/>
      <c r="G160" s="140"/>
      <c r="H160" s="140"/>
      <c r="I160" s="140"/>
      <c r="J160" s="140"/>
      <c r="K160" s="140"/>
      <c r="L160" s="140"/>
      <c r="M160" s="140"/>
      <c r="N160" s="140"/>
      <c r="O160" s="140"/>
      <c r="P160" s="140"/>
      <c r="Q160" s="141"/>
      <c r="R160" s="195">
        <f t="shared" si="15"/>
        <v>0</v>
      </c>
      <c r="S160" s="196">
        <f t="shared" si="16"/>
        <v>0</v>
      </c>
    </row>
    <row r="161" spans="1:19" ht="28.5" customHeight="1">
      <c r="A161" s="3" t="s">
        <v>390</v>
      </c>
      <c r="B161" s="3"/>
      <c r="C161" s="3"/>
      <c r="D161" s="3"/>
      <c r="E161" s="3"/>
      <c r="F161" s="3"/>
      <c r="G161" s="3"/>
      <c r="H161" s="3"/>
      <c r="I161" s="3"/>
      <c r="J161" s="3"/>
      <c r="K161" s="3"/>
      <c r="L161" s="3"/>
      <c r="M161" s="3"/>
      <c r="N161" s="3"/>
      <c r="O161" s="3"/>
      <c r="P161" s="743" t="s">
        <v>0</v>
      </c>
      <c r="Q161" s="744"/>
      <c r="R161" s="745" t="str">
        <f>IF(事業所概要_算定体制!$D$13="","",事業所概要_算定体制!$D$13)</f>
        <v/>
      </c>
      <c r="S161" s="746"/>
    </row>
    <row r="162" spans="1:19">
      <c r="A162" s="3"/>
      <c r="B162" s="3"/>
      <c r="C162" s="3"/>
      <c r="D162" s="3"/>
      <c r="E162" s="3"/>
      <c r="F162" s="3"/>
      <c r="G162" s="3"/>
      <c r="H162" s="3"/>
      <c r="I162" s="3"/>
      <c r="J162" s="3"/>
      <c r="K162" s="3"/>
      <c r="L162" s="3"/>
      <c r="M162" s="3"/>
      <c r="N162" s="3"/>
      <c r="O162" s="3"/>
      <c r="P162" s="3"/>
      <c r="Q162" s="3"/>
      <c r="R162" s="747" t="str">
        <f>CONCATENATE(事業所概要_算定体制!$B$3,事業所概要_算定体制!$C$3,"年度")</f>
        <v>令和７年度</v>
      </c>
      <c r="S162" s="747"/>
    </row>
    <row r="163" spans="1:19" ht="18.75" thickBot="1">
      <c r="A163" s="3" t="s">
        <v>389</v>
      </c>
      <c r="B163" s="3"/>
      <c r="C163" s="3"/>
      <c r="D163" s="3"/>
      <c r="E163" s="3"/>
      <c r="F163" s="3"/>
      <c r="G163" s="3"/>
      <c r="H163" s="3"/>
      <c r="I163" s="3"/>
      <c r="J163" s="3"/>
      <c r="K163" s="3"/>
      <c r="L163" s="3"/>
      <c r="M163" s="3"/>
      <c r="N163" s="3"/>
      <c r="O163" s="3"/>
      <c r="P163" s="3"/>
      <c r="Q163" s="3"/>
      <c r="R163" s="3"/>
      <c r="S163" s="3"/>
    </row>
    <row r="164" spans="1:19">
      <c r="A164" s="764" t="s">
        <v>286</v>
      </c>
      <c r="B164" s="766" t="s">
        <v>69</v>
      </c>
      <c r="C164" s="766" t="s">
        <v>70</v>
      </c>
      <c r="D164" s="768" t="s">
        <v>287</v>
      </c>
      <c r="E164" s="770" t="s">
        <v>288</v>
      </c>
      <c r="F164" s="758" t="s">
        <v>993</v>
      </c>
      <c r="G164" s="758"/>
      <c r="H164" s="758"/>
      <c r="I164" s="758"/>
      <c r="J164" s="758"/>
      <c r="K164" s="758"/>
      <c r="L164" s="758"/>
      <c r="M164" s="758"/>
      <c r="N164" s="758"/>
      <c r="O164" s="758"/>
      <c r="P164" s="758"/>
      <c r="Q164" s="759"/>
      <c r="R164" s="760" t="s">
        <v>289</v>
      </c>
      <c r="S164" s="762" t="s">
        <v>302</v>
      </c>
    </row>
    <row r="165" spans="1:19" ht="18.75" thickBot="1">
      <c r="A165" s="765"/>
      <c r="B165" s="767"/>
      <c r="C165" s="767"/>
      <c r="D165" s="769"/>
      <c r="E165" s="771"/>
      <c r="F165" s="623" t="s">
        <v>987</v>
      </c>
      <c r="G165" s="623" t="s">
        <v>988</v>
      </c>
      <c r="H165" s="623" t="s">
        <v>989</v>
      </c>
      <c r="I165" s="623" t="s">
        <v>990</v>
      </c>
      <c r="J165" s="623" t="s">
        <v>991</v>
      </c>
      <c r="K165" s="623" t="s">
        <v>992</v>
      </c>
      <c r="L165" s="623" t="s">
        <v>994</v>
      </c>
      <c r="M165" s="623" t="s">
        <v>995</v>
      </c>
      <c r="N165" s="623" t="s">
        <v>996</v>
      </c>
      <c r="O165" s="623" t="s">
        <v>997</v>
      </c>
      <c r="P165" s="623" t="s">
        <v>998</v>
      </c>
      <c r="Q165" s="33" t="s">
        <v>999</v>
      </c>
      <c r="R165" s="761"/>
      <c r="S165" s="763"/>
    </row>
    <row r="166" spans="1:19" ht="24">
      <c r="A166" s="479"/>
      <c r="B166" s="519"/>
      <c r="C166" s="603" t="s">
        <v>300</v>
      </c>
      <c r="D166" s="116"/>
      <c r="E166" s="604"/>
      <c r="F166" s="117"/>
      <c r="G166" s="117"/>
      <c r="H166" s="117"/>
      <c r="I166" s="117"/>
      <c r="J166" s="117"/>
      <c r="K166" s="117"/>
      <c r="L166" s="117"/>
      <c r="M166" s="117"/>
      <c r="N166" s="117"/>
      <c r="O166" s="117"/>
      <c r="P166" s="117"/>
      <c r="Q166" s="118"/>
      <c r="R166" s="191">
        <f t="shared" ref="R166:R186" si="17">IF(E166="変更なし",D166,IF(E166="右記のとおり変更",Q166,0))</f>
        <v>0</v>
      </c>
      <c r="S166" s="192">
        <f t="shared" ref="S166:S186" si="18">IF(E166="変更なし",D166,IF(E166="右記のとおり変更",(D166+SUM(F166:P166))/12,0))</f>
        <v>0</v>
      </c>
    </row>
    <row r="167" spans="1:19" ht="24">
      <c r="A167" s="479"/>
      <c r="B167" s="519"/>
      <c r="C167" s="603" t="s">
        <v>300</v>
      </c>
      <c r="D167" s="116"/>
      <c r="E167" s="604"/>
      <c r="F167" s="116"/>
      <c r="G167" s="116"/>
      <c r="H167" s="116"/>
      <c r="I167" s="116"/>
      <c r="J167" s="116"/>
      <c r="K167" s="116"/>
      <c r="L167" s="116"/>
      <c r="M167" s="116"/>
      <c r="N167" s="116"/>
      <c r="O167" s="116"/>
      <c r="P167" s="116"/>
      <c r="Q167" s="119"/>
      <c r="R167" s="193">
        <f t="shared" si="17"/>
        <v>0</v>
      </c>
      <c r="S167" s="194">
        <f t="shared" si="18"/>
        <v>0</v>
      </c>
    </row>
    <row r="168" spans="1:19" ht="24">
      <c r="A168" s="479"/>
      <c r="B168" s="519"/>
      <c r="C168" s="603" t="s">
        <v>300</v>
      </c>
      <c r="D168" s="116"/>
      <c r="E168" s="604"/>
      <c r="F168" s="116"/>
      <c r="G168" s="116"/>
      <c r="H168" s="116"/>
      <c r="I168" s="116"/>
      <c r="J168" s="116"/>
      <c r="K168" s="116"/>
      <c r="L168" s="116"/>
      <c r="M168" s="116"/>
      <c r="N168" s="116"/>
      <c r="O168" s="116"/>
      <c r="P168" s="116"/>
      <c r="Q168" s="119"/>
      <c r="R168" s="193">
        <f t="shared" si="17"/>
        <v>0</v>
      </c>
      <c r="S168" s="194">
        <f t="shared" si="18"/>
        <v>0</v>
      </c>
    </row>
    <row r="169" spans="1:19" ht="24">
      <c r="A169" s="479"/>
      <c r="B169" s="519"/>
      <c r="C169" s="603" t="s">
        <v>300</v>
      </c>
      <c r="D169" s="116"/>
      <c r="E169" s="604"/>
      <c r="F169" s="116"/>
      <c r="G169" s="116"/>
      <c r="H169" s="116"/>
      <c r="I169" s="116"/>
      <c r="J169" s="116"/>
      <c r="K169" s="116"/>
      <c r="L169" s="116"/>
      <c r="M169" s="116"/>
      <c r="N169" s="116"/>
      <c r="O169" s="116"/>
      <c r="P169" s="116"/>
      <c r="Q169" s="119"/>
      <c r="R169" s="193">
        <f t="shared" si="17"/>
        <v>0</v>
      </c>
      <c r="S169" s="194">
        <f t="shared" si="18"/>
        <v>0</v>
      </c>
    </row>
    <row r="170" spans="1:19" ht="24">
      <c r="A170" s="479"/>
      <c r="B170" s="519"/>
      <c r="C170" s="603" t="s">
        <v>300</v>
      </c>
      <c r="D170" s="116"/>
      <c r="E170" s="604"/>
      <c r="F170" s="116"/>
      <c r="G170" s="116"/>
      <c r="H170" s="116"/>
      <c r="I170" s="116"/>
      <c r="J170" s="116"/>
      <c r="K170" s="116"/>
      <c r="L170" s="116"/>
      <c r="M170" s="116"/>
      <c r="N170" s="116"/>
      <c r="O170" s="116"/>
      <c r="P170" s="116"/>
      <c r="Q170" s="119"/>
      <c r="R170" s="193">
        <f t="shared" si="17"/>
        <v>0</v>
      </c>
      <c r="S170" s="194">
        <f t="shared" si="18"/>
        <v>0</v>
      </c>
    </row>
    <row r="171" spans="1:19" ht="24">
      <c r="A171" s="479"/>
      <c r="B171" s="519"/>
      <c r="C171" s="603" t="s">
        <v>300</v>
      </c>
      <c r="D171" s="116"/>
      <c r="E171" s="604"/>
      <c r="F171" s="116"/>
      <c r="G171" s="116"/>
      <c r="H171" s="116"/>
      <c r="I171" s="116"/>
      <c r="J171" s="116"/>
      <c r="K171" s="116"/>
      <c r="L171" s="116"/>
      <c r="M171" s="116"/>
      <c r="N171" s="116"/>
      <c r="O171" s="116"/>
      <c r="P171" s="116"/>
      <c r="Q171" s="119"/>
      <c r="R171" s="193">
        <f t="shared" si="17"/>
        <v>0</v>
      </c>
      <c r="S171" s="194">
        <f t="shared" si="18"/>
        <v>0</v>
      </c>
    </row>
    <row r="172" spans="1:19" ht="24">
      <c r="A172" s="479"/>
      <c r="B172" s="519"/>
      <c r="C172" s="603" t="s">
        <v>300</v>
      </c>
      <c r="D172" s="116"/>
      <c r="E172" s="604"/>
      <c r="F172" s="116"/>
      <c r="G172" s="116"/>
      <c r="H172" s="116"/>
      <c r="I172" s="116"/>
      <c r="J172" s="116"/>
      <c r="K172" s="116"/>
      <c r="L172" s="116"/>
      <c r="M172" s="116"/>
      <c r="N172" s="116"/>
      <c r="O172" s="116"/>
      <c r="P172" s="116"/>
      <c r="Q172" s="119"/>
      <c r="R172" s="193">
        <f t="shared" si="17"/>
        <v>0</v>
      </c>
      <c r="S172" s="194">
        <f t="shared" si="18"/>
        <v>0</v>
      </c>
    </row>
    <row r="173" spans="1:19" ht="24">
      <c r="A173" s="479"/>
      <c r="B173" s="519"/>
      <c r="C173" s="603" t="s">
        <v>300</v>
      </c>
      <c r="D173" s="116"/>
      <c r="E173" s="604"/>
      <c r="F173" s="116"/>
      <c r="G173" s="116"/>
      <c r="H173" s="116"/>
      <c r="I173" s="116"/>
      <c r="J173" s="116"/>
      <c r="K173" s="116"/>
      <c r="L173" s="116"/>
      <c r="M173" s="116"/>
      <c r="N173" s="116"/>
      <c r="O173" s="116"/>
      <c r="P173" s="116"/>
      <c r="Q173" s="119"/>
      <c r="R173" s="193">
        <f t="shared" si="17"/>
        <v>0</v>
      </c>
      <c r="S173" s="194">
        <f t="shared" si="18"/>
        <v>0</v>
      </c>
    </row>
    <row r="174" spans="1:19" ht="24">
      <c r="A174" s="479"/>
      <c r="B174" s="519"/>
      <c r="C174" s="603" t="s">
        <v>300</v>
      </c>
      <c r="D174" s="116"/>
      <c r="E174" s="604"/>
      <c r="F174" s="116"/>
      <c r="G174" s="116"/>
      <c r="H174" s="116"/>
      <c r="I174" s="116"/>
      <c r="J174" s="116"/>
      <c r="K174" s="116"/>
      <c r="L174" s="116"/>
      <c r="M174" s="116"/>
      <c r="N174" s="116"/>
      <c r="O174" s="116"/>
      <c r="P174" s="116"/>
      <c r="Q174" s="119"/>
      <c r="R174" s="193">
        <f t="shared" si="17"/>
        <v>0</v>
      </c>
      <c r="S174" s="194">
        <f t="shared" si="18"/>
        <v>0</v>
      </c>
    </row>
    <row r="175" spans="1:19" ht="24">
      <c r="A175" s="479"/>
      <c r="B175" s="519"/>
      <c r="C175" s="603" t="s">
        <v>300</v>
      </c>
      <c r="D175" s="116"/>
      <c r="E175" s="604"/>
      <c r="F175" s="116"/>
      <c r="G175" s="116"/>
      <c r="H175" s="116"/>
      <c r="I175" s="116"/>
      <c r="J175" s="116"/>
      <c r="K175" s="116"/>
      <c r="L175" s="116"/>
      <c r="M175" s="116"/>
      <c r="N175" s="116"/>
      <c r="O175" s="116"/>
      <c r="P175" s="116"/>
      <c r="Q175" s="119"/>
      <c r="R175" s="193">
        <f t="shared" si="17"/>
        <v>0</v>
      </c>
      <c r="S175" s="194">
        <f t="shared" si="18"/>
        <v>0</v>
      </c>
    </row>
    <row r="176" spans="1:19" ht="24">
      <c r="A176" s="479"/>
      <c r="B176" s="519"/>
      <c r="C176" s="603" t="s">
        <v>300</v>
      </c>
      <c r="D176" s="116"/>
      <c r="E176" s="604"/>
      <c r="F176" s="116"/>
      <c r="G176" s="116"/>
      <c r="H176" s="116"/>
      <c r="I176" s="116"/>
      <c r="J176" s="116"/>
      <c r="K176" s="116"/>
      <c r="L176" s="116"/>
      <c r="M176" s="116"/>
      <c r="N176" s="116"/>
      <c r="O176" s="116"/>
      <c r="P176" s="116"/>
      <c r="Q176" s="119"/>
      <c r="R176" s="193">
        <f t="shared" si="17"/>
        <v>0</v>
      </c>
      <c r="S176" s="194">
        <f t="shared" si="18"/>
        <v>0</v>
      </c>
    </row>
    <row r="177" spans="1:19" ht="24">
      <c r="A177" s="479"/>
      <c r="B177" s="519"/>
      <c r="C177" s="603" t="s">
        <v>300</v>
      </c>
      <c r="D177" s="116"/>
      <c r="E177" s="604"/>
      <c r="F177" s="116"/>
      <c r="G177" s="116"/>
      <c r="H177" s="116"/>
      <c r="I177" s="116"/>
      <c r="J177" s="116"/>
      <c r="K177" s="116"/>
      <c r="L177" s="116"/>
      <c r="M177" s="116"/>
      <c r="N177" s="116"/>
      <c r="O177" s="116"/>
      <c r="P177" s="116"/>
      <c r="Q177" s="119"/>
      <c r="R177" s="193">
        <f t="shared" si="17"/>
        <v>0</v>
      </c>
      <c r="S177" s="194">
        <f t="shared" si="18"/>
        <v>0</v>
      </c>
    </row>
    <row r="178" spans="1:19" ht="24">
      <c r="A178" s="479"/>
      <c r="B178" s="519"/>
      <c r="C178" s="603" t="s">
        <v>300</v>
      </c>
      <c r="D178" s="116"/>
      <c r="E178" s="604"/>
      <c r="F178" s="116"/>
      <c r="G178" s="116"/>
      <c r="H178" s="116"/>
      <c r="I178" s="116"/>
      <c r="J178" s="116"/>
      <c r="K178" s="116"/>
      <c r="L178" s="116"/>
      <c r="M178" s="116"/>
      <c r="N178" s="116"/>
      <c r="O178" s="116"/>
      <c r="P178" s="116"/>
      <c r="Q178" s="119"/>
      <c r="R178" s="193">
        <f t="shared" si="17"/>
        <v>0</v>
      </c>
      <c r="S178" s="194">
        <f t="shared" si="18"/>
        <v>0</v>
      </c>
    </row>
    <row r="179" spans="1:19" ht="24">
      <c r="A179" s="479"/>
      <c r="B179" s="519"/>
      <c r="C179" s="603" t="s">
        <v>300</v>
      </c>
      <c r="D179" s="116"/>
      <c r="E179" s="604"/>
      <c r="F179" s="116"/>
      <c r="G179" s="116"/>
      <c r="H179" s="116"/>
      <c r="I179" s="116"/>
      <c r="J179" s="116"/>
      <c r="K179" s="116"/>
      <c r="L179" s="116"/>
      <c r="M179" s="116"/>
      <c r="N179" s="116"/>
      <c r="O179" s="116"/>
      <c r="P179" s="116"/>
      <c r="Q179" s="119"/>
      <c r="R179" s="193">
        <f t="shared" si="17"/>
        <v>0</v>
      </c>
      <c r="S179" s="194">
        <f t="shared" si="18"/>
        <v>0</v>
      </c>
    </row>
    <row r="180" spans="1:19" ht="24">
      <c r="A180" s="479"/>
      <c r="B180" s="519"/>
      <c r="C180" s="603" t="s">
        <v>300</v>
      </c>
      <c r="D180" s="116"/>
      <c r="E180" s="604"/>
      <c r="F180" s="116"/>
      <c r="G180" s="116"/>
      <c r="H180" s="116"/>
      <c r="I180" s="116"/>
      <c r="J180" s="116"/>
      <c r="K180" s="116"/>
      <c r="L180" s="116"/>
      <c r="M180" s="116"/>
      <c r="N180" s="116"/>
      <c r="O180" s="116"/>
      <c r="P180" s="116"/>
      <c r="Q180" s="119"/>
      <c r="R180" s="193">
        <f t="shared" si="17"/>
        <v>0</v>
      </c>
      <c r="S180" s="194">
        <f t="shared" si="18"/>
        <v>0</v>
      </c>
    </row>
    <row r="181" spans="1:19" ht="24">
      <c r="A181" s="479"/>
      <c r="B181" s="519"/>
      <c r="C181" s="603" t="s">
        <v>300</v>
      </c>
      <c r="D181" s="116"/>
      <c r="E181" s="604"/>
      <c r="F181" s="116"/>
      <c r="G181" s="116"/>
      <c r="H181" s="116"/>
      <c r="I181" s="116"/>
      <c r="J181" s="116"/>
      <c r="K181" s="116"/>
      <c r="L181" s="116"/>
      <c r="M181" s="116"/>
      <c r="N181" s="116"/>
      <c r="O181" s="116"/>
      <c r="P181" s="116"/>
      <c r="Q181" s="119"/>
      <c r="R181" s="193">
        <f t="shared" si="17"/>
        <v>0</v>
      </c>
      <c r="S181" s="194">
        <f t="shared" si="18"/>
        <v>0</v>
      </c>
    </row>
    <row r="182" spans="1:19" ht="24">
      <c r="A182" s="479"/>
      <c r="B182" s="519"/>
      <c r="C182" s="603" t="s">
        <v>300</v>
      </c>
      <c r="D182" s="116"/>
      <c r="E182" s="604"/>
      <c r="F182" s="116"/>
      <c r="G182" s="116"/>
      <c r="H182" s="116"/>
      <c r="I182" s="116"/>
      <c r="J182" s="116"/>
      <c r="K182" s="116"/>
      <c r="L182" s="116"/>
      <c r="M182" s="116"/>
      <c r="N182" s="116"/>
      <c r="O182" s="116"/>
      <c r="P182" s="116"/>
      <c r="Q182" s="119"/>
      <c r="R182" s="193">
        <f t="shared" si="17"/>
        <v>0</v>
      </c>
      <c r="S182" s="194">
        <f t="shared" si="18"/>
        <v>0</v>
      </c>
    </row>
    <row r="183" spans="1:19" ht="24">
      <c r="A183" s="479"/>
      <c r="B183" s="519"/>
      <c r="C183" s="603" t="s">
        <v>300</v>
      </c>
      <c r="D183" s="116"/>
      <c r="E183" s="604"/>
      <c r="F183" s="116"/>
      <c r="G183" s="116"/>
      <c r="H183" s="116"/>
      <c r="I183" s="116"/>
      <c r="J183" s="116"/>
      <c r="K183" s="116"/>
      <c r="L183" s="116"/>
      <c r="M183" s="116"/>
      <c r="N183" s="116"/>
      <c r="O183" s="116"/>
      <c r="P183" s="116"/>
      <c r="Q183" s="119"/>
      <c r="R183" s="193">
        <f t="shared" si="17"/>
        <v>0</v>
      </c>
      <c r="S183" s="194">
        <f t="shared" si="18"/>
        <v>0</v>
      </c>
    </row>
    <row r="184" spans="1:19" ht="24">
      <c r="A184" s="479"/>
      <c r="B184" s="519"/>
      <c r="C184" s="603" t="s">
        <v>300</v>
      </c>
      <c r="D184" s="116"/>
      <c r="E184" s="604"/>
      <c r="F184" s="116"/>
      <c r="G184" s="116"/>
      <c r="H184" s="116"/>
      <c r="I184" s="116"/>
      <c r="J184" s="116"/>
      <c r="K184" s="116"/>
      <c r="L184" s="116"/>
      <c r="M184" s="116"/>
      <c r="N184" s="116"/>
      <c r="O184" s="116"/>
      <c r="P184" s="116"/>
      <c r="Q184" s="119"/>
      <c r="R184" s="193">
        <f t="shared" si="17"/>
        <v>0</v>
      </c>
      <c r="S184" s="194">
        <f t="shared" si="18"/>
        <v>0</v>
      </c>
    </row>
    <row r="185" spans="1:19" ht="24">
      <c r="A185" s="479"/>
      <c r="B185" s="519"/>
      <c r="C185" s="603" t="s">
        <v>300</v>
      </c>
      <c r="D185" s="116"/>
      <c r="E185" s="604"/>
      <c r="F185" s="116"/>
      <c r="G185" s="116"/>
      <c r="H185" s="116"/>
      <c r="I185" s="116"/>
      <c r="J185" s="116"/>
      <c r="K185" s="116"/>
      <c r="L185" s="116"/>
      <c r="M185" s="116"/>
      <c r="N185" s="116"/>
      <c r="O185" s="116"/>
      <c r="P185" s="116"/>
      <c r="Q185" s="119"/>
      <c r="R185" s="193">
        <f t="shared" si="17"/>
        <v>0</v>
      </c>
      <c r="S185" s="194">
        <f t="shared" si="18"/>
        <v>0</v>
      </c>
    </row>
    <row r="186" spans="1:19" ht="24">
      <c r="A186" s="479"/>
      <c r="B186" s="519"/>
      <c r="C186" s="603" t="s">
        <v>300</v>
      </c>
      <c r="D186" s="116"/>
      <c r="E186" s="604"/>
      <c r="F186" s="116"/>
      <c r="G186" s="116"/>
      <c r="H186" s="116"/>
      <c r="I186" s="116"/>
      <c r="J186" s="116"/>
      <c r="K186" s="116"/>
      <c r="L186" s="116"/>
      <c r="M186" s="116"/>
      <c r="N186" s="116"/>
      <c r="O186" s="116"/>
      <c r="P186" s="116"/>
      <c r="Q186" s="119"/>
      <c r="R186" s="193">
        <f t="shared" si="17"/>
        <v>0</v>
      </c>
      <c r="S186" s="194">
        <f t="shared" si="18"/>
        <v>0</v>
      </c>
    </row>
    <row r="187" spans="1:19" ht="24">
      <c r="A187" s="479"/>
      <c r="B187" s="519"/>
      <c r="C187" s="603" t="s">
        <v>300</v>
      </c>
      <c r="D187" s="116"/>
      <c r="E187" s="604"/>
      <c r="F187" s="116"/>
      <c r="G187" s="116"/>
      <c r="H187" s="116"/>
      <c r="I187" s="116"/>
      <c r="J187" s="116"/>
      <c r="K187" s="116"/>
      <c r="L187" s="116"/>
      <c r="M187" s="116"/>
      <c r="N187" s="116"/>
      <c r="O187" s="116"/>
      <c r="P187" s="116"/>
      <c r="Q187" s="119"/>
      <c r="R187" s="193">
        <f>IF(E187="変更なし",D187,IF(E187="右記のとおり変更",Q187,0))</f>
        <v>0</v>
      </c>
      <c r="S187" s="194">
        <f>IF(E187="変更なし",D187,IF(E187="右記のとおり変更",(D187+SUM(F187:P187))/12,0))</f>
        <v>0</v>
      </c>
    </row>
    <row r="188" spans="1:19" ht="24">
      <c r="A188" s="479"/>
      <c r="B188" s="519"/>
      <c r="C188" s="603" t="s">
        <v>300</v>
      </c>
      <c r="D188" s="116"/>
      <c r="E188" s="604"/>
      <c r="F188" s="116"/>
      <c r="G188" s="116"/>
      <c r="H188" s="116"/>
      <c r="I188" s="116"/>
      <c r="J188" s="116"/>
      <c r="K188" s="116"/>
      <c r="L188" s="116"/>
      <c r="M188" s="116"/>
      <c r="N188" s="116"/>
      <c r="O188" s="116"/>
      <c r="P188" s="116"/>
      <c r="Q188" s="119"/>
      <c r="R188" s="193">
        <f>IF(E188="変更なし",D188,IF(E188="右記のとおり変更",Q188,0))</f>
        <v>0</v>
      </c>
      <c r="S188" s="194">
        <f>IF(E188="変更なし",D188,IF(E188="右記のとおり変更",(D188+SUM(F188:P188))/12,0))</f>
        <v>0</v>
      </c>
    </row>
    <row r="189" spans="1:19" ht="24">
      <c r="A189" s="479"/>
      <c r="B189" s="519"/>
      <c r="C189" s="603" t="s">
        <v>300</v>
      </c>
      <c r="D189" s="116"/>
      <c r="E189" s="604"/>
      <c r="F189" s="116"/>
      <c r="G189" s="116"/>
      <c r="H189" s="116"/>
      <c r="I189" s="116"/>
      <c r="J189" s="116"/>
      <c r="K189" s="116"/>
      <c r="L189" s="116"/>
      <c r="M189" s="116"/>
      <c r="N189" s="116"/>
      <c r="O189" s="116"/>
      <c r="P189" s="116"/>
      <c r="Q189" s="119"/>
      <c r="R189" s="193">
        <f>IF(E189="変更なし",D189,IF(E189="右記のとおり変更",Q189,0))</f>
        <v>0</v>
      </c>
      <c r="S189" s="194">
        <f>IF(E189="変更なし",D189,IF(E189="右記のとおり変更",(D189+SUM(F189:P189))/12,0))</f>
        <v>0</v>
      </c>
    </row>
    <row r="190" spans="1:19" ht="24">
      <c r="A190" s="481"/>
      <c r="B190" s="519"/>
      <c r="C190" s="562" t="s">
        <v>300</v>
      </c>
      <c r="D190" s="120"/>
      <c r="E190" s="604"/>
      <c r="F190" s="120"/>
      <c r="G190" s="120"/>
      <c r="H190" s="120"/>
      <c r="I190" s="120"/>
      <c r="J190" s="120"/>
      <c r="K190" s="120"/>
      <c r="L190" s="120"/>
      <c r="M190" s="120"/>
      <c r="N190" s="120"/>
      <c r="O190" s="120"/>
      <c r="P190" s="120"/>
      <c r="Q190" s="121"/>
      <c r="R190" s="197">
        <f>IF(E190="変更なし",D190,IF(E190="右記のとおり変更",Q190,0))</f>
        <v>0</v>
      </c>
      <c r="S190" s="198">
        <f>IF(E190="変更なし",D190,IF(E190="右記のとおり変更",(D190+SUM(F190:P190))/12,0))</f>
        <v>0</v>
      </c>
    </row>
    <row r="191" spans="1:19" ht="24">
      <c r="A191" s="481"/>
      <c r="B191" s="519"/>
      <c r="C191" s="562" t="s">
        <v>300</v>
      </c>
      <c r="D191" s="120"/>
      <c r="E191" s="604"/>
      <c r="F191" s="120"/>
      <c r="G191" s="120"/>
      <c r="H191" s="120"/>
      <c r="I191" s="120"/>
      <c r="J191" s="120"/>
      <c r="K191" s="120"/>
      <c r="L191" s="120"/>
      <c r="M191" s="120"/>
      <c r="N191" s="120"/>
      <c r="O191" s="120"/>
      <c r="P191" s="120"/>
      <c r="Q191" s="121"/>
      <c r="R191" s="197">
        <f t="shared" ref="R191:R200" si="19">IF(E191="変更なし",D191,IF(E191="右記のとおり変更",Q191,0))</f>
        <v>0</v>
      </c>
      <c r="S191" s="198">
        <f t="shared" ref="S191:S200" si="20">IF(E191="変更なし",D191,IF(E191="右記のとおり変更",(D191+SUM(F191:P191))/12,0))</f>
        <v>0</v>
      </c>
    </row>
    <row r="192" spans="1:19" ht="24">
      <c r="A192" s="481"/>
      <c r="B192" s="519"/>
      <c r="C192" s="562" t="s">
        <v>300</v>
      </c>
      <c r="D192" s="120"/>
      <c r="E192" s="604"/>
      <c r="F192" s="120"/>
      <c r="G192" s="120"/>
      <c r="H192" s="120"/>
      <c r="I192" s="120"/>
      <c r="J192" s="120"/>
      <c r="K192" s="120"/>
      <c r="L192" s="120"/>
      <c r="M192" s="120"/>
      <c r="N192" s="120"/>
      <c r="O192" s="120"/>
      <c r="P192" s="120"/>
      <c r="Q192" s="121"/>
      <c r="R192" s="197">
        <f t="shared" si="19"/>
        <v>0</v>
      </c>
      <c r="S192" s="198">
        <f t="shared" si="20"/>
        <v>0</v>
      </c>
    </row>
    <row r="193" spans="1:19" ht="24">
      <c r="A193" s="481"/>
      <c r="B193" s="519"/>
      <c r="C193" s="562" t="s">
        <v>300</v>
      </c>
      <c r="D193" s="120"/>
      <c r="E193" s="604"/>
      <c r="F193" s="120"/>
      <c r="G193" s="120"/>
      <c r="H193" s="120"/>
      <c r="I193" s="120"/>
      <c r="J193" s="120"/>
      <c r="K193" s="120"/>
      <c r="L193" s="120"/>
      <c r="M193" s="120"/>
      <c r="N193" s="120"/>
      <c r="O193" s="120"/>
      <c r="P193" s="120"/>
      <c r="Q193" s="121"/>
      <c r="R193" s="197">
        <f t="shared" si="19"/>
        <v>0</v>
      </c>
      <c r="S193" s="198">
        <f t="shared" si="20"/>
        <v>0</v>
      </c>
    </row>
    <row r="194" spans="1:19" ht="24">
      <c r="A194" s="481"/>
      <c r="B194" s="519"/>
      <c r="C194" s="562" t="s">
        <v>300</v>
      </c>
      <c r="D194" s="120"/>
      <c r="E194" s="604"/>
      <c r="F194" s="120"/>
      <c r="G194" s="120"/>
      <c r="H194" s="120"/>
      <c r="I194" s="120"/>
      <c r="J194" s="120"/>
      <c r="K194" s="120"/>
      <c r="L194" s="120"/>
      <c r="M194" s="120"/>
      <c r="N194" s="120"/>
      <c r="O194" s="120"/>
      <c r="P194" s="120"/>
      <c r="Q194" s="121"/>
      <c r="R194" s="197">
        <f t="shared" si="19"/>
        <v>0</v>
      </c>
      <c r="S194" s="198">
        <f t="shared" si="20"/>
        <v>0</v>
      </c>
    </row>
    <row r="195" spans="1:19" ht="24">
      <c r="A195" s="481"/>
      <c r="B195" s="519"/>
      <c r="C195" s="562" t="s">
        <v>300</v>
      </c>
      <c r="D195" s="120"/>
      <c r="E195" s="604"/>
      <c r="F195" s="120"/>
      <c r="G195" s="120"/>
      <c r="H195" s="120"/>
      <c r="I195" s="120"/>
      <c r="J195" s="120"/>
      <c r="K195" s="120"/>
      <c r="L195" s="120"/>
      <c r="M195" s="120"/>
      <c r="N195" s="120"/>
      <c r="O195" s="120"/>
      <c r="P195" s="120"/>
      <c r="Q195" s="121"/>
      <c r="R195" s="197">
        <f t="shared" si="19"/>
        <v>0</v>
      </c>
      <c r="S195" s="198">
        <f t="shared" si="20"/>
        <v>0</v>
      </c>
    </row>
    <row r="196" spans="1:19" ht="24">
      <c r="A196" s="481"/>
      <c r="B196" s="519"/>
      <c r="C196" s="562" t="s">
        <v>300</v>
      </c>
      <c r="D196" s="120"/>
      <c r="E196" s="604"/>
      <c r="F196" s="120"/>
      <c r="G196" s="120"/>
      <c r="H196" s="120"/>
      <c r="I196" s="120"/>
      <c r="J196" s="120"/>
      <c r="K196" s="120"/>
      <c r="L196" s="120"/>
      <c r="M196" s="120"/>
      <c r="N196" s="120"/>
      <c r="O196" s="120"/>
      <c r="P196" s="120"/>
      <c r="Q196" s="121"/>
      <c r="R196" s="197">
        <f t="shared" si="19"/>
        <v>0</v>
      </c>
      <c r="S196" s="198">
        <f t="shared" si="20"/>
        <v>0</v>
      </c>
    </row>
    <row r="197" spans="1:19" ht="24">
      <c r="A197" s="481"/>
      <c r="B197" s="519"/>
      <c r="C197" s="562" t="s">
        <v>300</v>
      </c>
      <c r="D197" s="120"/>
      <c r="E197" s="604"/>
      <c r="F197" s="120"/>
      <c r="G197" s="120"/>
      <c r="H197" s="120"/>
      <c r="I197" s="120"/>
      <c r="J197" s="120"/>
      <c r="K197" s="120"/>
      <c r="L197" s="120"/>
      <c r="M197" s="120"/>
      <c r="N197" s="120"/>
      <c r="O197" s="120"/>
      <c r="P197" s="120"/>
      <c r="Q197" s="121"/>
      <c r="R197" s="197">
        <f t="shared" si="19"/>
        <v>0</v>
      </c>
      <c r="S197" s="198">
        <f t="shared" si="20"/>
        <v>0</v>
      </c>
    </row>
    <row r="198" spans="1:19" ht="24">
      <c r="A198" s="481"/>
      <c r="B198" s="519"/>
      <c r="C198" s="562" t="s">
        <v>300</v>
      </c>
      <c r="D198" s="120"/>
      <c r="E198" s="604"/>
      <c r="F198" s="120"/>
      <c r="G198" s="120"/>
      <c r="H198" s="120"/>
      <c r="I198" s="120"/>
      <c r="J198" s="120"/>
      <c r="K198" s="120"/>
      <c r="L198" s="120"/>
      <c r="M198" s="120"/>
      <c r="N198" s="120"/>
      <c r="O198" s="120"/>
      <c r="P198" s="120"/>
      <c r="Q198" s="121"/>
      <c r="R198" s="197">
        <f t="shared" si="19"/>
        <v>0</v>
      </c>
      <c r="S198" s="198">
        <f t="shared" si="20"/>
        <v>0</v>
      </c>
    </row>
    <row r="199" spans="1:19" ht="24">
      <c r="A199" s="481"/>
      <c r="B199" s="519"/>
      <c r="C199" s="562" t="s">
        <v>300</v>
      </c>
      <c r="D199" s="120"/>
      <c r="E199" s="604"/>
      <c r="F199" s="120"/>
      <c r="G199" s="120"/>
      <c r="H199" s="120"/>
      <c r="I199" s="120"/>
      <c r="J199" s="120"/>
      <c r="K199" s="120"/>
      <c r="L199" s="120"/>
      <c r="M199" s="120"/>
      <c r="N199" s="120"/>
      <c r="O199" s="120"/>
      <c r="P199" s="120"/>
      <c r="Q199" s="121"/>
      <c r="R199" s="197">
        <f t="shared" si="19"/>
        <v>0</v>
      </c>
      <c r="S199" s="198">
        <f t="shared" si="20"/>
        <v>0</v>
      </c>
    </row>
    <row r="200" spans="1:19" ht="24.75" thickBot="1">
      <c r="A200" s="480"/>
      <c r="B200" s="411"/>
      <c r="C200" s="605" t="s">
        <v>300</v>
      </c>
      <c r="D200" s="140"/>
      <c r="E200" s="606"/>
      <c r="F200" s="140"/>
      <c r="G200" s="140"/>
      <c r="H200" s="140"/>
      <c r="I200" s="140"/>
      <c r="J200" s="140"/>
      <c r="K200" s="140"/>
      <c r="L200" s="140"/>
      <c r="M200" s="140"/>
      <c r="N200" s="140"/>
      <c r="O200" s="140"/>
      <c r="P200" s="140"/>
      <c r="Q200" s="141"/>
      <c r="R200" s="195">
        <f t="shared" si="19"/>
        <v>0</v>
      </c>
      <c r="S200" s="196">
        <f t="shared" si="20"/>
        <v>0</v>
      </c>
    </row>
    <row r="201" spans="1:19" ht="28.5" customHeight="1">
      <c r="A201" s="3" t="s">
        <v>390</v>
      </c>
      <c r="B201" s="3"/>
      <c r="C201" s="3"/>
      <c r="D201" s="3"/>
      <c r="E201" s="3"/>
      <c r="F201" s="3"/>
      <c r="G201" s="3"/>
      <c r="H201" s="3"/>
      <c r="I201" s="3"/>
      <c r="J201" s="3"/>
      <c r="K201" s="3"/>
      <c r="L201" s="3"/>
      <c r="M201" s="3"/>
      <c r="N201" s="3"/>
      <c r="O201" s="3"/>
      <c r="P201" s="743" t="s">
        <v>0</v>
      </c>
      <c r="Q201" s="744"/>
      <c r="R201" s="745" t="str">
        <f>IF(事業所概要_算定体制!$D$13="","",事業所概要_算定体制!$D$13)</f>
        <v/>
      </c>
      <c r="S201" s="746"/>
    </row>
    <row r="202" spans="1:19">
      <c r="A202" s="3"/>
      <c r="B202" s="3"/>
      <c r="C202" s="3"/>
      <c r="D202" s="3"/>
      <c r="E202" s="3"/>
      <c r="F202" s="3"/>
      <c r="G202" s="3"/>
      <c r="H202" s="3"/>
      <c r="I202" s="3"/>
      <c r="J202" s="3"/>
      <c r="K202" s="3"/>
      <c r="L202" s="3"/>
      <c r="M202" s="3"/>
      <c r="N202" s="3"/>
      <c r="O202" s="3"/>
      <c r="P202" s="3"/>
      <c r="Q202" s="3"/>
      <c r="R202" s="747" t="str">
        <f>CONCATENATE(事業所概要_算定体制!$B$3,事業所概要_算定体制!$C$3,"年度")</f>
        <v>令和７年度</v>
      </c>
      <c r="S202" s="747"/>
    </row>
    <row r="203" spans="1:19" ht="18.75" thickBot="1">
      <c r="A203" s="3" t="s">
        <v>389</v>
      </c>
      <c r="B203" s="3"/>
      <c r="C203" s="3"/>
      <c r="D203" s="3"/>
      <c r="E203" s="3"/>
      <c r="F203" s="3"/>
      <c r="G203" s="3"/>
      <c r="H203" s="3"/>
      <c r="I203" s="3"/>
      <c r="J203" s="3"/>
      <c r="K203" s="3"/>
      <c r="L203" s="3"/>
      <c r="M203" s="3"/>
      <c r="N203" s="3"/>
      <c r="O203" s="3"/>
      <c r="P203" s="3"/>
      <c r="Q203" s="3"/>
      <c r="R203" s="3"/>
      <c r="S203" s="3"/>
    </row>
    <row r="204" spans="1:19">
      <c r="A204" s="764" t="s">
        <v>286</v>
      </c>
      <c r="B204" s="766" t="s">
        <v>69</v>
      </c>
      <c r="C204" s="766" t="s">
        <v>70</v>
      </c>
      <c r="D204" s="768" t="s">
        <v>287</v>
      </c>
      <c r="E204" s="770" t="s">
        <v>288</v>
      </c>
      <c r="F204" s="758" t="s">
        <v>993</v>
      </c>
      <c r="G204" s="758"/>
      <c r="H204" s="758"/>
      <c r="I204" s="758"/>
      <c r="J204" s="758"/>
      <c r="K204" s="758"/>
      <c r="L204" s="758"/>
      <c r="M204" s="758"/>
      <c r="N204" s="758"/>
      <c r="O204" s="758"/>
      <c r="P204" s="758"/>
      <c r="Q204" s="759"/>
      <c r="R204" s="760" t="s">
        <v>289</v>
      </c>
      <c r="S204" s="762" t="s">
        <v>302</v>
      </c>
    </row>
    <row r="205" spans="1:19" ht="18.75" thickBot="1">
      <c r="A205" s="765"/>
      <c r="B205" s="767"/>
      <c r="C205" s="767"/>
      <c r="D205" s="769"/>
      <c r="E205" s="771"/>
      <c r="F205" s="623" t="s">
        <v>987</v>
      </c>
      <c r="G205" s="623" t="s">
        <v>988</v>
      </c>
      <c r="H205" s="623" t="s">
        <v>989</v>
      </c>
      <c r="I205" s="623" t="s">
        <v>990</v>
      </c>
      <c r="J205" s="623" t="s">
        <v>991</v>
      </c>
      <c r="K205" s="623" t="s">
        <v>992</v>
      </c>
      <c r="L205" s="623" t="s">
        <v>994</v>
      </c>
      <c r="M205" s="623" t="s">
        <v>995</v>
      </c>
      <c r="N205" s="623" t="s">
        <v>996</v>
      </c>
      <c r="O205" s="623" t="s">
        <v>997</v>
      </c>
      <c r="P205" s="623" t="s">
        <v>998</v>
      </c>
      <c r="Q205" s="33" t="s">
        <v>999</v>
      </c>
      <c r="R205" s="761"/>
      <c r="S205" s="763"/>
    </row>
    <row r="206" spans="1:19" ht="24">
      <c r="A206" s="479"/>
      <c r="B206" s="519"/>
      <c r="C206" s="603" t="s">
        <v>300</v>
      </c>
      <c r="D206" s="116"/>
      <c r="E206" s="604"/>
      <c r="F206" s="117"/>
      <c r="G206" s="117"/>
      <c r="H206" s="117"/>
      <c r="I206" s="117"/>
      <c r="J206" s="117"/>
      <c r="K206" s="117"/>
      <c r="L206" s="117"/>
      <c r="M206" s="117"/>
      <c r="N206" s="117"/>
      <c r="O206" s="117"/>
      <c r="P206" s="117"/>
      <c r="Q206" s="118"/>
      <c r="R206" s="191">
        <f t="shared" ref="R206:R226" si="21">IF(E206="変更なし",D206,IF(E206="右記のとおり変更",Q206,0))</f>
        <v>0</v>
      </c>
      <c r="S206" s="192">
        <f t="shared" ref="S206:S226" si="22">IF(E206="変更なし",D206,IF(E206="右記のとおり変更",(D206+SUM(F206:P206))/12,0))</f>
        <v>0</v>
      </c>
    </row>
    <row r="207" spans="1:19" ht="24">
      <c r="A207" s="479"/>
      <c r="B207" s="519"/>
      <c r="C207" s="603" t="s">
        <v>300</v>
      </c>
      <c r="D207" s="116"/>
      <c r="E207" s="604"/>
      <c r="F207" s="116"/>
      <c r="G207" s="116"/>
      <c r="H207" s="116"/>
      <c r="I207" s="116"/>
      <c r="J207" s="116"/>
      <c r="K207" s="116"/>
      <c r="L207" s="116"/>
      <c r="M207" s="116"/>
      <c r="N207" s="116"/>
      <c r="O207" s="116"/>
      <c r="P207" s="116"/>
      <c r="Q207" s="119"/>
      <c r="R207" s="193">
        <f t="shared" si="21"/>
        <v>0</v>
      </c>
      <c r="S207" s="194">
        <f t="shared" si="22"/>
        <v>0</v>
      </c>
    </row>
    <row r="208" spans="1:19" ht="24">
      <c r="A208" s="479"/>
      <c r="B208" s="519"/>
      <c r="C208" s="603" t="s">
        <v>300</v>
      </c>
      <c r="D208" s="116"/>
      <c r="E208" s="604"/>
      <c r="F208" s="116"/>
      <c r="G208" s="116"/>
      <c r="H208" s="116"/>
      <c r="I208" s="116"/>
      <c r="J208" s="116"/>
      <c r="K208" s="116"/>
      <c r="L208" s="116"/>
      <c r="M208" s="116"/>
      <c r="N208" s="116"/>
      <c r="O208" s="116"/>
      <c r="P208" s="116"/>
      <c r="Q208" s="119"/>
      <c r="R208" s="193">
        <f t="shared" si="21"/>
        <v>0</v>
      </c>
      <c r="S208" s="194">
        <f t="shared" si="22"/>
        <v>0</v>
      </c>
    </row>
    <row r="209" spans="1:19" ht="24">
      <c r="A209" s="479"/>
      <c r="B209" s="519"/>
      <c r="C209" s="603" t="s">
        <v>300</v>
      </c>
      <c r="D209" s="116"/>
      <c r="E209" s="604"/>
      <c r="F209" s="116"/>
      <c r="G209" s="116"/>
      <c r="H209" s="116"/>
      <c r="I209" s="116"/>
      <c r="J209" s="116"/>
      <c r="K209" s="116"/>
      <c r="L209" s="116"/>
      <c r="M209" s="116"/>
      <c r="N209" s="116"/>
      <c r="O209" s="116"/>
      <c r="P209" s="116"/>
      <c r="Q209" s="119"/>
      <c r="R209" s="193">
        <f t="shared" si="21"/>
        <v>0</v>
      </c>
      <c r="S209" s="194">
        <f t="shared" si="22"/>
        <v>0</v>
      </c>
    </row>
    <row r="210" spans="1:19" ht="24">
      <c r="A210" s="479"/>
      <c r="B210" s="519"/>
      <c r="C210" s="603" t="s">
        <v>300</v>
      </c>
      <c r="D210" s="116"/>
      <c r="E210" s="604"/>
      <c r="F210" s="116"/>
      <c r="G210" s="116"/>
      <c r="H210" s="116"/>
      <c r="I210" s="116"/>
      <c r="J210" s="116"/>
      <c r="K210" s="116"/>
      <c r="L210" s="116"/>
      <c r="M210" s="116"/>
      <c r="N210" s="116"/>
      <c r="O210" s="116"/>
      <c r="P210" s="116"/>
      <c r="Q210" s="119"/>
      <c r="R210" s="193">
        <f t="shared" si="21"/>
        <v>0</v>
      </c>
      <c r="S210" s="194">
        <f t="shared" si="22"/>
        <v>0</v>
      </c>
    </row>
    <row r="211" spans="1:19" ht="24">
      <c r="A211" s="479"/>
      <c r="B211" s="519"/>
      <c r="C211" s="603" t="s">
        <v>300</v>
      </c>
      <c r="D211" s="116"/>
      <c r="E211" s="604"/>
      <c r="F211" s="116"/>
      <c r="G211" s="116"/>
      <c r="H211" s="116"/>
      <c r="I211" s="116"/>
      <c r="J211" s="116"/>
      <c r="K211" s="116"/>
      <c r="L211" s="116"/>
      <c r="M211" s="116"/>
      <c r="N211" s="116"/>
      <c r="O211" s="116"/>
      <c r="P211" s="116"/>
      <c r="Q211" s="119"/>
      <c r="R211" s="193">
        <f t="shared" si="21"/>
        <v>0</v>
      </c>
      <c r="S211" s="194">
        <f t="shared" si="22"/>
        <v>0</v>
      </c>
    </row>
    <row r="212" spans="1:19" ht="24">
      <c r="A212" s="479"/>
      <c r="B212" s="519"/>
      <c r="C212" s="603" t="s">
        <v>300</v>
      </c>
      <c r="D212" s="116"/>
      <c r="E212" s="604"/>
      <c r="F212" s="116"/>
      <c r="G212" s="116"/>
      <c r="H212" s="116"/>
      <c r="I212" s="116"/>
      <c r="J212" s="116"/>
      <c r="K212" s="116"/>
      <c r="L212" s="116"/>
      <c r="M212" s="116"/>
      <c r="N212" s="116"/>
      <c r="O212" s="116"/>
      <c r="P212" s="116"/>
      <c r="Q212" s="119"/>
      <c r="R212" s="193">
        <f t="shared" si="21"/>
        <v>0</v>
      </c>
      <c r="S212" s="194">
        <f t="shared" si="22"/>
        <v>0</v>
      </c>
    </row>
    <row r="213" spans="1:19" ht="24">
      <c r="A213" s="479"/>
      <c r="B213" s="519"/>
      <c r="C213" s="603" t="s">
        <v>300</v>
      </c>
      <c r="D213" s="116"/>
      <c r="E213" s="604"/>
      <c r="F213" s="116"/>
      <c r="G213" s="116"/>
      <c r="H213" s="116"/>
      <c r="I213" s="116"/>
      <c r="J213" s="116"/>
      <c r="K213" s="116"/>
      <c r="L213" s="116"/>
      <c r="M213" s="116"/>
      <c r="N213" s="116"/>
      <c r="O213" s="116"/>
      <c r="P213" s="116"/>
      <c r="Q213" s="119"/>
      <c r="R213" s="193">
        <f t="shared" si="21"/>
        <v>0</v>
      </c>
      <c r="S213" s="194">
        <f t="shared" si="22"/>
        <v>0</v>
      </c>
    </row>
    <row r="214" spans="1:19" ht="24">
      <c r="A214" s="479"/>
      <c r="B214" s="519"/>
      <c r="C214" s="603" t="s">
        <v>300</v>
      </c>
      <c r="D214" s="116"/>
      <c r="E214" s="604"/>
      <c r="F214" s="116"/>
      <c r="G214" s="116"/>
      <c r="H214" s="116"/>
      <c r="I214" s="116"/>
      <c r="J214" s="116"/>
      <c r="K214" s="116"/>
      <c r="L214" s="116"/>
      <c r="M214" s="116"/>
      <c r="N214" s="116"/>
      <c r="O214" s="116"/>
      <c r="P214" s="116"/>
      <c r="Q214" s="119"/>
      <c r="R214" s="193">
        <f t="shared" si="21"/>
        <v>0</v>
      </c>
      <c r="S214" s="194">
        <f t="shared" si="22"/>
        <v>0</v>
      </c>
    </row>
    <row r="215" spans="1:19" ht="24">
      <c r="A215" s="479"/>
      <c r="B215" s="519"/>
      <c r="C215" s="603" t="s">
        <v>300</v>
      </c>
      <c r="D215" s="116"/>
      <c r="E215" s="604"/>
      <c r="F215" s="116"/>
      <c r="G215" s="116"/>
      <c r="H215" s="116"/>
      <c r="I215" s="116"/>
      <c r="J215" s="116"/>
      <c r="K215" s="116"/>
      <c r="L215" s="116"/>
      <c r="M215" s="116"/>
      <c r="N215" s="116"/>
      <c r="O215" s="116"/>
      <c r="P215" s="116"/>
      <c r="Q215" s="119"/>
      <c r="R215" s="193">
        <f t="shared" si="21"/>
        <v>0</v>
      </c>
      <c r="S215" s="194">
        <f t="shared" si="22"/>
        <v>0</v>
      </c>
    </row>
    <row r="216" spans="1:19" ht="24">
      <c r="A216" s="479"/>
      <c r="B216" s="519"/>
      <c r="C216" s="603" t="s">
        <v>300</v>
      </c>
      <c r="D216" s="116"/>
      <c r="E216" s="604"/>
      <c r="F216" s="116"/>
      <c r="G216" s="116"/>
      <c r="H216" s="116"/>
      <c r="I216" s="116"/>
      <c r="J216" s="116"/>
      <c r="K216" s="116"/>
      <c r="L216" s="116"/>
      <c r="M216" s="116"/>
      <c r="N216" s="116"/>
      <c r="O216" s="116"/>
      <c r="P216" s="116"/>
      <c r="Q216" s="119"/>
      <c r="R216" s="193">
        <f t="shared" si="21"/>
        <v>0</v>
      </c>
      <c r="S216" s="194">
        <f t="shared" si="22"/>
        <v>0</v>
      </c>
    </row>
    <row r="217" spans="1:19" ht="24">
      <c r="A217" s="479"/>
      <c r="B217" s="519"/>
      <c r="C217" s="603" t="s">
        <v>300</v>
      </c>
      <c r="D217" s="116"/>
      <c r="E217" s="604"/>
      <c r="F217" s="116"/>
      <c r="G217" s="116"/>
      <c r="H217" s="116"/>
      <c r="I217" s="116"/>
      <c r="J217" s="116"/>
      <c r="K217" s="116"/>
      <c r="L217" s="116"/>
      <c r="M217" s="116"/>
      <c r="N217" s="116"/>
      <c r="O217" s="116"/>
      <c r="P217" s="116"/>
      <c r="Q217" s="119"/>
      <c r="R217" s="193">
        <f t="shared" si="21"/>
        <v>0</v>
      </c>
      <c r="S217" s="194">
        <f t="shared" si="22"/>
        <v>0</v>
      </c>
    </row>
    <row r="218" spans="1:19" ht="24">
      <c r="A218" s="479"/>
      <c r="B218" s="519"/>
      <c r="C218" s="603" t="s">
        <v>300</v>
      </c>
      <c r="D218" s="116"/>
      <c r="E218" s="604"/>
      <c r="F218" s="116"/>
      <c r="G218" s="116"/>
      <c r="H218" s="116"/>
      <c r="I218" s="116"/>
      <c r="J218" s="116"/>
      <c r="K218" s="116"/>
      <c r="L218" s="116"/>
      <c r="M218" s="116"/>
      <c r="N218" s="116"/>
      <c r="O218" s="116"/>
      <c r="P218" s="116"/>
      <c r="Q218" s="119"/>
      <c r="R218" s="193">
        <f t="shared" si="21"/>
        <v>0</v>
      </c>
      <c r="S218" s="194">
        <f t="shared" si="22"/>
        <v>0</v>
      </c>
    </row>
    <row r="219" spans="1:19" ht="24">
      <c r="A219" s="479"/>
      <c r="B219" s="519"/>
      <c r="C219" s="603" t="s">
        <v>300</v>
      </c>
      <c r="D219" s="116"/>
      <c r="E219" s="604"/>
      <c r="F219" s="116"/>
      <c r="G219" s="116"/>
      <c r="H219" s="116"/>
      <c r="I219" s="116"/>
      <c r="J219" s="116"/>
      <c r="K219" s="116"/>
      <c r="L219" s="116"/>
      <c r="M219" s="116"/>
      <c r="N219" s="116"/>
      <c r="O219" s="116"/>
      <c r="P219" s="116"/>
      <c r="Q219" s="119"/>
      <c r="R219" s="193">
        <f t="shared" si="21"/>
        <v>0</v>
      </c>
      <c r="S219" s="194">
        <f t="shared" si="22"/>
        <v>0</v>
      </c>
    </row>
    <row r="220" spans="1:19" ht="24">
      <c r="A220" s="479"/>
      <c r="B220" s="519"/>
      <c r="C220" s="603" t="s">
        <v>300</v>
      </c>
      <c r="D220" s="116"/>
      <c r="E220" s="604"/>
      <c r="F220" s="116"/>
      <c r="G220" s="116"/>
      <c r="H220" s="116"/>
      <c r="I220" s="116"/>
      <c r="J220" s="116"/>
      <c r="K220" s="116"/>
      <c r="L220" s="116"/>
      <c r="M220" s="116"/>
      <c r="N220" s="116"/>
      <c r="O220" s="116"/>
      <c r="P220" s="116"/>
      <c r="Q220" s="119"/>
      <c r="R220" s="193">
        <f t="shared" si="21"/>
        <v>0</v>
      </c>
      <c r="S220" s="194">
        <f t="shared" si="22"/>
        <v>0</v>
      </c>
    </row>
    <row r="221" spans="1:19" ht="24">
      <c r="A221" s="479"/>
      <c r="B221" s="519"/>
      <c r="C221" s="603" t="s">
        <v>300</v>
      </c>
      <c r="D221" s="116"/>
      <c r="E221" s="604"/>
      <c r="F221" s="116"/>
      <c r="G221" s="116"/>
      <c r="H221" s="116"/>
      <c r="I221" s="116"/>
      <c r="J221" s="116"/>
      <c r="K221" s="116"/>
      <c r="L221" s="116"/>
      <c r="M221" s="116"/>
      <c r="N221" s="116"/>
      <c r="O221" s="116"/>
      <c r="P221" s="116"/>
      <c r="Q221" s="119"/>
      <c r="R221" s="193">
        <f t="shared" si="21"/>
        <v>0</v>
      </c>
      <c r="S221" s="194">
        <f t="shared" si="22"/>
        <v>0</v>
      </c>
    </row>
    <row r="222" spans="1:19" ht="24">
      <c r="A222" s="479"/>
      <c r="B222" s="519"/>
      <c r="C222" s="603" t="s">
        <v>300</v>
      </c>
      <c r="D222" s="116"/>
      <c r="E222" s="604"/>
      <c r="F222" s="116"/>
      <c r="G222" s="116"/>
      <c r="H222" s="116"/>
      <c r="I222" s="116"/>
      <c r="J222" s="116"/>
      <c r="K222" s="116"/>
      <c r="L222" s="116"/>
      <c r="M222" s="116"/>
      <c r="N222" s="116"/>
      <c r="O222" s="116"/>
      <c r="P222" s="116"/>
      <c r="Q222" s="119"/>
      <c r="R222" s="193">
        <f t="shared" si="21"/>
        <v>0</v>
      </c>
      <c r="S222" s="194">
        <f t="shared" si="22"/>
        <v>0</v>
      </c>
    </row>
    <row r="223" spans="1:19" ht="24">
      <c r="A223" s="479"/>
      <c r="B223" s="519"/>
      <c r="C223" s="603" t="s">
        <v>300</v>
      </c>
      <c r="D223" s="116"/>
      <c r="E223" s="604"/>
      <c r="F223" s="116"/>
      <c r="G223" s="116"/>
      <c r="H223" s="116"/>
      <c r="I223" s="116"/>
      <c r="J223" s="116"/>
      <c r="K223" s="116"/>
      <c r="L223" s="116"/>
      <c r="M223" s="116"/>
      <c r="N223" s="116"/>
      <c r="O223" s="116"/>
      <c r="P223" s="116"/>
      <c r="Q223" s="119"/>
      <c r="R223" s="193">
        <f t="shared" si="21"/>
        <v>0</v>
      </c>
      <c r="S223" s="194">
        <f t="shared" si="22"/>
        <v>0</v>
      </c>
    </row>
    <row r="224" spans="1:19" ht="24">
      <c r="A224" s="479"/>
      <c r="B224" s="519"/>
      <c r="C224" s="603" t="s">
        <v>300</v>
      </c>
      <c r="D224" s="116"/>
      <c r="E224" s="604"/>
      <c r="F224" s="116"/>
      <c r="G224" s="116"/>
      <c r="H224" s="116"/>
      <c r="I224" s="116"/>
      <c r="J224" s="116"/>
      <c r="K224" s="116"/>
      <c r="L224" s="116"/>
      <c r="M224" s="116"/>
      <c r="N224" s="116"/>
      <c r="O224" s="116"/>
      <c r="P224" s="116"/>
      <c r="Q224" s="119"/>
      <c r="R224" s="193">
        <f t="shared" si="21"/>
        <v>0</v>
      </c>
      <c r="S224" s="194">
        <f t="shared" si="22"/>
        <v>0</v>
      </c>
    </row>
    <row r="225" spans="1:19" ht="24">
      <c r="A225" s="479"/>
      <c r="B225" s="519"/>
      <c r="C225" s="603" t="s">
        <v>300</v>
      </c>
      <c r="D225" s="116"/>
      <c r="E225" s="604"/>
      <c r="F225" s="116"/>
      <c r="G225" s="116"/>
      <c r="H225" s="116"/>
      <c r="I225" s="116"/>
      <c r="J225" s="116"/>
      <c r="K225" s="116"/>
      <c r="L225" s="116"/>
      <c r="M225" s="116"/>
      <c r="N225" s="116"/>
      <c r="O225" s="116"/>
      <c r="P225" s="116"/>
      <c r="Q225" s="119"/>
      <c r="R225" s="193">
        <f t="shared" si="21"/>
        <v>0</v>
      </c>
      <c r="S225" s="194">
        <f t="shared" si="22"/>
        <v>0</v>
      </c>
    </row>
    <row r="226" spans="1:19" ht="24">
      <c r="A226" s="479"/>
      <c r="B226" s="519"/>
      <c r="C226" s="603" t="s">
        <v>300</v>
      </c>
      <c r="D226" s="116"/>
      <c r="E226" s="604"/>
      <c r="F226" s="116"/>
      <c r="G226" s="116"/>
      <c r="H226" s="116"/>
      <c r="I226" s="116"/>
      <c r="J226" s="116"/>
      <c r="K226" s="116"/>
      <c r="L226" s="116"/>
      <c r="M226" s="116"/>
      <c r="N226" s="116"/>
      <c r="O226" s="116"/>
      <c r="P226" s="116"/>
      <c r="Q226" s="119"/>
      <c r="R226" s="193">
        <f t="shared" si="21"/>
        <v>0</v>
      </c>
      <c r="S226" s="194">
        <f t="shared" si="22"/>
        <v>0</v>
      </c>
    </row>
    <row r="227" spans="1:19" ht="24">
      <c r="A227" s="479"/>
      <c r="B227" s="519"/>
      <c r="C227" s="603" t="s">
        <v>300</v>
      </c>
      <c r="D227" s="116"/>
      <c r="E227" s="604"/>
      <c r="F227" s="116"/>
      <c r="G227" s="116"/>
      <c r="H227" s="116"/>
      <c r="I227" s="116"/>
      <c r="J227" s="116"/>
      <c r="K227" s="116"/>
      <c r="L227" s="116"/>
      <c r="M227" s="116"/>
      <c r="N227" s="116"/>
      <c r="O227" s="116"/>
      <c r="P227" s="116"/>
      <c r="Q227" s="119"/>
      <c r="R227" s="193">
        <f>IF(E227="変更なし",D227,IF(E227="右記のとおり変更",Q227,0))</f>
        <v>0</v>
      </c>
      <c r="S227" s="194">
        <f>IF(E227="変更なし",D227,IF(E227="右記のとおり変更",(D227+SUM(F227:P227))/12,0))</f>
        <v>0</v>
      </c>
    </row>
    <row r="228" spans="1:19" ht="24">
      <c r="A228" s="479"/>
      <c r="B228" s="519"/>
      <c r="C228" s="603" t="s">
        <v>300</v>
      </c>
      <c r="D228" s="116"/>
      <c r="E228" s="604"/>
      <c r="F228" s="116"/>
      <c r="G228" s="116"/>
      <c r="H228" s="116"/>
      <c r="I228" s="116"/>
      <c r="J228" s="116"/>
      <c r="K228" s="116"/>
      <c r="L228" s="116"/>
      <c r="M228" s="116"/>
      <c r="N228" s="116"/>
      <c r="O228" s="116"/>
      <c r="P228" s="116"/>
      <c r="Q228" s="119"/>
      <c r="R228" s="193">
        <f>IF(E228="変更なし",D228,IF(E228="右記のとおり変更",Q228,0))</f>
        <v>0</v>
      </c>
      <c r="S228" s="194">
        <f>IF(E228="変更なし",D228,IF(E228="右記のとおり変更",(D228+SUM(F228:P228))/12,0))</f>
        <v>0</v>
      </c>
    </row>
    <row r="229" spans="1:19" ht="24">
      <c r="A229" s="479"/>
      <c r="B229" s="519"/>
      <c r="C229" s="603" t="s">
        <v>300</v>
      </c>
      <c r="D229" s="116"/>
      <c r="E229" s="604"/>
      <c r="F229" s="116"/>
      <c r="G229" s="116"/>
      <c r="H229" s="116"/>
      <c r="I229" s="116"/>
      <c r="J229" s="116"/>
      <c r="K229" s="116"/>
      <c r="L229" s="116"/>
      <c r="M229" s="116"/>
      <c r="N229" s="116"/>
      <c r="O229" s="116"/>
      <c r="P229" s="116"/>
      <c r="Q229" s="119"/>
      <c r="R229" s="193">
        <f>IF(E229="変更なし",D229,IF(E229="右記のとおり変更",Q229,0))</f>
        <v>0</v>
      </c>
      <c r="S229" s="194">
        <f>IF(E229="変更なし",D229,IF(E229="右記のとおり変更",(D229+SUM(F229:P229))/12,0))</f>
        <v>0</v>
      </c>
    </row>
    <row r="230" spans="1:19" ht="24">
      <c r="A230" s="481"/>
      <c r="B230" s="519"/>
      <c r="C230" s="562" t="s">
        <v>300</v>
      </c>
      <c r="D230" s="120"/>
      <c r="E230" s="604"/>
      <c r="F230" s="120"/>
      <c r="G230" s="120"/>
      <c r="H230" s="120"/>
      <c r="I230" s="120"/>
      <c r="J230" s="120"/>
      <c r="K230" s="120"/>
      <c r="L230" s="120"/>
      <c r="M230" s="120"/>
      <c r="N230" s="120"/>
      <c r="O230" s="120"/>
      <c r="P230" s="120"/>
      <c r="Q230" s="121"/>
      <c r="R230" s="197">
        <f>IF(E230="変更なし",D230,IF(E230="右記のとおり変更",Q230,0))</f>
        <v>0</v>
      </c>
      <c r="S230" s="198">
        <f>IF(E230="変更なし",D230,IF(E230="右記のとおり変更",(D230+SUM(F230:P230))/12,0))</f>
        <v>0</v>
      </c>
    </row>
    <row r="231" spans="1:19" ht="24">
      <c r="A231" s="481"/>
      <c r="B231" s="519"/>
      <c r="C231" s="562" t="s">
        <v>300</v>
      </c>
      <c r="D231" s="120"/>
      <c r="E231" s="604"/>
      <c r="F231" s="120"/>
      <c r="G231" s="120"/>
      <c r="H231" s="120"/>
      <c r="I231" s="120"/>
      <c r="J231" s="120"/>
      <c r="K231" s="120"/>
      <c r="L231" s="120"/>
      <c r="M231" s="120"/>
      <c r="N231" s="120"/>
      <c r="O231" s="120"/>
      <c r="P231" s="120"/>
      <c r="Q231" s="121"/>
      <c r="R231" s="197">
        <f t="shared" ref="R231:R240" si="23">IF(E231="変更なし",D231,IF(E231="右記のとおり変更",Q231,0))</f>
        <v>0</v>
      </c>
      <c r="S231" s="198">
        <f t="shared" ref="S231:S240" si="24">IF(E231="変更なし",D231,IF(E231="右記のとおり変更",(D231+SUM(F231:P231))/12,0))</f>
        <v>0</v>
      </c>
    </row>
    <row r="232" spans="1:19" ht="24">
      <c r="A232" s="481"/>
      <c r="B232" s="519"/>
      <c r="C232" s="562" t="s">
        <v>300</v>
      </c>
      <c r="D232" s="120"/>
      <c r="E232" s="604"/>
      <c r="F232" s="120"/>
      <c r="G232" s="120"/>
      <c r="H232" s="120"/>
      <c r="I232" s="120"/>
      <c r="J232" s="120"/>
      <c r="K232" s="120"/>
      <c r="L232" s="120"/>
      <c r="M232" s="120"/>
      <c r="N232" s="120"/>
      <c r="O232" s="120"/>
      <c r="P232" s="120"/>
      <c r="Q232" s="121"/>
      <c r="R232" s="197">
        <f t="shared" si="23"/>
        <v>0</v>
      </c>
      <c r="S232" s="198">
        <f t="shared" si="24"/>
        <v>0</v>
      </c>
    </row>
    <row r="233" spans="1:19" ht="24">
      <c r="A233" s="481"/>
      <c r="B233" s="519"/>
      <c r="C233" s="562" t="s">
        <v>300</v>
      </c>
      <c r="D233" s="120"/>
      <c r="E233" s="604"/>
      <c r="F233" s="120"/>
      <c r="G233" s="120"/>
      <c r="H233" s="120"/>
      <c r="I233" s="120"/>
      <c r="J233" s="120"/>
      <c r="K233" s="120"/>
      <c r="L233" s="120"/>
      <c r="M233" s="120"/>
      <c r="N233" s="120"/>
      <c r="O233" s="120"/>
      <c r="P233" s="120"/>
      <c r="Q233" s="121"/>
      <c r="R233" s="197">
        <f t="shared" si="23"/>
        <v>0</v>
      </c>
      <c r="S233" s="198">
        <f t="shared" si="24"/>
        <v>0</v>
      </c>
    </row>
    <row r="234" spans="1:19" ht="24">
      <c r="A234" s="481"/>
      <c r="B234" s="519"/>
      <c r="C234" s="562" t="s">
        <v>300</v>
      </c>
      <c r="D234" s="120"/>
      <c r="E234" s="604"/>
      <c r="F234" s="120"/>
      <c r="G234" s="120"/>
      <c r="H234" s="120"/>
      <c r="I234" s="120"/>
      <c r="J234" s="120"/>
      <c r="K234" s="120"/>
      <c r="L234" s="120"/>
      <c r="M234" s="120"/>
      <c r="N234" s="120"/>
      <c r="O234" s="120"/>
      <c r="P234" s="120"/>
      <c r="Q234" s="121"/>
      <c r="R234" s="197">
        <f t="shared" si="23"/>
        <v>0</v>
      </c>
      <c r="S234" s="198">
        <f t="shared" si="24"/>
        <v>0</v>
      </c>
    </row>
    <row r="235" spans="1:19" ht="24">
      <c r="A235" s="481"/>
      <c r="B235" s="519"/>
      <c r="C235" s="562" t="s">
        <v>300</v>
      </c>
      <c r="D235" s="120"/>
      <c r="E235" s="604"/>
      <c r="F235" s="120"/>
      <c r="G235" s="120"/>
      <c r="H235" s="120"/>
      <c r="I235" s="120"/>
      <c r="J235" s="120"/>
      <c r="K235" s="120"/>
      <c r="L235" s="120"/>
      <c r="M235" s="120"/>
      <c r="N235" s="120"/>
      <c r="O235" s="120"/>
      <c r="P235" s="120"/>
      <c r="Q235" s="121"/>
      <c r="R235" s="197">
        <f t="shared" si="23"/>
        <v>0</v>
      </c>
      <c r="S235" s="198">
        <f t="shared" si="24"/>
        <v>0</v>
      </c>
    </row>
    <row r="236" spans="1:19" ht="24">
      <c r="A236" s="481"/>
      <c r="B236" s="519"/>
      <c r="C236" s="562" t="s">
        <v>300</v>
      </c>
      <c r="D236" s="120"/>
      <c r="E236" s="604"/>
      <c r="F236" s="120"/>
      <c r="G236" s="120"/>
      <c r="H236" s="120"/>
      <c r="I236" s="120"/>
      <c r="J236" s="120"/>
      <c r="K236" s="120"/>
      <c r="L236" s="120"/>
      <c r="M236" s="120"/>
      <c r="N236" s="120"/>
      <c r="O236" s="120"/>
      <c r="P236" s="120"/>
      <c r="Q236" s="121"/>
      <c r="R236" s="197">
        <f t="shared" si="23"/>
        <v>0</v>
      </c>
      <c r="S236" s="198">
        <f t="shared" si="24"/>
        <v>0</v>
      </c>
    </row>
    <row r="237" spans="1:19" ht="24">
      <c r="A237" s="481"/>
      <c r="B237" s="519"/>
      <c r="C237" s="562" t="s">
        <v>300</v>
      </c>
      <c r="D237" s="120"/>
      <c r="E237" s="604"/>
      <c r="F237" s="120"/>
      <c r="G237" s="120"/>
      <c r="H237" s="120"/>
      <c r="I237" s="120"/>
      <c r="J237" s="120"/>
      <c r="K237" s="120"/>
      <c r="L237" s="120"/>
      <c r="M237" s="120"/>
      <c r="N237" s="120"/>
      <c r="O237" s="120"/>
      <c r="P237" s="120"/>
      <c r="Q237" s="121"/>
      <c r="R237" s="197">
        <f t="shared" si="23"/>
        <v>0</v>
      </c>
      <c r="S237" s="198">
        <f t="shared" si="24"/>
        <v>0</v>
      </c>
    </row>
    <row r="238" spans="1:19" ht="24">
      <c r="A238" s="481"/>
      <c r="B238" s="519"/>
      <c r="C238" s="562" t="s">
        <v>300</v>
      </c>
      <c r="D238" s="120"/>
      <c r="E238" s="604"/>
      <c r="F238" s="120"/>
      <c r="G238" s="120"/>
      <c r="H238" s="120"/>
      <c r="I238" s="120"/>
      <c r="J238" s="120"/>
      <c r="K238" s="120"/>
      <c r="L238" s="120"/>
      <c r="M238" s="120"/>
      <c r="N238" s="120"/>
      <c r="O238" s="120"/>
      <c r="P238" s="120"/>
      <c r="Q238" s="121"/>
      <c r="R238" s="197">
        <f t="shared" si="23"/>
        <v>0</v>
      </c>
      <c r="S238" s="198">
        <f t="shared" si="24"/>
        <v>0</v>
      </c>
    </row>
    <row r="239" spans="1:19" ht="24">
      <c r="A239" s="481"/>
      <c r="B239" s="519"/>
      <c r="C239" s="562" t="s">
        <v>300</v>
      </c>
      <c r="D239" s="120"/>
      <c r="E239" s="604"/>
      <c r="F239" s="120"/>
      <c r="G239" s="120"/>
      <c r="H239" s="120"/>
      <c r="I239" s="120"/>
      <c r="J239" s="120"/>
      <c r="K239" s="120"/>
      <c r="L239" s="120"/>
      <c r="M239" s="120"/>
      <c r="N239" s="120"/>
      <c r="O239" s="120"/>
      <c r="P239" s="120"/>
      <c r="Q239" s="121"/>
      <c r="R239" s="197">
        <f t="shared" si="23"/>
        <v>0</v>
      </c>
      <c r="S239" s="198">
        <f t="shared" si="24"/>
        <v>0</v>
      </c>
    </row>
    <row r="240" spans="1:19" ht="24.75" thickBot="1">
      <c r="A240" s="480"/>
      <c r="B240" s="411"/>
      <c r="C240" s="605" t="s">
        <v>300</v>
      </c>
      <c r="D240" s="140"/>
      <c r="E240" s="606"/>
      <c r="F240" s="140"/>
      <c r="G240" s="140"/>
      <c r="H240" s="140"/>
      <c r="I240" s="140"/>
      <c r="J240" s="140"/>
      <c r="K240" s="140"/>
      <c r="L240" s="140"/>
      <c r="M240" s="140"/>
      <c r="N240" s="140"/>
      <c r="O240" s="140"/>
      <c r="P240" s="140"/>
      <c r="Q240" s="141"/>
      <c r="R240" s="195">
        <f t="shared" si="23"/>
        <v>0</v>
      </c>
      <c r="S240" s="196">
        <f t="shared" si="24"/>
        <v>0</v>
      </c>
    </row>
    <row r="241" spans="1:19" ht="28.5" customHeight="1">
      <c r="A241" s="3" t="s">
        <v>390</v>
      </c>
      <c r="B241" s="3"/>
      <c r="C241" s="3"/>
      <c r="D241" s="3"/>
      <c r="E241" s="3"/>
      <c r="F241" s="3"/>
      <c r="G241" s="3"/>
      <c r="H241" s="3"/>
      <c r="I241" s="3"/>
      <c r="J241" s="3"/>
      <c r="K241" s="3"/>
      <c r="L241" s="3"/>
      <c r="M241" s="3"/>
      <c r="N241" s="3"/>
      <c r="O241" s="3"/>
      <c r="P241" s="743" t="s">
        <v>0</v>
      </c>
      <c r="Q241" s="744"/>
      <c r="R241" s="745" t="str">
        <f>IF(事業所概要_算定体制!$D$13="","",事業所概要_算定体制!$D$13)</f>
        <v/>
      </c>
      <c r="S241" s="746"/>
    </row>
    <row r="242" spans="1:19">
      <c r="A242" s="3"/>
      <c r="B242" s="3"/>
      <c r="C242" s="3"/>
      <c r="D242" s="3"/>
      <c r="E242" s="3"/>
      <c r="F242" s="3"/>
      <c r="G242" s="3"/>
      <c r="H242" s="3"/>
      <c r="I242" s="3"/>
      <c r="J242" s="3"/>
      <c r="K242" s="3"/>
      <c r="L242" s="3"/>
      <c r="M242" s="3"/>
      <c r="N242" s="3"/>
      <c r="O242" s="3"/>
      <c r="P242" s="3"/>
      <c r="Q242" s="3"/>
      <c r="R242" s="747" t="str">
        <f>CONCATENATE(事業所概要_算定体制!$B$3,事業所概要_算定体制!$C$3,"年度")</f>
        <v>令和７年度</v>
      </c>
      <c r="S242" s="747"/>
    </row>
    <row r="243" spans="1:19" ht="18.75" thickBot="1">
      <c r="A243" s="3" t="s">
        <v>389</v>
      </c>
      <c r="B243" s="3"/>
      <c r="C243" s="3"/>
      <c r="D243" s="3"/>
      <c r="E243" s="3"/>
      <c r="F243" s="3"/>
      <c r="G243" s="3"/>
      <c r="H243" s="3"/>
      <c r="I243" s="3"/>
      <c r="J243" s="3"/>
      <c r="K243" s="3"/>
      <c r="L243" s="3"/>
      <c r="M243" s="3"/>
      <c r="N243" s="3"/>
      <c r="O243" s="3"/>
      <c r="P243" s="3"/>
      <c r="Q243" s="3"/>
      <c r="R243" s="3"/>
      <c r="S243" s="3"/>
    </row>
    <row r="244" spans="1:19">
      <c r="A244" s="764" t="s">
        <v>286</v>
      </c>
      <c r="B244" s="766" t="s">
        <v>69</v>
      </c>
      <c r="C244" s="766" t="s">
        <v>70</v>
      </c>
      <c r="D244" s="768" t="s">
        <v>287</v>
      </c>
      <c r="E244" s="770" t="s">
        <v>288</v>
      </c>
      <c r="F244" s="758" t="s">
        <v>993</v>
      </c>
      <c r="G244" s="758"/>
      <c r="H244" s="758"/>
      <c r="I244" s="758"/>
      <c r="J244" s="758"/>
      <c r="K244" s="758"/>
      <c r="L244" s="758"/>
      <c r="M244" s="758"/>
      <c r="N244" s="758"/>
      <c r="O244" s="758"/>
      <c r="P244" s="758"/>
      <c r="Q244" s="759"/>
      <c r="R244" s="760" t="s">
        <v>289</v>
      </c>
      <c r="S244" s="762" t="s">
        <v>302</v>
      </c>
    </row>
    <row r="245" spans="1:19" ht="18.75" thickBot="1">
      <c r="A245" s="765"/>
      <c r="B245" s="767"/>
      <c r="C245" s="767"/>
      <c r="D245" s="769"/>
      <c r="E245" s="771"/>
      <c r="F245" s="623" t="s">
        <v>987</v>
      </c>
      <c r="G245" s="623" t="s">
        <v>988</v>
      </c>
      <c r="H245" s="623" t="s">
        <v>989</v>
      </c>
      <c r="I245" s="623" t="s">
        <v>990</v>
      </c>
      <c r="J245" s="623" t="s">
        <v>991</v>
      </c>
      <c r="K245" s="623" t="s">
        <v>992</v>
      </c>
      <c r="L245" s="623" t="s">
        <v>994</v>
      </c>
      <c r="M245" s="623" t="s">
        <v>995</v>
      </c>
      <c r="N245" s="623" t="s">
        <v>996</v>
      </c>
      <c r="O245" s="623" t="s">
        <v>997</v>
      </c>
      <c r="P245" s="623" t="s">
        <v>998</v>
      </c>
      <c r="Q245" s="33" t="s">
        <v>999</v>
      </c>
      <c r="R245" s="761"/>
      <c r="S245" s="763"/>
    </row>
    <row r="246" spans="1:19" ht="24">
      <c r="A246" s="479"/>
      <c r="B246" s="519"/>
      <c r="C246" s="603" t="s">
        <v>300</v>
      </c>
      <c r="D246" s="116"/>
      <c r="E246" s="604"/>
      <c r="F246" s="117"/>
      <c r="G246" s="117"/>
      <c r="H246" s="117"/>
      <c r="I246" s="117"/>
      <c r="J246" s="117"/>
      <c r="K246" s="117"/>
      <c r="L246" s="117"/>
      <c r="M246" s="117"/>
      <c r="N246" s="117"/>
      <c r="O246" s="117"/>
      <c r="P246" s="117"/>
      <c r="Q246" s="118"/>
      <c r="R246" s="191">
        <f t="shared" ref="R246:R266" si="25">IF(E246="変更なし",D246,IF(E246="右記のとおり変更",Q246,0))</f>
        <v>0</v>
      </c>
      <c r="S246" s="192">
        <f t="shared" ref="S246:S266" si="26">IF(E246="変更なし",D246,IF(E246="右記のとおり変更",(D246+SUM(F246:P246))/12,0))</f>
        <v>0</v>
      </c>
    </row>
    <row r="247" spans="1:19" ht="24">
      <c r="A247" s="479"/>
      <c r="B247" s="519"/>
      <c r="C247" s="603" t="s">
        <v>300</v>
      </c>
      <c r="D247" s="116"/>
      <c r="E247" s="604"/>
      <c r="F247" s="116"/>
      <c r="G247" s="116"/>
      <c r="H247" s="116"/>
      <c r="I247" s="116"/>
      <c r="J247" s="116"/>
      <c r="K247" s="116"/>
      <c r="L247" s="116"/>
      <c r="M247" s="116"/>
      <c r="N247" s="116"/>
      <c r="O247" s="116"/>
      <c r="P247" s="116"/>
      <c r="Q247" s="119"/>
      <c r="R247" s="193">
        <f t="shared" si="25"/>
        <v>0</v>
      </c>
      <c r="S247" s="194">
        <f t="shared" si="26"/>
        <v>0</v>
      </c>
    </row>
    <row r="248" spans="1:19" ht="24">
      <c r="A248" s="479"/>
      <c r="B248" s="519"/>
      <c r="C248" s="603" t="s">
        <v>300</v>
      </c>
      <c r="D248" s="116"/>
      <c r="E248" s="604"/>
      <c r="F248" s="116"/>
      <c r="G248" s="116"/>
      <c r="H248" s="116"/>
      <c r="I248" s="116"/>
      <c r="J248" s="116"/>
      <c r="K248" s="116"/>
      <c r="L248" s="116"/>
      <c r="M248" s="116"/>
      <c r="N248" s="116"/>
      <c r="O248" s="116"/>
      <c r="P248" s="116"/>
      <c r="Q248" s="119"/>
      <c r="R248" s="193">
        <f t="shared" si="25"/>
        <v>0</v>
      </c>
      <c r="S248" s="194">
        <f t="shared" si="26"/>
        <v>0</v>
      </c>
    </row>
    <row r="249" spans="1:19" ht="24">
      <c r="A249" s="479"/>
      <c r="B249" s="519"/>
      <c r="C249" s="603" t="s">
        <v>300</v>
      </c>
      <c r="D249" s="116"/>
      <c r="E249" s="604"/>
      <c r="F249" s="116"/>
      <c r="G249" s="116"/>
      <c r="H249" s="116"/>
      <c r="I249" s="116"/>
      <c r="J249" s="116"/>
      <c r="K249" s="116"/>
      <c r="L249" s="116"/>
      <c r="M249" s="116"/>
      <c r="N249" s="116"/>
      <c r="O249" s="116"/>
      <c r="P249" s="116"/>
      <c r="Q249" s="119"/>
      <c r="R249" s="193">
        <f t="shared" si="25"/>
        <v>0</v>
      </c>
      <c r="S249" s="194">
        <f t="shared" si="26"/>
        <v>0</v>
      </c>
    </row>
    <row r="250" spans="1:19" ht="24">
      <c r="A250" s="479"/>
      <c r="B250" s="519"/>
      <c r="C250" s="603" t="s">
        <v>300</v>
      </c>
      <c r="D250" s="116"/>
      <c r="E250" s="604"/>
      <c r="F250" s="116"/>
      <c r="G250" s="116"/>
      <c r="H250" s="116"/>
      <c r="I250" s="116"/>
      <c r="J250" s="116"/>
      <c r="K250" s="116"/>
      <c r="L250" s="116"/>
      <c r="M250" s="116"/>
      <c r="N250" s="116"/>
      <c r="O250" s="116"/>
      <c r="P250" s="116"/>
      <c r="Q250" s="119"/>
      <c r="R250" s="193">
        <f t="shared" si="25"/>
        <v>0</v>
      </c>
      <c r="S250" s="194">
        <f t="shared" si="26"/>
        <v>0</v>
      </c>
    </row>
    <row r="251" spans="1:19" ht="24">
      <c r="A251" s="479"/>
      <c r="B251" s="519"/>
      <c r="C251" s="603" t="s">
        <v>300</v>
      </c>
      <c r="D251" s="116"/>
      <c r="E251" s="604"/>
      <c r="F251" s="116"/>
      <c r="G251" s="116"/>
      <c r="H251" s="116"/>
      <c r="I251" s="116"/>
      <c r="J251" s="116"/>
      <c r="K251" s="116"/>
      <c r="L251" s="116"/>
      <c r="M251" s="116"/>
      <c r="N251" s="116"/>
      <c r="O251" s="116"/>
      <c r="P251" s="116"/>
      <c r="Q251" s="119"/>
      <c r="R251" s="193">
        <f t="shared" si="25"/>
        <v>0</v>
      </c>
      <c r="S251" s="194">
        <f t="shared" si="26"/>
        <v>0</v>
      </c>
    </row>
    <row r="252" spans="1:19" ht="24">
      <c r="A252" s="479"/>
      <c r="B252" s="519"/>
      <c r="C252" s="603" t="s">
        <v>300</v>
      </c>
      <c r="D252" s="116"/>
      <c r="E252" s="604"/>
      <c r="F252" s="116"/>
      <c r="G252" s="116"/>
      <c r="H252" s="116"/>
      <c r="I252" s="116"/>
      <c r="J252" s="116"/>
      <c r="K252" s="116"/>
      <c r="L252" s="116"/>
      <c r="M252" s="116"/>
      <c r="N252" s="116"/>
      <c r="O252" s="116"/>
      <c r="P252" s="116"/>
      <c r="Q252" s="119"/>
      <c r="R252" s="193">
        <f t="shared" si="25"/>
        <v>0</v>
      </c>
      <c r="S252" s="194">
        <f t="shared" si="26"/>
        <v>0</v>
      </c>
    </row>
    <row r="253" spans="1:19" ht="24">
      <c r="A253" s="479"/>
      <c r="B253" s="519"/>
      <c r="C253" s="603" t="s">
        <v>300</v>
      </c>
      <c r="D253" s="116"/>
      <c r="E253" s="604"/>
      <c r="F253" s="116"/>
      <c r="G253" s="116"/>
      <c r="H253" s="116"/>
      <c r="I253" s="116"/>
      <c r="J253" s="116"/>
      <c r="K253" s="116"/>
      <c r="L253" s="116"/>
      <c r="M253" s="116"/>
      <c r="N253" s="116"/>
      <c r="O253" s="116"/>
      <c r="P253" s="116"/>
      <c r="Q253" s="119"/>
      <c r="R253" s="193">
        <f t="shared" si="25"/>
        <v>0</v>
      </c>
      <c r="S253" s="194">
        <f t="shared" si="26"/>
        <v>0</v>
      </c>
    </row>
    <row r="254" spans="1:19" ht="24">
      <c r="A254" s="479"/>
      <c r="B254" s="519"/>
      <c r="C254" s="603" t="s">
        <v>300</v>
      </c>
      <c r="D254" s="116"/>
      <c r="E254" s="604"/>
      <c r="F254" s="116"/>
      <c r="G254" s="116"/>
      <c r="H254" s="116"/>
      <c r="I254" s="116"/>
      <c r="J254" s="116"/>
      <c r="K254" s="116"/>
      <c r="L254" s="116"/>
      <c r="M254" s="116"/>
      <c r="N254" s="116"/>
      <c r="O254" s="116"/>
      <c r="P254" s="116"/>
      <c r="Q254" s="119"/>
      <c r="R254" s="193">
        <f t="shared" si="25"/>
        <v>0</v>
      </c>
      <c r="S254" s="194">
        <f t="shared" si="26"/>
        <v>0</v>
      </c>
    </row>
    <row r="255" spans="1:19" ht="24">
      <c r="A255" s="479"/>
      <c r="B255" s="519"/>
      <c r="C255" s="603" t="s">
        <v>300</v>
      </c>
      <c r="D255" s="116"/>
      <c r="E255" s="604"/>
      <c r="F255" s="116"/>
      <c r="G255" s="116"/>
      <c r="H255" s="116"/>
      <c r="I255" s="116"/>
      <c r="J255" s="116"/>
      <c r="K255" s="116"/>
      <c r="L255" s="116"/>
      <c r="M255" s="116"/>
      <c r="N255" s="116"/>
      <c r="O255" s="116"/>
      <c r="P255" s="116"/>
      <c r="Q255" s="119"/>
      <c r="R255" s="193">
        <f t="shared" si="25"/>
        <v>0</v>
      </c>
      <c r="S255" s="194">
        <f t="shared" si="26"/>
        <v>0</v>
      </c>
    </row>
    <row r="256" spans="1:19" ht="24">
      <c r="A256" s="479"/>
      <c r="B256" s="519"/>
      <c r="C256" s="603" t="s">
        <v>300</v>
      </c>
      <c r="D256" s="116"/>
      <c r="E256" s="604"/>
      <c r="F256" s="116"/>
      <c r="G256" s="116"/>
      <c r="H256" s="116"/>
      <c r="I256" s="116"/>
      <c r="J256" s="116"/>
      <c r="K256" s="116"/>
      <c r="L256" s="116"/>
      <c r="M256" s="116"/>
      <c r="N256" s="116"/>
      <c r="O256" s="116"/>
      <c r="P256" s="116"/>
      <c r="Q256" s="119"/>
      <c r="R256" s="193">
        <f t="shared" si="25"/>
        <v>0</v>
      </c>
      <c r="S256" s="194">
        <f t="shared" si="26"/>
        <v>0</v>
      </c>
    </row>
    <row r="257" spans="1:19" ht="24">
      <c r="A257" s="479"/>
      <c r="B257" s="519"/>
      <c r="C257" s="603" t="s">
        <v>300</v>
      </c>
      <c r="D257" s="116"/>
      <c r="E257" s="604"/>
      <c r="F257" s="116"/>
      <c r="G257" s="116"/>
      <c r="H257" s="116"/>
      <c r="I257" s="116"/>
      <c r="J257" s="116"/>
      <c r="K257" s="116"/>
      <c r="L257" s="116"/>
      <c r="M257" s="116"/>
      <c r="N257" s="116"/>
      <c r="O257" s="116"/>
      <c r="P257" s="116"/>
      <c r="Q257" s="119"/>
      <c r="R257" s="193">
        <f t="shared" si="25"/>
        <v>0</v>
      </c>
      <c r="S257" s="194">
        <f t="shared" si="26"/>
        <v>0</v>
      </c>
    </row>
    <row r="258" spans="1:19" ht="24">
      <c r="A258" s="479"/>
      <c r="B258" s="519"/>
      <c r="C258" s="603" t="s">
        <v>300</v>
      </c>
      <c r="D258" s="116"/>
      <c r="E258" s="604"/>
      <c r="F258" s="116"/>
      <c r="G258" s="116"/>
      <c r="H258" s="116"/>
      <c r="I258" s="116"/>
      <c r="J258" s="116"/>
      <c r="K258" s="116"/>
      <c r="L258" s="116"/>
      <c r="M258" s="116"/>
      <c r="N258" s="116"/>
      <c r="O258" s="116"/>
      <c r="P258" s="116"/>
      <c r="Q258" s="119"/>
      <c r="R258" s="193">
        <f t="shared" si="25"/>
        <v>0</v>
      </c>
      <c r="S258" s="194">
        <f t="shared" si="26"/>
        <v>0</v>
      </c>
    </row>
    <row r="259" spans="1:19" ht="24">
      <c r="A259" s="479"/>
      <c r="B259" s="519"/>
      <c r="C259" s="603" t="s">
        <v>300</v>
      </c>
      <c r="D259" s="116"/>
      <c r="E259" s="604"/>
      <c r="F259" s="116"/>
      <c r="G259" s="116"/>
      <c r="H259" s="116"/>
      <c r="I259" s="116"/>
      <c r="J259" s="116"/>
      <c r="K259" s="116"/>
      <c r="L259" s="116"/>
      <c r="M259" s="116"/>
      <c r="N259" s="116"/>
      <c r="O259" s="116"/>
      <c r="P259" s="116"/>
      <c r="Q259" s="119"/>
      <c r="R259" s="193">
        <f t="shared" si="25"/>
        <v>0</v>
      </c>
      <c r="S259" s="194">
        <f t="shared" si="26"/>
        <v>0</v>
      </c>
    </row>
    <row r="260" spans="1:19" ht="24">
      <c r="A260" s="479"/>
      <c r="B260" s="519"/>
      <c r="C260" s="603" t="s">
        <v>300</v>
      </c>
      <c r="D260" s="116"/>
      <c r="E260" s="604"/>
      <c r="F260" s="116"/>
      <c r="G260" s="116"/>
      <c r="H260" s="116"/>
      <c r="I260" s="116"/>
      <c r="J260" s="116"/>
      <c r="K260" s="116"/>
      <c r="L260" s="116"/>
      <c r="M260" s="116"/>
      <c r="N260" s="116"/>
      <c r="O260" s="116"/>
      <c r="P260" s="116"/>
      <c r="Q260" s="119"/>
      <c r="R260" s="193">
        <f t="shared" si="25"/>
        <v>0</v>
      </c>
      <c r="S260" s="194">
        <f t="shared" si="26"/>
        <v>0</v>
      </c>
    </row>
    <row r="261" spans="1:19" ht="24">
      <c r="A261" s="479"/>
      <c r="B261" s="519"/>
      <c r="C261" s="603" t="s">
        <v>300</v>
      </c>
      <c r="D261" s="116"/>
      <c r="E261" s="604"/>
      <c r="F261" s="116"/>
      <c r="G261" s="116"/>
      <c r="H261" s="116"/>
      <c r="I261" s="116"/>
      <c r="J261" s="116"/>
      <c r="K261" s="116"/>
      <c r="L261" s="116"/>
      <c r="M261" s="116"/>
      <c r="N261" s="116"/>
      <c r="O261" s="116"/>
      <c r="P261" s="116"/>
      <c r="Q261" s="119"/>
      <c r="R261" s="193">
        <f t="shared" si="25"/>
        <v>0</v>
      </c>
      <c r="S261" s="194">
        <f t="shared" si="26"/>
        <v>0</v>
      </c>
    </row>
    <row r="262" spans="1:19" ht="24">
      <c r="A262" s="479"/>
      <c r="B262" s="519"/>
      <c r="C262" s="603" t="s">
        <v>300</v>
      </c>
      <c r="D262" s="116"/>
      <c r="E262" s="604"/>
      <c r="F262" s="116"/>
      <c r="G262" s="116"/>
      <c r="H262" s="116"/>
      <c r="I262" s="116"/>
      <c r="J262" s="116"/>
      <c r="K262" s="116"/>
      <c r="L262" s="116"/>
      <c r="M262" s="116"/>
      <c r="N262" s="116"/>
      <c r="O262" s="116"/>
      <c r="P262" s="116"/>
      <c r="Q262" s="119"/>
      <c r="R262" s="193">
        <f t="shared" si="25"/>
        <v>0</v>
      </c>
      <c r="S262" s="194">
        <f t="shared" si="26"/>
        <v>0</v>
      </c>
    </row>
    <row r="263" spans="1:19" ht="24">
      <c r="A263" s="479"/>
      <c r="B263" s="519"/>
      <c r="C263" s="603" t="s">
        <v>300</v>
      </c>
      <c r="D263" s="116"/>
      <c r="E263" s="604"/>
      <c r="F263" s="116"/>
      <c r="G263" s="116"/>
      <c r="H263" s="116"/>
      <c r="I263" s="116"/>
      <c r="J263" s="116"/>
      <c r="K263" s="116"/>
      <c r="L263" s="116"/>
      <c r="M263" s="116"/>
      <c r="N263" s="116"/>
      <c r="O263" s="116"/>
      <c r="P263" s="116"/>
      <c r="Q263" s="119"/>
      <c r="R263" s="193">
        <f t="shared" si="25"/>
        <v>0</v>
      </c>
      <c r="S263" s="194">
        <f t="shared" si="26"/>
        <v>0</v>
      </c>
    </row>
    <row r="264" spans="1:19" ht="24">
      <c r="A264" s="479"/>
      <c r="B264" s="519"/>
      <c r="C264" s="603" t="s">
        <v>300</v>
      </c>
      <c r="D264" s="116"/>
      <c r="E264" s="604"/>
      <c r="F264" s="116"/>
      <c r="G264" s="116"/>
      <c r="H264" s="116"/>
      <c r="I264" s="116"/>
      <c r="J264" s="116"/>
      <c r="K264" s="116"/>
      <c r="L264" s="116"/>
      <c r="M264" s="116"/>
      <c r="N264" s="116"/>
      <c r="O264" s="116"/>
      <c r="P264" s="116"/>
      <c r="Q264" s="119"/>
      <c r="R264" s="193">
        <f t="shared" si="25"/>
        <v>0</v>
      </c>
      <c r="S264" s="194">
        <f t="shared" si="26"/>
        <v>0</v>
      </c>
    </row>
    <row r="265" spans="1:19" ht="24">
      <c r="A265" s="479"/>
      <c r="B265" s="519"/>
      <c r="C265" s="603" t="s">
        <v>300</v>
      </c>
      <c r="D265" s="116"/>
      <c r="E265" s="604"/>
      <c r="F265" s="116"/>
      <c r="G265" s="116"/>
      <c r="H265" s="116"/>
      <c r="I265" s="116"/>
      <c r="J265" s="116"/>
      <c r="K265" s="116"/>
      <c r="L265" s="116"/>
      <c r="M265" s="116"/>
      <c r="N265" s="116"/>
      <c r="O265" s="116"/>
      <c r="P265" s="116"/>
      <c r="Q265" s="119"/>
      <c r="R265" s="193">
        <f t="shared" si="25"/>
        <v>0</v>
      </c>
      <c r="S265" s="194">
        <f t="shared" si="26"/>
        <v>0</v>
      </c>
    </row>
    <row r="266" spans="1:19" ht="24">
      <c r="A266" s="479"/>
      <c r="B266" s="519"/>
      <c r="C266" s="603" t="s">
        <v>300</v>
      </c>
      <c r="D266" s="116"/>
      <c r="E266" s="604"/>
      <c r="F266" s="116"/>
      <c r="G266" s="116"/>
      <c r="H266" s="116"/>
      <c r="I266" s="116"/>
      <c r="J266" s="116"/>
      <c r="K266" s="116"/>
      <c r="L266" s="116"/>
      <c r="M266" s="116"/>
      <c r="N266" s="116"/>
      <c r="O266" s="116"/>
      <c r="P266" s="116"/>
      <c r="Q266" s="119"/>
      <c r="R266" s="193">
        <f t="shared" si="25"/>
        <v>0</v>
      </c>
      <c r="S266" s="194">
        <f t="shared" si="26"/>
        <v>0</v>
      </c>
    </row>
    <row r="267" spans="1:19" ht="24">
      <c r="A267" s="479"/>
      <c r="B267" s="519"/>
      <c r="C267" s="603" t="s">
        <v>300</v>
      </c>
      <c r="D267" s="116"/>
      <c r="E267" s="604"/>
      <c r="F267" s="116"/>
      <c r="G267" s="116"/>
      <c r="H267" s="116"/>
      <c r="I267" s="116"/>
      <c r="J267" s="116"/>
      <c r="K267" s="116"/>
      <c r="L267" s="116"/>
      <c r="M267" s="116"/>
      <c r="N267" s="116"/>
      <c r="O267" s="116"/>
      <c r="P267" s="116"/>
      <c r="Q267" s="119"/>
      <c r="R267" s="193">
        <f>IF(E267="変更なし",D267,IF(E267="右記のとおり変更",Q267,0))</f>
        <v>0</v>
      </c>
      <c r="S267" s="194">
        <f>IF(E267="変更なし",D267,IF(E267="右記のとおり変更",(D267+SUM(F267:P267))/12,0))</f>
        <v>0</v>
      </c>
    </row>
    <row r="268" spans="1:19" ht="24">
      <c r="A268" s="479"/>
      <c r="B268" s="519"/>
      <c r="C268" s="603" t="s">
        <v>300</v>
      </c>
      <c r="D268" s="116"/>
      <c r="E268" s="604"/>
      <c r="F268" s="116"/>
      <c r="G268" s="116"/>
      <c r="H268" s="116"/>
      <c r="I268" s="116"/>
      <c r="J268" s="116"/>
      <c r="K268" s="116"/>
      <c r="L268" s="116"/>
      <c r="M268" s="116"/>
      <c r="N268" s="116"/>
      <c r="O268" s="116"/>
      <c r="P268" s="116"/>
      <c r="Q268" s="119"/>
      <c r="R268" s="193">
        <f>IF(E268="変更なし",D268,IF(E268="右記のとおり変更",Q268,0))</f>
        <v>0</v>
      </c>
      <c r="S268" s="194">
        <f>IF(E268="変更なし",D268,IF(E268="右記のとおり変更",(D268+SUM(F268:P268))/12,0))</f>
        <v>0</v>
      </c>
    </row>
    <row r="269" spans="1:19" ht="24">
      <c r="A269" s="479"/>
      <c r="B269" s="519"/>
      <c r="C269" s="603" t="s">
        <v>300</v>
      </c>
      <c r="D269" s="116"/>
      <c r="E269" s="604"/>
      <c r="F269" s="116"/>
      <c r="G269" s="116"/>
      <c r="H269" s="116"/>
      <c r="I269" s="116"/>
      <c r="J269" s="116"/>
      <c r="K269" s="116"/>
      <c r="L269" s="116"/>
      <c r="M269" s="116"/>
      <c r="N269" s="116"/>
      <c r="O269" s="116"/>
      <c r="P269" s="116"/>
      <c r="Q269" s="119"/>
      <c r="R269" s="193">
        <f>IF(E269="変更なし",D269,IF(E269="右記のとおり変更",Q269,0))</f>
        <v>0</v>
      </c>
      <c r="S269" s="194">
        <f>IF(E269="変更なし",D269,IF(E269="右記のとおり変更",(D269+SUM(F269:P269))/12,0))</f>
        <v>0</v>
      </c>
    </row>
    <row r="270" spans="1:19" ht="24">
      <c r="A270" s="481"/>
      <c r="B270" s="519"/>
      <c r="C270" s="562" t="s">
        <v>300</v>
      </c>
      <c r="D270" s="120"/>
      <c r="E270" s="604"/>
      <c r="F270" s="120"/>
      <c r="G270" s="120"/>
      <c r="H270" s="120"/>
      <c r="I270" s="120"/>
      <c r="J270" s="120"/>
      <c r="K270" s="120"/>
      <c r="L270" s="120"/>
      <c r="M270" s="120"/>
      <c r="N270" s="120"/>
      <c r="O270" s="120"/>
      <c r="P270" s="120"/>
      <c r="Q270" s="121"/>
      <c r="R270" s="197">
        <f>IF(E270="変更なし",D270,IF(E270="右記のとおり変更",Q270,0))</f>
        <v>0</v>
      </c>
      <c r="S270" s="198">
        <f>IF(E270="変更なし",D270,IF(E270="右記のとおり変更",(D270+SUM(F270:P270))/12,0))</f>
        <v>0</v>
      </c>
    </row>
    <row r="271" spans="1:19" ht="24">
      <c r="A271" s="481"/>
      <c r="B271" s="519"/>
      <c r="C271" s="562" t="s">
        <v>300</v>
      </c>
      <c r="D271" s="120"/>
      <c r="E271" s="604"/>
      <c r="F271" s="120"/>
      <c r="G271" s="120"/>
      <c r="H271" s="120"/>
      <c r="I271" s="120"/>
      <c r="J271" s="120"/>
      <c r="K271" s="120"/>
      <c r="L271" s="120"/>
      <c r="M271" s="120"/>
      <c r="N271" s="120"/>
      <c r="O271" s="120"/>
      <c r="P271" s="120"/>
      <c r="Q271" s="121"/>
      <c r="R271" s="197">
        <f t="shared" ref="R271:R280" si="27">IF(E271="変更なし",D271,IF(E271="右記のとおり変更",Q271,0))</f>
        <v>0</v>
      </c>
      <c r="S271" s="198">
        <f t="shared" ref="S271:S280" si="28">IF(E271="変更なし",D271,IF(E271="右記のとおり変更",(D271+SUM(F271:P271))/12,0))</f>
        <v>0</v>
      </c>
    </row>
    <row r="272" spans="1:19" ht="24">
      <c r="A272" s="481"/>
      <c r="B272" s="519"/>
      <c r="C272" s="562" t="s">
        <v>300</v>
      </c>
      <c r="D272" s="120"/>
      <c r="E272" s="604"/>
      <c r="F272" s="120"/>
      <c r="G272" s="120"/>
      <c r="H272" s="120"/>
      <c r="I272" s="120"/>
      <c r="J272" s="120"/>
      <c r="K272" s="120"/>
      <c r="L272" s="120"/>
      <c r="M272" s="120"/>
      <c r="N272" s="120"/>
      <c r="O272" s="120"/>
      <c r="P272" s="120"/>
      <c r="Q272" s="121"/>
      <c r="R272" s="197">
        <f t="shared" si="27"/>
        <v>0</v>
      </c>
      <c r="S272" s="198">
        <f t="shared" si="28"/>
        <v>0</v>
      </c>
    </row>
    <row r="273" spans="1:19" ht="24">
      <c r="A273" s="481"/>
      <c r="B273" s="519"/>
      <c r="C273" s="562" t="s">
        <v>300</v>
      </c>
      <c r="D273" s="120"/>
      <c r="E273" s="604"/>
      <c r="F273" s="120"/>
      <c r="G273" s="120"/>
      <c r="H273" s="120"/>
      <c r="I273" s="120"/>
      <c r="J273" s="120"/>
      <c r="K273" s="120"/>
      <c r="L273" s="120"/>
      <c r="M273" s="120"/>
      <c r="N273" s="120"/>
      <c r="O273" s="120"/>
      <c r="P273" s="120"/>
      <c r="Q273" s="121"/>
      <c r="R273" s="197">
        <f t="shared" si="27"/>
        <v>0</v>
      </c>
      <c r="S273" s="198">
        <f t="shared" si="28"/>
        <v>0</v>
      </c>
    </row>
    <row r="274" spans="1:19" ht="24">
      <c r="A274" s="481"/>
      <c r="B274" s="519"/>
      <c r="C274" s="562" t="s">
        <v>300</v>
      </c>
      <c r="D274" s="120"/>
      <c r="E274" s="604"/>
      <c r="F274" s="120"/>
      <c r="G274" s="120"/>
      <c r="H274" s="120"/>
      <c r="I274" s="120"/>
      <c r="J274" s="120"/>
      <c r="K274" s="120"/>
      <c r="L274" s="120"/>
      <c r="M274" s="120"/>
      <c r="N274" s="120"/>
      <c r="O274" s="120"/>
      <c r="P274" s="120"/>
      <c r="Q274" s="121"/>
      <c r="R274" s="197">
        <f t="shared" si="27"/>
        <v>0</v>
      </c>
      <c r="S274" s="198">
        <f t="shared" si="28"/>
        <v>0</v>
      </c>
    </row>
    <row r="275" spans="1:19" ht="24">
      <c r="A275" s="481"/>
      <c r="B275" s="519"/>
      <c r="C275" s="562" t="s">
        <v>300</v>
      </c>
      <c r="D275" s="120"/>
      <c r="E275" s="604"/>
      <c r="F275" s="120"/>
      <c r="G275" s="120"/>
      <c r="H275" s="120"/>
      <c r="I275" s="120"/>
      <c r="J275" s="120"/>
      <c r="K275" s="120"/>
      <c r="L275" s="120"/>
      <c r="M275" s="120"/>
      <c r="N275" s="120"/>
      <c r="O275" s="120"/>
      <c r="P275" s="120"/>
      <c r="Q275" s="121"/>
      <c r="R275" s="197">
        <f t="shared" si="27"/>
        <v>0</v>
      </c>
      <c r="S275" s="198">
        <f t="shared" si="28"/>
        <v>0</v>
      </c>
    </row>
    <row r="276" spans="1:19" ht="24">
      <c r="A276" s="481"/>
      <c r="B276" s="519"/>
      <c r="C276" s="562" t="s">
        <v>300</v>
      </c>
      <c r="D276" s="120"/>
      <c r="E276" s="604"/>
      <c r="F276" s="120"/>
      <c r="G276" s="120"/>
      <c r="H276" s="120"/>
      <c r="I276" s="120"/>
      <c r="J276" s="120"/>
      <c r="K276" s="120"/>
      <c r="L276" s="120"/>
      <c r="M276" s="120"/>
      <c r="N276" s="120"/>
      <c r="O276" s="120"/>
      <c r="P276" s="120"/>
      <c r="Q276" s="121"/>
      <c r="R276" s="197">
        <f t="shared" si="27"/>
        <v>0</v>
      </c>
      <c r="S276" s="198">
        <f t="shared" si="28"/>
        <v>0</v>
      </c>
    </row>
    <row r="277" spans="1:19" ht="24">
      <c r="A277" s="481"/>
      <c r="B277" s="519"/>
      <c r="C277" s="562" t="s">
        <v>300</v>
      </c>
      <c r="D277" s="120"/>
      <c r="E277" s="604"/>
      <c r="F277" s="120"/>
      <c r="G277" s="120"/>
      <c r="H277" s="120"/>
      <c r="I277" s="120"/>
      <c r="J277" s="120"/>
      <c r="K277" s="120"/>
      <c r="L277" s="120"/>
      <c r="M277" s="120"/>
      <c r="N277" s="120"/>
      <c r="O277" s="120"/>
      <c r="P277" s="120"/>
      <c r="Q277" s="121"/>
      <c r="R277" s="197">
        <f t="shared" si="27"/>
        <v>0</v>
      </c>
      <c r="S277" s="198">
        <f t="shared" si="28"/>
        <v>0</v>
      </c>
    </row>
    <row r="278" spans="1:19" ht="24">
      <c r="A278" s="481"/>
      <c r="B278" s="519"/>
      <c r="C278" s="562" t="s">
        <v>300</v>
      </c>
      <c r="D278" s="120"/>
      <c r="E278" s="604"/>
      <c r="F278" s="120"/>
      <c r="G278" s="120"/>
      <c r="H278" s="120"/>
      <c r="I278" s="120"/>
      <c r="J278" s="120"/>
      <c r="K278" s="120"/>
      <c r="L278" s="120"/>
      <c r="M278" s="120"/>
      <c r="N278" s="120"/>
      <c r="O278" s="120"/>
      <c r="P278" s="120"/>
      <c r="Q278" s="121"/>
      <c r="R278" s="197">
        <f t="shared" si="27"/>
        <v>0</v>
      </c>
      <c r="S278" s="198">
        <f t="shared" si="28"/>
        <v>0</v>
      </c>
    </row>
    <row r="279" spans="1:19" ht="24">
      <c r="A279" s="481"/>
      <c r="B279" s="519"/>
      <c r="C279" s="562" t="s">
        <v>300</v>
      </c>
      <c r="D279" s="120"/>
      <c r="E279" s="604"/>
      <c r="F279" s="120"/>
      <c r="G279" s="120"/>
      <c r="H279" s="120"/>
      <c r="I279" s="120"/>
      <c r="J279" s="120"/>
      <c r="K279" s="120"/>
      <c r="L279" s="120"/>
      <c r="M279" s="120"/>
      <c r="N279" s="120"/>
      <c r="O279" s="120"/>
      <c r="P279" s="120"/>
      <c r="Q279" s="121"/>
      <c r="R279" s="197">
        <f t="shared" si="27"/>
        <v>0</v>
      </c>
      <c r="S279" s="198">
        <f t="shared" si="28"/>
        <v>0</v>
      </c>
    </row>
    <row r="280" spans="1:19" ht="24.75" thickBot="1">
      <c r="A280" s="480"/>
      <c r="B280" s="411"/>
      <c r="C280" s="605" t="s">
        <v>300</v>
      </c>
      <c r="D280" s="140"/>
      <c r="E280" s="606"/>
      <c r="F280" s="140"/>
      <c r="G280" s="140"/>
      <c r="H280" s="140"/>
      <c r="I280" s="140"/>
      <c r="J280" s="140"/>
      <c r="K280" s="140"/>
      <c r="L280" s="140"/>
      <c r="M280" s="140"/>
      <c r="N280" s="140"/>
      <c r="O280" s="140"/>
      <c r="P280" s="140"/>
      <c r="Q280" s="141"/>
      <c r="R280" s="195">
        <f t="shared" si="27"/>
        <v>0</v>
      </c>
      <c r="S280" s="196">
        <f t="shared" si="28"/>
        <v>0</v>
      </c>
    </row>
    <row r="281" spans="1:19" ht="28.5" customHeight="1">
      <c r="A281" s="3" t="s">
        <v>390</v>
      </c>
      <c r="B281" s="3"/>
      <c r="C281" s="3"/>
      <c r="D281" s="3"/>
      <c r="E281" s="3"/>
      <c r="F281" s="3"/>
      <c r="G281" s="3"/>
      <c r="H281" s="3"/>
      <c r="I281" s="3"/>
      <c r="J281" s="3"/>
      <c r="K281" s="3"/>
      <c r="L281" s="3"/>
      <c r="M281" s="3"/>
      <c r="N281" s="3"/>
      <c r="O281" s="3"/>
      <c r="P281" s="743" t="s">
        <v>0</v>
      </c>
      <c r="Q281" s="744"/>
      <c r="R281" s="745" t="str">
        <f>IF(事業所概要_算定体制!$D$13="","",事業所概要_算定体制!$D$13)</f>
        <v/>
      </c>
      <c r="S281" s="746"/>
    </row>
    <row r="282" spans="1:19">
      <c r="A282" s="3"/>
      <c r="B282" s="3"/>
      <c r="C282" s="3"/>
      <c r="D282" s="3"/>
      <c r="E282" s="3"/>
      <c r="F282" s="3"/>
      <c r="G282" s="3"/>
      <c r="H282" s="3"/>
      <c r="I282" s="3"/>
      <c r="J282" s="3"/>
      <c r="K282" s="3"/>
      <c r="L282" s="3"/>
      <c r="M282" s="3"/>
      <c r="N282" s="3"/>
      <c r="O282" s="3"/>
      <c r="P282" s="3"/>
      <c r="Q282" s="3"/>
      <c r="R282" s="747" t="str">
        <f>CONCATENATE(事業所概要_算定体制!$B$3,事業所概要_算定体制!$C$3,"年度")</f>
        <v>令和７年度</v>
      </c>
      <c r="S282" s="747"/>
    </row>
    <row r="283" spans="1:19" ht="18.75" thickBot="1">
      <c r="A283" s="3" t="s">
        <v>389</v>
      </c>
      <c r="B283" s="3"/>
      <c r="C283" s="3"/>
      <c r="D283" s="3"/>
      <c r="E283" s="3"/>
      <c r="F283" s="3"/>
      <c r="G283" s="3"/>
      <c r="H283" s="3"/>
      <c r="I283" s="3"/>
      <c r="J283" s="3"/>
      <c r="K283" s="3"/>
      <c r="L283" s="3"/>
      <c r="M283" s="3"/>
      <c r="N283" s="3"/>
      <c r="O283" s="3"/>
      <c r="P283" s="3"/>
      <c r="Q283" s="3"/>
      <c r="R283" s="3"/>
      <c r="S283" s="3"/>
    </row>
    <row r="284" spans="1:19">
      <c r="A284" s="764" t="s">
        <v>286</v>
      </c>
      <c r="B284" s="766" t="s">
        <v>69</v>
      </c>
      <c r="C284" s="766" t="s">
        <v>70</v>
      </c>
      <c r="D284" s="768" t="s">
        <v>287</v>
      </c>
      <c r="E284" s="770" t="s">
        <v>288</v>
      </c>
      <c r="F284" s="758" t="s">
        <v>993</v>
      </c>
      <c r="G284" s="758"/>
      <c r="H284" s="758"/>
      <c r="I284" s="758"/>
      <c r="J284" s="758"/>
      <c r="K284" s="758"/>
      <c r="L284" s="758"/>
      <c r="M284" s="758"/>
      <c r="N284" s="758"/>
      <c r="O284" s="758"/>
      <c r="P284" s="758"/>
      <c r="Q284" s="759"/>
      <c r="R284" s="760" t="s">
        <v>289</v>
      </c>
      <c r="S284" s="762" t="s">
        <v>302</v>
      </c>
    </row>
    <row r="285" spans="1:19" ht="18.75" thickBot="1">
      <c r="A285" s="765"/>
      <c r="B285" s="767"/>
      <c r="C285" s="767"/>
      <c r="D285" s="769"/>
      <c r="E285" s="771"/>
      <c r="F285" s="623" t="s">
        <v>987</v>
      </c>
      <c r="G285" s="623" t="s">
        <v>988</v>
      </c>
      <c r="H285" s="623" t="s">
        <v>989</v>
      </c>
      <c r="I285" s="623" t="s">
        <v>990</v>
      </c>
      <c r="J285" s="623" t="s">
        <v>991</v>
      </c>
      <c r="K285" s="623" t="s">
        <v>992</v>
      </c>
      <c r="L285" s="623" t="s">
        <v>994</v>
      </c>
      <c r="M285" s="623" t="s">
        <v>995</v>
      </c>
      <c r="N285" s="623" t="s">
        <v>996</v>
      </c>
      <c r="O285" s="623" t="s">
        <v>997</v>
      </c>
      <c r="P285" s="623" t="s">
        <v>998</v>
      </c>
      <c r="Q285" s="33" t="s">
        <v>999</v>
      </c>
      <c r="R285" s="761"/>
      <c r="S285" s="763"/>
    </row>
    <row r="286" spans="1:19" ht="24">
      <c r="A286" s="479"/>
      <c r="B286" s="519"/>
      <c r="C286" s="603" t="s">
        <v>300</v>
      </c>
      <c r="D286" s="116"/>
      <c r="E286" s="604"/>
      <c r="F286" s="117"/>
      <c r="G286" s="117"/>
      <c r="H286" s="117"/>
      <c r="I286" s="117"/>
      <c r="J286" s="117"/>
      <c r="K286" s="117"/>
      <c r="L286" s="117"/>
      <c r="M286" s="117"/>
      <c r="N286" s="117"/>
      <c r="O286" s="117"/>
      <c r="P286" s="117"/>
      <c r="Q286" s="118"/>
      <c r="R286" s="191">
        <f t="shared" ref="R286:R306" si="29">IF(E286="変更なし",D286,IF(E286="右記のとおり変更",Q286,0))</f>
        <v>0</v>
      </c>
      <c r="S286" s="192">
        <f t="shared" ref="S286:S306" si="30">IF(E286="変更なし",D286,IF(E286="右記のとおり変更",(D286+SUM(F286:P286))/12,0))</f>
        <v>0</v>
      </c>
    </row>
    <row r="287" spans="1:19" ht="24">
      <c r="A287" s="479"/>
      <c r="B287" s="519"/>
      <c r="C287" s="603" t="s">
        <v>300</v>
      </c>
      <c r="D287" s="116"/>
      <c r="E287" s="604"/>
      <c r="F287" s="116"/>
      <c r="G287" s="116"/>
      <c r="H287" s="116"/>
      <c r="I287" s="116"/>
      <c r="J287" s="116"/>
      <c r="K287" s="116"/>
      <c r="L287" s="116"/>
      <c r="M287" s="116"/>
      <c r="N287" s="116"/>
      <c r="O287" s="116"/>
      <c r="P287" s="116"/>
      <c r="Q287" s="119"/>
      <c r="R287" s="193">
        <f t="shared" si="29"/>
        <v>0</v>
      </c>
      <c r="S287" s="194">
        <f t="shared" si="30"/>
        <v>0</v>
      </c>
    </row>
    <row r="288" spans="1:19" ht="24">
      <c r="A288" s="479"/>
      <c r="B288" s="519"/>
      <c r="C288" s="603" t="s">
        <v>300</v>
      </c>
      <c r="D288" s="116"/>
      <c r="E288" s="604"/>
      <c r="F288" s="116"/>
      <c r="G288" s="116"/>
      <c r="H288" s="116"/>
      <c r="I288" s="116"/>
      <c r="J288" s="116"/>
      <c r="K288" s="116"/>
      <c r="L288" s="116"/>
      <c r="M288" s="116"/>
      <c r="N288" s="116"/>
      <c r="O288" s="116"/>
      <c r="P288" s="116"/>
      <c r="Q288" s="119"/>
      <c r="R288" s="193">
        <f t="shared" si="29"/>
        <v>0</v>
      </c>
      <c r="S288" s="194">
        <f t="shared" si="30"/>
        <v>0</v>
      </c>
    </row>
    <row r="289" spans="1:19" ht="24">
      <c r="A289" s="479"/>
      <c r="B289" s="519"/>
      <c r="C289" s="603" t="s">
        <v>300</v>
      </c>
      <c r="D289" s="116"/>
      <c r="E289" s="604"/>
      <c r="F289" s="116"/>
      <c r="G289" s="116"/>
      <c r="H289" s="116"/>
      <c r="I289" s="116"/>
      <c r="J289" s="116"/>
      <c r="K289" s="116"/>
      <c r="L289" s="116"/>
      <c r="M289" s="116"/>
      <c r="N289" s="116"/>
      <c r="O289" s="116"/>
      <c r="P289" s="116"/>
      <c r="Q289" s="119"/>
      <c r="R289" s="193">
        <f t="shared" si="29"/>
        <v>0</v>
      </c>
      <c r="S289" s="194">
        <f t="shared" si="30"/>
        <v>0</v>
      </c>
    </row>
    <row r="290" spans="1:19" ht="24">
      <c r="A290" s="479"/>
      <c r="B290" s="519"/>
      <c r="C290" s="603" t="s">
        <v>300</v>
      </c>
      <c r="D290" s="116"/>
      <c r="E290" s="604"/>
      <c r="F290" s="116"/>
      <c r="G290" s="116"/>
      <c r="H290" s="116"/>
      <c r="I290" s="116"/>
      <c r="J290" s="116"/>
      <c r="K290" s="116"/>
      <c r="L290" s="116"/>
      <c r="M290" s="116"/>
      <c r="N290" s="116"/>
      <c r="O290" s="116"/>
      <c r="P290" s="116"/>
      <c r="Q290" s="119"/>
      <c r="R290" s="193">
        <f t="shared" si="29"/>
        <v>0</v>
      </c>
      <c r="S290" s="194">
        <f t="shared" si="30"/>
        <v>0</v>
      </c>
    </row>
    <row r="291" spans="1:19" ht="24">
      <c r="A291" s="479"/>
      <c r="B291" s="519"/>
      <c r="C291" s="603" t="s">
        <v>300</v>
      </c>
      <c r="D291" s="116"/>
      <c r="E291" s="604"/>
      <c r="F291" s="116"/>
      <c r="G291" s="116"/>
      <c r="H291" s="116"/>
      <c r="I291" s="116"/>
      <c r="J291" s="116"/>
      <c r="K291" s="116"/>
      <c r="L291" s="116"/>
      <c r="M291" s="116"/>
      <c r="N291" s="116"/>
      <c r="O291" s="116"/>
      <c r="P291" s="116"/>
      <c r="Q291" s="119"/>
      <c r="R291" s="193">
        <f t="shared" si="29"/>
        <v>0</v>
      </c>
      <c r="S291" s="194">
        <f t="shared" si="30"/>
        <v>0</v>
      </c>
    </row>
    <row r="292" spans="1:19" ht="24">
      <c r="A292" s="479"/>
      <c r="B292" s="519"/>
      <c r="C292" s="603" t="s">
        <v>300</v>
      </c>
      <c r="D292" s="116"/>
      <c r="E292" s="604"/>
      <c r="F292" s="116"/>
      <c r="G292" s="116"/>
      <c r="H292" s="116"/>
      <c r="I292" s="116"/>
      <c r="J292" s="116"/>
      <c r="K292" s="116"/>
      <c r="L292" s="116"/>
      <c r="M292" s="116"/>
      <c r="N292" s="116"/>
      <c r="O292" s="116"/>
      <c r="P292" s="116"/>
      <c r="Q292" s="119"/>
      <c r="R292" s="193">
        <f t="shared" si="29"/>
        <v>0</v>
      </c>
      <c r="S292" s="194">
        <f t="shared" si="30"/>
        <v>0</v>
      </c>
    </row>
    <row r="293" spans="1:19" ht="24">
      <c r="A293" s="479"/>
      <c r="B293" s="519"/>
      <c r="C293" s="603" t="s">
        <v>300</v>
      </c>
      <c r="D293" s="116"/>
      <c r="E293" s="604"/>
      <c r="F293" s="116"/>
      <c r="G293" s="116"/>
      <c r="H293" s="116"/>
      <c r="I293" s="116"/>
      <c r="J293" s="116"/>
      <c r="K293" s="116"/>
      <c r="L293" s="116"/>
      <c r="M293" s="116"/>
      <c r="N293" s="116"/>
      <c r="O293" s="116"/>
      <c r="P293" s="116"/>
      <c r="Q293" s="119"/>
      <c r="R293" s="193">
        <f t="shared" si="29"/>
        <v>0</v>
      </c>
      <c r="S293" s="194">
        <f t="shared" si="30"/>
        <v>0</v>
      </c>
    </row>
    <row r="294" spans="1:19" ht="24">
      <c r="A294" s="479"/>
      <c r="B294" s="519"/>
      <c r="C294" s="603" t="s">
        <v>300</v>
      </c>
      <c r="D294" s="116"/>
      <c r="E294" s="604"/>
      <c r="F294" s="116"/>
      <c r="G294" s="116"/>
      <c r="H294" s="116"/>
      <c r="I294" s="116"/>
      <c r="J294" s="116"/>
      <c r="K294" s="116"/>
      <c r="L294" s="116"/>
      <c r="M294" s="116"/>
      <c r="N294" s="116"/>
      <c r="O294" s="116"/>
      <c r="P294" s="116"/>
      <c r="Q294" s="119"/>
      <c r="R294" s="193">
        <f t="shared" si="29"/>
        <v>0</v>
      </c>
      <c r="S294" s="194">
        <f t="shared" si="30"/>
        <v>0</v>
      </c>
    </row>
    <row r="295" spans="1:19" ht="24">
      <c r="A295" s="479"/>
      <c r="B295" s="519"/>
      <c r="C295" s="603" t="s">
        <v>300</v>
      </c>
      <c r="D295" s="116"/>
      <c r="E295" s="604"/>
      <c r="F295" s="116"/>
      <c r="G295" s="116"/>
      <c r="H295" s="116"/>
      <c r="I295" s="116"/>
      <c r="J295" s="116"/>
      <c r="K295" s="116"/>
      <c r="L295" s="116"/>
      <c r="M295" s="116"/>
      <c r="N295" s="116"/>
      <c r="O295" s="116"/>
      <c r="P295" s="116"/>
      <c r="Q295" s="119"/>
      <c r="R295" s="193">
        <f t="shared" si="29"/>
        <v>0</v>
      </c>
      <c r="S295" s="194">
        <f t="shared" si="30"/>
        <v>0</v>
      </c>
    </row>
    <row r="296" spans="1:19" ht="24">
      <c r="A296" s="479"/>
      <c r="B296" s="519"/>
      <c r="C296" s="603" t="s">
        <v>300</v>
      </c>
      <c r="D296" s="116"/>
      <c r="E296" s="604"/>
      <c r="F296" s="116"/>
      <c r="G296" s="116"/>
      <c r="H296" s="116"/>
      <c r="I296" s="116"/>
      <c r="J296" s="116"/>
      <c r="K296" s="116"/>
      <c r="L296" s="116"/>
      <c r="M296" s="116"/>
      <c r="N296" s="116"/>
      <c r="O296" s="116"/>
      <c r="P296" s="116"/>
      <c r="Q296" s="119"/>
      <c r="R296" s="193">
        <f t="shared" si="29"/>
        <v>0</v>
      </c>
      <c r="S296" s="194">
        <f t="shared" si="30"/>
        <v>0</v>
      </c>
    </row>
    <row r="297" spans="1:19" ht="24">
      <c r="A297" s="479"/>
      <c r="B297" s="519"/>
      <c r="C297" s="603" t="s">
        <v>300</v>
      </c>
      <c r="D297" s="116"/>
      <c r="E297" s="604"/>
      <c r="F297" s="116"/>
      <c r="G297" s="116"/>
      <c r="H297" s="116"/>
      <c r="I297" s="116"/>
      <c r="J297" s="116"/>
      <c r="K297" s="116"/>
      <c r="L297" s="116"/>
      <c r="M297" s="116"/>
      <c r="N297" s="116"/>
      <c r="O297" s="116"/>
      <c r="P297" s="116"/>
      <c r="Q297" s="119"/>
      <c r="R297" s="193">
        <f t="shared" si="29"/>
        <v>0</v>
      </c>
      <c r="S297" s="194">
        <f t="shared" si="30"/>
        <v>0</v>
      </c>
    </row>
    <row r="298" spans="1:19" ht="24">
      <c r="A298" s="479"/>
      <c r="B298" s="519"/>
      <c r="C298" s="603" t="s">
        <v>300</v>
      </c>
      <c r="D298" s="116"/>
      <c r="E298" s="604"/>
      <c r="F298" s="116"/>
      <c r="G298" s="116"/>
      <c r="H298" s="116"/>
      <c r="I298" s="116"/>
      <c r="J298" s="116"/>
      <c r="K298" s="116"/>
      <c r="L298" s="116"/>
      <c r="M298" s="116"/>
      <c r="N298" s="116"/>
      <c r="O298" s="116"/>
      <c r="P298" s="116"/>
      <c r="Q298" s="119"/>
      <c r="R298" s="193">
        <f t="shared" si="29"/>
        <v>0</v>
      </c>
      <c r="S298" s="194">
        <f t="shared" si="30"/>
        <v>0</v>
      </c>
    </row>
    <row r="299" spans="1:19" ht="24">
      <c r="A299" s="479"/>
      <c r="B299" s="519"/>
      <c r="C299" s="603" t="s">
        <v>300</v>
      </c>
      <c r="D299" s="116"/>
      <c r="E299" s="604"/>
      <c r="F299" s="116"/>
      <c r="G299" s="116"/>
      <c r="H299" s="116"/>
      <c r="I299" s="116"/>
      <c r="J299" s="116"/>
      <c r="K299" s="116"/>
      <c r="L299" s="116"/>
      <c r="M299" s="116"/>
      <c r="N299" s="116"/>
      <c r="O299" s="116"/>
      <c r="P299" s="116"/>
      <c r="Q299" s="119"/>
      <c r="R299" s="193">
        <f t="shared" si="29"/>
        <v>0</v>
      </c>
      <c r="S299" s="194">
        <f t="shared" si="30"/>
        <v>0</v>
      </c>
    </row>
    <row r="300" spans="1:19" ht="24">
      <c r="A300" s="479"/>
      <c r="B300" s="519"/>
      <c r="C300" s="603" t="s">
        <v>300</v>
      </c>
      <c r="D300" s="116"/>
      <c r="E300" s="604"/>
      <c r="F300" s="116"/>
      <c r="G300" s="116"/>
      <c r="H300" s="116"/>
      <c r="I300" s="116"/>
      <c r="J300" s="116"/>
      <c r="K300" s="116"/>
      <c r="L300" s="116"/>
      <c r="M300" s="116"/>
      <c r="N300" s="116"/>
      <c r="O300" s="116"/>
      <c r="P300" s="116"/>
      <c r="Q300" s="119"/>
      <c r="R300" s="193">
        <f t="shared" si="29"/>
        <v>0</v>
      </c>
      <c r="S300" s="194">
        <f t="shared" si="30"/>
        <v>0</v>
      </c>
    </row>
    <row r="301" spans="1:19" ht="24">
      <c r="A301" s="479"/>
      <c r="B301" s="519"/>
      <c r="C301" s="603" t="s">
        <v>300</v>
      </c>
      <c r="D301" s="116"/>
      <c r="E301" s="604"/>
      <c r="F301" s="116"/>
      <c r="G301" s="116"/>
      <c r="H301" s="116"/>
      <c r="I301" s="116"/>
      <c r="J301" s="116"/>
      <c r="K301" s="116"/>
      <c r="L301" s="116"/>
      <c r="M301" s="116"/>
      <c r="N301" s="116"/>
      <c r="O301" s="116"/>
      <c r="P301" s="116"/>
      <c r="Q301" s="119"/>
      <c r="R301" s="193">
        <f t="shared" si="29"/>
        <v>0</v>
      </c>
      <c r="S301" s="194">
        <f t="shared" si="30"/>
        <v>0</v>
      </c>
    </row>
    <row r="302" spans="1:19" ht="24">
      <c r="A302" s="479"/>
      <c r="B302" s="519"/>
      <c r="C302" s="603" t="s">
        <v>300</v>
      </c>
      <c r="D302" s="116"/>
      <c r="E302" s="604"/>
      <c r="F302" s="116"/>
      <c r="G302" s="116"/>
      <c r="H302" s="116"/>
      <c r="I302" s="116"/>
      <c r="J302" s="116"/>
      <c r="K302" s="116"/>
      <c r="L302" s="116"/>
      <c r="M302" s="116"/>
      <c r="N302" s="116"/>
      <c r="O302" s="116"/>
      <c r="P302" s="116"/>
      <c r="Q302" s="119"/>
      <c r="R302" s="193">
        <f t="shared" si="29"/>
        <v>0</v>
      </c>
      <c r="S302" s="194">
        <f t="shared" si="30"/>
        <v>0</v>
      </c>
    </row>
    <row r="303" spans="1:19" ht="24">
      <c r="A303" s="479"/>
      <c r="B303" s="519"/>
      <c r="C303" s="603" t="s">
        <v>300</v>
      </c>
      <c r="D303" s="116"/>
      <c r="E303" s="604"/>
      <c r="F303" s="116"/>
      <c r="G303" s="116"/>
      <c r="H303" s="116"/>
      <c r="I303" s="116"/>
      <c r="J303" s="116"/>
      <c r="K303" s="116"/>
      <c r="L303" s="116"/>
      <c r="M303" s="116"/>
      <c r="N303" s="116"/>
      <c r="O303" s="116"/>
      <c r="P303" s="116"/>
      <c r="Q303" s="119"/>
      <c r="R303" s="193">
        <f t="shared" si="29"/>
        <v>0</v>
      </c>
      <c r="S303" s="194">
        <f t="shared" si="30"/>
        <v>0</v>
      </c>
    </row>
    <row r="304" spans="1:19" ht="24">
      <c r="A304" s="479"/>
      <c r="B304" s="519"/>
      <c r="C304" s="603" t="s">
        <v>300</v>
      </c>
      <c r="D304" s="116"/>
      <c r="E304" s="604"/>
      <c r="F304" s="116"/>
      <c r="G304" s="116"/>
      <c r="H304" s="116"/>
      <c r="I304" s="116"/>
      <c r="J304" s="116"/>
      <c r="K304" s="116"/>
      <c r="L304" s="116"/>
      <c r="M304" s="116"/>
      <c r="N304" s="116"/>
      <c r="O304" s="116"/>
      <c r="P304" s="116"/>
      <c r="Q304" s="119"/>
      <c r="R304" s="193">
        <f t="shared" si="29"/>
        <v>0</v>
      </c>
      <c r="S304" s="194">
        <f t="shared" si="30"/>
        <v>0</v>
      </c>
    </row>
    <row r="305" spans="1:19" ht="24">
      <c r="A305" s="479"/>
      <c r="B305" s="519"/>
      <c r="C305" s="603" t="s">
        <v>300</v>
      </c>
      <c r="D305" s="116"/>
      <c r="E305" s="604"/>
      <c r="F305" s="116"/>
      <c r="G305" s="116"/>
      <c r="H305" s="116"/>
      <c r="I305" s="116"/>
      <c r="J305" s="116"/>
      <c r="K305" s="116"/>
      <c r="L305" s="116"/>
      <c r="M305" s="116"/>
      <c r="N305" s="116"/>
      <c r="O305" s="116"/>
      <c r="P305" s="116"/>
      <c r="Q305" s="119"/>
      <c r="R305" s="193">
        <f t="shared" si="29"/>
        <v>0</v>
      </c>
      <c r="S305" s="194">
        <f t="shared" si="30"/>
        <v>0</v>
      </c>
    </row>
    <row r="306" spans="1:19" ht="24">
      <c r="A306" s="479"/>
      <c r="B306" s="519"/>
      <c r="C306" s="603" t="s">
        <v>300</v>
      </c>
      <c r="D306" s="116"/>
      <c r="E306" s="604"/>
      <c r="F306" s="116"/>
      <c r="G306" s="116"/>
      <c r="H306" s="116"/>
      <c r="I306" s="116"/>
      <c r="J306" s="116"/>
      <c r="K306" s="116"/>
      <c r="L306" s="116"/>
      <c r="M306" s="116"/>
      <c r="N306" s="116"/>
      <c r="O306" s="116"/>
      <c r="P306" s="116"/>
      <c r="Q306" s="119"/>
      <c r="R306" s="193">
        <f t="shared" si="29"/>
        <v>0</v>
      </c>
      <c r="S306" s="194">
        <f t="shared" si="30"/>
        <v>0</v>
      </c>
    </row>
    <row r="307" spans="1:19" ht="24">
      <c r="A307" s="479"/>
      <c r="B307" s="519"/>
      <c r="C307" s="603" t="s">
        <v>300</v>
      </c>
      <c r="D307" s="116"/>
      <c r="E307" s="604"/>
      <c r="F307" s="116"/>
      <c r="G307" s="116"/>
      <c r="H307" s="116"/>
      <c r="I307" s="116"/>
      <c r="J307" s="116"/>
      <c r="K307" s="116"/>
      <c r="L307" s="116"/>
      <c r="M307" s="116"/>
      <c r="N307" s="116"/>
      <c r="O307" s="116"/>
      <c r="P307" s="116"/>
      <c r="Q307" s="119"/>
      <c r="R307" s="193">
        <f>IF(E307="変更なし",D307,IF(E307="右記のとおり変更",Q307,0))</f>
        <v>0</v>
      </c>
      <c r="S307" s="194">
        <f>IF(E307="変更なし",D307,IF(E307="右記のとおり変更",(D307+SUM(F307:P307))/12,0))</f>
        <v>0</v>
      </c>
    </row>
    <row r="308" spans="1:19" ht="24">
      <c r="A308" s="479"/>
      <c r="B308" s="519"/>
      <c r="C308" s="603" t="s">
        <v>300</v>
      </c>
      <c r="D308" s="116"/>
      <c r="E308" s="604"/>
      <c r="F308" s="116"/>
      <c r="G308" s="116"/>
      <c r="H308" s="116"/>
      <c r="I308" s="116"/>
      <c r="J308" s="116"/>
      <c r="K308" s="116"/>
      <c r="L308" s="116"/>
      <c r="M308" s="116"/>
      <c r="N308" s="116"/>
      <c r="O308" s="116"/>
      <c r="P308" s="116"/>
      <c r="Q308" s="119"/>
      <c r="R308" s="193">
        <f>IF(E308="変更なし",D308,IF(E308="右記のとおり変更",Q308,0))</f>
        <v>0</v>
      </c>
      <c r="S308" s="194">
        <f>IF(E308="変更なし",D308,IF(E308="右記のとおり変更",(D308+SUM(F308:P308))/12,0))</f>
        <v>0</v>
      </c>
    </row>
    <row r="309" spans="1:19" ht="24">
      <c r="A309" s="479"/>
      <c r="B309" s="519"/>
      <c r="C309" s="603" t="s">
        <v>300</v>
      </c>
      <c r="D309" s="116"/>
      <c r="E309" s="604"/>
      <c r="F309" s="116"/>
      <c r="G309" s="116"/>
      <c r="H309" s="116"/>
      <c r="I309" s="116"/>
      <c r="J309" s="116"/>
      <c r="K309" s="116"/>
      <c r="L309" s="116"/>
      <c r="M309" s="116"/>
      <c r="N309" s="116"/>
      <c r="O309" s="116"/>
      <c r="P309" s="116"/>
      <c r="Q309" s="119"/>
      <c r="R309" s="193">
        <f>IF(E309="変更なし",D309,IF(E309="右記のとおり変更",Q309,0))</f>
        <v>0</v>
      </c>
      <c r="S309" s="194">
        <f>IF(E309="変更なし",D309,IF(E309="右記のとおり変更",(D309+SUM(F309:P309))/12,0))</f>
        <v>0</v>
      </c>
    </row>
    <row r="310" spans="1:19" ht="24">
      <c r="A310" s="481"/>
      <c r="B310" s="519"/>
      <c r="C310" s="562" t="s">
        <v>300</v>
      </c>
      <c r="D310" s="120"/>
      <c r="E310" s="604"/>
      <c r="F310" s="120"/>
      <c r="G310" s="120"/>
      <c r="H310" s="120"/>
      <c r="I310" s="120"/>
      <c r="J310" s="120"/>
      <c r="K310" s="120"/>
      <c r="L310" s="120"/>
      <c r="M310" s="120"/>
      <c r="N310" s="120"/>
      <c r="O310" s="120"/>
      <c r="P310" s="120"/>
      <c r="Q310" s="121"/>
      <c r="R310" s="197">
        <f>IF(E310="変更なし",D310,IF(E310="右記のとおり変更",Q310,0))</f>
        <v>0</v>
      </c>
      <c r="S310" s="198">
        <f>IF(E310="変更なし",D310,IF(E310="右記のとおり変更",(D310+SUM(F310:P310))/12,0))</f>
        <v>0</v>
      </c>
    </row>
    <row r="311" spans="1:19" ht="24">
      <c r="A311" s="481"/>
      <c r="B311" s="519"/>
      <c r="C311" s="562" t="s">
        <v>300</v>
      </c>
      <c r="D311" s="120"/>
      <c r="E311" s="604"/>
      <c r="F311" s="120"/>
      <c r="G311" s="120"/>
      <c r="H311" s="120"/>
      <c r="I311" s="120"/>
      <c r="J311" s="120"/>
      <c r="K311" s="120"/>
      <c r="L311" s="120"/>
      <c r="M311" s="120"/>
      <c r="N311" s="120"/>
      <c r="O311" s="120"/>
      <c r="P311" s="120"/>
      <c r="Q311" s="121"/>
      <c r="R311" s="197">
        <f t="shared" ref="R311:R320" si="31">IF(E311="変更なし",D311,IF(E311="右記のとおり変更",Q311,0))</f>
        <v>0</v>
      </c>
      <c r="S311" s="198">
        <f t="shared" ref="S311:S320" si="32">IF(E311="変更なし",D311,IF(E311="右記のとおり変更",(D311+SUM(F311:P311))/12,0))</f>
        <v>0</v>
      </c>
    </row>
    <row r="312" spans="1:19" ht="24">
      <c r="A312" s="481"/>
      <c r="B312" s="519"/>
      <c r="C312" s="562" t="s">
        <v>300</v>
      </c>
      <c r="D312" s="120"/>
      <c r="E312" s="604"/>
      <c r="F312" s="120"/>
      <c r="G312" s="120"/>
      <c r="H312" s="120"/>
      <c r="I312" s="120"/>
      <c r="J312" s="120"/>
      <c r="K312" s="120"/>
      <c r="L312" s="120"/>
      <c r="M312" s="120"/>
      <c r="N312" s="120"/>
      <c r="O312" s="120"/>
      <c r="P312" s="120"/>
      <c r="Q312" s="121"/>
      <c r="R312" s="197">
        <f t="shared" si="31"/>
        <v>0</v>
      </c>
      <c r="S312" s="198">
        <f t="shared" si="32"/>
        <v>0</v>
      </c>
    </row>
    <row r="313" spans="1:19" ht="24">
      <c r="A313" s="481"/>
      <c r="B313" s="519"/>
      <c r="C313" s="562" t="s">
        <v>300</v>
      </c>
      <c r="D313" s="120"/>
      <c r="E313" s="604"/>
      <c r="F313" s="120"/>
      <c r="G313" s="120"/>
      <c r="H313" s="120"/>
      <c r="I313" s="120"/>
      <c r="J313" s="120"/>
      <c r="K313" s="120"/>
      <c r="L313" s="120"/>
      <c r="M313" s="120"/>
      <c r="N313" s="120"/>
      <c r="O313" s="120"/>
      <c r="P313" s="120"/>
      <c r="Q313" s="121"/>
      <c r="R313" s="197">
        <f t="shared" si="31"/>
        <v>0</v>
      </c>
      <c r="S313" s="198">
        <f t="shared" si="32"/>
        <v>0</v>
      </c>
    </row>
    <row r="314" spans="1:19" ht="24">
      <c r="A314" s="481"/>
      <c r="B314" s="519"/>
      <c r="C314" s="562" t="s">
        <v>300</v>
      </c>
      <c r="D314" s="120"/>
      <c r="E314" s="604"/>
      <c r="F314" s="120"/>
      <c r="G314" s="120"/>
      <c r="H314" s="120"/>
      <c r="I314" s="120"/>
      <c r="J314" s="120"/>
      <c r="K314" s="120"/>
      <c r="L314" s="120"/>
      <c r="M314" s="120"/>
      <c r="N314" s="120"/>
      <c r="O314" s="120"/>
      <c r="P314" s="120"/>
      <c r="Q314" s="121"/>
      <c r="R314" s="197">
        <f t="shared" si="31"/>
        <v>0</v>
      </c>
      <c r="S314" s="198">
        <f t="shared" si="32"/>
        <v>0</v>
      </c>
    </row>
    <row r="315" spans="1:19" ht="24">
      <c r="A315" s="481"/>
      <c r="B315" s="519"/>
      <c r="C315" s="562" t="s">
        <v>300</v>
      </c>
      <c r="D315" s="120"/>
      <c r="E315" s="604"/>
      <c r="F315" s="120"/>
      <c r="G315" s="120"/>
      <c r="H315" s="120"/>
      <c r="I315" s="120"/>
      <c r="J315" s="120"/>
      <c r="K315" s="120"/>
      <c r="L315" s="120"/>
      <c r="M315" s="120"/>
      <c r="N315" s="120"/>
      <c r="O315" s="120"/>
      <c r="P315" s="120"/>
      <c r="Q315" s="121"/>
      <c r="R315" s="197">
        <f t="shared" si="31"/>
        <v>0</v>
      </c>
      <c r="S315" s="198">
        <f t="shared" si="32"/>
        <v>0</v>
      </c>
    </row>
    <row r="316" spans="1:19" ht="24">
      <c r="A316" s="481"/>
      <c r="B316" s="519"/>
      <c r="C316" s="562" t="s">
        <v>300</v>
      </c>
      <c r="D316" s="120"/>
      <c r="E316" s="604"/>
      <c r="F316" s="120"/>
      <c r="G316" s="120"/>
      <c r="H316" s="120"/>
      <c r="I316" s="120"/>
      <c r="J316" s="120"/>
      <c r="K316" s="120"/>
      <c r="L316" s="120"/>
      <c r="M316" s="120"/>
      <c r="N316" s="120"/>
      <c r="O316" s="120"/>
      <c r="P316" s="120"/>
      <c r="Q316" s="121"/>
      <c r="R316" s="197">
        <f t="shared" si="31"/>
        <v>0</v>
      </c>
      <c r="S316" s="198">
        <f t="shared" si="32"/>
        <v>0</v>
      </c>
    </row>
    <row r="317" spans="1:19" ht="24">
      <c r="A317" s="481"/>
      <c r="B317" s="519"/>
      <c r="C317" s="562" t="s">
        <v>300</v>
      </c>
      <c r="D317" s="120"/>
      <c r="E317" s="604"/>
      <c r="F317" s="120"/>
      <c r="G317" s="120"/>
      <c r="H317" s="120"/>
      <c r="I317" s="120"/>
      <c r="J317" s="120"/>
      <c r="K317" s="120"/>
      <c r="L317" s="120"/>
      <c r="M317" s="120"/>
      <c r="N317" s="120"/>
      <c r="O317" s="120"/>
      <c r="P317" s="120"/>
      <c r="Q317" s="121"/>
      <c r="R317" s="197">
        <f t="shared" si="31"/>
        <v>0</v>
      </c>
      <c r="S317" s="198">
        <f t="shared" si="32"/>
        <v>0</v>
      </c>
    </row>
    <row r="318" spans="1:19" ht="24">
      <c r="A318" s="481"/>
      <c r="B318" s="519"/>
      <c r="C318" s="562" t="s">
        <v>300</v>
      </c>
      <c r="D318" s="120"/>
      <c r="E318" s="604"/>
      <c r="F318" s="120"/>
      <c r="G318" s="120"/>
      <c r="H318" s="120"/>
      <c r="I318" s="120"/>
      <c r="J318" s="120"/>
      <c r="K318" s="120"/>
      <c r="L318" s="120"/>
      <c r="M318" s="120"/>
      <c r="N318" s="120"/>
      <c r="O318" s="120"/>
      <c r="P318" s="120"/>
      <c r="Q318" s="121"/>
      <c r="R318" s="197">
        <f t="shared" si="31"/>
        <v>0</v>
      </c>
      <c r="S318" s="198">
        <f t="shared" si="32"/>
        <v>0</v>
      </c>
    </row>
    <row r="319" spans="1:19" ht="24">
      <c r="A319" s="481"/>
      <c r="B319" s="519"/>
      <c r="C319" s="562" t="s">
        <v>300</v>
      </c>
      <c r="D319" s="120"/>
      <c r="E319" s="604"/>
      <c r="F319" s="120"/>
      <c r="G319" s="120"/>
      <c r="H319" s="120"/>
      <c r="I319" s="120"/>
      <c r="J319" s="120"/>
      <c r="K319" s="120"/>
      <c r="L319" s="120"/>
      <c r="M319" s="120"/>
      <c r="N319" s="120"/>
      <c r="O319" s="120"/>
      <c r="P319" s="120"/>
      <c r="Q319" s="121"/>
      <c r="R319" s="197">
        <f t="shared" si="31"/>
        <v>0</v>
      </c>
      <c r="S319" s="198">
        <f t="shared" si="32"/>
        <v>0</v>
      </c>
    </row>
    <row r="320" spans="1:19" ht="24.75" thickBot="1">
      <c r="A320" s="480"/>
      <c r="B320" s="411"/>
      <c r="C320" s="605" t="s">
        <v>300</v>
      </c>
      <c r="D320" s="140"/>
      <c r="E320" s="606"/>
      <c r="F320" s="140"/>
      <c r="G320" s="140"/>
      <c r="H320" s="140"/>
      <c r="I320" s="140"/>
      <c r="J320" s="140"/>
      <c r="K320" s="140"/>
      <c r="L320" s="140"/>
      <c r="M320" s="140"/>
      <c r="N320" s="140"/>
      <c r="O320" s="140"/>
      <c r="P320" s="140"/>
      <c r="Q320" s="141"/>
      <c r="R320" s="195">
        <f t="shared" si="31"/>
        <v>0</v>
      </c>
      <c r="S320" s="196">
        <f t="shared" si="32"/>
        <v>0</v>
      </c>
    </row>
  </sheetData>
  <sheetProtection algorithmName="SHA-512" hashValue="/fXfISc0I9eQ/OAktm3VD7eZa6vbOnkeiVWtOcK0hHbOahf/2qxsLeb+LpCmOeRg3vvCn0JryhM1riGaj50RBQ==" saltValue="OXeZdJMQyMhemN3jQxJYFQ==" spinCount="100000" sheet="1" objects="1" scenarios="1"/>
  <mergeCells count="98">
    <mergeCell ref="F284:Q284"/>
    <mergeCell ref="R284:R285"/>
    <mergeCell ref="S284:S285"/>
    <mergeCell ref="A284:A285"/>
    <mergeCell ref="B284:B285"/>
    <mergeCell ref="C284:C285"/>
    <mergeCell ref="D284:D285"/>
    <mergeCell ref="E284:E285"/>
    <mergeCell ref="A244:A245"/>
    <mergeCell ref="B244:B245"/>
    <mergeCell ref="C244:C245"/>
    <mergeCell ref="D244:D245"/>
    <mergeCell ref="E244:E245"/>
    <mergeCell ref="A204:A205"/>
    <mergeCell ref="B204:B205"/>
    <mergeCell ref="C204:C205"/>
    <mergeCell ref="D204:D205"/>
    <mergeCell ref="E204:E205"/>
    <mergeCell ref="A164:A165"/>
    <mergeCell ref="B164:B165"/>
    <mergeCell ref="C164:C165"/>
    <mergeCell ref="D164:D165"/>
    <mergeCell ref="E164:E165"/>
    <mergeCell ref="A124:A125"/>
    <mergeCell ref="B124:B125"/>
    <mergeCell ref="C124:C125"/>
    <mergeCell ref="D124:D125"/>
    <mergeCell ref="E124:E125"/>
    <mergeCell ref="A84:A85"/>
    <mergeCell ref="B84:B85"/>
    <mergeCell ref="C84:C85"/>
    <mergeCell ref="D84:D85"/>
    <mergeCell ref="E84:E85"/>
    <mergeCell ref="R44:R45"/>
    <mergeCell ref="S44:S45"/>
    <mergeCell ref="F44:Q44"/>
    <mergeCell ref="A44:A45"/>
    <mergeCell ref="B44:B45"/>
    <mergeCell ref="C44:C45"/>
    <mergeCell ref="D44:D45"/>
    <mergeCell ref="E44:E45"/>
    <mergeCell ref="R282:S282"/>
    <mergeCell ref="R202:S202"/>
    <mergeCell ref="P241:Q241"/>
    <mergeCell ref="R241:S241"/>
    <mergeCell ref="R242:S242"/>
    <mergeCell ref="P281:Q281"/>
    <mergeCell ref="R281:S281"/>
    <mergeCell ref="F204:Q204"/>
    <mergeCell ref="R204:R205"/>
    <mergeCell ref="S204:S205"/>
    <mergeCell ref="F244:Q244"/>
    <mergeCell ref="R244:R245"/>
    <mergeCell ref="S244:S245"/>
    <mergeCell ref="R122:S122"/>
    <mergeCell ref="P161:Q161"/>
    <mergeCell ref="R161:S161"/>
    <mergeCell ref="R162:S162"/>
    <mergeCell ref="P201:Q201"/>
    <mergeCell ref="R201:S201"/>
    <mergeCell ref="F124:Q124"/>
    <mergeCell ref="R124:R125"/>
    <mergeCell ref="S124:S125"/>
    <mergeCell ref="F164:Q164"/>
    <mergeCell ref="R164:R165"/>
    <mergeCell ref="S164:S165"/>
    <mergeCell ref="P81:Q81"/>
    <mergeCell ref="R81:S81"/>
    <mergeCell ref="R82:S82"/>
    <mergeCell ref="P121:Q121"/>
    <mergeCell ref="R121:S121"/>
    <mergeCell ref="F84:Q84"/>
    <mergeCell ref="R84:R85"/>
    <mergeCell ref="S84:S85"/>
    <mergeCell ref="P41:Q41"/>
    <mergeCell ref="R41:S41"/>
    <mergeCell ref="R42:S42"/>
    <mergeCell ref="P1:Q1"/>
    <mergeCell ref="R1:S1"/>
    <mergeCell ref="R2:S2"/>
    <mergeCell ref="A37:S39"/>
    <mergeCell ref="A6:B6"/>
    <mergeCell ref="A4:A5"/>
    <mergeCell ref="B4:B5"/>
    <mergeCell ref="C4:C5"/>
    <mergeCell ref="D4:D5"/>
    <mergeCell ref="E4:E5"/>
    <mergeCell ref="F4:Q4"/>
    <mergeCell ref="R4:R5"/>
    <mergeCell ref="S4:S5"/>
    <mergeCell ref="F8:Q8"/>
    <mergeCell ref="R8:R9"/>
    <mergeCell ref="S8:S9"/>
    <mergeCell ref="A8:A9"/>
    <mergeCell ref="B8:B9"/>
    <mergeCell ref="C8:C9"/>
    <mergeCell ref="D8:D9"/>
    <mergeCell ref="E8:E9"/>
  </mergeCells>
  <phoneticPr fontId="5"/>
  <conditionalFormatting sqref="F10:Q34">
    <cfRule type="expression" dxfId="46" priority="8">
      <formula>$E10="変更なし"</formula>
    </cfRule>
  </conditionalFormatting>
  <conditionalFormatting sqref="F46:Q80">
    <cfRule type="expression" dxfId="45" priority="7">
      <formula>$E46="変更なし"</formula>
    </cfRule>
  </conditionalFormatting>
  <conditionalFormatting sqref="F86:Q120">
    <cfRule type="expression" dxfId="44" priority="6">
      <formula>$E86="変更なし"</formula>
    </cfRule>
  </conditionalFormatting>
  <conditionalFormatting sqref="F126:Q160">
    <cfRule type="expression" dxfId="43" priority="5">
      <formula>$E126="変更なし"</formula>
    </cfRule>
  </conditionalFormatting>
  <conditionalFormatting sqref="F166:Q200">
    <cfRule type="expression" dxfId="42" priority="4">
      <formula>$E166="変更なし"</formula>
    </cfRule>
  </conditionalFormatting>
  <conditionalFormatting sqref="F206:Q240">
    <cfRule type="expression" dxfId="41" priority="3">
      <formula>$E206="変更なし"</formula>
    </cfRule>
  </conditionalFormatting>
  <conditionalFormatting sqref="F246:Q280">
    <cfRule type="expression" dxfId="40" priority="2">
      <formula>$E246="変更なし"</formula>
    </cfRule>
  </conditionalFormatting>
  <conditionalFormatting sqref="F286:Q320">
    <cfRule type="expression" dxfId="39" priority="1">
      <formula>$E286="変更なし"</formula>
    </cfRule>
  </conditionalFormatting>
  <dataValidations count="4">
    <dataValidation imeMode="on" allowBlank="1" showInputMessage="1" showErrorMessage="1" sqref="A37:S39 A11:A34 A47:A80 A87:A120 A127:A160 A167:A200 A207:A240 A247:A280 A287:A320" xr:uid="{00000000-0002-0000-0300-000000000000}"/>
    <dataValidation imeMode="disabled" allowBlank="1" showInputMessage="1" showErrorMessage="1" sqref="F10:S34 D10:D34 F46:S80 D46:D80 S6 F86:S120 D86:D120 F126:S160 D126:D160 F166:S200 D166:D200 F206:S240 D206:D240 F246:S280 D246:D280 F286:S320 D286:D320" xr:uid="{00000000-0002-0000-0300-000001000000}"/>
    <dataValidation type="list" allowBlank="1" showInputMessage="1" showErrorMessage="1" sqref="B10:B34 B46:B80 B86:B120 B126:B160 B166:B200 B206:B240 B246:B280 B286:B320" xr:uid="{00000000-0002-0000-0300-000002000000}">
      <formula1>床面積_把握方法_選択</formula1>
    </dataValidation>
    <dataValidation type="list" allowBlank="1" showInputMessage="1" showErrorMessage="1" sqref="E46:E80 E10:E34 E86:E120 E126:E160 E166:E200 E206:E240 E246:E280 E286:E320" xr:uid="{00000000-0002-0000-0300-000003000000}">
      <formula1>床面積_変更の有無_選択</formula1>
    </dataValidation>
  </dataValidations>
  <pageMargins left="0.59055118110236227" right="0.39370078740157483" top="0.59055118110236227" bottom="0.59055118110236227" header="0.31496062992125984" footer="0.31496062992125984"/>
  <pageSetup paperSize="9" scale="51" fitToHeight="0" orientation="landscape" r:id="rId1"/>
  <rowBreaks count="7" manualBreakCount="7">
    <brk id="40" max="18" man="1"/>
    <brk id="80" max="18" man="1"/>
    <brk id="120" max="18" man="1"/>
    <brk id="160" max="18" man="1"/>
    <brk id="200" max="18" man="1"/>
    <brk id="240" max="18" man="1"/>
    <brk id="280"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S58"/>
  <sheetViews>
    <sheetView showGridLines="0" zoomScale="70" zoomScaleNormal="70" zoomScaleSheetLayoutView="70" workbookViewId="0">
      <pane ySplit="6" topLeftCell="A7" activePane="bottomLeft" state="frozen"/>
      <selection pane="bottomLeft"/>
    </sheetView>
  </sheetViews>
  <sheetFormatPr defaultColWidth="9" defaultRowHeight="18" outlineLevelCol="1"/>
  <cols>
    <col min="1" max="1" width="10.625" style="88" customWidth="1"/>
    <col min="2" max="2" width="13.75" style="469" customWidth="1"/>
    <col min="3" max="3" width="31.75" style="469" customWidth="1"/>
    <col min="4" max="5" width="10.625" style="88" customWidth="1"/>
    <col min="6" max="6" width="6.75" style="88" customWidth="1"/>
    <col min="7" max="7" width="9.875" style="88" customWidth="1"/>
    <col min="8" max="18" width="9" style="88"/>
    <col min="19" max="19" width="9" style="88" customWidth="1"/>
    <col min="20" max="20" width="12" style="88" customWidth="1"/>
    <col min="21" max="21" width="13.625" style="88" customWidth="1"/>
    <col min="22" max="22" width="9.625" style="88" hidden="1" customWidth="1" outlineLevel="1"/>
    <col min="23" max="23" width="8.25" style="88" hidden="1" customWidth="1" outlineLevel="1"/>
    <col min="24" max="24" width="13" style="88" customWidth="1" collapsed="1"/>
    <col min="25" max="25" width="11.75" style="88" customWidth="1"/>
    <col min="26" max="26" width="13" style="88" customWidth="1"/>
    <col min="27" max="27" width="12" style="88" customWidth="1"/>
    <col min="28" max="28" width="9" style="88"/>
    <col min="29" max="29" width="11.25" style="88" hidden="1" customWidth="1" outlineLevel="1"/>
    <col min="30" max="30" width="9.375" style="88" hidden="1" customWidth="1" outlineLevel="1"/>
    <col min="31" max="31" width="9.5" style="88" hidden="1" customWidth="1" outlineLevel="1"/>
    <col min="32" max="34" width="14.75" style="88" hidden="1" customWidth="1" outlineLevel="1"/>
    <col min="35" max="35" width="13.75" style="88" hidden="1" customWidth="1" outlineLevel="1"/>
    <col min="36" max="36" width="17.625" style="88" hidden="1" customWidth="1" outlineLevel="1"/>
    <col min="37" max="37" width="20.375" style="88" hidden="1" customWidth="1" outlineLevel="1"/>
    <col min="38" max="38" width="18" style="88" hidden="1" customWidth="1" outlineLevel="1"/>
    <col min="39" max="42" width="17.125" style="88" hidden="1" customWidth="1" outlineLevel="1"/>
    <col min="43" max="43" width="15.125" style="88" hidden="1" customWidth="1" outlineLevel="1"/>
    <col min="44" max="44" width="15" style="88" hidden="1" customWidth="1" outlineLevel="1"/>
    <col min="45" max="45" width="9" style="88" collapsed="1"/>
    <col min="46" max="16384" width="9" style="88"/>
  </cols>
  <sheetData>
    <row r="1" spans="1:44" ht="18.75" customHeight="1">
      <c r="A1" s="3" t="s">
        <v>308</v>
      </c>
      <c r="B1" s="41"/>
      <c r="C1" s="189"/>
      <c r="D1" s="52"/>
      <c r="E1" s="52"/>
      <c r="F1" s="52"/>
      <c r="G1" s="52"/>
      <c r="H1" s="52"/>
      <c r="I1" s="52"/>
      <c r="J1" s="52"/>
      <c r="K1" s="52"/>
      <c r="L1" s="52"/>
      <c r="M1" s="52"/>
      <c r="N1" s="52"/>
      <c r="O1" s="52"/>
      <c r="P1" s="52"/>
      <c r="Q1" s="52"/>
      <c r="R1" s="52"/>
      <c r="S1" s="52"/>
      <c r="T1" s="52"/>
      <c r="U1" s="38"/>
      <c r="V1" s="68" t="s">
        <v>865</v>
      </c>
      <c r="W1" s="68" t="s">
        <v>865</v>
      </c>
      <c r="X1" s="38"/>
      <c r="Y1" s="38" t="s">
        <v>0</v>
      </c>
      <c r="Z1" s="745" t="str">
        <f>IF(事業所概要_算定体制!D13="","",事業所概要_算定体制!D13)</f>
        <v/>
      </c>
      <c r="AA1" s="746"/>
    </row>
    <row r="2" spans="1:44" ht="18.75" customHeight="1">
      <c r="A2" s="788" t="s">
        <v>303</v>
      </c>
      <c r="B2" s="788"/>
      <c r="C2" s="788"/>
      <c r="D2" s="52"/>
      <c r="E2" s="52"/>
      <c r="F2" s="52"/>
      <c r="G2" s="52"/>
      <c r="H2" s="52"/>
      <c r="I2" s="52"/>
      <c r="J2" s="52"/>
      <c r="K2" s="52"/>
      <c r="L2" s="52"/>
      <c r="M2" s="52"/>
      <c r="N2" s="52"/>
      <c r="O2" s="52"/>
      <c r="P2" s="52"/>
      <c r="Q2" s="52"/>
      <c r="R2" s="52"/>
      <c r="S2" s="3"/>
      <c r="T2" s="3"/>
      <c r="U2" s="3"/>
      <c r="V2" s="67"/>
      <c r="W2" s="67"/>
      <c r="X2" s="3"/>
      <c r="Y2" s="38"/>
      <c r="Z2" s="38"/>
      <c r="AA2" s="38" t="str">
        <f>CONCATENATE(事業所概要_算定体制!$B$3,事業所概要_算定体制!$C$3,"年度")</f>
        <v>令和７年度</v>
      </c>
    </row>
    <row r="3" spans="1:44" ht="18.75" thickBot="1">
      <c r="A3" s="3"/>
      <c r="B3" s="41"/>
      <c r="C3" s="189"/>
      <c r="D3" s="52"/>
      <c r="E3" s="52"/>
      <c r="F3" s="52"/>
      <c r="G3" s="52"/>
      <c r="H3" s="52"/>
      <c r="I3" s="52"/>
      <c r="J3" s="52"/>
      <c r="K3" s="52"/>
      <c r="L3" s="52"/>
      <c r="M3" s="52"/>
      <c r="N3" s="52"/>
      <c r="O3" s="52"/>
      <c r="P3" s="52"/>
      <c r="Q3" s="52"/>
      <c r="R3" s="52"/>
      <c r="S3" s="52"/>
      <c r="T3" s="52"/>
      <c r="U3" s="52"/>
      <c r="X3" s="52"/>
      <c r="Y3" s="52"/>
      <c r="Z3" s="52"/>
      <c r="AA3" s="52"/>
    </row>
    <row r="4" spans="1:44" ht="18" customHeight="1">
      <c r="A4" s="789" t="s">
        <v>217</v>
      </c>
      <c r="B4" s="791" t="s">
        <v>83</v>
      </c>
      <c r="C4" s="793" t="s">
        <v>219</v>
      </c>
      <c r="D4" s="795" t="s">
        <v>221</v>
      </c>
      <c r="E4" s="786" t="s">
        <v>218</v>
      </c>
      <c r="F4" s="787"/>
      <c r="G4" s="795" t="s">
        <v>640</v>
      </c>
      <c r="H4" s="53" t="s">
        <v>88</v>
      </c>
      <c r="I4" s="53"/>
      <c r="J4" s="53"/>
      <c r="K4" s="53"/>
      <c r="L4" s="53"/>
      <c r="M4" s="53"/>
      <c r="N4" s="53"/>
      <c r="O4" s="53"/>
      <c r="P4" s="53"/>
      <c r="Q4" s="53"/>
      <c r="R4" s="53"/>
      <c r="S4" s="53"/>
      <c r="T4" s="493"/>
      <c r="U4" s="768" t="s">
        <v>1031</v>
      </c>
      <c r="V4" s="803" t="s">
        <v>803</v>
      </c>
      <c r="W4" s="804"/>
      <c r="X4" s="801" t="s">
        <v>804</v>
      </c>
      <c r="Y4" s="795" t="s">
        <v>233</v>
      </c>
      <c r="Z4" s="801" t="s">
        <v>805</v>
      </c>
      <c r="AA4" s="797" t="s">
        <v>234</v>
      </c>
      <c r="AB4" s="464"/>
      <c r="AC4" s="785" t="s">
        <v>637</v>
      </c>
      <c r="AD4" s="784" t="s">
        <v>628</v>
      </c>
      <c r="AE4" s="784" t="s">
        <v>631</v>
      </c>
      <c r="AF4" s="785" t="s">
        <v>634</v>
      </c>
      <c r="AG4" s="807" t="s">
        <v>233</v>
      </c>
      <c r="AH4" s="807" t="s">
        <v>234</v>
      </c>
      <c r="AI4" s="785" t="s">
        <v>646</v>
      </c>
      <c r="AJ4" s="784" t="s">
        <v>1012</v>
      </c>
      <c r="AK4" s="785" t="s">
        <v>652</v>
      </c>
      <c r="AL4" s="785" t="s">
        <v>650</v>
      </c>
      <c r="AM4" s="785" t="s">
        <v>651</v>
      </c>
      <c r="AN4" s="785" t="s">
        <v>649</v>
      </c>
      <c r="AO4" s="785" t="s">
        <v>648</v>
      </c>
      <c r="AP4" s="785" t="s">
        <v>653</v>
      </c>
      <c r="AQ4" s="785" t="s">
        <v>647</v>
      </c>
      <c r="AR4" s="785" t="s">
        <v>1008</v>
      </c>
    </row>
    <row r="5" spans="1:44" ht="39" customHeight="1" thickBot="1">
      <c r="A5" s="790"/>
      <c r="B5" s="792"/>
      <c r="C5" s="794"/>
      <c r="D5" s="796"/>
      <c r="E5" s="487" t="s">
        <v>219</v>
      </c>
      <c r="F5" s="487" t="s">
        <v>220</v>
      </c>
      <c r="G5" s="796"/>
      <c r="H5" s="58" t="s">
        <v>71</v>
      </c>
      <c r="I5" s="58" t="s">
        <v>72</v>
      </c>
      <c r="J5" s="58" t="s">
        <v>73</v>
      </c>
      <c r="K5" s="58" t="s">
        <v>74</v>
      </c>
      <c r="L5" s="58" t="s">
        <v>75</v>
      </c>
      <c r="M5" s="58" t="s">
        <v>76</v>
      </c>
      <c r="N5" s="58" t="s">
        <v>77</v>
      </c>
      <c r="O5" s="58" t="s">
        <v>78</v>
      </c>
      <c r="P5" s="58" t="s">
        <v>79</v>
      </c>
      <c r="Q5" s="58" t="s">
        <v>80</v>
      </c>
      <c r="R5" s="58" t="s">
        <v>81</v>
      </c>
      <c r="S5" s="58" t="s">
        <v>82</v>
      </c>
      <c r="T5" s="537" t="s">
        <v>1030</v>
      </c>
      <c r="U5" s="799"/>
      <c r="V5" s="805"/>
      <c r="W5" s="806"/>
      <c r="X5" s="802"/>
      <c r="Y5" s="800"/>
      <c r="Z5" s="802"/>
      <c r="AA5" s="798"/>
      <c r="AB5" s="464"/>
      <c r="AC5" s="784"/>
      <c r="AD5" s="784"/>
      <c r="AE5" s="784"/>
      <c r="AF5" s="784"/>
      <c r="AG5" s="808"/>
      <c r="AH5" s="808"/>
      <c r="AI5" s="784"/>
      <c r="AJ5" s="784"/>
      <c r="AK5" s="784"/>
      <c r="AL5" s="784"/>
      <c r="AM5" s="784"/>
      <c r="AN5" s="784"/>
      <c r="AO5" s="784"/>
      <c r="AP5" s="784"/>
      <c r="AQ5" s="784"/>
      <c r="AR5" s="784"/>
    </row>
    <row r="6" spans="1:44" ht="19.5" customHeight="1" thickTop="1" thickBot="1">
      <c r="A6" s="337" t="s">
        <v>223</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9"/>
      <c r="AB6" s="464"/>
      <c r="AF6" s="465"/>
      <c r="AG6" s="465"/>
      <c r="AH6" s="465"/>
    </row>
    <row r="7" spans="1:44" ht="19.5" customHeight="1" thickTop="1">
      <c r="A7" s="514"/>
      <c r="B7" s="515"/>
      <c r="C7" s="515"/>
      <c r="D7" s="515"/>
      <c r="E7" s="522"/>
      <c r="F7" s="515"/>
      <c r="G7" s="515"/>
      <c r="H7" s="516"/>
      <c r="I7" s="516"/>
      <c r="J7" s="516"/>
      <c r="K7" s="516"/>
      <c r="L7" s="516"/>
      <c r="M7" s="516"/>
      <c r="N7" s="516"/>
      <c r="O7" s="516"/>
      <c r="P7" s="516"/>
      <c r="Q7" s="516"/>
      <c r="R7" s="516"/>
      <c r="S7" s="516"/>
      <c r="T7" s="517"/>
      <c r="U7" s="563" t="str">
        <f>IF(COUNT(H7:S7)=0,"",IF(T7="",SUM(H7:S7),SUM(H7:S7)*T7))</f>
        <v/>
      </c>
      <c r="V7" s="564" t="str">
        <f>IF(AF7="","",AF7)</f>
        <v/>
      </c>
      <c r="W7" s="518" t="str">
        <f>IF(C7="","",VLOOKUP(C7,非_単位!$N$3:$O$34,2,FALSE))</f>
        <v/>
      </c>
      <c r="X7" s="565" t="str">
        <f>IF(C7="","",VLOOKUP(C7,非_係数!$B$5:$F$36,2,FALSE))</f>
        <v/>
      </c>
      <c r="Y7" s="566" t="str">
        <f>AG7</f>
        <v/>
      </c>
      <c r="Z7" s="567" t="str">
        <f>IF(C7="","",VLOOKUP(C7,非_係数!$B$5:$F$36,4,FALSE))</f>
        <v/>
      </c>
      <c r="AA7" s="568" t="str">
        <f>AH7</f>
        <v/>
      </c>
      <c r="AB7" s="464"/>
      <c r="AC7" s="466" t="str">
        <f t="shared" ref="AC7:AC40" si="0">IF(B7="","","燃料種選択")</f>
        <v/>
      </c>
      <c r="AD7" s="466" t="str">
        <f>IF(G7="","",VLOOKUP(G7,非_単位補正換算!$B$3:$C$16,2,FALSE))</f>
        <v/>
      </c>
      <c r="AE7" s="466" t="str">
        <f>IF(G7="","",IF(SUMIFS(非_単位補正換算!$D$19:$D$48,非_単位補正換算!$B$19:$B$48,燃料!C7,非_単位補正換算!$C$19:$C$48,燃料!G7)=0,1,SUMIFS(非_単位補正換算!$D$19:$D$48,非_単位補正換算!$B$19:$B$48,燃料!C7,非_単位補正換算!$C$19:$C$48,燃料!G7)))</f>
        <v/>
      </c>
      <c r="AF7" s="467" t="str">
        <f>IF(AND(U7&lt;&gt;"",AD7&lt;&gt;"",AE7&lt;&gt;""),U7/AD7*AE7,"")</f>
        <v/>
      </c>
      <c r="AG7" s="467" t="str">
        <f>IF(AND(X7&lt;&gt;"",AF7&lt;&gt;""),AF7*X7,"")</f>
        <v/>
      </c>
      <c r="AH7" s="467" t="str">
        <f>IF(AND(Z7&lt;&gt;"",AF7&lt;&gt;"",X7&lt;&gt;""),AF7*X7*Z7*44/12,"")</f>
        <v/>
      </c>
      <c r="AI7" s="466" t="str">
        <f>IF(C7="","",VLOOKUP(C7,非_まとめ表行番号!$B$3:$C$34,2,FALSE))</f>
        <v/>
      </c>
      <c r="AJ7" s="525" t="str">
        <f>IF(AI7="","",VLOOKUP(AI7,非_まとめ表行番号!$U$3:$V$56,2,FALSE))</f>
        <v/>
      </c>
      <c r="AK7" s="468" t="str">
        <f>IF(C7="","",VLOOKUP(C7,非_係数!$B$5:$K$36,6,FALSE))</f>
        <v/>
      </c>
      <c r="AL7" s="467" t="str">
        <f>IF(AF7="","",AF7*AK7)</f>
        <v/>
      </c>
      <c r="AM7" s="466" t="str">
        <f>IF(C7="","",VLOOKUP(C7,非_係数!$B$5:$K$36,7,FALSE))</f>
        <v/>
      </c>
      <c r="AN7" s="466" t="str">
        <f>IF(AL7="","",AL7*AM7)</f>
        <v/>
      </c>
      <c r="AO7" s="466" t="str">
        <f>IF(C7="","",VLOOKUP(C7,非_係数!$B$5:$K$36,9,FALSE))</f>
        <v/>
      </c>
      <c r="AP7" s="466" t="str">
        <f>IF(AN7="","",AN7*AO7*44/12)</f>
        <v/>
      </c>
      <c r="AQ7" s="466" t="str">
        <f>IF(C7="","",VLOOKUP(C7,非_まとめ表行番号!$B$3:$D$34,3,FALSE))</f>
        <v/>
      </c>
      <c r="AR7" s="466" t="str">
        <f>IF(F7="無","乗率_排出量","")</f>
        <v/>
      </c>
    </row>
    <row r="8" spans="1:44" ht="19.5" customHeight="1">
      <c r="A8" s="483"/>
      <c r="B8" s="519"/>
      <c r="C8" s="519"/>
      <c r="D8" s="519"/>
      <c r="E8" s="458"/>
      <c r="F8" s="519"/>
      <c r="G8" s="519"/>
      <c r="H8" s="520"/>
      <c r="I8" s="520"/>
      <c r="J8" s="520"/>
      <c r="K8" s="520"/>
      <c r="L8" s="520"/>
      <c r="M8" s="520"/>
      <c r="N8" s="520"/>
      <c r="O8" s="520"/>
      <c r="P8" s="520"/>
      <c r="Q8" s="520"/>
      <c r="R8" s="520"/>
      <c r="S8" s="520"/>
      <c r="T8" s="497"/>
      <c r="U8" s="569" t="str">
        <f>IF(COUNT(H8:S8)=0,"",IF(T8="",SUM(H8:S8),SUM(H8:S8)*T8))</f>
        <v/>
      </c>
      <c r="V8" s="570" t="str">
        <f t="shared" ref="V8:V40" si="1">IF(AF8="","",AF8)</f>
        <v/>
      </c>
      <c r="W8" s="521" t="str">
        <f>IF(C8="","",VLOOKUP(C8,非_単位!$N$3:$O$34,2,FALSE))</f>
        <v/>
      </c>
      <c r="X8" s="571" t="str">
        <f>IF(C8="","",VLOOKUP(C8,非_係数!$B$5:$F$36,2,FALSE))</f>
        <v/>
      </c>
      <c r="Y8" s="572" t="str">
        <f t="shared" ref="Y8:Y40" si="2">AG8</f>
        <v/>
      </c>
      <c r="Z8" s="573" t="str">
        <f>IF(C8="","",VLOOKUP(C8,非_係数!$B$5:$F$36,4,FALSE))</f>
        <v/>
      </c>
      <c r="AA8" s="574" t="str">
        <f t="shared" ref="AA8:AA40" si="3">AH8</f>
        <v/>
      </c>
      <c r="AB8" s="464"/>
      <c r="AC8" s="466" t="str">
        <f t="shared" si="0"/>
        <v/>
      </c>
      <c r="AD8" s="466" t="str">
        <f>IF(G8="","",VLOOKUP(G8,非_単位補正換算!$B$3:$C$16,2,FALSE))</f>
        <v/>
      </c>
      <c r="AE8" s="466" t="str">
        <f>IF(G8="","",IF(SUMIFS(非_単位補正換算!$D$19:$D$48,非_単位補正換算!$B$19:$B$48,燃料!C8,非_単位補正換算!$C$19:$C$48,燃料!G8)=0,1,SUMIFS(非_単位補正換算!$D$19:$D$48,非_単位補正換算!$B$19:$B$48,燃料!C8,非_単位補正換算!$C$19:$C$48,燃料!G8)))</f>
        <v/>
      </c>
      <c r="AF8" s="467" t="str">
        <f t="shared" ref="AF8:AF40" si="4">IF(AND(U8&lt;&gt;"",AD8&lt;&gt;"",AE8&lt;&gt;""),U8/AD8*AE8,"")</f>
        <v/>
      </c>
      <c r="AG8" s="467" t="str">
        <f t="shared" ref="AG8:AG58" si="5">IF(AND(X8&lt;&gt;"",AF8&lt;&gt;""),AF8*X8,"")</f>
        <v/>
      </c>
      <c r="AH8" s="467" t="str">
        <f t="shared" ref="AH8:AH58" si="6">IF(AND(Z8&lt;&gt;"",AF8&lt;&gt;"",X8&lt;&gt;""),AF8*X8*Z8*44/12,"")</f>
        <v/>
      </c>
      <c r="AI8" s="466" t="str">
        <f>IF(C8="","",VLOOKUP(C8,非_まとめ表行番号!$B$3:$C$34,2,FALSE))</f>
        <v/>
      </c>
      <c r="AJ8" s="525" t="str">
        <f>IF(AI8="","",VLOOKUP(AI8,非_まとめ表行番号!$U$3:$V$56,2,FALSE))</f>
        <v/>
      </c>
      <c r="AK8" s="468" t="str">
        <f>IF(C8="","",VLOOKUP(C8,非_係数!$B$5:$K$36,6,FALSE))</f>
        <v/>
      </c>
      <c r="AL8" s="467" t="str">
        <f t="shared" ref="AL8:AL58" si="7">IF(AF8="","",AF8*AK8)</f>
        <v/>
      </c>
      <c r="AM8" s="466" t="str">
        <f>IF(C8="","",VLOOKUP(C8,非_係数!$B$5:$K$36,7,FALSE))</f>
        <v/>
      </c>
      <c r="AN8" s="466" t="str">
        <f t="shared" ref="AN8:AN40" si="8">IF(AL8="","",AL8*AM8)</f>
        <v/>
      </c>
      <c r="AO8" s="466" t="str">
        <f>IF(C8="","",VLOOKUP(C8,非_係数!$B$5:$K$36,9,FALSE))</f>
        <v/>
      </c>
      <c r="AP8" s="466" t="str">
        <f t="shared" ref="AP8:AP40" si="9">IF(AN8="","",AN8*AO8*44/12)</f>
        <v/>
      </c>
      <c r="AQ8" s="466" t="str">
        <f>IF(C8="","",VLOOKUP(C8,非_まとめ表行番号!$B$3:$D$34,3,FALSE))</f>
        <v/>
      </c>
      <c r="AR8" s="466" t="str">
        <f t="shared" ref="AR8:AR42" si="10">IF(F8="無","乗率_排出量","")</f>
        <v/>
      </c>
    </row>
    <row r="9" spans="1:44" ht="19.5" customHeight="1">
      <c r="A9" s="483"/>
      <c r="B9" s="519"/>
      <c r="C9" s="519"/>
      <c r="D9" s="519"/>
      <c r="E9" s="458"/>
      <c r="F9" s="519"/>
      <c r="G9" s="519"/>
      <c r="H9" s="520"/>
      <c r="I9" s="520"/>
      <c r="J9" s="520"/>
      <c r="K9" s="520"/>
      <c r="L9" s="520"/>
      <c r="M9" s="520"/>
      <c r="N9" s="520"/>
      <c r="O9" s="520"/>
      <c r="P9" s="520"/>
      <c r="Q9" s="520"/>
      <c r="R9" s="520"/>
      <c r="S9" s="520"/>
      <c r="T9" s="497"/>
      <c r="U9" s="569" t="str">
        <f t="shared" ref="U9:U58" si="11">IF(COUNT(H9:S9)=0,"",IF(T9="",SUM(H9:S9),SUM(H9:S9)*T9))</f>
        <v/>
      </c>
      <c r="V9" s="570" t="str">
        <f t="shared" si="1"/>
        <v/>
      </c>
      <c r="W9" s="521" t="str">
        <f>IF(C9="","",VLOOKUP(C9,非_単位!$N$3:$O$34,2,FALSE))</f>
        <v/>
      </c>
      <c r="X9" s="571" t="str">
        <f>IF(C9="","",VLOOKUP(C9,非_係数!$B$5:$F$36,2,FALSE))</f>
        <v/>
      </c>
      <c r="Y9" s="572" t="str">
        <f t="shared" si="2"/>
        <v/>
      </c>
      <c r="Z9" s="573" t="str">
        <f>IF(C9="","",VLOOKUP(C9,非_係数!$B$5:$F$36,4,FALSE))</f>
        <v/>
      </c>
      <c r="AA9" s="574" t="str">
        <f t="shared" si="3"/>
        <v/>
      </c>
      <c r="AB9" s="464"/>
      <c r="AC9" s="466" t="str">
        <f t="shared" si="0"/>
        <v/>
      </c>
      <c r="AD9" s="466" t="str">
        <f>IF(G9="","",VLOOKUP(G9,非_単位補正換算!$B$3:$C$16,2,FALSE))</f>
        <v/>
      </c>
      <c r="AE9" s="466" t="str">
        <f>IF(G9="","",IF(SUMIFS(非_単位補正換算!$D$19:$D$48,非_単位補正換算!$B$19:$B$48,燃料!C9,非_単位補正換算!$C$19:$C$48,燃料!G9)=0,1,SUMIFS(非_単位補正換算!$D$19:$D$48,非_単位補正換算!$B$19:$B$48,燃料!C9,非_単位補正換算!$C$19:$C$48,燃料!G9)))</f>
        <v/>
      </c>
      <c r="AF9" s="467" t="str">
        <f t="shared" si="4"/>
        <v/>
      </c>
      <c r="AG9" s="467" t="str">
        <f t="shared" si="5"/>
        <v/>
      </c>
      <c r="AH9" s="467" t="str">
        <f t="shared" si="6"/>
        <v/>
      </c>
      <c r="AI9" s="466" t="str">
        <f>IF(C9="","",VLOOKUP(C9,非_まとめ表行番号!$B$3:$C$34,2,FALSE))</f>
        <v/>
      </c>
      <c r="AJ9" s="525" t="str">
        <f>IF(AI9="","",VLOOKUP(AI9,非_まとめ表行番号!$U$3:$V$56,2,FALSE))</f>
        <v/>
      </c>
      <c r="AK9" s="468" t="str">
        <f>IF(C9="","",VLOOKUP(C9,非_係数!$B$5:$K$36,6,FALSE))</f>
        <v/>
      </c>
      <c r="AL9" s="467" t="str">
        <f t="shared" si="7"/>
        <v/>
      </c>
      <c r="AM9" s="466" t="str">
        <f>IF(C9="","",VLOOKUP(C9,非_係数!$B$5:$K$36,7,FALSE))</f>
        <v/>
      </c>
      <c r="AN9" s="466" t="str">
        <f t="shared" si="8"/>
        <v/>
      </c>
      <c r="AO9" s="466" t="str">
        <f>IF(C9="","",VLOOKUP(C9,非_係数!$B$5:$K$36,9,FALSE))</f>
        <v/>
      </c>
      <c r="AP9" s="466" t="str">
        <f t="shared" si="9"/>
        <v/>
      </c>
      <c r="AQ9" s="466" t="str">
        <f>IF(C9="","",VLOOKUP(C9,非_まとめ表行番号!$B$3:$D$34,3,FALSE))</f>
        <v/>
      </c>
      <c r="AR9" s="466" t="str">
        <f t="shared" si="10"/>
        <v/>
      </c>
    </row>
    <row r="10" spans="1:44" ht="19.5" customHeight="1">
      <c r="A10" s="483"/>
      <c r="B10" s="519"/>
      <c r="C10" s="519"/>
      <c r="D10" s="519"/>
      <c r="E10" s="458"/>
      <c r="F10" s="519"/>
      <c r="G10" s="519"/>
      <c r="H10" s="520"/>
      <c r="I10" s="520"/>
      <c r="J10" s="520"/>
      <c r="K10" s="520"/>
      <c r="L10" s="520"/>
      <c r="M10" s="520"/>
      <c r="N10" s="520"/>
      <c r="O10" s="520"/>
      <c r="P10" s="520"/>
      <c r="Q10" s="520"/>
      <c r="R10" s="520"/>
      <c r="S10" s="520"/>
      <c r="T10" s="497"/>
      <c r="U10" s="569" t="str">
        <f t="shared" si="11"/>
        <v/>
      </c>
      <c r="V10" s="570" t="str">
        <f t="shared" si="1"/>
        <v/>
      </c>
      <c r="W10" s="521" t="str">
        <f>IF(C10="","",VLOOKUP(C10,非_単位!$N$3:$O$34,2,FALSE))</f>
        <v/>
      </c>
      <c r="X10" s="571" t="str">
        <f>IF(C10="","",VLOOKUP(C10,非_係数!$B$5:$F$36,2,FALSE))</f>
        <v/>
      </c>
      <c r="Y10" s="572" t="str">
        <f t="shared" si="2"/>
        <v/>
      </c>
      <c r="Z10" s="573" t="str">
        <f>IF(C10="","",VLOOKUP(C10,非_係数!$B$5:$F$36,4,FALSE))</f>
        <v/>
      </c>
      <c r="AA10" s="574" t="str">
        <f t="shared" si="3"/>
        <v/>
      </c>
      <c r="AB10" s="464"/>
      <c r="AC10" s="466" t="str">
        <f t="shared" si="0"/>
        <v/>
      </c>
      <c r="AD10" s="466" t="str">
        <f>IF(G10="","",VLOOKUP(G10,非_単位補正換算!$B$3:$C$16,2,FALSE))</f>
        <v/>
      </c>
      <c r="AE10" s="466" t="str">
        <f>IF(G10="","",IF(SUMIFS(非_単位補正換算!$D$19:$D$48,非_単位補正換算!$B$19:$B$48,燃料!C10,非_単位補正換算!$C$19:$C$48,燃料!G10)=0,1,SUMIFS(非_単位補正換算!$D$19:$D$48,非_単位補正換算!$B$19:$B$48,燃料!C10,非_単位補正換算!$C$19:$C$48,燃料!G10)))</f>
        <v/>
      </c>
      <c r="AF10" s="467" t="str">
        <f t="shared" si="4"/>
        <v/>
      </c>
      <c r="AG10" s="467" t="str">
        <f t="shared" si="5"/>
        <v/>
      </c>
      <c r="AH10" s="467" t="str">
        <f t="shared" si="6"/>
        <v/>
      </c>
      <c r="AI10" s="466" t="str">
        <f>IF(C10="","",VLOOKUP(C10,非_まとめ表行番号!$B$3:$C$34,2,FALSE))</f>
        <v/>
      </c>
      <c r="AJ10" s="525" t="str">
        <f>IF(AI10="","",VLOOKUP(AI10,非_まとめ表行番号!$U$3:$V$56,2,FALSE))</f>
        <v/>
      </c>
      <c r="AK10" s="468" t="str">
        <f>IF(C10="","",VLOOKUP(C10,非_係数!$B$5:$K$36,6,FALSE))</f>
        <v/>
      </c>
      <c r="AL10" s="467" t="str">
        <f t="shared" si="7"/>
        <v/>
      </c>
      <c r="AM10" s="466" t="str">
        <f>IF(C10="","",VLOOKUP(C10,非_係数!$B$5:$K$36,7,FALSE))</f>
        <v/>
      </c>
      <c r="AN10" s="466" t="str">
        <f t="shared" si="8"/>
        <v/>
      </c>
      <c r="AO10" s="466" t="str">
        <f>IF(C10="","",VLOOKUP(C10,非_係数!$B$5:$K$36,9,FALSE))</f>
        <v/>
      </c>
      <c r="AP10" s="466" t="str">
        <f t="shared" si="9"/>
        <v/>
      </c>
      <c r="AQ10" s="466" t="str">
        <f>IF(C10="","",VLOOKUP(C10,非_まとめ表行番号!$B$3:$D$34,3,FALSE))</f>
        <v/>
      </c>
      <c r="AR10" s="466" t="str">
        <f t="shared" si="10"/>
        <v/>
      </c>
    </row>
    <row r="11" spans="1:44" ht="19.5" customHeight="1">
      <c r="A11" s="483"/>
      <c r="B11" s="519"/>
      <c r="C11" s="519"/>
      <c r="D11" s="519"/>
      <c r="E11" s="458"/>
      <c r="F11" s="519"/>
      <c r="G11" s="519"/>
      <c r="H11" s="520"/>
      <c r="I11" s="520"/>
      <c r="J11" s="520"/>
      <c r="K11" s="520"/>
      <c r="L11" s="520"/>
      <c r="M11" s="520"/>
      <c r="N11" s="520"/>
      <c r="O11" s="520"/>
      <c r="P11" s="520"/>
      <c r="Q11" s="520"/>
      <c r="R11" s="520"/>
      <c r="S11" s="520"/>
      <c r="T11" s="497"/>
      <c r="U11" s="569" t="str">
        <f t="shared" si="11"/>
        <v/>
      </c>
      <c r="V11" s="570" t="str">
        <f t="shared" si="1"/>
        <v/>
      </c>
      <c r="W11" s="521" t="str">
        <f>IF(C11="","",VLOOKUP(C11,非_単位!$N$3:$O$34,2,FALSE))</f>
        <v/>
      </c>
      <c r="X11" s="571" t="str">
        <f>IF(C11="","",VLOOKUP(C11,非_係数!$B$5:$F$36,2,FALSE))</f>
        <v/>
      </c>
      <c r="Y11" s="572" t="str">
        <f t="shared" si="2"/>
        <v/>
      </c>
      <c r="Z11" s="573" t="str">
        <f>IF(C11="","",VLOOKUP(C11,非_係数!$B$5:$F$36,4,FALSE))</f>
        <v/>
      </c>
      <c r="AA11" s="574" t="str">
        <f t="shared" si="3"/>
        <v/>
      </c>
      <c r="AB11" s="464"/>
      <c r="AC11" s="466" t="str">
        <f t="shared" si="0"/>
        <v/>
      </c>
      <c r="AD11" s="466" t="str">
        <f>IF(G11="","",VLOOKUP(G11,非_単位補正換算!$B$3:$C$16,2,FALSE))</f>
        <v/>
      </c>
      <c r="AE11" s="466" t="str">
        <f>IF(G11="","",IF(SUMIFS(非_単位補正換算!$D$19:$D$48,非_単位補正換算!$B$19:$B$48,燃料!C11,非_単位補正換算!$C$19:$C$48,燃料!G11)=0,1,SUMIFS(非_単位補正換算!$D$19:$D$48,非_単位補正換算!$B$19:$B$48,燃料!C11,非_単位補正換算!$C$19:$C$48,燃料!G11)))</f>
        <v/>
      </c>
      <c r="AF11" s="467" t="str">
        <f t="shared" si="4"/>
        <v/>
      </c>
      <c r="AG11" s="467" t="str">
        <f t="shared" si="5"/>
        <v/>
      </c>
      <c r="AH11" s="467" t="str">
        <f t="shared" si="6"/>
        <v/>
      </c>
      <c r="AI11" s="466" t="str">
        <f>IF(C11="","",VLOOKUP(C11,非_まとめ表行番号!$B$3:$C$34,2,FALSE))</f>
        <v/>
      </c>
      <c r="AJ11" s="525" t="str">
        <f>IF(AI11="","",VLOOKUP(AI11,非_まとめ表行番号!$U$3:$V$56,2,FALSE))</f>
        <v/>
      </c>
      <c r="AK11" s="468" t="str">
        <f>IF(C11="","",VLOOKUP(C11,非_係数!$B$5:$K$36,6,FALSE))</f>
        <v/>
      </c>
      <c r="AL11" s="467" t="str">
        <f t="shared" si="7"/>
        <v/>
      </c>
      <c r="AM11" s="466" t="str">
        <f>IF(C11="","",VLOOKUP(C11,非_係数!$B$5:$K$36,7,FALSE))</f>
        <v/>
      </c>
      <c r="AN11" s="466" t="str">
        <f t="shared" si="8"/>
        <v/>
      </c>
      <c r="AO11" s="466" t="str">
        <f>IF(C11="","",VLOOKUP(C11,非_係数!$B$5:$K$36,9,FALSE))</f>
        <v/>
      </c>
      <c r="AP11" s="466" t="str">
        <f t="shared" si="9"/>
        <v/>
      </c>
      <c r="AQ11" s="466" t="str">
        <f>IF(C11="","",VLOOKUP(C11,非_まとめ表行番号!$B$3:$D$34,3,FALSE))</f>
        <v/>
      </c>
      <c r="AR11" s="466" t="str">
        <f t="shared" si="10"/>
        <v/>
      </c>
    </row>
    <row r="12" spans="1:44" ht="19.5" customHeight="1">
      <c r="A12" s="483"/>
      <c r="B12" s="519"/>
      <c r="C12" s="519"/>
      <c r="D12" s="519"/>
      <c r="E12" s="458"/>
      <c r="F12" s="519"/>
      <c r="G12" s="519"/>
      <c r="H12" s="520"/>
      <c r="I12" s="520"/>
      <c r="J12" s="520"/>
      <c r="K12" s="520"/>
      <c r="L12" s="520"/>
      <c r="M12" s="520"/>
      <c r="N12" s="520"/>
      <c r="O12" s="520"/>
      <c r="P12" s="520"/>
      <c r="Q12" s="520"/>
      <c r="R12" s="520"/>
      <c r="S12" s="520"/>
      <c r="T12" s="497"/>
      <c r="U12" s="569" t="str">
        <f t="shared" si="11"/>
        <v/>
      </c>
      <c r="V12" s="570" t="str">
        <f t="shared" si="1"/>
        <v/>
      </c>
      <c r="W12" s="521" t="str">
        <f>IF(C12="","",VLOOKUP(C12,非_単位!$N$3:$O$34,2,FALSE))</f>
        <v/>
      </c>
      <c r="X12" s="571" t="str">
        <f>IF(C12="","",VLOOKUP(C12,非_係数!$B$5:$F$36,2,FALSE))</f>
        <v/>
      </c>
      <c r="Y12" s="572" t="str">
        <f t="shared" si="2"/>
        <v/>
      </c>
      <c r="Z12" s="573" t="str">
        <f>IF(C12="","",VLOOKUP(C12,非_係数!$B$5:$F$36,4,FALSE))</f>
        <v/>
      </c>
      <c r="AA12" s="574" t="str">
        <f t="shared" si="3"/>
        <v/>
      </c>
      <c r="AB12" s="464"/>
      <c r="AC12" s="466" t="str">
        <f t="shared" si="0"/>
        <v/>
      </c>
      <c r="AD12" s="466" t="str">
        <f>IF(G12="","",VLOOKUP(G12,非_単位補正換算!$B$3:$C$16,2,FALSE))</f>
        <v/>
      </c>
      <c r="AE12" s="466" t="str">
        <f>IF(G12="","",IF(SUMIFS(非_単位補正換算!$D$19:$D$48,非_単位補正換算!$B$19:$B$48,燃料!C12,非_単位補正換算!$C$19:$C$48,燃料!G12)=0,1,SUMIFS(非_単位補正換算!$D$19:$D$48,非_単位補正換算!$B$19:$B$48,燃料!C12,非_単位補正換算!$C$19:$C$48,燃料!G12)))</f>
        <v/>
      </c>
      <c r="AF12" s="467" t="str">
        <f t="shared" si="4"/>
        <v/>
      </c>
      <c r="AG12" s="467" t="str">
        <f t="shared" si="5"/>
        <v/>
      </c>
      <c r="AH12" s="467" t="str">
        <f t="shared" si="6"/>
        <v/>
      </c>
      <c r="AI12" s="466" t="str">
        <f>IF(C12="","",VLOOKUP(C12,非_まとめ表行番号!$B$3:$C$34,2,FALSE))</f>
        <v/>
      </c>
      <c r="AJ12" s="525" t="str">
        <f>IF(AI12="","",VLOOKUP(AI12,非_まとめ表行番号!$U$3:$V$56,2,FALSE))</f>
        <v/>
      </c>
      <c r="AK12" s="468" t="str">
        <f>IF(C12="","",VLOOKUP(C12,非_係数!$B$5:$K$36,6,FALSE))</f>
        <v/>
      </c>
      <c r="AL12" s="467" t="str">
        <f t="shared" si="7"/>
        <v/>
      </c>
      <c r="AM12" s="466" t="str">
        <f>IF(C12="","",VLOOKUP(C12,非_係数!$B$5:$K$36,7,FALSE))</f>
        <v/>
      </c>
      <c r="AN12" s="466" t="str">
        <f t="shared" si="8"/>
        <v/>
      </c>
      <c r="AO12" s="466" t="str">
        <f>IF(C12="","",VLOOKUP(C12,非_係数!$B$5:$K$36,9,FALSE))</f>
        <v/>
      </c>
      <c r="AP12" s="466" t="str">
        <f t="shared" si="9"/>
        <v/>
      </c>
      <c r="AQ12" s="466" t="str">
        <f>IF(C12="","",VLOOKUP(C12,非_まとめ表行番号!$B$3:$D$34,3,FALSE))</f>
        <v/>
      </c>
      <c r="AR12" s="466" t="str">
        <f t="shared" si="10"/>
        <v/>
      </c>
    </row>
    <row r="13" spans="1:44" ht="19.5" customHeight="1">
      <c r="A13" s="483"/>
      <c r="B13" s="519"/>
      <c r="C13" s="519"/>
      <c r="D13" s="519"/>
      <c r="E13" s="458"/>
      <c r="F13" s="519"/>
      <c r="G13" s="519"/>
      <c r="H13" s="520"/>
      <c r="I13" s="520"/>
      <c r="J13" s="520"/>
      <c r="K13" s="520"/>
      <c r="L13" s="520"/>
      <c r="M13" s="520"/>
      <c r="N13" s="520"/>
      <c r="O13" s="520"/>
      <c r="P13" s="520"/>
      <c r="Q13" s="520"/>
      <c r="R13" s="520"/>
      <c r="S13" s="520"/>
      <c r="T13" s="497"/>
      <c r="U13" s="569" t="str">
        <f t="shared" si="11"/>
        <v/>
      </c>
      <c r="V13" s="570" t="str">
        <f t="shared" si="1"/>
        <v/>
      </c>
      <c r="W13" s="521" t="str">
        <f>IF(C13="","",VLOOKUP(C13,非_単位!$N$3:$O$34,2,FALSE))</f>
        <v/>
      </c>
      <c r="X13" s="571" t="str">
        <f>IF(C13="","",VLOOKUP(C13,非_係数!$B$5:$F$36,2,FALSE))</f>
        <v/>
      </c>
      <c r="Y13" s="572" t="str">
        <f t="shared" si="2"/>
        <v/>
      </c>
      <c r="Z13" s="573" t="str">
        <f>IF(C13="","",VLOOKUP(C13,非_係数!$B$5:$F$36,4,FALSE))</f>
        <v/>
      </c>
      <c r="AA13" s="574" t="str">
        <f t="shared" si="3"/>
        <v/>
      </c>
      <c r="AB13" s="464"/>
      <c r="AC13" s="466" t="str">
        <f t="shared" si="0"/>
        <v/>
      </c>
      <c r="AD13" s="466" t="str">
        <f>IF(G13="","",VLOOKUP(G13,非_単位補正換算!$B$3:$C$16,2,FALSE))</f>
        <v/>
      </c>
      <c r="AE13" s="466" t="str">
        <f>IF(G13="","",IF(SUMIFS(非_単位補正換算!$D$19:$D$48,非_単位補正換算!$B$19:$B$48,燃料!C13,非_単位補正換算!$C$19:$C$48,燃料!G13)=0,1,SUMIFS(非_単位補正換算!$D$19:$D$48,非_単位補正換算!$B$19:$B$48,燃料!C13,非_単位補正換算!$C$19:$C$48,燃料!G13)))</f>
        <v/>
      </c>
      <c r="AF13" s="467" t="str">
        <f t="shared" si="4"/>
        <v/>
      </c>
      <c r="AG13" s="467" t="str">
        <f t="shared" si="5"/>
        <v/>
      </c>
      <c r="AH13" s="467" t="str">
        <f t="shared" si="6"/>
        <v/>
      </c>
      <c r="AI13" s="466" t="str">
        <f>IF(C13="","",VLOOKUP(C13,非_まとめ表行番号!$B$3:$C$34,2,FALSE))</f>
        <v/>
      </c>
      <c r="AJ13" s="525" t="str">
        <f>IF(AI13="","",VLOOKUP(AI13,非_まとめ表行番号!$U$3:$V$56,2,FALSE))</f>
        <v/>
      </c>
      <c r="AK13" s="468" t="str">
        <f>IF(C13="","",VLOOKUP(C13,非_係数!$B$5:$K$36,6,FALSE))</f>
        <v/>
      </c>
      <c r="AL13" s="467" t="str">
        <f t="shared" si="7"/>
        <v/>
      </c>
      <c r="AM13" s="466" t="str">
        <f>IF(C13="","",VLOOKUP(C13,非_係数!$B$5:$K$36,7,FALSE))</f>
        <v/>
      </c>
      <c r="AN13" s="466" t="str">
        <f t="shared" si="8"/>
        <v/>
      </c>
      <c r="AO13" s="466" t="str">
        <f>IF(C13="","",VLOOKUP(C13,非_係数!$B$5:$K$36,9,FALSE))</f>
        <v/>
      </c>
      <c r="AP13" s="466" t="str">
        <f t="shared" si="9"/>
        <v/>
      </c>
      <c r="AQ13" s="466" t="str">
        <f>IF(C13="","",VLOOKUP(C13,非_まとめ表行番号!$B$3:$D$34,3,FALSE))</f>
        <v/>
      </c>
      <c r="AR13" s="466" t="str">
        <f t="shared" si="10"/>
        <v/>
      </c>
    </row>
    <row r="14" spans="1:44" ht="19.5" customHeight="1">
      <c r="A14" s="483"/>
      <c r="B14" s="519"/>
      <c r="C14" s="519"/>
      <c r="D14" s="519"/>
      <c r="E14" s="458"/>
      <c r="F14" s="519"/>
      <c r="G14" s="519"/>
      <c r="H14" s="520"/>
      <c r="I14" s="520"/>
      <c r="J14" s="520"/>
      <c r="K14" s="520"/>
      <c r="L14" s="520"/>
      <c r="M14" s="520"/>
      <c r="N14" s="520"/>
      <c r="O14" s="520"/>
      <c r="P14" s="520"/>
      <c r="Q14" s="520"/>
      <c r="R14" s="520"/>
      <c r="S14" s="520"/>
      <c r="T14" s="497"/>
      <c r="U14" s="569" t="str">
        <f t="shared" si="11"/>
        <v/>
      </c>
      <c r="V14" s="570" t="str">
        <f t="shared" si="1"/>
        <v/>
      </c>
      <c r="W14" s="521" t="str">
        <f>IF(C14="","",VLOOKUP(C14,非_単位!$N$3:$O$34,2,FALSE))</f>
        <v/>
      </c>
      <c r="X14" s="571" t="str">
        <f>IF(C14="","",VLOOKUP(C14,非_係数!$B$5:$F$36,2,FALSE))</f>
        <v/>
      </c>
      <c r="Y14" s="572" t="str">
        <f t="shared" si="2"/>
        <v/>
      </c>
      <c r="Z14" s="573" t="str">
        <f>IF(C14="","",VLOOKUP(C14,非_係数!$B$5:$F$36,4,FALSE))</f>
        <v/>
      </c>
      <c r="AA14" s="574" t="str">
        <f t="shared" si="3"/>
        <v/>
      </c>
      <c r="AB14" s="464"/>
      <c r="AC14" s="466" t="str">
        <f t="shared" si="0"/>
        <v/>
      </c>
      <c r="AD14" s="466" t="str">
        <f>IF(G14="","",VLOOKUP(G14,非_単位補正換算!$B$3:$C$16,2,FALSE))</f>
        <v/>
      </c>
      <c r="AE14" s="466" t="str">
        <f>IF(G14="","",IF(SUMIFS(非_単位補正換算!$D$19:$D$48,非_単位補正換算!$B$19:$B$48,燃料!C14,非_単位補正換算!$C$19:$C$48,燃料!G14)=0,1,SUMIFS(非_単位補正換算!$D$19:$D$48,非_単位補正換算!$B$19:$B$48,燃料!C14,非_単位補正換算!$C$19:$C$48,燃料!G14)))</f>
        <v/>
      </c>
      <c r="AF14" s="467" t="str">
        <f t="shared" si="4"/>
        <v/>
      </c>
      <c r="AG14" s="467" t="str">
        <f t="shared" si="5"/>
        <v/>
      </c>
      <c r="AH14" s="467" t="str">
        <f t="shared" si="6"/>
        <v/>
      </c>
      <c r="AI14" s="466" t="str">
        <f>IF(C14="","",VLOOKUP(C14,非_まとめ表行番号!$B$3:$C$34,2,FALSE))</f>
        <v/>
      </c>
      <c r="AJ14" s="525" t="str">
        <f>IF(AI14="","",VLOOKUP(AI14,非_まとめ表行番号!$U$3:$V$56,2,FALSE))</f>
        <v/>
      </c>
      <c r="AK14" s="468" t="str">
        <f>IF(C14="","",VLOOKUP(C14,非_係数!$B$5:$K$36,6,FALSE))</f>
        <v/>
      </c>
      <c r="AL14" s="467" t="str">
        <f t="shared" si="7"/>
        <v/>
      </c>
      <c r="AM14" s="466" t="str">
        <f>IF(C14="","",VLOOKUP(C14,非_係数!$B$5:$K$36,7,FALSE))</f>
        <v/>
      </c>
      <c r="AN14" s="466" t="str">
        <f t="shared" si="8"/>
        <v/>
      </c>
      <c r="AO14" s="466" t="str">
        <f>IF(C14="","",VLOOKUP(C14,非_係数!$B$5:$K$36,9,FALSE))</f>
        <v/>
      </c>
      <c r="AP14" s="466" t="str">
        <f t="shared" si="9"/>
        <v/>
      </c>
      <c r="AQ14" s="466" t="str">
        <f>IF(C14="","",VLOOKUP(C14,非_まとめ表行番号!$B$3:$D$34,3,FALSE))</f>
        <v/>
      </c>
      <c r="AR14" s="466" t="str">
        <f t="shared" si="10"/>
        <v/>
      </c>
    </row>
    <row r="15" spans="1:44" ht="19.5" customHeight="1">
      <c r="A15" s="483"/>
      <c r="B15" s="519"/>
      <c r="C15" s="519"/>
      <c r="D15" s="519"/>
      <c r="E15" s="458"/>
      <c r="F15" s="519"/>
      <c r="G15" s="519"/>
      <c r="H15" s="520"/>
      <c r="I15" s="520"/>
      <c r="J15" s="520"/>
      <c r="K15" s="520"/>
      <c r="L15" s="520"/>
      <c r="M15" s="520"/>
      <c r="N15" s="520"/>
      <c r="O15" s="520"/>
      <c r="P15" s="520"/>
      <c r="Q15" s="520"/>
      <c r="R15" s="520"/>
      <c r="S15" s="520"/>
      <c r="T15" s="497"/>
      <c r="U15" s="569" t="str">
        <f t="shared" si="11"/>
        <v/>
      </c>
      <c r="V15" s="570" t="str">
        <f t="shared" si="1"/>
        <v/>
      </c>
      <c r="W15" s="521" t="str">
        <f>IF(C15="","",VLOOKUP(C15,非_単位!$N$3:$O$34,2,FALSE))</f>
        <v/>
      </c>
      <c r="X15" s="571" t="str">
        <f>IF(C15="","",VLOOKUP(C15,非_係数!$B$5:$F$36,2,FALSE))</f>
        <v/>
      </c>
      <c r="Y15" s="572" t="str">
        <f t="shared" si="2"/>
        <v/>
      </c>
      <c r="Z15" s="573" t="str">
        <f>IF(C15="","",VLOOKUP(C15,非_係数!$B$5:$F$36,4,FALSE))</f>
        <v/>
      </c>
      <c r="AA15" s="574" t="str">
        <f t="shared" si="3"/>
        <v/>
      </c>
      <c r="AB15" s="464"/>
      <c r="AC15" s="466" t="str">
        <f t="shared" si="0"/>
        <v/>
      </c>
      <c r="AD15" s="466" t="str">
        <f>IF(G15="","",VLOOKUP(G15,非_単位補正換算!$B$3:$C$16,2,FALSE))</f>
        <v/>
      </c>
      <c r="AE15" s="466" t="str">
        <f>IF(G15="","",IF(SUMIFS(非_単位補正換算!$D$19:$D$48,非_単位補正換算!$B$19:$B$48,燃料!C15,非_単位補正換算!$C$19:$C$48,燃料!G15)=0,1,SUMIFS(非_単位補正換算!$D$19:$D$48,非_単位補正換算!$B$19:$B$48,燃料!C15,非_単位補正換算!$C$19:$C$48,燃料!G15)))</f>
        <v/>
      </c>
      <c r="AF15" s="467" t="str">
        <f t="shared" si="4"/>
        <v/>
      </c>
      <c r="AG15" s="467" t="str">
        <f t="shared" si="5"/>
        <v/>
      </c>
      <c r="AH15" s="467" t="str">
        <f t="shared" si="6"/>
        <v/>
      </c>
      <c r="AI15" s="466" t="str">
        <f>IF(C15="","",VLOOKUP(C15,非_まとめ表行番号!$B$3:$C$34,2,FALSE))</f>
        <v/>
      </c>
      <c r="AJ15" s="525" t="str">
        <f>IF(AI15="","",VLOOKUP(AI15,非_まとめ表行番号!$U$3:$V$56,2,FALSE))</f>
        <v/>
      </c>
      <c r="AK15" s="468" t="str">
        <f>IF(C15="","",VLOOKUP(C15,非_係数!$B$5:$K$36,6,FALSE))</f>
        <v/>
      </c>
      <c r="AL15" s="467" t="str">
        <f t="shared" si="7"/>
        <v/>
      </c>
      <c r="AM15" s="466" t="str">
        <f>IF(C15="","",VLOOKUP(C15,非_係数!$B$5:$K$36,7,FALSE))</f>
        <v/>
      </c>
      <c r="AN15" s="466" t="str">
        <f t="shared" si="8"/>
        <v/>
      </c>
      <c r="AO15" s="466" t="str">
        <f>IF(C15="","",VLOOKUP(C15,非_係数!$B$5:$K$36,9,FALSE))</f>
        <v/>
      </c>
      <c r="AP15" s="466" t="str">
        <f t="shared" si="9"/>
        <v/>
      </c>
      <c r="AQ15" s="466" t="str">
        <f>IF(C15="","",VLOOKUP(C15,非_まとめ表行番号!$B$3:$D$34,3,FALSE))</f>
        <v/>
      </c>
      <c r="AR15" s="466" t="str">
        <f t="shared" si="10"/>
        <v/>
      </c>
    </row>
    <row r="16" spans="1:44" ht="19.5" customHeight="1">
      <c r="A16" s="483"/>
      <c r="B16" s="519"/>
      <c r="C16" s="519"/>
      <c r="D16" s="519"/>
      <c r="E16" s="458"/>
      <c r="F16" s="519"/>
      <c r="G16" s="519"/>
      <c r="H16" s="520"/>
      <c r="I16" s="520"/>
      <c r="J16" s="520"/>
      <c r="K16" s="520"/>
      <c r="L16" s="520"/>
      <c r="M16" s="520"/>
      <c r="N16" s="520"/>
      <c r="O16" s="520"/>
      <c r="P16" s="520"/>
      <c r="Q16" s="520"/>
      <c r="R16" s="520"/>
      <c r="S16" s="520"/>
      <c r="T16" s="497"/>
      <c r="U16" s="569" t="str">
        <f t="shared" si="11"/>
        <v/>
      </c>
      <c r="V16" s="570" t="str">
        <f t="shared" si="1"/>
        <v/>
      </c>
      <c r="W16" s="521" t="str">
        <f>IF(C16="","",VLOOKUP(C16,非_単位!$N$3:$O$34,2,FALSE))</f>
        <v/>
      </c>
      <c r="X16" s="571" t="str">
        <f>IF(C16="","",VLOOKUP(C16,非_係数!$B$5:$F$36,2,FALSE))</f>
        <v/>
      </c>
      <c r="Y16" s="572" t="str">
        <f t="shared" si="2"/>
        <v/>
      </c>
      <c r="Z16" s="573" t="str">
        <f>IF(C16="","",VLOOKUP(C16,非_係数!$B$5:$F$36,4,FALSE))</f>
        <v/>
      </c>
      <c r="AA16" s="574" t="str">
        <f t="shared" si="3"/>
        <v/>
      </c>
      <c r="AB16" s="464"/>
      <c r="AC16" s="466" t="str">
        <f t="shared" si="0"/>
        <v/>
      </c>
      <c r="AD16" s="466" t="str">
        <f>IF(G16="","",VLOOKUP(G16,非_単位補正換算!$B$3:$C$16,2,FALSE))</f>
        <v/>
      </c>
      <c r="AE16" s="466" t="str">
        <f>IF(G16="","",IF(SUMIFS(非_単位補正換算!$D$19:$D$48,非_単位補正換算!$B$19:$B$48,燃料!C16,非_単位補正換算!$C$19:$C$48,燃料!G16)=0,1,SUMIFS(非_単位補正換算!$D$19:$D$48,非_単位補正換算!$B$19:$B$48,燃料!C16,非_単位補正換算!$C$19:$C$48,燃料!G16)))</f>
        <v/>
      </c>
      <c r="AF16" s="467" t="str">
        <f t="shared" si="4"/>
        <v/>
      </c>
      <c r="AG16" s="467" t="str">
        <f t="shared" si="5"/>
        <v/>
      </c>
      <c r="AH16" s="467" t="str">
        <f t="shared" si="6"/>
        <v/>
      </c>
      <c r="AI16" s="466" t="str">
        <f>IF(C16="","",VLOOKUP(C16,非_まとめ表行番号!$B$3:$C$34,2,FALSE))</f>
        <v/>
      </c>
      <c r="AJ16" s="525" t="str">
        <f>IF(AI16="","",VLOOKUP(AI16,非_まとめ表行番号!$U$3:$V$56,2,FALSE))</f>
        <v/>
      </c>
      <c r="AK16" s="468" t="str">
        <f>IF(C16="","",VLOOKUP(C16,非_係数!$B$5:$K$36,6,FALSE))</f>
        <v/>
      </c>
      <c r="AL16" s="467" t="str">
        <f t="shared" si="7"/>
        <v/>
      </c>
      <c r="AM16" s="466" t="str">
        <f>IF(C16="","",VLOOKUP(C16,非_係数!$B$5:$K$36,7,FALSE))</f>
        <v/>
      </c>
      <c r="AN16" s="466" t="str">
        <f t="shared" si="8"/>
        <v/>
      </c>
      <c r="AO16" s="466" t="str">
        <f>IF(C16="","",VLOOKUP(C16,非_係数!$B$5:$K$36,9,FALSE))</f>
        <v/>
      </c>
      <c r="AP16" s="466" t="str">
        <f t="shared" si="9"/>
        <v/>
      </c>
      <c r="AQ16" s="466" t="str">
        <f>IF(C16="","",VLOOKUP(C16,非_まとめ表行番号!$B$3:$D$34,3,FALSE))</f>
        <v/>
      </c>
      <c r="AR16" s="466" t="str">
        <f t="shared" si="10"/>
        <v/>
      </c>
    </row>
    <row r="17" spans="1:44" ht="19.5" customHeight="1">
      <c r="A17" s="483"/>
      <c r="B17" s="519"/>
      <c r="C17" s="519"/>
      <c r="D17" s="519"/>
      <c r="E17" s="458"/>
      <c r="F17" s="519"/>
      <c r="G17" s="519"/>
      <c r="H17" s="520"/>
      <c r="I17" s="520"/>
      <c r="J17" s="520"/>
      <c r="K17" s="520"/>
      <c r="L17" s="520"/>
      <c r="M17" s="520"/>
      <c r="N17" s="520"/>
      <c r="O17" s="520"/>
      <c r="P17" s="520"/>
      <c r="Q17" s="520"/>
      <c r="R17" s="520"/>
      <c r="S17" s="520"/>
      <c r="T17" s="497"/>
      <c r="U17" s="569" t="str">
        <f t="shared" si="11"/>
        <v/>
      </c>
      <c r="V17" s="570" t="str">
        <f t="shared" si="1"/>
        <v/>
      </c>
      <c r="W17" s="521" t="str">
        <f>IF(C17="","",VLOOKUP(C17,非_単位!$N$3:$O$34,2,FALSE))</f>
        <v/>
      </c>
      <c r="X17" s="571" t="str">
        <f>IF(C17="","",VLOOKUP(C17,非_係数!$B$5:$F$36,2,FALSE))</f>
        <v/>
      </c>
      <c r="Y17" s="572" t="str">
        <f t="shared" si="2"/>
        <v/>
      </c>
      <c r="Z17" s="573" t="str">
        <f>IF(C17="","",VLOOKUP(C17,非_係数!$B$5:$F$36,4,FALSE))</f>
        <v/>
      </c>
      <c r="AA17" s="574" t="str">
        <f t="shared" si="3"/>
        <v/>
      </c>
      <c r="AB17" s="464"/>
      <c r="AC17" s="466" t="str">
        <f t="shared" si="0"/>
        <v/>
      </c>
      <c r="AD17" s="466" t="str">
        <f>IF(G17="","",VLOOKUP(G17,非_単位補正換算!$B$3:$C$16,2,FALSE))</f>
        <v/>
      </c>
      <c r="AE17" s="466" t="str">
        <f>IF(G17="","",IF(SUMIFS(非_単位補正換算!$D$19:$D$48,非_単位補正換算!$B$19:$B$48,燃料!C17,非_単位補正換算!$C$19:$C$48,燃料!G17)=0,1,SUMIFS(非_単位補正換算!$D$19:$D$48,非_単位補正換算!$B$19:$B$48,燃料!C17,非_単位補正換算!$C$19:$C$48,燃料!G17)))</f>
        <v/>
      </c>
      <c r="AF17" s="467" t="str">
        <f t="shared" si="4"/>
        <v/>
      </c>
      <c r="AG17" s="467" t="str">
        <f t="shared" si="5"/>
        <v/>
      </c>
      <c r="AH17" s="467" t="str">
        <f t="shared" si="6"/>
        <v/>
      </c>
      <c r="AI17" s="466" t="str">
        <f>IF(C17="","",VLOOKUP(C17,非_まとめ表行番号!$B$3:$C$34,2,FALSE))</f>
        <v/>
      </c>
      <c r="AJ17" s="525" t="str">
        <f>IF(AI17="","",VLOOKUP(AI17,非_まとめ表行番号!$U$3:$V$56,2,FALSE))</f>
        <v/>
      </c>
      <c r="AK17" s="468" t="str">
        <f>IF(C17="","",VLOOKUP(C17,非_係数!$B$5:$K$36,6,FALSE))</f>
        <v/>
      </c>
      <c r="AL17" s="467" t="str">
        <f t="shared" si="7"/>
        <v/>
      </c>
      <c r="AM17" s="466" t="str">
        <f>IF(C17="","",VLOOKUP(C17,非_係数!$B$5:$K$36,7,FALSE))</f>
        <v/>
      </c>
      <c r="AN17" s="466" t="str">
        <f t="shared" si="8"/>
        <v/>
      </c>
      <c r="AO17" s="466" t="str">
        <f>IF(C17="","",VLOOKUP(C17,非_係数!$B$5:$K$36,9,FALSE))</f>
        <v/>
      </c>
      <c r="AP17" s="466" t="str">
        <f t="shared" si="9"/>
        <v/>
      </c>
      <c r="AQ17" s="466" t="str">
        <f>IF(C17="","",VLOOKUP(C17,非_まとめ表行番号!$B$3:$D$34,3,FALSE))</f>
        <v/>
      </c>
      <c r="AR17" s="466" t="str">
        <f t="shared" si="10"/>
        <v/>
      </c>
    </row>
    <row r="18" spans="1:44" ht="19.5" customHeight="1">
      <c r="A18" s="483"/>
      <c r="B18" s="519"/>
      <c r="C18" s="519"/>
      <c r="D18" s="519"/>
      <c r="E18" s="458"/>
      <c r="F18" s="519"/>
      <c r="G18" s="519"/>
      <c r="H18" s="520"/>
      <c r="I18" s="520"/>
      <c r="J18" s="520"/>
      <c r="K18" s="520"/>
      <c r="L18" s="520"/>
      <c r="M18" s="520"/>
      <c r="N18" s="520"/>
      <c r="O18" s="520"/>
      <c r="P18" s="520"/>
      <c r="Q18" s="520"/>
      <c r="R18" s="520"/>
      <c r="S18" s="520"/>
      <c r="T18" s="497"/>
      <c r="U18" s="569" t="str">
        <f t="shared" si="11"/>
        <v/>
      </c>
      <c r="V18" s="570" t="str">
        <f t="shared" si="1"/>
        <v/>
      </c>
      <c r="W18" s="521" t="str">
        <f>IF(C18="","",VLOOKUP(C18,非_単位!$N$3:$O$34,2,FALSE))</f>
        <v/>
      </c>
      <c r="X18" s="571" t="str">
        <f>IF(C18="","",VLOOKUP(C18,非_係数!$B$5:$F$36,2,FALSE))</f>
        <v/>
      </c>
      <c r="Y18" s="572" t="str">
        <f t="shared" si="2"/>
        <v/>
      </c>
      <c r="Z18" s="573" t="str">
        <f>IF(C18="","",VLOOKUP(C18,非_係数!$B$5:$F$36,4,FALSE))</f>
        <v/>
      </c>
      <c r="AA18" s="574" t="str">
        <f t="shared" si="3"/>
        <v/>
      </c>
      <c r="AB18" s="464"/>
      <c r="AC18" s="466" t="str">
        <f t="shared" si="0"/>
        <v/>
      </c>
      <c r="AD18" s="466" t="str">
        <f>IF(G18="","",VLOOKUP(G18,非_単位補正換算!$B$3:$C$16,2,FALSE))</f>
        <v/>
      </c>
      <c r="AE18" s="466" t="str">
        <f>IF(G18="","",IF(SUMIFS(非_単位補正換算!$D$19:$D$48,非_単位補正換算!$B$19:$B$48,燃料!C18,非_単位補正換算!$C$19:$C$48,燃料!G18)=0,1,SUMIFS(非_単位補正換算!$D$19:$D$48,非_単位補正換算!$B$19:$B$48,燃料!C18,非_単位補正換算!$C$19:$C$48,燃料!G18)))</f>
        <v/>
      </c>
      <c r="AF18" s="467" t="str">
        <f t="shared" si="4"/>
        <v/>
      </c>
      <c r="AG18" s="467" t="str">
        <f t="shared" si="5"/>
        <v/>
      </c>
      <c r="AH18" s="467" t="str">
        <f t="shared" si="6"/>
        <v/>
      </c>
      <c r="AI18" s="466" t="str">
        <f>IF(C18="","",VLOOKUP(C18,非_まとめ表行番号!$B$3:$C$34,2,FALSE))</f>
        <v/>
      </c>
      <c r="AJ18" s="525" t="str">
        <f>IF(AI18="","",VLOOKUP(AI18,非_まとめ表行番号!$U$3:$V$56,2,FALSE))</f>
        <v/>
      </c>
      <c r="AK18" s="468" t="str">
        <f>IF(C18="","",VLOOKUP(C18,非_係数!$B$5:$K$36,6,FALSE))</f>
        <v/>
      </c>
      <c r="AL18" s="467" t="str">
        <f t="shared" si="7"/>
        <v/>
      </c>
      <c r="AM18" s="466" t="str">
        <f>IF(C18="","",VLOOKUP(C18,非_係数!$B$5:$K$36,7,FALSE))</f>
        <v/>
      </c>
      <c r="AN18" s="466" t="str">
        <f t="shared" si="8"/>
        <v/>
      </c>
      <c r="AO18" s="466" t="str">
        <f>IF(C18="","",VLOOKUP(C18,非_係数!$B$5:$K$36,9,FALSE))</f>
        <v/>
      </c>
      <c r="AP18" s="466" t="str">
        <f t="shared" si="9"/>
        <v/>
      </c>
      <c r="AQ18" s="466" t="str">
        <f>IF(C18="","",VLOOKUP(C18,非_まとめ表行番号!$B$3:$D$34,3,FALSE))</f>
        <v/>
      </c>
      <c r="AR18" s="466" t="str">
        <f t="shared" si="10"/>
        <v/>
      </c>
    </row>
    <row r="19" spans="1:44" ht="19.5" customHeight="1">
      <c r="A19" s="483"/>
      <c r="B19" s="519"/>
      <c r="C19" s="519"/>
      <c r="D19" s="519"/>
      <c r="E19" s="458"/>
      <c r="F19" s="519"/>
      <c r="G19" s="519"/>
      <c r="H19" s="520"/>
      <c r="I19" s="520"/>
      <c r="J19" s="520"/>
      <c r="K19" s="520"/>
      <c r="L19" s="520"/>
      <c r="M19" s="520"/>
      <c r="N19" s="520"/>
      <c r="O19" s="520"/>
      <c r="P19" s="520"/>
      <c r="Q19" s="520"/>
      <c r="R19" s="520"/>
      <c r="S19" s="520"/>
      <c r="T19" s="497"/>
      <c r="U19" s="569" t="str">
        <f t="shared" si="11"/>
        <v/>
      </c>
      <c r="V19" s="570" t="str">
        <f t="shared" si="1"/>
        <v/>
      </c>
      <c r="W19" s="521" t="str">
        <f>IF(C19="","",VLOOKUP(C19,非_単位!$N$3:$O$34,2,FALSE))</f>
        <v/>
      </c>
      <c r="X19" s="571" t="str">
        <f>IF(C19="","",VLOOKUP(C19,非_係数!$B$5:$F$36,2,FALSE))</f>
        <v/>
      </c>
      <c r="Y19" s="572" t="str">
        <f t="shared" si="2"/>
        <v/>
      </c>
      <c r="Z19" s="573" t="str">
        <f>IF(C19="","",VLOOKUP(C19,非_係数!$B$5:$F$36,4,FALSE))</f>
        <v/>
      </c>
      <c r="AA19" s="574" t="str">
        <f t="shared" si="3"/>
        <v/>
      </c>
      <c r="AB19" s="464"/>
      <c r="AC19" s="466" t="str">
        <f t="shared" si="0"/>
        <v/>
      </c>
      <c r="AD19" s="466" t="str">
        <f>IF(G19="","",VLOOKUP(G19,非_単位補正換算!$B$3:$C$16,2,FALSE))</f>
        <v/>
      </c>
      <c r="AE19" s="466" t="str">
        <f>IF(G19="","",IF(SUMIFS(非_単位補正換算!$D$19:$D$48,非_単位補正換算!$B$19:$B$48,燃料!C19,非_単位補正換算!$C$19:$C$48,燃料!G19)=0,1,SUMIFS(非_単位補正換算!$D$19:$D$48,非_単位補正換算!$B$19:$B$48,燃料!C19,非_単位補正換算!$C$19:$C$48,燃料!G19)))</f>
        <v/>
      </c>
      <c r="AF19" s="467" t="str">
        <f t="shared" si="4"/>
        <v/>
      </c>
      <c r="AG19" s="467" t="str">
        <f t="shared" si="5"/>
        <v/>
      </c>
      <c r="AH19" s="467" t="str">
        <f t="shared" si="6"/>
        <v/>
      </c>
      <c r="AI19" s="466" t="str">
        <f>IF(C19="","",VLOOKUP(C19,非_まとめ表行番号!$B$3:$C$34,2,FALSE))</f>
        <v/>
      </c>
      <c r="AJ19" s="525" t="str">
        <f>IF(AI19="","",VLOOKUP(AI19,非_まとめ表行番号!$U$3:$V$56,2,FALSE))</f>
        <v/>
      </c>
      <c r="AK19" s="468" t="str">
        <f>IF(C19="","",VLOOKUP(C19,非_係数!$B$5:$K$36,6,FALSE))</f>
        <v/>
      </c>
      <c r="AL19" s="467" t="str">
        <f t="shared" si="7"/>
        <v/>
      </c>
      <c r="AM19" s="466" t="str">
        <f>IF(C19="","",VLOOKUP(C19,非_係数!$B$5:$K$36,7,FALSE))</f>
        <v/>
      </c>
      <c r="AN19" s="466" t="str">
        <f t="shared" si="8"/>
        <v/>
      </c>
      <c r="AO19" s="466" t="str">
        <f>IF(C19="","",VLOOKUP(C19,非_係数!$B$5:$K$36,9,FALSE))</f>
        <v/>
      </c>
      <c r="AP19" s="466" t="str">
        <f t="shared" si="9"/>
        <v/>
      </c>
      <c r="AQ19" s="466" t="str">
        <f>IF(C19="","",VLOOKUP(C19,非_まとめ表行番号!$B$3:$D$34,3,FALSE))</f>
        <v/>
      </c>
      <c r="AR19" s="466" t="str">
        <f t="shared" si="10"/>
        <v/>
      </c>
    </row>
    <row r="20" spans="1:44" ht="19.5" customHeight="1">
      <c r="A20" s="483"/>
      <c r="B20" s="519"/>
      <c r="C20" s="519"/>
      <c r="D20" s="519"/>
      <c r="E20" s="458"/>
      <c r="F20" s="519"/>
      <c r="G20" s="519"/>
      <c r="H20" s="520"/>
      <c r="I20" s="520"/>
      <c r="J20" s="520"/>
      <c r="K20" s="520"/>
      <c r="L20" s="520"/>
      <c r="M20" s="520"/>
      <c r="N20" s="520"/>
      <c r="O20" s="520"/>
      <c r="P20" s="520"/>
      <c r="Q20" s="520"/>
      <c r="R20" s="520"/>
      <c r="S20" s="520"/>
      <c r="T20" s="497"/>
      <c r="U20" s="569" t="str">
        <f t="shared" si="11"/>
        <v/>
      </c>
      <c r="V20" s="570" t="str">
        <f t="shared" si="1"/>
        <v/>
      </c>
      <c r="W20" s="521" t="str">
        <f>IF(C20="","",VLOOKUP(C20,非_単位!$N$3:$O$34,2,FALSE))</f>
        <v/>
      </c>
      <c r="X20" s="571" t="str">
        <f>IF(C20="","",VLOOKUP(C20,非_係数!$B$5:$F$36,2,FALSE))</f>
        <v/>
      </c>
      <c r="Y20" s="572" t="str">
        <f t="shared" si="2"/>
        <v/>
      </c>
      <c r="Z20" s="573" t="str">
        <f>IF(C20="","",VLOOKUP(C20,非_係数!$B$5:$F$36,4,FALSE))</f>
        <v/>
      </c>
      <c r="AA20" s="574" t="str">
        <f t="shared" si="3"/>
        <v/>
      </c>
      <c r="AB20" s="464"/>
      <c r="AC20" s="466" t="str">
        <f t="shared" si="0"/>
        <v/>
      </c>
      <c r="AD20" s="466" t="str">
        <f>IF(G20="","",VLOOKUP(G20,非_単位補正換算!$B$3:$C$16,2,FALSE))</f>
        <v/>
      </c>
      <c r="AE20" s="466" t="str">
        <f>IF(G20="","",IF(SUMIFS(非_単位補正換算!$D$19:$D$48,非_単位補正換算!$B$19:$B$48,燃料!C20,非_単位補正換算!$C$19:$C$48,燃料!G20)=0,1,SUMIFS(非_単位補正換算!$D$19:$D$48,非_単位補正換算!$B$19:$B$48,燃料!C20,非_単位補正換算!$C$19:$C$48,燃料!G20)))</f>
        <v/>
      </c>
      <c r="AF20" s="467" t="str">
        <f t="shared" si="4"/>
        <v/>
      </c>
      <c r="AG20" s="467" t="str">
        <f t="shared" si="5"/>
        <v/>
      </c>
      <c r="AH20" s="467" t="str">
        <f t="shared" si="6"/>
        <v/>
      </c>
      <c r="AI20" s="466" t="str">
        <f>IF(C20="","",VLOOKUP(C20,非_まとめ表行番号!$B$3:$C$34,2,FALSE))</f>
        <v/>
      </c>
      <c r="AJ20" s="525" t="str">
        <f>IF(AI20="","",VLOOKUP(AI20,非_まとめ表行番号!$U$3:$V$56,2,FALSE))</f>
        <v/>
      </c>
      <c r="AK20" s="468" t="str">
        <f>IF(C20="","",VLOOKUP(C20,非_係数!$B$5:$K$36,6,FALSE))</f>
        <v/>
      </c>
      <c r="AL20" s="467" t="str">
        <f t="shared" si="7"/>
        <v/>
      </c>
      <c r="AM20" s="466" t="str">
        <f>IF(C20="","",VLOOKUP(C20,非_係数!$B$5:$K$36,7,FALSE))</f>
        <v/>
      </c>
      <c r="AN20" s="466" t="str">
        <f t="shared" si="8"/>
        <v/>
      </c>
      <c r="AO20" s="466" t="str">
        <f>IF(C20="","",VLOOKUP(C20,非_係数!$B$5:$K$36,9,FALSE))</f>
        <v/>
      </c>
      <c r="AP20" s="466" t="str">
        <f t="shared" si="9"/>
        <v/>
      </c>
      <c r="AQ20" s="466" t="str">
        <f>IF(C20="","",VLOOKUP(C20,非_まとめ表行番号!$B$3:$D$34,3,FALSE))</f>
        <v/>
      </c>
      <c r="AR20" s="466" t="str">
        <f t="shared" si="10"/>
        <v/>
      </c>
    </row>
    <row r="21" spans="1:44" ht="19.5" customHeight="1">
      <c r="A21" s="483"/>
      <c r="B21" s="519"/>
      <c r="C21" s="519"/>
      <c r="D21" s="519"/>
      <c r="E21" s="458"/>
      <c r="F21" s="519"/>
      <c r="G21" s="519"/>
      <c r="H21" s="520"/>
      <c r="I21" s="520"/>
      <c r="J21" s="520"/>
      <c r="K21" s="520"/>
      <c r="L21" s="520"/>
      <c r="M21" s="520"/>
      <c r="N21" s="520"/>
      <c r="O21" s="520"/>
      <c r="P21" s="520"/>
      <c r="Q21" s="520"/>
      <c r="R21" s="520"/>
      <c r="S21" s="520"/>
      <c r="T21" s="497"/>
      <c r="U21" s="569" t="str">
        <f t="shared" si="11"/>
        <v/>
      </c>
      <c r="V21" s="570" t="str">
        <f t="shared" si="1"/>
        <v/>
      </c>
      <c r="W21" s="521" t="str">
        <f>IF(C21="","",VLOOKUP(C21,非_単位!$N$3:$O$34,2,FALSE))</f>
        <v/>
      </c>
      <c r="X21" s="571" t="str">
        <f>IF(C21="","",VLOOKUP(C21,非_係数!$B$5:$F$36,2,FALSE))</f>
        <v/>
      </c>
      <c r="Y21" s="572" t="str">
        <f t="shared" si="2"/>
        <v/>
      </c>
      <c r="Z21" s="573" t="str">
        <f>IF(C21="","",VLOOKUP(C21,非_係数!$B$5:$F$36,4,FALSE))</f>
        <v/>
      </c>
      <c r="AA21" s="574" t="str">
        <f t="shared" si="3"/>
        <v/>
      </c>
      <c r="AB21" s="464"/>
      <c r="AC21" s="466" t="str">
        <f t="shared" si="0"/>
        <v/>
      </c>
      <c r="AD21" s="466" t="str">
        <f>IF(G21="","",VLOOKUP(G21,非_単位補正換算!$B$3:$C$16,2,FALSE))</f>
        <v/>
      </c>
      <c r="AE21" s="466" t="str">
        <f>IF(G21="","",IF(SUMIFS(非_単位補正換算!$D$19:$D$48,非_単位補正換算!$B$19:$B$48,燃料!C21,非_単位補正換算!$C$19:$C$48,燃料!G21)=0,1,SUMIFS(非_単位補正換算!$D$19:$D$48,非_単位補正換算!$B$19:$B$48,燃料!C21,非_単位補正換算!$C$19:$C$48,燃料!G21)))</f>
        <v/>
      </c>
      <c r="AF21" s="467" t="str">
        <f t="shared" si="4"/>
        <v/>
      </c>
      <c r="AG21" s="467" t="str">
        <f t="shared" si="5"/>
        <v/>
      </c>
      <c r="AH21" s="467" t="str">
        <f t="shared" si="6"/>
        <v/>
      </c>
      <c r="AI21" s="466" t="str">
        <f>IF(C21="","",VLOOKUP(C21,非_まとめ表行番号!$B$3:$C$34,2,FALSE))</f>
        <v/>
      </c>
      <c r="AJ21" s="525" t="str">
        <f>IF(AI21="","",VLOOKUP(AI21,非_まとめ表行番号!$U$3:$V$56,2,FALSE))</f>
        <v/>
      </c>
      <c r="AK21" s="468" t="str">
        <f>IF(C21="","",VLOOKUP(C21,非_係数!$B$5:$K$36,6,FALSE))</f>
        <v/>
      </c>
      <c r="AL21" s="467" t="str">
        <f t="shared" si="7"/>
        <v/>
      </c>
      <c r="AM21" s="466" t="str">
        <f>IF(C21="","",VLOOKUP(C21,非_係数!$B$5:$K$36,7,FALSE))</f>
        <v/>
      </c>
      <c r="AN21" s="466" t="str">
        <f t="shared" si="8"/>
        <v/>
      </c>
      <c r="AO21" s="466" t="str">
        <f>IF(C21="","",VLOOKUP(C21,非_係数!$B$5:$K$36,9,FALSE))</f>
        <v/>
      </c>
      <c r="AP21" s="466" t="str">
        <f t="shared" si="9"/>
        <v/>
      </c>
      <c r="AQ21" s="466" t="str">
        <f>IF(C21="","",VLOOKUP(C21,非_まとめ表行番号!$B$3:$D$34,3,FALSE))</f>
        <v/>
      </c>
      <c r="AR21" s="466" t="str">
        <f t="shared" si="10"/>
        <v/>
      </c>
    </row>
    <row r="22" spans="1:44" ht="19.5" customHeight="1">
      <c r="A22" s="483"/>
      <c r="B22" s="519"/>
      <c r="C22" s="519"/>
      <c r="D22" s="519"/>
      <c r="E22" s="458"/>
      <c r="F22" s="519"/>
      <c r="G22" s="519"/>
      <c r="H22" s="520"/>
      <c r="I22" s="520"/>
      <c r="J22" s="520"/>
      <c r="K22" s="520"/>
      <c r="L22" s="520"/>
      <c r="M22" s="520"/>
      <c r="N22" s="520"/>
      <c r="O22" s="520"/>
      <c r="P22" s="520"/>
      <c r="Q22" s="520"/>
      <c r="R22" s="520"/>
      <c r="S22" s="520"/>
      <c r="T22" s="497"/>
      <c r="U22" s="569" t="str">
        <f t="shared" si="11"/>
        <v/>
      </c>
      <c r="V22" s="570" t="str">
        <f t="shared" si="1"/>
        <v/>
      </c>
      <c r="W22" s="521" t="str">
        <f>IF(C22="","",VLOOKUP(C22,非_単位!$N$3:$O$34,2,FALSE))</f>
        <v/>
      </c>
      <c r="X22" s="571" t="str">
        <f>IF(C22="","",VLOOKUP(C22,非_係数!$B$5:$F$36,2,FALSE))</f>
        <v/>
      </c>
      <c r="Y22" s="572" t="str">
        <f t="shared" si="2"/>
        <v/>
      </c>
      <c r="Z22" s="573" t="str">
        <f>IF(C22="","",VLOOKUP(C22,非_係数!$B$5:$F$36,4,FALSE))</f>
        <v/>
      </c>
      <c r="AA22" s="574" t="str">
        <f t="shared" si="3"/>
        <v/>
      </c>
      <c r="AB22" s="464"/>
      <c r="AC22" s="466" t="str">
        <f t="shared" si="0"/>
        <v/>
      </c>
      <c r="AD22" s="466" t="str">
        <f>IF(G22="","",VLOOKUP(G22,非_単位補正換算!$B$3:$C$16,2,FALSE))</f>
        <v/>
      </c>
      <c r="AE22" s="466" t="str">
        <f>IF(G22="","",IF(SUMIFS(非_単位補正換算!$D$19:$D$48,非_単位補正換算!$B$19:$B$48,燃料!C22,非_単位補正換算!$C$19:$C$48,燃料!G22)=0,1,SUMIFS(非_単位補正換算!$D$19:$D$48,非_単位補正換算!$B$19:$B$48,燃料!C22,非_単位補正換算!$C$19:$C$48,燃料!G22)))</f>
        <v/>
      </c>
      <c r="AF22" s="467" t="str">
        <f t="shared" si="4"/>
        <v/>
      </c>
      <c r="AG22" s="467" t="str">
        <f t="shared" si="5"/>
        <v/>
      </c>
      <c r="AH22" s="467" t="str">
        <f t="shared" si="6"/>
        <v/>
      </c>
      <c r="AI22" s="466" t="str">
        <f>IF(C22="","",VLOOKUP(C22,非_まとめ表行番号!$B$3:$C$34,2,FALSE))</f>
        <v/>
      </c>
      <c r="AJ22" s="525" t="str">
        <f>IF(AI22="","",VLOOKUP(AI22,非_まとめ表行番号!$U$3:$V$56,2,FALSE))</f>
        <v/>
      </c>
      <c r="AK22" s="468" t="str">
        <f>IF(C22="","",VLOOKUP(C22,非_係数!$B$5:$K$36,6,FALSE))</f>
        <v/>
      </c>
      <c r="AL22" s="467" t="str">
        <f t="shared" si="7"/>
        <v/>
      </c>
      <c r="AM22" s="466" t="str">
        <f>IF(C22="","",VLOOKUP(C22,非_係数!$B$5:$K$36,7,FALSE))</f>
        <v/>
      </c>
      <c r="AN22" s="466" t="str">
        <f t="shared" si="8"/>
        <v/>
      </c>
      <c r="AO22" s="466" t="str">
        <f>IF(C22="","",VLOOKUP(C22,非_係数!$B$5:$K$36,9,FALSE))</f>
        <v/>
      </c>
      <c r="AP22" s="466" t="str">
        <f t="shared" si="9"/>
        <v/>
      </c>
      <c r="AQ22" s="466" t="str">
        <f>IF(C22="","",VLOOKUP(C22,非_まとめ表行番号!$B$3:$D$34,3,FALSE))</f>
        <v/>
      </c>
      <c r="AR22" s="466" t="str">
        <f t="shared" si="10"/>
        <v/>
      </c>
    </row>
    <row r="23" spans="1:44" ht="19.5" customHeight="1">
      <c r="A23" s="483"/>
      <c r="B23" s="519"/>
      <c r="C23" s="519"/>
      <c r="D23" s="519"/>
      <c r="E23" s="458"/>
      <c r="F23" s="519"/>
      <c r="G23" s="519"/>
      <c r="H23" s="520"/>
      <c r="I23" s="520"/>
      <c r="J23" s="520"/>
      <c r="K23" s="520"/>
      <c r="L23" s="520"/>
      <c r="M23" s="520"/>
      <c r="N23" s="520"/>
      <c r="O23" s="520"/>
      <c r="P23" s="520"/>
      <c r="Q23" s="520"/>
      <c r="R23" s="520"/>
      <c r="S23" s="520"/>
      <c r="T23" s="497"/>
      <c r="U23" s="569" t="str">
        <f t="shared" si="11"/>
        <v/>
      </c>
      <c r="V23" s="570" t="str">
        <f t="shared" si="1"/>
        <v/>
      </c>
      <c r="W23" s="521" t="str">
        <f>IF(C23="","",VLOOKUP(C23,非_単位!$N$3:$O$34,2,FALSE))</f>
        <v/>
      </c>
      <c r="X23" s="571" t="str">
        <f>IF(C23="","",VLOOKUP(C23,非_係数!$B$5:$F$36,2,FALSE))</f>
        <v/>
      </c>
      <c r="Y23" s="572" t="str">
        <f t="shared" si="2"/>
        <v/>
      </c>
      <c r="Z23" s="573" t="str">
        <f>IF(C23="","",VLOOKUP(C23,非_係数!$B$5:$F$36,4,FALSE))</f>
        <v/>
      </c>
      <c r="AA23" s="574" t="str">
        <f t="shared" si="3"/>
        <v/>
      </c>
      <c r="AB23" s="464"/>
      <c r="AC23" s="466" t="str">
        <f t="shared" si="0"/>
        <v/>
      </c>
      <c r="AD23" s="466" t="str">
        <f>IF(G23="","",VLOOKUP(G23,非_単位補正換算!$B$3:$C$16,2,FALSE))</f>
        <v/>
      </c>
      <c r="AE23" s="466" t="str">
        <f>IF(G23="","",IF(SUMIFS(非_単位補正換算!$D$19:$D$48,非_単位補正換算!$B$19:$B$48,燃料!C23,非_単位補正換算!$C$19:$C$48,燃料!G23)=0,1,SUMIFS(非_単位補正換算!$D$19:$D$48,非_単位補正換算!$B$19:$B$48,燃料!C23,非_単位補正換算!$C$19:$C$48,燃料!G23)))</f>
        <v/>
      </c>
      <c r="AF23" s="467" t="str">
        <f t="shared" si="4"/>
        <v/>
      </c>
      <c r="AG23" s="467" t="str">
        <f t="shared" si="5"/>
        <v/>
      </c>
      <c r="AH23" s="467" t="str">
        <f t="shared" si="6"/>
        <v/>
      </c>
      <c r="AI23" s="466" t="str">
        <f>IF(C23="","",VLOOKUP(C23,非_まとめ表行番号!$B$3:$C$34,2,FALSE))</f>
        <v/>
      </c>
      <c r="AJ23" s="525" t="str">
        <f>IF(AI23="","",VLOOKUP(AI23,非_まとめ表行番号!$U$3:$V$56,2,FALSE))</f>
        <v/>
      </c>
      <c r="AK23" s="468" t="str">
        <f>IF(C23="","",VLOOKUP(C23,非_係数!$B$5:$K$36,6,FALSE))</f>
        <v/>
      </c>
      <c r="AL23" s="467" t="str">
        <f t="shared" si="7"/>
        <v/>
      </c>
      <c r="AM23" s="466" t="str">
        <f>IF(C23="","",VLOOKUP(C23,非_係数!$B$5:$K$36,7,FALSE))</f>
        <v/>
      </c>
      <c r="AN23" s="466" t="str">
        <f t="shared" si="8"/>
        <v/>
      </c>
      <c r="AO23" s="466" t="str">
        <f>IF(C23="","",VLOOKUP(C23,非_係数!$B$5:$K$36,9,FALSE))</f>
        <v/>
      </c>
      <c r="AP23" s="466" t="str">
        <f t="shared" si="9"/>
        <v/>
      </c>
      <c r="AQ23" s="466" t="str">
        <f>IF(C23="","",VLOOKUP(C23,非_まとめ表行番号!$B$3:$D$34,3,FALSE))</f>
        <v/>
      </c>
      <c r="AR23" s="466" t="str">
        <f t="shared" si="10"/>
        <v/>
      </c>
    </row>
    <row r="24" spans="1:44" ht="19.5" customHeight="1">
      <c r="A24" s="483"/>
      <c r="B24" s="519"/>
      <c r="C24" s="519"/>
      <c r="D24" s="519"/>
      <c r="E24" s="458"/>
      <c r="F24" s="519"/>
      <c r="G24" s="519"/>
      <c r="H24" s="520"/>
      <c r="I24" s="520"/>
      <c r="J24" s="520"/>
      <c r="K24" s="520"/>
      <c r="L24" s="520"/>
      <c r="M24" s="520"/>
      <c r="N24" s="520"/>
      <c r="O24" s="520"/>
      <c r="P24" s="520"/>
      <c r="Q24" s="520"/>
      <c r="R24" s="520"/>
      <c r="S24" s="520"/>
      <c r="T24" s="497"/>
      <c r="U24" s="569" t="str">
        <f t="shared" si="11"/>
        <v/>
      </c>
      <c r="V24" s="570" t="str">
        <f t="shared" si="1"/>
        <v/>
      </c>
      <c r="W24" s="521" t="str">
        <f>IF(C24="","",VLOOKUP(C24,非_単位!$N$3:$O$34,2,FALSE))</f>
        <v/>
      </c>
      <c r="X24" s="571" t="str">
        <f>IF(C24="","",VLOOKUP(C24,非_係数!$B$5:$F$36,2,FALSE))</f>
        <v/>
      </c>
      <c r="Y24" s="572" t="str">
        <f t="shared" si="2"/>
        <v/>
      </c>
      <c r="Z24" s="573" t="str">
        <f>IF(C24="","",VLOOKUP(C24,非_係数!$B$5:$F$36,4,FALSE))</f>
        <v/>
      </c>
      <c r="AA24" s="574" t="str">
        <f t="shared" si="3"/>
        <v/>
      </c>
      <c r="AB24" s="464"/>
      <c r="AC24" s="466" t="str">
        <f t="shared" si="0"/>
        <v/>
      </c>
      <c r="AD24" s="466" t="str">
        <f>IF(G24="","",VLOOKUP(G24,非_単位補正換算!$B$3:$C$16,2,FALSE))</f>
        <v/>
      </c>
      <c r="AE24" s="466" t="str">
        <f>IF(G24="","",IF(SUMIFS(非_単位補正換算!$D$19:$D$48,非_単位補正換算!$B$19:$B$48,燃料!C24,非_単位補正換算!$C$19:$C$48,燃料!G24)=0,1,SUMIFS(非_単位補正換算!$D$19:$D$48,非_単位補正換算!$B$19:$B$48,燃料!C24,非_単位補正換算!$C$19:$C$48,燃料!G24)))</f>
        <v/>
      </c>
      <c r="AF24" s="467" t="str">
        <f t="shared" si="4"/>
        <v/>
      </c>
      <c r="AG24" s="467" t="str">
        <f t="shared" si="5"/>
        <v/>
      </c>
      <c r="AH24" s="467" t="str">
        <f t="shared" si="6"/>
        <v/>
      </c>
      <c r="AI24" s="466" t="str">
        <f>IF(C24="","",VLOOKUP(C24,非_まとめ表行番号!$B$3:$C$34,2,FALSE))</f>
        <v/>
      </c>
      <c r="AJ24" s="525" t="str">
        <f>IF(AI24="","",VLOOKUP(AI24,非_まとめ表行番号!$U$3:$V$56,2,FALSE))</f>
        <v/>
      </c>
      <c r="AK24" s="468" t="str">
        <f>IF(C24="","",VLOOKUP(C24,非_係数!$B$5:$K$36,6,FALSE))</f>
        <v/>
      </c>
      <c r="AL24" s="467" t="str">
        <f t="shared" si="7"/>
        <v/>
      </c>
      <c r="AM24" s="466" t="str">
        <f>IF(C24="","",VLOOKUP(C24,非_係数!$B$5:$K$36,7,FALSE))</f>
        <v/>
      </c>
      <c r="AN24" s="466" t="str">
        <f t="shared" si="8"/>
        <v/>
      </c>
      <c r="AO24" s="466" t="str">
        <f>IF(C24="","",VLOOKUP(C24,非_係数!$B$5:$K$36,9,FALSE))</f>
        <v/>
      </c>
      <c r="AP24" s="466" t="str">
        <f t="shared" si="9"/>
        <v/>
      </c>
      <c r="AQ24" s="466" t="str">
        <f>IF(C24="","",VLOOKUP(C24,非_まとめ表行番号!$B$3:$D$34,3,FALSE))</f>
        <v/>
      </c>
      <c r="AR24" s="466" t="str">
        <f t="shared" si="10"/>
        <v/>
      </c>
    </row>
    <row r="25" spans="1:44" ht="19.5" customHeight="1">
      <c r="A25" s="483"/>
      <c r="B25" s="519"/>
      <c r="C25" s="519"/>
      <c r="D25" s="519"/>
      <c r="E25" s="458"/>
      <c r="F25" s="519"/>
      <c r="G25" s="519"/>
      <c r="H25" s="520"/>
      <c r="I25" s="520"/>
      <c r="J25" s="520"/>
      <c r="K25" s="520"/>
      <c r="L25" s="520"/>
      <c r="M25" s="520"/>
      <c r="N25" s="520"/>
      <c r="O25" s="520"/>
      <c r="P25" s="520"/>
      <c r="Q25" s="520"/>
      <c r="R25" s="520"/>
      <c r="S25" s="520"/>
      <c r="T25" s="497"/>
      <c r="U25" s="569" t="str">
        <f t="shared" si="11"/>
        <v/>
      </c>
      <c r="V25" s="570" t="str">
        <f t="shared" si="1"/>
        <v/>
      </c>
      <c r="W25" s="521" t="str">
        <f>IF(C25="","",VLOOKUP(C25,非_単位!$N$3:$O$34,2,FALSE))</f>
        <v/>
      </c>
      <c r="X25" s="571" t="str">
        <f>IF(C25="","",VLOOKUP(C25,非_係数!$B$5:$F$36,2,FALSE))</f>
        <v/>
      </c>
      <c r="Y25" s="572" t="str">
        <f t="shared" si="2"/>
        <v/>
      </c>
      <c r="Z25" s="573" t="str">
        <f>IF(C25="","",VLOOKUP(C25,非_係数!$B$5:$F$36,4,FALSE))</f>
        <v/>
      </c>
      <c r="AA25" s="574" t="str">
        <f t="shared" si="3"/>
        <v/>
      </c>
      <c r="AB25" s="464"/>
      <c r="AC25" s="466" t="str">
        <f t="shared" si="0"/>
        <v/>
      </c>
      <c r="AD25" s="466" t="str">
        <f>IF(G25="","",VLOOKUP(G25,非_単位補正換算!$B$3:$C$16,2,FALSE))</f>
        <v/>
      </c>
      <c r="AE25" s="466" t="str">
        <f>IF(G25="","",IF(SUMIFS(非_単位補正換算!$D$19:$D$48,非_単位補正換算!$B$19:$B$48,燃料!C25,非_単位補正換算!$C$19:$C$48,燃料!G25)=0,1,SUMIFS(非_単位補正換算!$D$19:$D$48,非_単位補正換算!$B$19:$B$48,燃料!C25,非_単位補正換算!$C$19:$C$48,燃料!G25)))</f>
        <v/>
      </c>
      <c r="AF25" s="467" t="str">
        <f t="shared" si="4"/>
        <v/>
      </c>
      <c r="AG25" s="467" t="str">
        <f t="shared" si="5"/>
        <v/>
      </c>
      <c r="AH25" s="467" t="str">
        <f t="shared" si="6"/>
        <v/>
      </c>
      <c r="AI25" s="466" t="str">
        <f>IF(C25="","",VLOOKUP(C25,非_まとめ表行番号!$B$3:$C$34,2,FALSE))</f>
        <v/>
      </c>
      <c r="AJ25" s="525" t="str">
        <f>IF(AI25="","",VLOOKUP(AI25,非_まとめ表行番号!$U$3:$V$56,2,FALSE))</f>
        <v/>
      </c>
      <c r="AK25" s="468" t="str">
        <f>IF(C25="","",VLOOKUP(C25,非_係数!$B$5:$K$36,6,FALSE))</f>
        <v/>
      </c>
      <c r="AL25" s="467" t="str">
        <f t="shared" si="7"/>
        <v/>
      </c>
      <c r="AM25" s="466" t="str">
        <f>IF(C25="","",VLOOKUP(C25,非_係数!$B$5:$K$36,7,FALSE))</f>
        <v/>
      </c>
      <c r="AN25" s="466" t="str">
        <f t="shared" si="8"/>
        <v/>
      </c>
      <c r="AO25" s="466" t="str">
        <f>IF(C25="","",VLOOKUP(C25,非_係数!$B$5:$K$36,9,FALSE))</f>
        <v/>
      </c>
      <c r="AP25" s="466" t="str">
        <f t="shared" si="9"/>
        <v/>
      </c>
      <c r="AQ25" s="466" t="str">
        <f>IF(C25="","",VLOOKUP(C25,非_まとめ表行番号!$B$3:$D$34,3,FALSE))</f>
        <v/>
      </c>
      <c r="AR25" s="466" t="str">
        <f t="shared" si="10"/>
        <v/>
      </c>
    </row>
    <row r="26" spans="1:44" ht="19.5" customHeight="1">
      <c r="A26" s="483"/>
      <c r="B26" s="519"/>
      <c r="C26" s="519"/>
      <c r="D26" s="519"/>
      <c r="E26" s="458"/>
      <c r="F26" s="519"/>
      <c r="G26" s="519"/>
      <c r="H26" s="520"/>
      <c r="I26" s="520"/>
      <c r="J26" s="520"/>
      <c r="K26" s="520"/>
      <c r="L26" s="520"/>
      <c r="M26" s="520"/>
      <c r="N26" s="520"/>
      <c r="O26" s="520"/>
      <c r="P26" s="520"/>
      <c r="Q26" s="520"/>
      <c r="R26" s="520"/>
      <c r="S26" s="520"/>
      <c r="T26" s="497"/>
      <c r="U26" s="569" t="str">
        <f t="shared" si="11"/>
        <v/>
      </c>
      <c r="V26" s="570" t="str">
        <f t="shared" si="1"/>
        <v/>
      </c>
      <c r="W26" s="521" t="str">
        <f>IF(C26="","",VLOOKUP(C26,非_単位!$N$3:$O$34,2,FALSE))</f>
        <v/>
      </c>
      <c r="X26" s="571" t="str">
        <f>IF(C26="","",VLOOKUP(C26,非_係数!$B$5:$F$36,2,FALSE))</f>
        <v/>
      </c>
      <c r="Y26" s="572" t="str">
        <f t="shared" si="2"/>
        <v/>
      </c>
      <c r="Z26" s="573" t="str">
        <f>IF(C26="","",VLOOKUP(C26,非_係数!$B$5:$F$36,4,FALSE))</f>
        <v/>
      </c>
      <c r="AA26" s="574" t="str">
        <f t="shared" si="3"/>
        <v/>
      </c>
      <c r="AB26" s="464"/>
      <c r="AC26" s="466" t="str">
        <f t="shared" si="0"/>
        <v/>
      </c>
      <c r="AD26" s="466" t="str">
        <f>IF(G26="","",VLOOKUP(G26,非_単位補正換算!$B$3:$C$16,2,FALSE))</f>
        <v/>
      </c>
      <c r="AE26" s="466" t="str">
        <f>IF(G26="","",IF(SUMIFS(非_単位補正換算!$D$19:$D$48,非_単位補正換算!$B$19:$B$48,燃料!C26,非_単位補正換算!$C$19:$C$48,燃料!G26)=0,1,SUMIFS(非_単位補正換算!$D$19:$D$48,非_単位補正換算!$B$19:$B$48,燃料!C26,非_単位補正換算!$C$19:$C$48,燃料!G26)))</f>
        <v/>
      </c>
      <c r="AF26" s="467" t="str">
        <f t="shared" si="4"/>
        <v/>
      </c>
      <c r="AG26" s="467" t="str">
        <f t="shared" si="5"/>
        <v/>
      </c>
      <c r="AH26" s="467" t="str">
        <f t="shared" si="6"/>
        <v/>
      </c>
      <c r="AI26" s="466" t="str">
        <f>IF(C26="","",VLOOKUP(C26,非_まとめ表行番号!$B$3:$C$34,2,FALSE))</f>
        <v/>
      </c>
      <c r="AJ26" s="525" t="str">
        <f>IF(AI26="","",VLOOKUP(AI26,非_まとめ表行番号!$U$3:$V$56,2,FALSE))</f>
        <v/>
      </c>
      <c r="AK26" s="468" t="str">
        <f>IF(C26="","",VLOOKUP(C26,非_係数!$B$5:$K$36,6,FALSE))</f>
        <v/>
      </c>
      <c r="AL26" s="467" t="str">
        <f t="shared" si="7"/>
        <v/>
      </c>
      <c r="AM26" s="466" t="str">
        <f>IF(C26="","",VLOOKUP(C26,非_係数!$B$5:$K$36,7,FALSE))</f>
        <v/>
      </c>
      <c r="AN26" s="466" t="str">
        <f t="shared" si="8"/>
        <v/>
      </c>
      <c r="AO26" s="466" t="str">
        <f>IF(C26="","",VLOOKUP(C26,非_係数!$B$5:$K$36,9,FALSE))</f>
        <v/>
      </c>
      <c r="AP26" s="466" t="str">
        <f t="shared" si="9"/>
        <v/>
      </c>
      <c r="AQ26" s="466" t="str">
        <f>IF(C26="","",VLOOKUP(C26,非_まとめ表行番号!$B$3:$D$34,3,FALSE))</f>
        <v/>
      </c>
      <c r="AR26" s="466" t="str">
        <f t="shared" si="10"/>
        <v/>
      </c>
    </row>
    <row r="27" spans="1:44" ht="19.5" customHeight="1">
      <c r="A27" s="483"/>
      <c r="B27" s="519"/>
      <c r="C27" s="519"/>
      <c r="D27" s="519"/>
      <c r="E27" s="458"/>
      <c r="F27" s="519"/>
      <c r="G27" s="519"/>
      <c r="H27" s="520"/>
      <c r="I27" s="520"/>
      <c r="J27" s="520"/>
      <c r="K27" s="520"/>
      <c r="L27" s="520"/>
      <c r="M27" s="520"/>
      <c r="N27" s="520"/>
      <c r="O27" s="520"/>
      <c r="P27" s="520"/>
      <c r="Q27" s="520"/>
      <c r="R27" s="520"/>
      <c r="S27" s="520"/>
      <c r="T27" s="497"/>
      <c r="U27" s="569" t="str">
        <f t="shared" si="11"/>
        <v/>
      </c>
      <c r="V27" s="570" t="str">
        <f t="shared" si="1"/>
        <v/>
      </c>
      <c r="W27" s="521" t="str">
        <f>IF(C27="","",VLOOKUP(C27,非_単位!$N$3:$O$34,2,FALSE))</f>
        <v/>
      </c>
      <c r="X27" s="571" t="str">
        <f>IF(C27="","",VLOOKUP(C27,非_係数!$B$5:$F$36,2,FALSE))</f>
        <v/>
      </c>
      <c r="Y27" s="572" t="str">
        <f t="shared" si="2"/>
        <v/>
      </c>
      <c r="Z27" s="573" t="str">
        <f>IF(C27="","",VLOOKUP(C27,非_係数!$B$5:$F$36,4,FALSE))</f>
        <v/>
      </c>
      <c r="AA27" s="574" t="str">
        <f t="shared" si="3"/>
        <v/>
      </c>
      <c r="AB27" s="464"/>
      <c r="AC27" s="466" t="str">
        <f t="shared" si="0"/>
        <v/>
      </c>
      <c r="AD27" s="466" t="str">
        <f>IF(G27="","",VLOOKUP(G27,非_単位補正換算!$B$3:$C$16,2,FALSE))</f>
        <v/>
      </c>
      <c r="AE27" s="466" t="str">
        <f>IF(G27="","",IF(SUMIFS(非_単位補正換算!$D$19:$D$48,非_単位補正換算!$B$19:$B$48,燃料!C27,非_単位補正換算!$C$19:$C$48,燃料!G27)=0,1,SUMIFS(非_単位補正換算!$D$19:$D$48,非_単位補正換算!$B$19:$B$48,燃料!C27,非_単位補正換算!$C$19:$C$48,燃料!G27)))</f>
        <v/>
      </c>
      <c r="AF27" s="467" t="str">
        <f t="shared" si="4"/>
        <v/>
      </c>
      <c r="AG27" s="467" t="str">
        <f t="shared" si="5"/>
        <v/>
      </c>
      <c r="AH27" s="467" t="str">
        <f t="shared" si="6"/>
        <v/>
      </c>
      <c r="AI27" s="466" t="str">
        <f>IF(C27="","",VLOOKUP(C27,非_まとめ表行番号!$B$3:$C$34,2,FALSE))</f>
        <v/>
      </c>
      <c r="AJ27" s="525" t="str">
        <f>IF(AI27="","",VLOOKUP(AI27,非_まとめ表行番号!$U$3:$V$56,2,FALSE))</f>
        <v/>
      </c>
      <c r="AK27" s="468" t="str">
        <f>IF(C27="","",VLOOKUP(C27,非_係数!$B$5:$K$36,6,FALSE))</f>
        <v/>
      </c>
      <c r="AL27" s="467" t="str">
        <f t="shared" si="7"/>
        <v/>
      </c>
      <c r="AM27" s="466" t="str">
        <f>IF(C27="","",VLOOKUP(C27,非_係数!$B$5:$K$36,7,FALSE))</f>
        <v/>
      </c>
      <c r="AN27" s="466" t="str">
        <f t="shared" si="8"/>
        <v/>
      </c>
      <c r="AO27" s="466" t="str">
        <f>IF(C27="","",VLOOKUP(C27,非_係数!$B$5:$K$36,9,FALSE))</f>
        <v/>
      </c>
      <c r="AP27" s="466" t="str">
        <f t="shared" si="9"/>
        <v/>
      </c>
      <c r="AQ27" s="466" t="str">
        <f>IF(C27="","",VLOOKUP(C27,非_まとめ表行番号!$B$3:$D$34,3,FALSE))</f>
        <v/>
      </c>
      <c r="AR27" s="466" t="str">
        <f t="shared" si="10"/>
        <v/>
      </c>
    </row>
    <row r="28" spans="1:44" ht="19.5" customHeight="1">
      <c r="A28" s="483"/>
      <c r="B28" s="519"/>
      <c r="C28" s="519"/>
      <c r="D28" s="519"/>
      <c r="E28" s="458"/>
      <c r="F28" s="519"/>
      <c r="G28" s="519"/>
      <c r="H28" s="520"/>
      <c r="I28" s="520"/>
      <c r="J28" s="520"/>
      <c r="K28" s="520"/>
      <c r="L28" s="520"/>
      <c r="M28" s="520"/>
      <c r="N28" s="520"/>
      <c r="O28" s="520"/>
      <c r="P28" s="520"/>
      <c r="Q28" s="520"/>
      <c r="R28" s="520"/>
      <c r="S28" s="520"/>
      <c r="T28" s="497"/>
      <c r="U28" s="569" t="str">
        <f t="shared" si="11"/>
        <v/>
      </c>
      <c r="V28" s="570" t="str">
        <f t="shared" si="1"/>
        <v/>
      </c>
      <c r="W28" s="521" t="str">
        <f>IF(C28="","",VLOOKUP(C28,非_単位!$N$3:$O$34,2,FALSE))</f>
        <v/>
      </c>
      <c r="X28" s="571" t="str">
        <f>IF(C28="","",VLOOKUP(C28,非_係数!$B$5:$F$36,2,FALSE))</f>
        <v/>
      </c>
      <c r="Y28" s="572" t="str">
        <f t="shared" si="2"/>
        <v/>
      </c>
      <c r="Z28" s="573" t="str">
        <f>IF(C28="","",VLOOKUP(C28,非_係数!$B$5:$F$36,4,FALSE))</f>
        <v/>
      </c>
      <c r="AA28" s="574" t="str">
        <f t="shared" si="3"/>
        <v/>
      </c>
      <c r="AB28" s="464"/>
      <c r="AC28" s="466" t="str">
        <f t="shared" si="0"/>
        <v/>
      </c>
      <c r="AD28" s="466" t="str">
        <f>IF(G28="","",VLOOKUP(G28,非_単位補正換算!$B$3:$C$16,2,FALSE))</f>
        <v/>
      </c>
      <c r="AE28" s="466" t="str">
        <f>IF(G28="","",IF(SUMIFS(非_単位補正換算!$D$19:$D$48,非_単位補正換算!$B$19:$B$48,燃料!C28,非_単位補正換算!$C$19:$C$48,燃料!G28)=0,1,SUMIFS(非_単位補正換算!$D$19:$D$48,非_単位補正換算!$B$19:$B$48,燃料!C28,非_単位補正換算!$C$19:$C$48,燃料!G28)))</f>
        <v/>
      </c>
      <c r="AF28" s="467" t="str">
        <f t="shared" si="4"/>
        <v/>
      </c>
      <c r="AG28" s="467" t="str">
        <f t="shared" si="5"/>
        <v/>
      </c>
      <c r="AH28" s="467" t="str">
        <f t="shared" si="6"/>
        <v/>
      </c>
      <c r="AI28" s="466" t="str">
        <f>IF(C28="","",VLOOKUP(C28,非_まとめ表行番号!$B$3:$C$34,2,FALSE))</f>
        <v/>
      </c>
      <c r="AJ28" s="525" t="str">
        <f>IF(AI28="","",VLOOKUP(AI28,非_まとめ表行番号!$U$3:$V$56,2,FALSE))</f>
        <v/>
      </c>
      <c r="AK28" s="468" t="str">
        <f>IF(C28="","",VLOOKUP(C28,非_係数!$B$5:$K$36,6,FALSE))</f>
        <v/>
      </c>
      <c r="AL28" s="467" t="str">
        <f t="shared" si="7"/>
        <v/>
      </c>
      <c r="AM28" s="466" t="str">
        <f>IF(C28="","",VLOOKUP(C28,非_係数!$B$5:$K$36,7,FALSE))</f>
        <v/>
      </c>
      <c r="AN28" s="466" t="str">
        <f t="shared" si="8"/>
        <v/>
      </c>
      <c r="AO28" s="466" t="str">
        <f>IF(C28="","",VLOOKUP(C28,非_係数!$B$5:$K$36,9,FALSE))</f>
        <v/>
      </c>
      <c r="AP28" s="466" t="str">
        <f t="shared" si="9"/>
        <v/>
      </c>
      <c r="AQ28" s="466" t="str">
        <f>IF(C28="","",VLOOKUP(C28,非_まとめ表行番号!$B$3:$D$34,3,FALSE))</f>
        <v/>
      </c>
      <c r="AR28" s="466" t="str">
        <f t="shared" si="10"/>
        <v/>
      </c>
    </row>
    <row r="29" spans="1:44" ht="19.5" customHeight="1">
      <c r="A29" s="483"/>
      <c r="B29" s="519"/>
      <c r="C29" s="519"/>
      <c r="D29" s="519"/>
      <c r="E29" s="458"/>
      <c r="F29" s="519"/>
      <c r="G29" s="519"/>
      <c r="H29" s="520"/>
      <c r="I29" s="520"/>
      <c r="J29" s="520"/>
      <c r="K29" s="520"/>
      <c r="L29" s="520"/>
      <c r="M29" s="520"/>
      <c r="N29" s="520"/>
      <c r="O29" s="520"/>
      <c r="P29" s="520"/>
      <c r="Q29" s="520"/>
      <c r="R29" s="520"/>
      <c r="S29" s="520"/>
      <c r="T29" s="497"/>
      <c r="U29" s="569" t="str">
        <f t="shared" si="11"/>
        <v/>
      </c>
      <c r="V29" s="570" t="str">
        <f t="shared" si="1"/>
        <v/>
      </c>
      <c r="W29" s="521" t="str">
        <f>IF(C29="","",VLOOKUP(C29,非_単位!$N$3:$O$34,2,FALSE))</f>
        <v/>
      </c>
      <c r="X29" s="571" t="str">
        <f>IF(C29="","",VLOOKUP(C29,非_係数!$B$5:$F$36,2,FALSE))</f>
        <v/>
      </c>
      <c r="Y29" s="572" t="str">
        <f t="shared" si="2"/>
        <v/>
      </c>
      <c r="Z29" s="573" t="str">
        <f>IF(C29="","",VLOOKUP(C29,非_係数!$B$5:$F$36,4,FALSE))</f>
        <v/>
      </c>
      <c r="AA29" s="574" t="str">
        <f t="shared" si="3"/>
        <v/>
      </c>
      <c r="AB29" s="464"/>
      <c r="AC29" s="466" t="str">
        <f t="shared" si="0"/>
        <v/>
      </c>
      <c r="AD29" s="466" t="str">
        <f>IF(G29="","",VLOOKUP(G29,非_単位補正換算!$B$3:$C$16,2,FALSE))</f>
        <v/>
      </c>
      <c r="AE29" s="466" t="str">
        <f>IF(G29="","",IF(SUMIFS(非_単位補正換算!$D$19:$D$48,非_単位補正換算!$B$19:$B$48,燃料!C29,非_単位補正換算!$C$19:$C$48,燃料!G29)=0,1,SUMIFS(非_単位補正換算!$D$19:$D$48,非_単位補正換算!$B$19:$B$48,燃料!C29,非_単位補正換算!$C$19:$C$48,燃料!G29)))</f>
        <v/>
      </c>
      <c r="AF29" s="467" t="str">
        <f t="shared" si="4"/>
        <v/>
      </c>
      <c r="AG29" s="467" t="str">
        <f t="shared" si="5"/>
        <v/>
      </c>
      <c r="AH29" s="467" t="str">
        <f t="shared" si="6"/>
        <v/>
      </c>
      <c r="AI29" s="466" t="str">
        <f>IF(C29="","",VLOOKUP(C29,非_まとめ表行番号!$B$3:$C$34,2,FALSE))</f>
        <v/>
      </c>
      <c r="AJ29" s="525" t="str">
        <f>IF(AI29="","",VLOOKUP(AI29,非_まとめ表行番号!$U$3:$V$56,2,FALSE))</f>
        <v/>
      </c>
      <c r="AK29" s="468" t="str">
        <f>IF(C29="","",VLOOKUP(C29,非_係数!$B$5:$K$36,6,FALSE))</f>
        <v/>
      </c>
      <c r="AL29" s="467" t="str">
        <f t="shared" si="7"/>
        <v/>
      </c>
      <c r="AM29" s="466" t="str">
        <f>IF(C29="","",VLOOKUP(C29,非_係数!$B$5:$K$36,7,FALSE))</f>
        <v/>
      </c>
      <c r="AN29" s="466" t="str">
        <f t="shared" si="8"/>
        <v/>
      </c>
      <c r="AO29" s="466" t="str">
        <f>IF(C29="","",VLOOKUP(C29,非_係数!$B$5:$K$36,9,FALSE))</f>
        <v/>
      </c>
      <c r="AP29" s="466" t="str">
        <f t="shared" si="9"/>
        <v/>
      </c>
      <c r="AQ29" s="466" t="str">
        <f>IF(C29="","",VLOOKUP(C29,非_まとめ表行番号!$B$3:$D$34,3,FALSE))</f>
        <v/>
      </c>
      <c r="AR29" s="466" t="str">
        <f t="shared" si="10"/>
        <v/>
      </c>
    </row>
    <row r="30" spans="1:44" ht="19.5" customHeight="1">
      <c r="A30" s="483"/>
      <c r="B30" s="519"/>
      <c r="C30" s="519"/>
      <c r="D30" s="519"/>
      <c r="E30" s="458"/>
      <c r="F30" s="519"/>
      <c r="G30" s="519"/>
      <c r="H30" s="520"/>
      <c r="I30" s="520"/>
      <c r="J30" s="520"/>
      <c r="K30" s="520"/>
      <c r="L30" s="520"/>
      <c r="M30" s="520"/>
      <c r="N30" s="520"/>
      <c r="O30" s="520"/>
      <c r="P30" s="520"/>
      <c r="Q30" s="520"/>
      <c r="R30" s="520"/>
      <c r="S30" s="520"/>
      <c r="T30" s="497"/>
      <c r="U30" s="569" t="str">
        <f t="shared" si="11"/>
        <v/>
      </c>
      <c r="V30" s="570" t="str">
        <f t="shared" si="1"/>
        <v/>
      </c>
      <c r="W30" s="521" t="str">
        <f>IF(C30="","",VLOOKUP(C30,非_単位!$N$3:$O$34,2,FALSE))</f>
        <v/>
      </c>
      <c r="X30" s="571" t="str">
        <f>IF(C30="","",VLOOKUP(C30,非_係数!$B$5:$F$36,2,FALSE))</f>
        <v/>
      </c>
      <c r="Y30" s="572" t="str">
        <f t="shared" si="2"/>
        <v/>
      </c>
      <c r="Z30" s="573" t="str">
        <f>IF(C30="","",VLOOKUP(C30,非_係数!$B$5:$F$36,4,FALSE))</f>
        <v/>
      </c>
      <c r="AA30" s="574" t="str">
        <f t="shared" si="3"/>
        <v/>
      </c>
      <c r="AB30" s="464"/>
      <c r="AC30" s="466" t="str">
        <f t="shared" si="0"/>
        <v/>
      </c>
      <c r="AD30" s="466" t="str">
        <f>IF(G30="","",VLOOKUP(G30,非_単位補正換算!$B$3:$C$16,2,FALSE))</f>
        <v/>
      </c>
      <c r="AE30" s="466" t="str">
        <f>IF(G30="","",IF(SUMIFS(非_単位補正換算!$D$19:$D$48,非_単位補正換算!$B$19:$B$48,燃料!C30,非_単位補正換算!$C$19:$C$48,燃料!G30)=0,1,SUMIFS(非_単位補正換算!$D$19:$D$48,非_単位補正換算!$B$19:$B$48,燃料!C30,非_単位補正換算!$C$19:$C$48,燃料!G30)))</f>
        <v/>
      </c>
      <c r="AF30" s="467" t="str">
        <f t="shared" si="4"/>
        <v/>
      </c>
      <c r="AG30" s="467" t="str">
        <f t="shared" si="5"/>
        <v/>
      </c>
      <c r="AH30" s="467" t="str">
        <f t="shared" si="6"/>
        <v/>
      </c>
      <c r="AI30" s="466" t="str">
        <f>IF(C30="","",VLOOKUP(C30,非_まとめ表行番号!$B$3:$C$34,2,FALSE))</f>
        <v/>
      </c>
      <c r="AJ30" s="525" t="str">
        <f>IF(AI30="","",VLOOKUP(AI30,非_まとめ表行番号!$U$3:$V$56,2,FALSE))</f>
        <v/>
      </c>
      <c r="AK30" s="468" t="str">
        <f>IF(C30="","",VLOOKUP(C30,非_係数!$B$5:$K$36,6,FALSE))</f>
        <v/>
      </c>
      <c r="AL30" s="467" t="str">
        <f t="shared" si="7"/>
        <v/>
      </c>
      <c r="AM30" s="466" t="str">
        <f>IF(C30="","",VLOOKUP(C30,非_係数!$B$5:$K$36,7,FALSE))</f>
        <v/>
      </c>
      <c r="AN30" s="466" t="str">
        <f t="shared" si="8"/>
        <v/>
      </c>
      <c r="AO30" s="466" t="str">
        <f>IF(C30="","",VLOOKUP(C30,非_係数!$B$5:$K$36,9,FALSE))</f>
        <v/>
      </c>
      <c r="AP30" s="466" t="str">
        <f t="shared" si="9"/>
        <v/>
      </c>
      <c r="AQ30" s="466" t="str">
        <f>IF(C30="","",VLOOKUP(C30,非_まとめ表行番号!$B$3:$D$34,3,FALSE))</f>
        <v/>
      </c>
      <c r="AR30" s="466" t="str">
        <f t="shared" si="10"/>
        <v/>
      </c>
    </row>
    <row r="31" spans="1:44" ht="19.5" customHeight="1">
      <c r="A31" s="483"/>
      <c r="B31" s="519"/>
      <c r="C31" s="519"/>
      <c r="D31" s="519"/>
      <c r="E31" s="458"/>
      <c r="F31" s="519"/>
      <c r="G31" s="519"/>
      <c r="H31" s="520"/>
      <c r="I31" s="520"/>
      <c r="J31" s="520"/>
      <c r="K31" s="520"/>
      <c r="L31" s="520"/>
      <c r="M31" s="520"/>
      <c r="N31" s="520"/>
      <c r="O31" s="520"/>
      <c r="P31" s="520"/>
      <c r="Q31" s="520"/>
      <c r="R31" s="520"/>
      <c r="S31" s="520"/>
      <c r="T31" s="497"/>
      <c r="U31" s="569" t="str">
        <f t="shared" si="11"/>
        <v/>
      </c>
      <c r="V31" s="570" t="str">
        <f t="shared" si="1"/>
        <v/>
      </c>
      <c r="W31" s="521" t="str">
        <f>IF(C31="","",VLOOKUP(C31,非_単位!$N$3:$O$34,2,FALSE))</f>
        <v/>
      </c>
      <c r="X31" s="571" t="str">
        <f>IF(C31="","",VLOOKUP(C31,非_係数!$B$5:$F$36,2,FALSE))</f>
        <v/>
      </c>
      <c r="Y31" s="572" t="str">
        <f t="shared" si="2"/>
        <v/>
      </c>
      <c r="Z31" s="573" t="str">
        <f>IF(C31="","",VLOOKUP(C31,非_係数!$B$5:$F$36,4,FALSE))</f>
        <v/>
      </c>
      <c r="AA31" s="574" t="str">
        <f t="shared" si="3"/>
        <v/>
      </c>
      <c r="AB31" s="464"/>
      <c r="AC31" s="466" t="str">
        <f t="shared" si="0"/>
        <v/>
      </c>
      <c r="AD31" s="466" t="str">
        <f>IF(G31="","",VLOOKUP(G31,非_単位補正換算!$B$3:$C$16,2,FALSE))</f>
        <v/>
      </c>
      <c r="AE31" s="466" t="str">
        <f>IF(G31="","",IF(SUMIFS(非_単位補正換算!$D$19:$D$48,非_単位補正換算!$B$19:$B$48,燃料!C31,非_単位補正換算!$C$19:$C$48,燃料!G31)=0,1,SUMIFS(非_単位補正換算!$D$19:$D$48,非_単位補正換算!$B$19:$B$48,燃料!C31,非_単位補正換算!$C$19:$C$48,燃料!G31)))</f>
        <v/>
      </c>
      <c r="AF31" s="467" t="str">
        <f t="shared" si="4"/>
        <v/>
      </c>
      <c r="AG31" s="467" t="str">
        <f t="shared" si="5"/>
        <v/>
      </c>
      <c r="AH31" s="467" t="str">
        <f t="shared" si="6"/>
        <v/>
      </c>
      <c r="AI31" s="466" t="str">
        <f>IF(C31="","",VLOOKUP(C31,非_まとめ表行番号!$B$3:$C$34,2,FALSE))</f>
        <v/>
      </c>
      <c r="AJ31" s="525" t="str">
        <f>IF(AI31="","",VLOOKUP(AI31,非_まとめ表行番号!$U$3:$V$56,2,FALSE))</f>
        <v/>
      </c>
      <c r="AK31" s="468" t="str">
        <f>IF(C31="","",VLOOKUP(C31,非_係数!$B$5:$K$36,6,FALSE))</f>
        <v/>
      </c>
      <c r="AL31" s="467" t="str">
        <f t="shared" si="7"/>
        <v/>
      </c>
      <c r="AM31" s="466" t="str">
        <f>IF(C31="","",VLOOKUP(C31,非_係数!$B$5:$K$36,7,FALSE))</f>
        <v/>
      </c>
      <c r="AN31" s="466" t="str">
        <f t="shared" si="8"/>
        <v/>
      </c>
      <c r="AO31" s="466" t="str">
        <f>IF(C31="","",VLOOKUP(C31,非_係数!$B$5:$K$36,9,FALSE))</f>
        <v/>
      </c>
      <c r="AP31" s="466" t="str">
        <f t="shared" si="9"/>
        <v/>
      </c>
      <c r="AQ31" s="466" t="str">
        <f>IF(C31="","",VLOOKUP(C31,非_まとめ表行番号!$B$3:$D$34,3,FALSE))</f>
        <v/>
      </c>
      <c r="AR31" s="466" t="str">
        <f t="shared" si="10"/>
        <v/>
      </c>
    </row>
    <row r="32" spans="1:44" ht="19.5" customHeight="1">
      <c r="A32" s="483"/>
      <c r="B32" s="519"/>
      <c r="C32" s="519"/>
      <c r="D32" s="519"/>
      <c r="E32" s="458"/>
      <c r="F32" s="519"/>
      <c r="G32" s="519"/>
      <c r="H32" s="520"/>
      <c r="I32" s="520"/>
      <c r="J32" s="520"/>
      <c r="K32" s="520"/>
      <c r="L32" s="520"/>
      <c r="M32" s="520"/>
      <c r="N32" s="520"/>
      <c r="O32" s="520"/>
      <c r="P32" s="520"/>
      <c r="Q32" s="520"/>
      <c r="R32" s="520"/>
      <c r="S32" s="520"/>
      <c r="T32" s="497"/>
      <c r="U32" s="569" t="str">
        <f t="shared" si="11"/>
        <v/>
      </c>
      <c r="V32" s="570" t="str">
        <f t="shared" si="1"/>
        <v/>
      </c>
      <c r="W32" s="521" t="str">
        <f>IF(C32="","",VLOOKUP(C32,非_単位!$N$3:$O$34,2,FALSE))</f>
        <v/>
      </c>
      <c r="X32" s="571" t="str">
        <f>IF(C32="","",VLOOKUP(C32,非_係数!$B$5:$F$36,2,FALSE))</f>
        <v/>
      </c>
      <c r="Y32" s="572" t="str">
        <f t="shared" si="2"/>
        <v/>
      </c>
      <c r="Z32" s="573" t="str">
        <f>IF(C32="","",VLOOKUP(C32,非_係数!$B$5:$F$36,4,FALSE))</f>
        <v/>
      </c>
      <c r="AA32" s="574" t="str">
        <f t="shared" si="3"/>
        <v/>
      </c>
      <c r="AB32" s="464"/>
      <c r="AC32" s="466" t="str">
        <f t="shared" si="0"/>
        <v/>
      </c>
      <c r="AD32" s="466" t="str">
        <f>IF(G32="","",VLOOKUP(G32,非_単位補正換算!$B$3:$C$16,2,FALSE))</f>
        <v/>
      </c>
      <c r="AE32" s="466" t="str">
        <f>IF(G32="","",IF(SUMIFS(非_単位補正換算!$D$19:$D$48,非_単位補正換算!$B$19:$B$48,燃料!C32,非_単位補正換算!$C$19:$C$48,燃料!G32)=0,1,SUMIFS(非_単位補正換算!$D$19:$D$48,非_単位補正換算!$B$19:$B$48,燃料!C32,非_単位補正換算!$C$19:$C$48,燃料!G32)))</f>
        <v/>
      </c>
      <c r="AF32" s="467" t="str">
        <f t="shared" si="4"/>
        <v/>
      </c>
      <c r="AG32" s="467" t="str">
        <f t="shared" si="5"/>
        <v/>
      </c>
      <c r="AH32" s="467" t="str">
        <f t="shared" si="6"/>
        <v/>
      </c>
      <c r="AI32" s="466" t="str">
        <f>IF(C32="","",VLOOKUP(C32,非_まとめ表行番号!$B$3:$C$34,2,FALSE))</f>
        <v/>
      </c>
      <c r="AJ32" s="525" t="str">
        <f>IF(AI32="","",VLOOKUP(AI32,非_まとめ表行番号!$U$3:$V$56,2,FALSE))</f>
        <v/>
      </c>
      <c r="AK32" s="468" t="str">
        <f>IF(C32="","",VLOOKUP(C32,非_係数!$B$5:$K$36,6,FALSE))</f>
        <v/>
      </c>
      <c r="AL32" s="467" t="str">
        <f t="shared" si="7"/>
        <v/>
      </c>
      <c r="AM32" s="466" t="str">
        <f>IF(C32="","",VLOOKUP(C32,非_係数!$B$5:$K$36,7,FALSE))</f>
        <v/>
      </c>
      <c r="AN32" s="466" t="str">
        <f t="shared" si="8"/>
        <v/>
      </c>
      <c r="AO32" s="466" t="str">
        <f>IF(C32="","",VLOOKUP(C32,非_係数!$B$5:$K$36,9,FALSE))</f>
        <v/>
      </c>
      <c r="AP32" s="466" t="str">
        <f t="shared" si="9"/>
        <v/>
      </c>
      <c r="AQ32" s="466" t="str">
        <f>IF(C32="","",VLOOKUP(C32,非_まとめ表行番号!$B$3:$D$34,3,FALSE))</f>
        <v/>
      </c>
      <c r="AR32" s="466" t="str">
        <f t="shared" si="10"/>
        <v/>
      </c>
    </row>
    <row r="33" spans="1:44" ht="19.5" customHeight="1">
      <c r="A33" s="483"/>
      <c r="B33" s="519"/>
      <c r="C33" s="519"/>
      <c r="D33" s="519"/>
      <c r="E33" s="458"/>
      <c r="F33" s="519"/>
      <c r="G33" s="519"/>
      <c r="H33" s="520"/>
      <c r="I33" s="520"/>
      <c r="J33" s="520"/>
      <c r="K33" s="520"/>
      <c r="L33" s="520"/>
      <c r="M33" s="520"/>
      <c r="N33" s="520"/>
      <c r="O33" s="520"/>
      <c r="P33" s="520"/>
      <c r="Q33" s="520"/>
      <c r="R33" s="520"/>
      <c r="S33" s="520"/>
      <c r="T33" s="497"/>
      <c r="U33" s="569" t="str">
        <f t="shared" si="11"/>
        <v/>
      </c>
      <c r="V33" s="570" t="str">
        <f t="shared" si="1"/>
        <v/>
      </c>
      <c r="W33" s="521" t="str">
        <f>IF(C33="","",VLOOKUP(C33,非_単位!$N$3:$O$34,2,FALSE))</f>
        <v/>
      </c>
      <c r="X33" s="571" t="str">
        <f>IF(C33="","",VLOOKUP(C33,非_係数!$B$5:$F$36,2,FALSE))</f>
        <v/>
      </c>
      <c r="Y33" s="572" t="str">
        <f t="shared" si="2"/>
        <v/>
      </c>
      <c r="Z33" s="573" t="str">
        <f>IF(C33="","",VLOOKUP(C33,非_係数!$B$5:$F$36,4,FALSE))</f>
        <v/>
      </c>
      <c r="AA33" s="574" t="str">
        <f t="shared" si="3"/>
        <v/>
      </c>
      <c r="AB33" s="464"/>
      <c r="AC33" s="466" t="str">
        <f t="shared" si="0"/>
        <v/>
      </c>
      <c r="AD33" s="466" t="str">
        <f>IF(G33="","",VLOOKUP(G33,非_単位補正換算!$B$3:$C$16,2,FALSE))</f>
        <v/>
      </c>
      <c r="AE33" s="466" t="str">
        <f>IF(G33="","",IF(SUMIFS(非_単位補正換算!$D$19:$D$48,非_単位補正換算!$B$19:$B$48,燃料!C33,非_単位補正換算!$C$19:$C$48,燃料!G33)=0,1,SUMIFS(非_単位補正換算!$D$19:$D$48,非_単位補正換算!$B$19:$B$48,燃料!C33,非_単位補正換算!$C$19:$C$48,燃料!G33)))</f>
        <v/>
      </c>
      <c r="AF33" s="467" t="str">
        <f t="shared" si="4"/>
        <v/>
      </c>
      <c r="AG33" s="467" t="str">
        <f t="shared" si="5"/>
        <v/>
      </c>
      <c r="AH33" s="467" t="str">
        <f t="shared" si="6"/>
        <v/>
      </c>
      <c r="AI33" s="466" t="str">
        <f>IF(C33="","",VLOOKUP(C33,非_まとめ表行番号!$B$3:$C$34,2,FALSE))</f>
        <v/>
      </c>
      <c r="AJ33" s="525" t="str">
        <f>IF(AI33="","",VLOOKUP(AI33,非_まとめ表行番号!$U$3:$V$56,2,FALSE))</f>
        <v/>
      </c>
      <c r="AK33" s="468" t="str">
        <f>IF(C33="","",VLOOKUP(C33,非_係数!$B$5:$K$36,6,FALSE))</f>
        <v/>
      </c>
      <c r="AL33" s="467" t="str">
        <f t="shared" si="7"/>
        <v/>
      </c>
      <c r="AM33" s="466" t="str">
        <f>IF(C33="","",VLOOKUP(C33,非_係数!$B$5:$K$36,7,FALSE))</f>
        <v/>
      </c>
      <c r="AN33" s="466" t="str">
        <f t="shared" si="8"/>
        <v/>
      </c>
      <c r="AO33" s="466" t="str">
        <f>IF(C33="","",VLOOKUP(C33,非_係数!$B$5:$K$36,9,FALSE))</f>
        <v/>
      </c>
      <c r="AP33" s="466" t="str">
        <f t="shared" si="9"/>
        <v/>
      </c>
      <c r="AQ33" s="466" t="str">
        <f>IF(C33="","",VLOOKUP(C33,非_まとめ表行番号!$B$3:$D$34,3,FALSE))</f>
        <v/>
      </c>
      <c r="AR33" s="466" t="str">
        <f t="shared" si="10"/>
        <v/>
      </c>
    </row>
    <row r="34" spans="1:44" ht="19.5" customHeight="1">
      <c r="A34" s="483"/>
      <c r="B34" s="519"/>
      <c r="C34" s="519"/>
      <c r="D34" s="519"/>
      <c r="E34" s="458"/>
      <c r="F34" s="519"/>
      <c r="G34" s="519"/>
      <c r="H34" s="520"/>
      <c r="I34" s="520"/>
      <c r="J34" s="520"/>
      <c r="K34" s="520"/>
      <c r="L34" s="520"/>
      <c r="M34" s="520"/>
      <c r="N34" s="520"/>
      <c r="O34" s="520"/>
      <c r="P34" s="520"/>
      <c r="Q34" s="520"/>
      <c r="R34" s="520"/>
      <c r="S34" s="520"/>
      <c r="T34" s="497"/>
      <c r="U34" s="569" t="str">
        <f t="shared" si="11"/>
        <v/>
      </c>
      <c r="V34" s="570" t="str">
        <f t="shared" si="1"/>
        <v/>
      </c>
      <c r="W34" s="521" t="str">
        <f>IF(C34="","",VLOOKUP(C34,非_単位!$N$3:$O$34,2,FALSE))</f>
        <v/>
      </c>
      <c r="X34" s="571" t="str">
        <f>IF(C34="","",VLOOKUP(C34,非_係数!$B$5:$F$36,2,FALSE))</f>
        <v/>
      </c>
      <c r="Y34" s="572" t="str">
        <f t="shared" si="2"/>
        <v/>
      </c>
      <c r="Z34" s="573" t="str">
        <f>IF(C34="","",VLOOKUP(C34,非_係数!$B$5:$F$36,4,FALSE))</f>
        <v/>
      </c>
      <c r="AA34" s="574" t="str">
        <f t="shared" si="3"/>
        <v/>
      </c>
      <c r="AB34" s="464"/>
      <c r="AC34" s="466" t="str">
        <f t="shared" si="0"/>
        <v/>
      </c>
      <c r="AD34" s="466" t="str">
        <f>IF(G34="","",VLOOKUP(G34,非_単位補正換算!$B$3:$C$16,2,FALSE))</f>
        <v/>
      </c>
      <c r="AE34" s="466" t="str">
        <f>IF(G34="","",IF(SUMIFS(非_単位補正換算!$D$19:$D$48,非_単位補正換算!$B$19:$B$48,燃料!C34,非_単位補正換算!$C$19:$C$48,燃料!G34)=0,1,SUMIFS(非_単位補正換算!$D$19:$D$48,非_単位補正換算!$B$19:$B$48,燃料!C34,非_単位補正換算!$C$19:$C$48,燃料!G34)))</f>
        <v/>
      </c>
      <c r="AF34" s="467" t="str">
        <f t="shared" si="4"/>
        <v/>
      </c>
      <c r="AG34" s="467" t="str">
        <f t="shared" si="5"/>
        <v/>
      </c>
      <c r="AH34" s="467" t="str">
        <f t="shared" si="6"/>
        <v/>
      </c>
      <c r="AI34" s="466" t="str">
        <f>IF(C34="","",VLOOKUP(C34,非_まとめ表行番号!$B$3:$C$34,2,FALSE))</f>
        <v/>
      </c>
      <c r="AJ34" s="525" t="str">
        <f>IF(AI34="","",VLOOKUP(AI34,非_まとめ表行番号!$U$3:$V$56,2,FALSE))</f>
        <v/>
      </c>
      <c r="AK34" s="468" t="str">
        <f>IF(C34="","",VLOOKUP(C34,非_係数!$B$5:$K$36,6,FALSE))</f>
        <v/>
      </c>
      <c r="AL34" s="467" t="str">
        <f t="shared" si="7"/>
        <v/>
      </c>
      <c r="AM34" s="466" t="str">
        <f>IF(C34="","",VLOOKUP(C34,非_係数!$B$5:$K$36,7,FALSE))</f>
        <v/>
      </c>
      <c r="AN34" s="466" t="str">
        <f t="shared" si="8"/>
        <v/>
      </c>
      <c r="AO34" s="466" t="str">
        <f>IF(C34="","",VLOOKUP(C34,非_係数!$B$5:$K$36,9,FALSE))</f>
        <v/>
      </c>
      <c r="AP34" s="466" t="str">
        <f t="shared" si="9"/>
        <v/>
      </c>
      <c r="AQ34" s="466" t="str">
        <f>IF(C34="","",VLOOKUP(C34,非_まとめ表行番号!$B$3:$D$34,3,FALSE))</f>
        <v/>
      </c>
      <c r="AR34" s="466" t="str">
        <f t="shared" si="10"/>
        <v/>
      </c>
    </row>
    <row r="35" spans="1:44" ht="19.5" customHeight="1">
      <c r="A35" s="483"/>
      <c r="B35" s="519"/>
      <c r="C35" s="519"/>
      <c r="D35" s="519"/>
      <c r="E35" s="458"/>
      <c r="F35" s="519"/>
      <c r="G35" s="519"/>
      <c r="H35" s="520"/>
      <c r="I35" s="520"/>
      <c r="J35" s="520"/>
      <c r="K35" s="520"/>
      <c r="L35" s="520"/>
      <c r="M35" s="520"/>
      <c r="N35" s="520"/>
      <c r="O35" s="520"/>
      <c r="P35" s="520"/>
      <c r="Q35" s="520"/>
      <c r="R35" s="520"/>
      <c r="S35" s="520"/>
      <c r="T35" s="497"/>
      <c r="U35" s="569" t="str">
        <f t="shared" si="11"/>
        <v/>
      </c>
      <c r="V35" s="570" t="str">
        <f t="shared" si="1"/>
        <v/>
      </c>
      <c r="W35" s="521" t="str">
        <f>IF(C35="","",VLOOKUP(C35,非_単位!$N$3:$O$34,2,FALSE))</f>
        <v/>
      </c>
      <c r="X35" s="571" t="str">
        <f>IF(C35="","",VLOOKUP(C35,非_係数!$B$5:$F$36,2,FALSE))</f>
        <v/>
      </c>
      <c r="Y35" s="572" t="str">
        <f t="shared" si="2"/>
        <v/>
      </c>
      <c r="Z35" s="573" t="str">
        <f>IF(C35="","",VLOOKUP(C35,非_係数!$B$5:$F$36,4,FALSE))</f>
        <v/>
      </c>
      <c r="AA35" s="574" t="str">
        <f t="shared" si="3"/>
        <v/>
      </c>
      <c r="AB35" s="464"/>
      <c r="AC35" s="466" t="str">
        <f t="shared" si="0"/>
        <v/>
      </c>
      <c r="AD35" s="466" t="str">
        <f>IF(G35="","",VLOOKUP(G35,非_単位補正換算!$B$3:$C$16,2,FALSE))</f>
        <v/>
      </c>
      <c r="AE35" s="466" t="str">
        <f>IF(G35="","",IF(SUMIFS(非_単位補正換算!$D$19:$D$48,非_単位補正換算!$B$19:$B$48,燃料!C35,非_単位補正換算!$C$19:$C$48,燃料!G35)=0,1,SUMIFS(非_単位補正換算!$D$19:$D$48,非_単位補正換算!$B$19:$B$48,燃料!C35,非_単位補正換算!$C$19:$C$48,燃料!G35)))</f>
        <v/>
      </c>
      <c r="AF35" s="467" t="str">
        <f t="shared" si="4"/>
        <v/>
      </c>
      <c r="AG35" s="467" t="str">
        <f t="shared" si="5"/>
        <v/>
      </c>
      <c r="AH35" s="467" t="str">
        <f t="shared" si="6"/>
        <v/>
      </c>
      <c r="AI35" s="466" t="str">
        <f>IF(C35="","",VLOOKUP(C35,非_まとめ表行番号!$B$3:$C$34,2,FALSE))</f>
        <v/>
      </c>
      <c r="AJ35" s="525" t="str">
        <f>IF(AI35="","",VLOOKUP(AI35,非_まとめ表行番号!$U$3:$V$56,2,FALSE))</f>
        <v/>
      </c>
      <c r="AK35" s="468" t="str">
        <f>IF(C35="","",VLOOKUP(C35,非_係数!$B$5:$K$36,6,FALSE))</f>
        <v/>
      </c>
      <c r="AL35" s="467" t="str">
        <f t="shared" si="7"/>
        <v/>
      </c>
      <c r="AM35" s="466" t="str">
        <f>IF(C35="","",VLOOKUP(C35,非_係数!$B$5:$K$36,7,FALSE))</f>
        <v/>
      </c>
      <c r="AN35" s="466" t="str">
        <f t="shared" si="8"/>
        <v/>
      </c>
      <c r="AO35" s="466" t="str">
        <f>IF(C35="","",VLOOKUP(C35,非_係数!$B$5:$K$36,9,FALSE))</f>
        <v/>
      </c>
      <c r="AP35" s="466" t="str">
        <f t="shared" si="9"/>
        <v/>
      </c>
      <c r="AQ35" s="466" t="str">
        <f>IF(C35="","",VLOOKUP(C35,非_まとめ表行番号!$B$3:$D$34,3,FALSE))</f>
        <v/>
      </c>
      <c r="AR35" s="466" t="str">
        <f t="shared" si="10"/>
        <v/>
      </c>
    </row>
    <row r="36" spans="1:44" ht="19.5" customHeight="1">
      <c r="A36" s="483"/>
      <c r="B36" s="519"/>
      <c r="C36" s="519"/>
      <c r="D36" s="519"/>
      <c r="E36" s="458"/>
      <c r="F36" s="519"/>
      <c r="G36" s="519"/>
      <c r="H36" s="520"/>
      <c r="I36" s="520"/>
      <c r="J36" s="520"/>
      <c r="K36" s="520"/>
      <c r="L36" s="520"/>
      <c r="M36" s="520"/>
      <c r="N36" s="520"/>
      <c r="O36" s="520"/>
      <c r="P36" s="520"/>
      <c r="Q36" s="520"/>
      <c r="R36" s="520"/>
      <c r="S36" s="520"/>
      <c r="T36" s="497"/>
      <c r="U36" s="569" t="str">
        <f t="shared" si="11"/>
        <v/>
      </c>
      <c r="V36" s="570" t="str">
        <f t="shared" si="1"/>
        <v/>
      </c>
      <c r="W36" s="521" t="str">
        <f>IF(C36="","",VLOOKUP(C36,非_単位!$N$3:$O$34,2,FALSE))</f>
        <v/>
      </c>
      <c r="X36" s="571" t="str">
        <f>IF(C36="","",VLOOKUP(C36,非_係数!$B$5:$F$36,2,FALSE))</f>
        <v/>
      </c>
      <c r="Y36" s="572" t="str">
        <f t="shared" si="2"/>
        <v/>
      </c>
      <c r="Z36" s="573" t="str">
        <f>IF(C36="","",VLOOKUP(C36,非_係数!$B$5:$F$36,4,FALSE))</f>
        <v/>
      </c>
      <c r="AA36" s="574" t="str">
        <f t="shared" si="3"/>
        <v/>
      </c>
      <c r="AB36" s="464"/>
      <c r="AC36" s="466" t="str">
        <f t="shared" si="0"/>
        <v/>
      </c>
      <c r="AD36" s="466" t="str">
        <f>IF(G36="","",VLOOKUP(G36,非_単位補正換算!$B$3:$C$16,2,FALSE))</f>
        <v/>
      </c>
      <c r="AE36" s="466" t="str">
        <f>IF(G36="","",IF(SUMIFS(非_単位補正換算!$D$19:$D$48,非_単位補正換算!$B$19:$B$48,燃料!C36,非_単位補正換算!$C$19:$C$48,燃料!G36)=0,1,SUMIFS(非_単位補正換算!$D$19:$D$48,非_単位補正換算!$B$19:$B$48,燃料!C36,非_単位補正換算!$C$19:$C$48,燃料!G36)))</f>
        <v/>
      </c>
      <c r="AF36" s="467" t="str">
        <f t="shared" si="4"/>
        <v/>
      </c>
      <c r="AG36" s="467" t="str">
        <f t="shared" si="5"/>
        <v/>
      </c>
      <c r="AH36" s="467" t="str">
        <f t="shared" si="6"/>
        <v/>
      </c>
      <c r="AI36" s="466" t="str">
        <f>IF(C36="","",VLOOKUP(C36,非_まとめ表行番号!$B$3:$C$34,2,FALSE))</f>
        <v/>
      </c>
      <c r="AJ36" s="525" t="str">
        <f>IF(AI36="","",VLOOKUP(AI36,非_まとめ表行番号!$U$3:$V$56,2,FALSE))</f>
        <v/>
      </c>
      <c r="AK36" s="468" t="str">
        <f>IF(C36="","",VLOOKUP(C36,非_係数!$B$5:$K$36,6,FALSE))</f>
        <v/>
      </c>
      <c r="AL36" s="467" t="str">
        <f t="shared" si="7"/>
        <v/>
      </c>
      <c r="AM36" s="466" t="str">
        <f>IF(C36="","",VLOOKUP(C36,非_係数!$B$5:$K$36,7,FALSE))</f>
        <v/>
      </c>
      <c r="AN36" s="466" t="str">
        <f t="shared" si="8"/>
        <v/>
      </c>
      <c r="AO36" s="466" t="str">
        <f>IF(C36="","",VLOOKUP(C36,非_係数!$B$5:$K$36,9,FALSE))</f>
        <v/>
      </c>
      <c r="AP36" s="466" t="str">
        <f t="shared" si="9"/>
        <v/>
      </c>
      <c r="AQ36" s="466" t="str">
        <f>IF(C36="","",VLOOKUP(C36,非_まとめ表行番号!$B$3:$D$34,3,FALSE))</f>
        <v/>
      </c>
      <c r="AR36" s="466" t="str">
        <f t="shared" si="10"/>
        <v/>
      </c>
    </row>
    <row r="37" spans="1:44" ht="19.5" customHeight="1">
      <c r="A37" s="483"/>
      <c r="B37" s="519"/>
      <c r="C37" s="519"/>
      <c r="D37" s="519"/>
      <c r="E37" s="458"/>
      <c r="F37" s="519"/>
      <c r="G37" s="519"/>
      <c r="H37" s="520"/>
      <c r="I37" s="520"/>
      <c r="J37" s="520"/>
      <c r="K37" s="520"/>
      <c r="L37" s="520"/>
      <c r="M37" s="520"/>
      <c r="N37" s="520"/>
      <c r="O37" s="520"/>
      <c r="P37" s="520"/>
      <c r="Q37" s="520"/>
      <c r="R37" s="520"/>
      <c r="S37" s="520"/>
      <c r="T37" s="497"/>
      <c r="U37" s="569" t="str">
        <f t="shared" si="11"/>
        <v/>
      </c>
      <c r="V37" s="570" t="str">
        <f t="shared" si="1"/>
        <v/>
      </c>
      <c r="W37" s="521" t="str">
        <f>IF(C37="","",VLOOKUP(C37,非_単位!$N$3:$O$34,2,FALSE))</f>
        <v/>
      </c>
      <c r="X37" s="571" t="str">
        <f>IF(C37="","",VLOOKUP(C37,非_係数!$B$5:$F$36,2,FALSE))</f>
        <v/>
      </c>
      <c r="Y37" s="572" t="str">
        <f t="shared" si="2"/>
        <v/>
      </c>
      <c r="Z37" s="573" t="str">
        <f>IF(C37="","",VLOOKUP(C37,非_係数!$B$5:$F$36,4,FALSE))</f>
        <v/>
      </c>
      <c r="AA37" s="574" t="str">
        <f t="shared" si="3"/>
        <v/>
      </c>
      <c r="AB37" s="464"/>
      <c r="AC37" s="466" t="str">
        <f t="shared" si="0"/>
        <v/>
      </c>
      <c r="AD37" s="466" t="str">
        <f>IF(G37="","",VLOOKUP(G37,非_単位補正換算!$B$3:$C$16,2,FALSE))</f>
        <v/>
      </c>
      <c r="AE37" s="466" t="str">
        <f>IF(G37="","",IF(SUMIFS(非_単位補正換算!$D$19:$D$48,非_単位補正換算!$B$19:$B$48,燃料!C37,非_単位補正換算!$C$19:$C$48,燃料!G37)=0,1,SUMIFS(非_単位補正換算!$D$19:$D$48,非_単位補正換算!$B$19:$B$48,燃料!C37,非_単位補正換算!$C$19:$C$48,燃料!G37)))</f>
        <v/>
      </c>
      <c r="AF37" s="467" t="str">
        <f t="shared" si="4"/>
        <v/>
      </c>
      <c r="AG37" s="467" t="str">
        <f t="shared" si="5"/>
        <v/>
      </c>
      <c r="AH37" s="467" t="str">
        <f t="shared" si="6"/>
        <v/>
      </c>
      <c r="AI37" s="466" t="str">
        <f>IF(C37="","",VLOOKUP(C37,非_まとめ表行番号!$B$3:$C$34,2,FALSE))</f>
        <v/>
      </c>
      <c r="AJ37" s="525" t="str">
        <f>IF(AI37="","",VLOOKUP(AI37,非_まとめ表行番号!$U$3:$V$56,2,FALSE))</f>
        <v/>
      </c>
      <c r="AK37" s="468" t="str">
        <f>IF(C37="","",VLOOKUP(C37,非_係数!$B$5:$K$36,6,FALSE))</f>
        <v/>
      </c>
      <c r="AL37" s="467" t="str">
        <f t="shared" si="7"/>
        <v/>
      </c>
      <c r="AM37" s="466" t="str">
        <f>IF(C37="","",VLOOKUP(C37,非_係数!$B$5:$K$36,7,FALSE))</f>
        <v/>
      </c>
      <c r="AN37" s="466" t="str">
        <f t="shared" si="8"/>
        <v/>
      </c>
      <c r="AO37" s="466" t="str">
        <f>IF(C37="","",VLOOKUP(C37,非_係数!$B$5:$K$36,9,FALSE))</f>
        <v/>
      </c>
      <c r="AP37" s="466" t="str">
        <f t="shared" si="9"/>
        <v/>
      </c>
      <c r="AQ37" s="466" t="str">
        <f>IF(C37="","",VLOOKUP(C37,非_まとめ表行番号!$B$3:$D$34,3,FALSE))</f>
        <v/>
      </c>
      <c r="AR37" s="466" t="str">
        <f t="shared" si="10"/>
        <v/>
      </c>
    </row>
    <row r="38" spans="1:44" ht="19.5" customHeight="1">
      <c r="A38" s="483"/>
      <c r="B38" s="519"/>
      <c r="C38" s="519"/>
      <c r="D38" s="519"/>
      <c r="E38" s="458"/>
      <c r="F38" s="519"/>
      <c r="G38" s="519"/>
      <c r="H38" s="520"/>
      <c r="I38" s="520"/>
      <c r="J38" s="520"/>
      <c r="K38" s="520"/>
      <c r="L38" s="520"/>
      <c r="M38" s="520"/>
      <c r="N38" s="520"/>
      <c r="O38" s="520"/>
      <c r="P38" s="520"/>
      <c r="Q38" s="520"/>
      <c r="R38" s="520"/>
      <c r="S38" s="520"/>
      <c r="T38" s="497"/>
      <c r="U38" s="569" t="str">
        <f t="shared" si="11"/>
        <v/>
      </c>
      <c r="V38" s="570" t="str">
        <f t="shared" si="1"/>
        <v/>
      </c>
      <c r="W38" s="521" t="str">
        <f>IF(C38="","",VLOOKUP(C38,非_単位!$N$3:$O$34,2,FALSE))</f>
        <v/>
      </c>
      <c r="X38" s="571" t="str">
        <f>IF(C38="","",VLOOKUP(C38,非_係数!$B$5:$F$36,2,FALSE))</f>
        <v/>
      </c>
      <c r="Y38" s="572" t="str">
        <f t="shared" si="2"/>
        <v/>
      </c>
      <c r="Z38" s="573" t="str">
        <f>IF(C38="","",VLOOKUP(C38,非_係数!$B$5:$F$36,4,FALSE))</f>
        <v/>
      </c>
      <c r="AA38" s="574" t="str">
        <f t="shared" si="3"/>
        <v/>
      </c>
      <c r="AB38" s="464"/>
      <c r="AC38" s="466" t="str">
        <f t="shared" si="0"/>
        <v/>
      </c>
      <c r="AD38" s="466" t="str">
        <f>IF(G38="","",VLOOKUP(G38,非_単位補正換算!$B$3:$C$16,2,FALSE))</f>
        <v/>
      </c>
      <c r="AE38" s="466" t="str">
        <f>IF(G38="","",IF(SUMIFS(非_単位補正換算!$D$19:$D$48,非_単位補正換算!$B$19:$B$48,燃料!C38,非_単位補正換算!$C$19:$C$48,燃料!G38)=0,1,SUMIFS(非_単位補正換算!$D$19:$D$48,非_単位補正換算!$B$19:$B$48,燃料!C38,非_単位補正換算!$C$19:$C$48,燃料!G38)))</f>
        <v/>
      </c>
      <c r="AF38" s="467" t="str">
        <f t="shared" si="4"/>
        <v/>
      </c>
      <c r="AG38" s="467" t="str">
        <f t="shared" si="5"/>
        <v/>
      </c>
      <c r="AH38" s="467" t="str">
        <f t="shared" si="6"/>
        <v/>
      </c>
      <c r="AI38" s="466" t="str">
        <f>IF(C38="","",VLOOKUP(C38,非_まとめ表行番号!$B$3:$C$34,2,FALSE))</f>
        <v/>
      </c>
      <c r="AJ38" s="525" t="str">
        <f>IF(AI38="","",VLOOKUP(AI38,非_まとめ表行番号!$U$3:$V$56,2,FALSE))</f>
        <v/>
      </c>
      <c r="AK38" s="468" t="str">
        <f>IF(C38="","",VLOOKUP(C38,非_係数!$B$5:$K$36,6,FALSE))</f>
        <v/>
      </c>
      <c r="AL38" s="467" t="str">
        <f t="shared" si="7"/>
        <v/>
      </c>
      <c r="AM38" s="466" t="str">
        <f>IF(C38="","",VLOOKUP(C38,非_係数!$B$5:$K$36,7,FALSE))</f>
        <v/>
      </c>
      <c r="AN38" s="466" t="str">
        <f t="shared" si="8"/>
        <v/>
      </c>
      <c r="AO38" s="466" t="str">
        <f>IF(C38="","",VLOOKUP(C38,非_係数!$B$5:$K$36,9,FALSE))</f>
        <v/>
      </c>
      <c r="AP38" s="466" t="str">
        <f t="shared" si="9"/>
        <v/>
      </c>
      <c r="AQ38" s="466" t="str">
        <f>IF(C38="","",VLOOKUP(C38,非_まとめ表行番号!$B$3:$D$34,3,FALSE))</f>
        <v/>
      </c>
      <c r="AR38" s="466" t="str">
        <f t="shared" si="10"/>
        <v/>
      </c>
    </row>
    <row r="39" spans="1:44" ht="19.5" customHeight="1">
      <c r="A39" s="483"/>
      <c r="B39" s="519"/>
      <c r="C39" s="519"/>
      <c r="D39" s="519"/>
      <c r="E39" s="458"/>
      <c r="F39" s="519"/>
      <c r="G39" s="519"/>
      <c r="H39" s="520"/>
      <c r="I39" s="520"/>
      <c r="J39" s="520"/>
      <c r="K39" s="520"/>
      <c r="L39" s="520"/>
      <c r="M39" s="520"/>
      <c r="N39" s="520"/>
      <c r="O39" s="520"/>
      <c r="P39" s="520"/>
      <c r="Q39" s="520"/>
      <c r="R39" s="520"/>
      <c r="S39" s="520"/>
      <c r="T39" s="497"/>
      <c r="U39" s="569" t="str">
        <f t="shared" si="11"/>
        <v/>
      </c>
      <c r="V39" s="570" t="str">
        <f t="shared" si="1"/>
        <v/>
      </c>
      <c r="W39" s="521" t="str">
        <f>IF(C39="","",VLOOKUP(C39,非_単位!$N$3:$O$34,2,FALSE))</f>
        <v/>
      </c>
      <c r="X39" s="571" t="str">
        <f>IF(C39="","",VLOOKUP(C39,非_係数!$B$5:$F$36,2,FALSE))</f>
        <v/>
      </c>
      <c r="Y39" s="572" t="str">
        <f t="shared" si="2"/>
        <v/>
      </c>
      <c r="Z39" s="573" t="str">
        <f>IF(C39="","",VLOOKUP(C39,非_係数!$B$5:$F$36,4,FALSE))</f>
        <v/>
      </c>
      <c r="AA39" s="574" t="str">
        <f t="shared" si="3"/>
        <v/>
      </c>
      <c r="AB39" s="464"/>
      <c r="AC39" s="466" t="str">
        <f t="shared" si="0"/>
        <v/>
      </c>
      <c r="AD39" s="466" t="str">
        <f>IF(G39="","",VLOOKUP(G39,非_単位補正換算!$B$3:$C$16,2,FALSE))</f>
        <v/>
      </c>
      <c r="AE39" s="466" t="str">
        <f>IF(G39="","",IF(SUMIFS(非_単位補正換算!$D$19:$D$48,非_単位補正換算!$B$19:$B$48,燃料!C39,非_単位補正換算!$C$19:$C$48,燃料!G39)=0,1,SUMIFS(非_単位補正換算!$D$19:$D$48,非_単位補正換算!$B$19:$B$48,燃料!C39,非_単位補正換算!$C$19:$C$48,燃料!G39)))</f>
        <v/>
      </c>
      <c r="AF39" s="467" t="str">
        <f t="shared" si="4"/>
        <v/>
      </c>
      <c r="AG39" s="467" t="str">
        <f t="shared" si="5"/>
        <v/>
      </c>
      <c r="AH39" s="467" t="str">
        <f t="shared" si="6"/>
        <v/>
      </c>
      <c r="AI39" s="466" t="str">
        <f>IF(C39="","",VLOOKUP(C39,非_まとめ表行番号!$B$3:$C$34,2,FALSE))</f>
        <v/>
      </c>
      <c r="AJ39" s="525" t="str">
        <f>IF(AI39="","",VLOOKUP(AI39,非_まとめ表行番号!$U$3:$V$56,2,FALSE))</f>
        <v/>
      </c>
      <c r="AK39" s="468" t="str">
        <f>IF(C39="","",VLOOKUP(C39,非_係数!$B$5:$K$36,6,FALSE))</f>
        <v/>
      </c>
      <c r="AL39" s="467" t="str">
        <f t="shared" si="7"/>
        <v/>
      </c>
      <c r="AM39" s="466" t="str">
        <f>IF(C39="","",VLOOKUP(C39,非_係数!$B$5:$K$36,7,FALSE))</f>
        <v/>
      </c>
      <c r="AN39" s="466" t="str">
        <f t="shared" si="8"/>
        <v/>
      </c>
      <c r="AO39" s="466" t="str">
        <f>IF(C39="","",VLOOKUP(C39,非_係数!$B$5:$K$36,9,FALSE))</f>
        <v/>
      </c>
      <c r="AP39" s="466" t="str">
        <f t="shared" si="9"/>
        <v/>
      </c>
      <c r="AQ39" s="466" t="str">
        <f>IF(C39="","",VLOOKUP(C39,非_まとめ表行番号!$B$3:$D$34,3,FALSE))</f>
        <v/>
      </c>
      <c r="AR39" s="466" t="str">
        <f t="shared" si="10"/>
        <v/>
      </c>
    </row>
    <row r="40" spans="1:44" ht="19.5" customHeight="1">
      <c r="A40" s="483"/>
      <c r="B40" s="519"/>
      <c r="C40" s="519"/>
      <c r="D40" s="519"/>
      <c r="E40" s="458"/>
      <c r="F40" s="519"/>
      <c r="G40" s="519"/>
      <c r="H40" s="520"/>
      <c r="I40" s="520"/>
      <c r="J40" s="520"/>
      <c r="K40" s="520"/>
      <c r="L40" s="520"/>
      <c r="M40" s="520"/>
      <c r="N40" s="520"/>
      <c r="O40" s="520"/>
      <c r="P40" s="520"/>
      <c r="Q40" s="520"/>
      <c r="R40" s="520"/>
      <c r="S40" s="520"/>
      <c r="T40" s="497"/>
      <c r="U40" s="569" t="str">
        <f t="shared" si="11"/>
        <v/>
      </c>
      <c r="V40" s="570" t="str">
        <f t="shared" si="1"/>
        <v/>
      </c>
      <c r="W40" s="521" t="str">
        <f>IF(C40="","",VLOOKUP(C40,非_単位!$N$3:$O$34,2,FALSE))</f>
        <v/>
      </c>
      <c r="X40" s="571" t="str">
        <f>IF(C40="","",VLOOKUP(C40,非_係数!$B$5:$F$36,2,FALSE))</f>
        <v/>
      </c>
      <c r="Y40" s="572" t="str">
        <f t="shared" si="2"/>
        <v/>
      </c>
      <c r="Z40" s="573" t="str">
        <f>IF(C40="","",VLOOKUP(C40,非_係数!$B$5:$F$36,4,FALSE))</f>
        <v/>
      </c>
      <c r="AA40" s="574" t="str">
        <f t="shared" si="3"/>
        <v/>
      </c>
      <c r="AB40" s="464"/>
      <c r="AC40" s="466" t="str">
        <f t="shared" si="0"/>
        <v/>
      </c>
      <c r="AD40" s="466" t="str">
        <f>IF(G40="","",VLOOKUP(G40,非_単位補正換算!$B$3:$C$16,2,FALSE))</f>
        <v/>
      </c>
      <c r="AE40" s="466" t="str">
        <f>IF(G40="","",IF(SUMIFS(非_単位補正換算!$D$19:$D$48,非_単位補正換算!$B$19:$B$48,燃料!C40,非_単位補正換算!$C$19:$C$48,燃料!G40)=0,1,SUMIFS(非_単位補正換算!$D$19:$D$48,非_単位補正換算!$B$19:$B$48,燃料!C40,非_単位補正換算!$C$19:$C$48,燃料!G40)))</f>
        <v/>
      </c>
      <c r="AF40" s="467" t="str">
        <f t="shared" si="4"/>
        <v/>
      </c>
      <c r="AG40" s="467" t="str">
        <f t="shared" si="5"/>
        <v/>
      </c>
      <c r="AH40" s="467" t="str">
        <f t="shared" si="6"/>
        <v/>
      </c>
      <c r="AI40" s="466" t="str">
        <f>IF(C40="","",VLOOKUP(C40,非_まとめ表行番号!$B$3:$C$34,2,FALSE))</f>
        <v/>
      </c>
      <c r="AJ40" s="525" t="str">
        <f>IF(AI40="","",VLOOKUP(AI40,非_まとめ表行番号!$U$3:$V$56,2,FALSE))</f>
        <v/>
      </c>
      <c r="AK40" s="468" t="str">
        <f>IF(C40="","",VLOOKUP(C40,非_係数!$B$5:$K$36,6,FALSE))</f>
        <v/>
      </c>
      <c r="AL40" s="467" t="str">
        <f t="shared" si="7"/>
        <v/>
      </c>
      <c r="AM40" s="466" t="str">
        <f>IF(C40="","",VLOOKUP(C40,非_係数!$B$5:$K$36,7,FALSE))</f>
        <v/>
      </c>
      <c r="AN40" s="466" t="str">
        <f t="shared" si="8"/>
        <v/>
      </c>
      <c r="AO40" s="466" t="str">
        <f>IF(C40="","",VLOOKUP(C40,非_係数!$B$5:$K$36,9,FALSE))</f>
        <v/>
      </c>
      <c r="AP40" s="466" t="str">
        <f t="shared" si="9"/>
        <v/>
      </c>
      <c r="AQ40" s="466" t="str">
        <f>IF(C40="","",VLOOKUP(C40,非_まとめ表行番号!$B$3:$D$34,3,FALSE))</f>
        <v/>
      </c>
      <c r="AR40" s="466" t="str">
        <f t="shared" si="10"/>
        <v/>
      </c>
    </row>
    <row r="41" spans="1:44" ht="19.5" customHeight="1">
      <c r="A41" s="483"/>
      <c r="B41" s="519"/>
      <c r="C41" s="519"/>
      <c r="D41" s="519"/>
      <c r="E41" s="458"/>
      <c r="F41" s="519"/>
      <c r="G41" s="519"/>
      <c r="H41" s="520"/>
      <c r="I41" s="520"/>
      <c r="J41" s="520"/>
      <c r="K41" s="520"/>
      <c r="L41" s="520"/>
      <c r="M41" s="520"/>
      <c r="N41" s="520"/>
      <c r="O41" s="520"/>
      <c r="P41" s="520"/>
      <c r="Q41" s="520"/>
      <c r="R41" s="520"/>
      <c r="S41" s="520"/>
      <c r="T41" s="497"/>
      <c r="U41" s="569" t="str">
        <f t="shared" si="11"/>
        <v/>
      </c>
      <c r="V41" s="570" t="str">
        <f t="shared" ref="V41" si="12">IF(AF41="","",AF41)</f>
        <v/>
      </c>
      <c r="W41" s="521" t="str">
        <f>IF(C41="","",VLOOKUP(C41,非_単位!$N$3:$O$34,2,FALSE))</f>
        <v/>
      </c>
      <c r="X41" s="571" t="str">
        <f>IF(C41="","",VLOOKUP(C41,非_係数!$B$5:$F$36,2,FALSE))</f>
        <v/>
      </c>
      <c r="Y41" s="572" t="str">
        <f t="shared" ref="Y41" si="13">AG41</f>
        <v/>
      </c>
      <c r="Z41" s="573" t="str">
        <f>IF(C41="","",VLOOKUP(C41,非_係数!$B$5:$F$36,4,FALSE))</f>
        <v/>
      </c>
      <c r="AA41" s="574" t="str">
        <f t="shared" ref="AA41" si="14">AH41</f>
        <v/>
      </c>
      <c r="AB41" s="464"/>
      <c r="AC41" s="466" t="str">
        <f t="shared" ref="AC41" si="15">IF(B41="","","燃料種選択")</f>
        <v/>
      </c>
      <c r="AD41" s="466" t="str">
        <f>IF(G41="","",VLOOKUP(G41,非_単位補正換算!$B$3:$C$16,2,FALSE))</f>
        <v/>
      </c>
      <c r="AE41" s="466" t="str">
        <f>IF(G41="","",IF(SUMIFS(非_単位補正換算!$D$19:$D$48,非_単位補正換算!$B$19:$B$48,燃料!C41,非_単位補正換算!$C$19:$C$48,燃料!G41)=0,1,SUMIFS(非_単位補正換算!$D$19:$D$48,非_単位補正換算!$B$19:$B$48,燃料!C41,非_単位補正換算!$C$19:$C$48,燃料!G41)))</f>
        <v/>
      </c>
      <c r="AF41" s="467" t="str">
        <f t="shared" ref="AF41" si="16">IF(AND(U41&lt;&gt;"",AD41&lt;&gt;"",AE41&lt;&gt;""),U41/AD41*AE41,"")</f>
        <v/>
      </c>
      <c r="AG41" s="467" t="str">
        <f t="shared" ref="AG41" si="17">IF(AND(X41&lt;&gt;"",AF41&lt;&gt;""),AF41*X41,"")</f>
        <v/>
      </c>
      <c r="AH41" s="467" t="str">
        <f t="shared" ref="AH41" si="18">IF(AND(Z41&lt;&gt;"",AF41&lt;&gt;"",X41&lt;&gt;""),AF41*X41*Z41*44/12,"")</f>
        <v/>
      </c>
      <c r="AI41" s="466" t="str">
        <f>IF(C41="","",VLOOKUP(C41,非_まとめ表行番号!$B$3:$C$34,2,FALSE))</f>
        <v/>
      </c>
      <c r="AJ41" s="525" t="str">
        <f>IF(AI41="","",VLOOKUP(AI41,非_まとめ表行番号!$U$3:$V$56,2,FALSE))</f>
        <v/>
      </c>
      <c r="AK41" s="468" t="str">
        <f>IF(C41="","",VLOOKUP(C41,非_係数!$B$5:$K$36,6,FALSE))</f>
        <v/>
      </c>
      <c r="AL41" s="467" t="str">
        <f t="shared" ref="AL41" si="19">IF(AF41="","",AF41*AK41)</f>
        <v/>
      </c>
      <c r="AM41" s="466" t="str">
        <f>IF(C41="","",VLOOKUP(C41,非_係数!$B$5:$K$36,7,FALSE))</f>
        <v/>
      </c>
      <c r="AN41" s="466" t="str">
        <f t="shared" ref="AN41" si="20">IF(AL41="","",AL41*AM41)</f>
        <v/>
      </c>
      <c r="AO41" s="466" t="str">
        <f>IF(C41="","",VLOOKUP(C41,非_係数!$B$5:$K$36,9,FALSE))</f>
        <v/>
      </c>
      <c r="AP41" s="466" t="str">
        <f t="shared" ref="AP41" si="21">IF(AN41="","",AN41*AO41*44/12)</f>
        <v/>
      </c>
      <c r="AQ41" s="466" t="str">
        <f>IF(C41="","",VLOOKUP(C41,非_まとめ表行番号!$B$3:$D$34,3,FALSE))</f>
        <v/>
      </c>
      <c r="AR41" s="466" t="str">
        <f t="shared" si="10"/>
        <v/>
      </c>
    </row>
    <row r="42" spans="1:44" ht="19.5" customHeight="1" thickBot="1">
      <c r="A42" s="483"/>
      <c r="B42" s="519"/>
      <c r="C42" s="519"/>
      <c r="D42" s="519"/>
      <c r="E42" s="458"/>
      <c r="F42" s="519"/>
      <c r="G42" s="519"/>
      <c r="H42" s="520"/>
      <c r="I42" s="520"/>
      <c r="J42" s="520"/>
      <c r="K42" s="520"/>
      <c r="L42" s="520"/>
      <c r="M42" s="520"/>
      <c r="N42" s="520"/>
      <c r="O42" s="520"/>
      <c r="P42" s="520"/>
      <c r="Q42" s="520"/>
      <c r="R42" s="520"/>
      <c r="S42" s="520"/>
      <c r="T42" s="497"/>
      <c r="U42" s="569" t="str">
        <f t="shared" si="11"/>
        <v/>
      </c>
      <c r="V42" s="570" t="str">
        <f t="shared" ref="V42" si="22">IF(AF42="","",AF42)</f>
        <v/>
      </c>
      <c r="W42" s="521" t="str">
        <f>IF(C42="","",VLOOKUP(C42,非_単位!$N$3:$O$34,2,FALSE))</f>
        <v/>
      </c>
      <c r="X42" s="571" t="str">
        <f>IF(C42="","",VLOOKUP(C42,非_係数!$B$5:$F$36,2,FALSE))</f>
        <v/>
      </c>
      <c r="Y42" s="572" t="str">
        <f t="shared" ref="Y42" si="23">AG42</f>
        <v/>
      </c>
      <c r="Z42" s="573" t="str">
        <f>IF(C42="","",VLOOKUP(C42,非_係数!$B$5:$F$36,4,FALSE))</f>
        <v/>
      </c>
      <c r="AA42" s="574" t="str">
        <f t="shared" ref="AA42" si="24">AH42</f>
        <v/>
      </c>
      <c r="AB42" s="464"/>
      <c r="AC42" s="466" t="str">
        <f t="shared" ref="AC42" si="25">IF(B42="","","燃料種選択")</f>
        <v/>
      </c>
      <c r="AD42" s="466" t="str">
        <f>IF(G42="","",VLOOKUP(G42,非_単位補正換算!$B$3:$C$16,2,FALSE))</f>
        <v/>
      </c>
      <c r="AE42" s="466" t="str">
        <f>IF(G42="","",IF(SUMIFS(非_単位補正換算!$D$19:$D$48,非_単位補正換算!$B$19:$B$48,燃料!C42,非_単位補正換算!$C$19:$C$48,燃料!G42)=0,1,SUMIFS(非_単位補正換算!$D$19:$D$48,非_単位補正換算!$B$19:$B$48,燃料!C42,非_単位補正換算!$C$19:$C$48,燃料!G42)))</f>
        <v/>
      </c>
      <c r="AF42" s="467" t="str">
        <f t="shared" ref="AF42" si="26">IF(AND(U42&lt;&gt;"",AD42&lt;&gt;"",AE42&lt;&gt;""),U42/AD42*AE42,"")</f>
        <v/>
      </c>
      <c r="AG42" s="467" t="str">
        <f t="shared" ref="AG42" si="27">IF(AND(X42&lt;&gt;"",AF42&lt;&gt;""),AF42*X42,"")</f>
        <v/>
      </c>
      <c r="AH42" s="467" t="str">
        <f t="shared" ref="AH42" si="28">IF(AND(Z42&lt;&gt;"",AF42&lt;&gt;"",X42&lt;&gt;""),AF42*X42*Z42*44/12,"")</f>
        <v/>
      </c>
      <c r="AI42" s="466" t="str">
        <f>IF(C42="","",VLOOKUP(C42,非_まとめ表行番号!$B$3:$C$34,2,FALSE))</f>
        <v/>
      </c>
      <c r="AJ42" s="525" t="str">
        <f>IF(AI42="","",VLOOKUP(AI42,非_まとめ表行番号!$U$3:$V$56,2,FALSE))</f>
        <v/>
      </c>
      <c r="AK42" s="468" t="str">
        <f>IF(C42="","",VLOOKUP(C42,非_係数!$B$5:$K$36,6,FALSE))</f>
        <v/>
      </c>
      <c r="AL42" s="467" t="str">
        <f t="shared" ref="AL42" si="29">IF(AF42="","",AF42*AK42)</f>
        <v/>
      </c>
      <c r="AM42" s="466" t="str">
        <f>IF(C42="","",VLOOKUP(C42,非_係数!$B$5:$K$36,7,FALSE))</f>
        <v/>
      </c>
      <c r="AN42" s="466" t="str">
        <f t="shared" ref="AN42" si="30">IF(AL42="","",AL42*AM42)</f>
        <v/>
      </c>
      <c r="AO42" s="466" t="str">
        <f>IF(C42="","",VLOOKUP(C42,非_係数!$B$5:$K$36,9,FALSE))</f>
        <v/>
      </c>
      <c r="AP42" s="466" t="str">
        <f t="shared" ref="AP42" si="31">IF(AN42="","",AN42*AO42*44/12)</f>
        <v/>
      </c>
      <c r="AQ42" s="466" t="str">
        <f>IF(C42="","",VLOOKUP(C42,非_まとめ表行番号!$B$3:$D$34,3,FALSE))</f>
        <v/>
      </c>
      <c r="AR42" s="466" t="str">
        <f t="shared" si="10"/>
        <v/>
      </c>
    </row>
    <row r="43" spans="1:44" ht="19.5" customHeight="1" thickTop="1" thickBot="1">
      <c r="A43" s="337" t="s">
        <v>2077</v>
      </c>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9"/>
      <c r="AB43" s="464"/>
      <c r="AF43" s="465"/>
      <c r="AG43" s="465"/>
      <c r="AH43" s="465"/>
    </row>
    <row r="44" spans="1:44" ht="19.5" customHeight="1" thickTop="1">
      <c r="A44" s="514"/>
      <c r="B44" s="515"/>
      <c r="C44" s="515"/>
      <c r="D44" s="515"/>
      <c r="E44" s="522"/>
      <c r="F44" s="515"/>
      <c r="G44" s="515"/>
      <c r="H44" s="522"/>
      <c r="I44" s="522"/>
      <c r="J44" s="522"/>
      <c r="K44" s="522"/>
      <c r="L44" s="522"/>
      <c r="M44" s="522"/>
      <c r="N44" s="522"/>
      <c r="O44" s="522"/>
      <c r="P44" s="522"/>
      <c r="Q44" s="522"/>
      <c r="R44" s="522"/>
      <c r="S44" s="522"/>
      <c r="T44" s="517"/>
      <c r="U44" s="575" t="str">
        <f t="shared" si="11"/>
        <v/>
      </c>
      <c r="V44" s="564" t="str">
        <f>IF(AF44="","",-1*AF44)</f>
        <v/>
      </c>
      <c r="W44" s="518" t="str">
        <f>IF(C44="","",VLOOKUP(C44,非_単位!$N$3:$O$34,2,FALSE))</f>
        <v/>
      </c>
      <c r="X44" s="565" t="str">
        <f>IF(C44="","",VLOOKUP(C44,非_係数!$B$5:$F$36,2,FALSE))</f>
        <v/>
      </c>
      <c r="Y44" s="566" t="str">
        <f>IF(AG44="","",-1*AG44)</f>
        <v/>
      </c>
      <c r="Z44" s="567" t="str">
        <f>IF(C44="","",VLOOKUP(C44,非_係数!$B$5:$F$36,4,FALSE))</f>
        <v/>
      </c>
      <c r="AA44" s="568" t="str">
        <f>IF(AH44="","",-1*AH44)</f>
        <v/>
      </c>
      <c r="AB44" s="464"/>
      <c r="AC44" s="466" t="str">
        <f t="shared" ref="AC44:AC58" si="32">IF(B44="","","燃料種選択")</f>
        <v/>
      </c>
      <c r="AD44" s="466" t="str">
        <f>IF(G44="","",VLOOKUP(G44,非_単位補正換算!$B$3:$C$16,2,FALSE))</f>
        <v/>
      </c>
      <c r="AE44" s="466" t="str">
        <f>IF(G44="","",IF(SUMIFS(非_単位補正換算!$D$19:$D$48,非_単位補正換算!$B$19:$B$48,燃料!C44,非_単位補正換算!$C$19:$C$48,燃料!G44)=0,1,SUMIFS(非_単位補正換算!$D$19:$D$48,非_単位補正換算!$B$19:$B$48,燃料!C44,非_単位補正換算!$C$19:$C$48,燃料!G44)))</f>
        <v/>
      </c>
      <c r="AF44" s="467" t="str">
        <f>IF(AND(U44&lt;&gt;"",AD44&lt;&gt;"",AE44&lt;&gt;""),-1*U44/AD44*AE44,"")</f>
        <v/>
      </c>
      <c r="AG44" s="467" t="str">
        <f t="shared" si="5"/>
        <v/>
      </c>
      <c r="AH44" s="467" t="str">
        <f t="shared" si="6"/>
        <v/>
      </c>
      <c r="AI44" s="466" t="str">
        <f>IF(C44="","",VLOOKUP(C44,非_まとめ表行番号!$B$3:$C$34,2,FALSE))</f>
        <v/>
      </c>
      <c r="AJ44" s="525" t="str">
        <f>IF(AI44="","",VLOOKUP(AI44,非_まとめ表行番号!$U$3:$V$56,2,FALSE))</f>
        <v/>
      </c>
      <c r="AK44" s="468" t="str">
        <f>IF(C44="","",VLOOKUP(C44,非_係数!$B$5:$K$36,6,FALSE))</f>
        <v/>
      </c>
      <c r="AL44" s="467" t="str">
        <f t="shared" si="7"/>
        <v/>
      </c>
      <c r="AM44" s="466" t="str">
        <f>IF(C44="","",VLOOKUP(C44,非_係数!$B$5:$K$36,7,FALSE))</f>
        <v/>
      </c>
      <c r="AN44" s="466" t="str">
        <f>IF(AL44="","",AL44*AM44)</f>
        <v/>
      </c>
      <c r="AO44" s="466" t="str">
        <f>IF(C44="","",VLOOKUP(C44,非_係数!$B$5:$K$36,9,FALSE))</f>
        <v/>
      </c>
      <c r="AP44" s="466" t="str">
        <f>IF(AN44="","",AN44*AO44*44/12)</f>
        <v/>
      </c>
      <c r="AQ44" s="466" t="str">
        <f>IF(C44="","",VLOOKUP(C44,非_まとめ表行番号!$B$3:$D$34,3,FALSE))</f>
        <v/>
      </c>
      <c r="AR44" s="466" t="str">
        <f>IF(F44="無","乗率_除外する排出量","")</f>
        <v/>
      </c>
    </row>
    <row r="45" spans="1:44" ht="19.5" customHeight="1">
      <c r="A45" s="483"/>
      <c r="B45" s="519"/>
      <c r="C45" s="519"/>
      <c r="D45" s="519"/>
      <c r="E45" s="458"/>
      <c r="F45" s="519"/>
      <c r="G45" s="519"/>
      <c r="H45" s="458"/>
      <c r="I45" s="458"/>
      <c r="J45" s="458"/>
      <c r="K45" s="458"/>
      <c r="L45" s="458"/>
      <c r="M45" s="458"/>
      <c r="N45" s="458"/>
      <c r="O45" s="458"/>
      <c r="P45" s="458"/>
      <c r="Q45" s="458"/>
      <c r="R45" s="458"/>
      <c r="S45" s="458"/>
      <c r="T45" s="497"/>
      <c r="U45" s="569" t="str">
        <f t="shared" si="11"/>
        <v/>
      </c>
      <c r="V45" s="570" t="str">
        <f t="shared" ref="V45:V58" si="33">IF(AF45="","",-1*AF45)</f>
        <v/>
      </c>
      <c r="W45" s="521" t="str">
        <f>IF(C45="","",VLOOKUP(C45,非_単位!$N$3:$O$34,2,FALSE))</f>
        <v/>
      </c>
      <c r="X45" s="571" t="str">
        <f>IF(C45="","",VLOOKUP(C45,非_係数!$B$5:$F$36,2,FALSE))</f>
        <v/>
      </c>
      <c r="Y45" s="572" t="str">
        <f t="shared" ref="Y45:Y58" si="34">IF(AG45="","",-1*AG45)</f>
        <v/>
      </c>
      <c r="Z45" s="573" t="str">
        <f>IF(C45="","",VLOOKUP(C45,非_係数!$B$5:$F$36,4,FALSE))</f>
        <v/>
      </c>
      <c r="AA45" s="574" t="str">
        <f t="shared" ref="AA45:AA58" si="35">IF(AH45="","",-1*AH45)</f>
        <v/>
      </c>
      <c r="AB45" s="464"/>
      <c r="AC45" s="466" t="str">
        <f t="shared" si="32"/>
        <v/>
      </c>
      <c r="AD45" s="466" t="str">
        <f>IF(G45="","",VLOOKUP(G45,非_単位補正換算!$B$3:$C$16,2,FALSE))</f>
        <v/>
      </c>
      <c r="AE45" s="466" t="str">
        <f>IF(G45="","",IF(SUMIFS(非_単位補正換算!$D$19:$D$48,非_単位補正換算!$B$19:$B$48,燃料!C45,非_単位補正換算!$C$19:$C$48,燃料!G45)=0,1,SUMIFS(非_単位補正換算!$D$19:$D$48,非_単位補正換算!$B$19:$B$48,燃料!C45,非_単位補正換算!$C$19:$C$48,燃料!G45)))</f>
        <v/>
      </c>
      <c r="AF45" s="467" t="str">
        <f t="shared" ref="AF45:AF58" si="36">IF(AND(U45&lt;&gt;"",AD45&lt;&gt;"",AE45&lt;&gt;""),-1*U45/AD45*AE45,"")</f>
        <v/>
      </c>
      <c r="AG45" s="467" t="str">
        <f t="shared" si="5"/>
        <v/>
      </c>
      <c r="AH45" s="467" t="str">
        <f t="shared" si="6"/>
        <v/>
      </c>
      <c r="AI45" s="466" t="str">
        <f>IF(C45="","",VLOOKUP(C45,非_まとめ表行番号!$B$3:$C$34,2,FALSE))</f>
        <v/>
      </c>
      <c r="AJ45" s="525" t="str">
        <f>IF(AI45="","",VLOOKUP(AI45,非_まとめ表行番号!$U$3:$V$56,2,FALSE))</f>
        <v/>
      </c>
      <c r="AK45" s="468" t="str">
        <f>IF(C45="","",VLOOKUP(C45,非_係数!$B$5:$K$36,6,FALSE))</f>
        <v/>
      </c>
      <c r="AL45" s="467" t="str">
        <f t="shared" si="7"/>
        <v/>
      </c>
      <c r="AM45" s="466" t="str">
        <f>IF(C45="","",VLOOKUP(C45,非_係数!$B$5:$K$36,7,FALSE))</f>
        <v/>
      </c>
      <c r="AN45" s="466" t="str">
        <f t="shared" ref="AN45:AN58" si="37">IF(AL45="","",AL45*AM45)</f>
        <v/>
      </c>
      <c r="AO45" s="466" t="str">
        <f>IF(C45="","",VLOOKUP(C45,非_係数!$B$5:$K$36,9,FALSE))</f>
        <v/>
      </c>
      <c r="AP45" s="466" t="str">
        <f t="shared" ref="AP45:AP58" si="38">IF(AN45="","",AN45*AO45*44/12)</f>
        <v/>
      </c>
      <c r="AQ45" s="466" t="str">
        <f>IF(C45="","",VLOOKUP(C45,非_まとめ表行番号!$B$3:$D$34,3,FALSE))</f>
        <v/>
      </c>
      <c r="AR45" s="466" t="str">
        <f t="shared" ref="AR45:AR58" si="39">IF(F45="無","乗率_除外する排出量","")</f>
        <v/>
      </c>
    </row>
    <row r="46" spans="1:44" ht="19.5" customHeight="1">
      <c r="A46" s="483"/>
      <c r="B46" s="519"/>
      <c r="C46" s="519"/>
      <c r="D46" s="519"/>
      <c r="E46" s="458"/>
      <c r="F46" s="519"/>
      <c r="G46" s="519"/>
      <c r="H46" s="458"/>
      <c r="I46" s="458"/>
      <c r="J46" s="458"/>
      <c r="K46" s="458"/>
      <c r="L46" s="458"/>
      <c r="M46" s="458"/>
      <c r="N46" s="458"/>
      <c r="O46" s="458"/>
      <c r="P46" s="458"/>
      <c r="Q46" s="458"/>
      <c r="R46" s="458"/>
      <c r="S46" s="458"/>
      <c r="T46" s="497"/>
      <c r="U46" s="569" t="str">
        <f t="shared" si="11"/>
        <v/>
      </c>
      <c r="V46" s="570" t="str">
        <f t="shared" si="33"/>
        <v/>
      </c>
      <c r="W46" s="521" t="str">
        <f>IF(C46="","",VLOOKUP(C46,非_単位!$N$3:$O$34,2,FALSE))</f>
        <v/>
      </c>
      <c r="X46" s="571" t="str">
        <f>IF(C46="","",VLOOKUP(C46,非_係数!$B$5:$F$36,2,FALSE))</f>
        <v/>
      </c>
      <c r="Y46" s="572" t="str">
        <f t="shared" si="34"/>
        <v/>
      </c>
      <c r="Z46" s="573" t="str">
        <f>IF(C46="","",VLOOKUP(C46,非_係数!$B$5:$F$36,4,FALSE))</f>
        <v/>
      </c>
      <c r="AA46" s="574" t="str">
        <f t="shared" si="35"/>
        <v/>
      </c>
      <c r="AB46" s="464"/>
      <c r="AC46" s="466" t="str">
        <f t="shared" si="32"/>
        <v/>
      </c>
      <c r="AD46" s="466" t="str">
        <f>IF(G46="","",VLOOKUP(G46,非_単位補正換算!$B$3:$C$16,2,FALSE))</f>
        <v/>
      </c>
      <c r="AE46" s="466" t="str">
        <f>IF(G46="","",IF(SUMIFS(非_単位補正換算!$D$19:$D$48,非_単位補正換算!$B$19:$B$48,燃料!C46,非_単位補正換算!$C$19:$C$48,燃料!G46)=0,1,SUMIFS(非_単位補正換算!$D$19:$D$48,非_単位補正換算!$B$19:$B$48,燃料!C46,非_単位補正換算!$C$19:$C$48,燃料!G46)))</f>
        <v/>
      </c>
      <c r="AF46" s="467" t="str">
        <f t="shared" si="36"/>
        <v/>
      </c>
      <c r="AG46" s="467" t="str">
        <f t="shared" si="5"/>
        <v/>
      </c>
      <c r="AH46" s="467" t="str">
        <f t="shared" si="6"/>
        <v/>
      </c>
      <c r="AI46" s="466" t="str">
        <f>IF(C46="","",VLOOKUP(C46,非_まとめ表行番号!$B$3:$C$34,2,FALSE))</f>
        <v/>
      </c>
      <c r="AJ46" s="525" t="str">
        <f>IF(AI46="","",VLOOKUP(AI46,非_まとめ表行番号!$U$3:$V$56,2,FALSE))</f>
        <v/>
      </c>
      <c r="AK46" s="468" t="str">
        <f>IF(C46="","",VLOOKUP(C46,非_係数!$B$5:$K$36,6,FALSE))</f>
        <v/>
      </c>
      <c r="AL46" s="467" t="str">
        <f t="shared" si="7"/>
        <v/>
      </c>
      <c r="AM46" s="466" t="str">
        <f>IF(C46="","",VLOOKUP(C46,非_係数!$B$5:$K$36,7,FALSE))</f>
        <v/>
      </c>
      <c r="AN46" s="466" t="str">
        <f t="shared" si="37"/>
        <v/>
      </c>
      <c r="AO46" s="466" t="str">
        <f>IF(C46="","",VLOOKUP(C46,非_係数!$B$5:$K$36,9,FALSE))</f>
        <v/>
      </c>
      <c r="AP46" s="466" t="str">
        <f t="shared" si="38"/>
        <v/>
      </c>
      <c r="AQ46" s="466" t="str">
        <f>IF(C46="","",VLOOKUP(C46,非_まとめ表行番号!$B$3:$D$34,3,FALSE))</f>
        <v/>
      </c>
      <c r="AR46" s="466" t="str">
        <f t="shared" si="39"/>
        <v/>
      </c>
    </row>
    <row r="47" spans="1:44" ht="19.5" customHeight="1">
      <c r="A47" s="483"/>
      <c r="B47" s="519"/>
      <c r="C47" s="519"/>
      <c r="D47" s="519"/>
      <c r="E47" s="458"/>
      <c r="F47" s="519"/>
      <c r="G47" s="519"/>
      <c r="H47" s="458"/>
      <c r="I47" s="458"/>
      <c r="J47" s="458"/>
      <c r="K47" s="458"/>
      <c r="L47" s="458"/>
      <c r="M47" s="458"/>
      <c r="N47" s="458"/>
      <c r="O47" s="458"/>
      <c r="P47" s="458"/>
      <c r="Q47" s="458"/>
      <c r="R47" s="458"/>
      <c r="S47" s="458"/>
      <c r="T47" s="497"/>
      <c r="U47" s="569" t="str">
        <f t="shared" si="11"/>
        <v/>
      </c>
      <c r="V47" s="570" t="str">
        <f t="shared" si="33"/>
        <v/>
      </c>
      <c r="W47" s="521" t="str">
        <f>IF(C47="","",VLOOKUP(C47,非_単位!$N$3:$O$34,2,FALSE))</f>
        <v/>
      </c>
      <c r="X47" s="571" t="str">
        <f>IF(C47="","",VLOOKUP(C47,非_係数!$B$5:$F$36,2,FALSE))</f>
        <v/>
      </c>
      <c r="Y47" s="572" t="str">
        <f t="shared" si="34"/>
        <v/>
      </c>
      <c r="Z47" s="573" t="str">
        <f>IF(C47="","",VLOOKUP(C47,非_係数!$B$5:$F$36,4,FALSE))</f>
        <v/>
      </c>
      <c r="AA47" s="574" t="str">
        <f t="shared" si="35"/>
        <v/>
      </c>
      <c r="AB47" s="464"/>
      <c r="AC47" s="466" t="str">
        <f t="shared" si="32"/>
        <v/>
      </c>
      <c r="AD47" s="466" t="str">
        <f>IF(G47="","",VLOOKUP(G47,非_単位補正換算!$B$3:$C$16,2,FALSE))</f>
        <v/>
      </c>
      <c r="AE47" s="466" t="str">
        <f>IF(G47="","",IF(SUMIFS(非_単位補正換算!$D$19:$D$48,非_単位補正換算!$B$19:$B$48,燃料!C47,非_単位補正換算!$C$19:$C$48,燃料!G47)=0,1,SUMIFS(非_単位補正換算!$D$19:$D$48,非_単位補正換算!$B$19:$B$48,燃料!C47,非_単位補正換算!$C$19:$C$48,燃料!G47)))</f>
        <v/>
      </c>
      <c r="AF47" s="467" t="str">
        <f t="shared" si="36"/>
        <v/>
      </c>
      <c r="AG47" s="467" t="str">
        <f t="shared" si="5"/>
        <v/>
      </c>
      <c r="AH47" s="467" t="str">
        <f t="shared" si="6"/>
        <v/>
      </c>
      <c r="AI47" s="466" t="str">
        <f>IF(C47="","",VLOOKUP(C47,非_まとめ表行番号!$B$3:$C$34,2,FALSE))</f>
        <v/>
      </c>
      <c r="AJ47" s="525" t="str">
        <f>IF(AI47="","",VLOOKUP(AI47,非_まとめ表行番号!$U$3:$V$56,2,FALSE))</f>
        <v/>
      </c>
      <c r="AK47" s="468" t="str">
        <f>IF(C47="","",VLOOKUP(C47,非_係数!$B$5:$K$36,6,FALSE))</f>
        <v/>
      </c>
      <c r="AL47" s="467" t="str">
        <f t="shared" si="7"/>
        <v/>
      </c>
      <c r="AM47" s="466" t="str">
        <f>IF(C47="","",VLOOKUP(C47,非_係数!$B$5:$K$36,7,FALSE))</f>
        <v/>
      </c>
      <c r="AN47" s="466" t="str">
        <f t="shared" si="37"/>
        <v/>
      </c>
      <c r="AO47" s="466" t="str">
        <f>IF(C47="","",VLOOKUP(C47,非_係数!$B$5:$K$36,9,FALSE))</f>
        <v/>
      </c>
      <c r="AP47" s="466" t="str">
        <f t="shared" si="38"/>
        <v/>
      </c>
      <c r="AQ47" s="466" t="str">
        <f>IF(C47="","",VLOOKUP(C47,非_まとめ表行番号!$B$3:$D$34,3,FALSE))</f>
        <v/>
      </c>
      <c r="AR47" s="466" t="str">
        <f t="shared" si="39"/>
        <v/>
      </c>
    </row>
    <row r="48" spans="1:44" ht="19.5" customHeight="1">
      <c r="A48" s="483"/>
      <c r="B48" s="519"/>
      <c r="C48" s="519"/>
      <c r="D48" s="519"/>
      <c r="E48" s="458"/>
      <c r="F48" s="519"/>
      <c r="G48" s="519"/>
      <c r="H48" s="458"/>
      <c r="I48" s="458"/>
      <c r="J48" s="458"/>
      <c r="K48" s="458"/>
      <c r="L48" s="458"/>
      <c r="M48" s="458"/>
      <c r="N48" s="458"/>
      <c r="O48" s="458"/>
      <c r="P48" s="458"/>
      <c r="Q48" s="458"/>
      <c r="R48" s="458"/>
      <c r="S48" s="458"/>
      <c r="T48" s="497"/>
      <c r="U48" s="569" t="str">
        <f t="shared" si="11"/>
        <v/>
      </c>
      <c r="V48" s="570" t="str">
        <f t="shared" si="33"/>
        <v/>
      </c>
      <c r="W48" s="521" t="str">
        <f>IF(C48="","",VLOOKUP(C48,非_単位!$N$3:$O$34,2,FALSE))</f>
        <v/>
      </c>
      <c r="X48" s="571" t="str">
        <f>IF(C48="","",VLOOKUP(C48,非_係数!$B$5:$F$36,2,FALSE))</f>
        <v/>
      </c>
      <c r="Y48" s="572" t="str">
        <f t="shared" si="34"/>
        <v/>
      </c>
      <c r="Z48" s="573" t="str">
        <f>IF(C48="","",VLOOKUP(C48,非_係数!$B$5:$F$36,4,FALSE))</f>
        <v/>
      </c>
      <c r="AA48" s="574" t="str">
        <f t="shared" si="35"/>
        <v/>
      </c>
      <c r="AB48" s="464"/>
      <c r="AC48" s="466" t="str">
        <f t="shared" si="32"/>
        <v/>
      </c>
      <c r="AD48" s="466" t="str">
        <f>IF(G48="","",VLOOKUP(G48,非_単位補正換算!$B$3:$C$16,2,FALSE))</f>
        <v/>
      </c>
      <c r="AE48" s="466" t="str">
        <f>IF(G48="","",IF(SUMIFS(非_単位補正換算!$D$19:$D$48,非_単位補正換算!$B$19:$B$48,燃料!C48,非_単位補正換算!$C$19:$C$48,燃料!G48)=0,1,SUMIFS(非_単位補正換算!$D$19:$D$48,非_単位補正換算!$B$19:$B$48,燃料!C48,非_単位補正換算!$C$19:$C$48,燃料!G48)))</f>
        <v/>
      </c>
      <c r="AF48" s="467" t="str">
        <f t="shared" si="36"/>
        <v/>
      </c>
      <c r="AG48" s="467" t="str">
        <f t="shared" si="5"/>
        <v/>
      </c>
      <c r="AH48" s="467" t="str">
        <f t="shared" si="6"/>
        <v/>
      </c>
      <c r="AI48" s="466" t="str">
        <f>IF(C48="","",VLOOKUP(C48,非_まとめ表行番号!$B$3:$C$34,2,FALSE))</f>
        <v/>
      </c>
      <c r="AJ48" s="525" t="str">
        <f>IF(AI48="","",VLOOKUP(AI48,非_まとめ表行番号!$U$3:$V$56,2,FALSE))</f>
        <v/>
      </c>
      <c r="AK48" s="468" t="str">
        <f>IF(C48="","",VLOOKUP(C48,非_係数!$B$5:$K$36,6,FALSE))</f>
        <v/>
      </c>
      <c r="AL48" s="467" t="str">
        <f t="shared" si="7"/>
        <v/>
      </c>
      <c r="AM48" s="466" t="str">
        <f>IF(C48="","",VLOOKUP(C48,非_係数!$B$5:$K$36,7,FALSE))</f>
        <v/>
      </c>
      <c r="AN48" s="466" t="str">
        <f t="shared" si="37"/>
        <v/>
      </c>
      <c r="AO48" s="466" t="str">
        <f>IF(C48="","",VLOOKUP(C48,非_係数!$B$5:$K$36,9,FALSE))</f>
        <v/>
      </c>
      <c r="AP48" s="466" t="str">
        <f t="shared" si="38"/>
        <v/>
      </c>
      <c r="AQ48" s="466" t="str">
        <f>IF(C48="","",VLOOKUP(C48,非_まとめ表行番号!$B$3:$D$34,3,FALSE))</f>
        <v/>
      </c>
      <c r="AR48" s="466" t="str">
        <f t="shared" si="39"/>
        <v/>
      </c>
    </row>
    <row r="49" spans="1:44" ht="19.5" customHeight="1">
      <c r="A49" s="483"/>
      <c r="B49" s="519"/>
      <c r="C49" s="519"/>
      <c r="D49" s="519"/>
      <c r="E49" s="458"/>
      <c r="F49" s="519"/>
      <c r="G49" s="519"/>
      <c r="H49" s="458"/>
      <c r="I49" s="458"/>
      <c r="J49" s="458"/>
      <c r="K49" s="458"/>
      <c r="L49" s="458"/>
      <c r="M49" s="458"/>
      <c r="N49" s="458"/>
      <c r="O49" s="458"/>
      <c r="P49" s="458"/>
      <c r="Q49" s="458"/>
      <c r="R49" s="458"/>
      <c r="S49" s="458"/>
      <c r="T49" s="497"/>
      <c r="U49" s="569" t="str">
        <f t="shared" si="11"/>
        <v/>
      </c>
      <c r="V49" s="570" t="str">
        <f t="shared" si="33"/>
        <v/>
      </c>
      <c r="W49" s="521" t="str">
        <f>IF(C49="","",VLOOKUP(C49,非_単位!$N$3:$O$34,2,FALSE))</f>
        <v/>
      </c>
      <c r="X49" s="571" t="str">
        <f>IF(C49="","",VLOOKUP(C49,非_係数!$B$5:$F$36,2,FALSE))</f>
        <v/>
      </c>
      <c r="Y49" s="572" t="str">
        <f t="shared" si="34"/>
        <v/>
      </c>
      <c r="Z49" s="573" t="str">
        <f>IF(C49="","",VLOOKUP(C49,非_係数!$B$5:$F$36,4,FALSE))</f>
        <v/>
      </c>
      <c r="AA49" s="574" t="str">
        <f t="shared" si="35"/>
        <v/>
      </c>
      <c r="AB49" s="464"/>
      <c r="AC49" s="466" t="str">
        <f t="shared" si="32"/>
        <v/>
      </c>
      <c r="AD49" s="466" t="str">
        <f>IF(G49="","",VLOOKUP(G49,非_単位補正換算!$B$3:$C$16,2,FALSE))</f>
        <v/>
      </c>
      <c r="AE49" s="466" t="str">
        <f>IF(G49="","",IF(SUMIFS(非_単位補正換算!$D$19:$D$48,非_単位補正換算!$B$19:$B$48,燃料!C49,非_単位補正換算!$C$19:$C$48,燃料!G49)=0,1,SUMIFS(非_単位補正換算!$D$19:$D$48,非_単位補正換算!$B$19:$B$48,燃料!C49,非_単位補正換算!$C$19:$C$48,燃料!G49)))</f>
        <v/>
      </c>
      <c r="AF49" s="467" t="str">
        <f t="shared" si="36"/>
        <v/>
      </c>
      <c r="AG49" s="467" t="str">
        <f t="shared" si="5"/>
        <v/>
      </c>
      <c r="AH49" s="467" t="str">
        <f t="shared" si="6"/>
        <v/>
      </c>
      <c r="AI49" s="466" t="str">
        <f>IF(C49="","",VLOOKUP(C49,非_まとめ表行番号!$B$3:$C$34,2,FALSE))</f>
        <v/>
      </c>
      <c r="AJ49" s="525" t="str">
        <f>IF(AI49="","",VLOOKUP(AI49,非_まとめ表行番号!$U$3:$V$56,2,FALSE))</f>
        <v/>
      </c>
      <c r="AK49" s="468" t="str">
        <f>IF(C49="","",VLOOKUP(C49,非_係数!$B$5:$K$36,6,FALSE))</f>
        <v/>
      </c>
      <c r="AL49" s="467" t="str">
        <f t="shared" si="7"/>
        <v/>
      </c>
      <c r="AM49" s="466" t="str">
        <f>IF(C49="","",VLOOKUP(C49,非_係数!$B$5:$K$36,7,FALSE))</f>
        <v/>
      </c>
      <c r="AN49" s="466" t="str">
        <f t="shared" si="37"/>
        <v/>
      </c>
      <c r="AO49" s="466" t="str">
        <f>IF(C49="","",VLOOKUP(C49,非_係数!$B$5:$K$36,9,FALSE))</f>
        <v/>
      </c>
      <c r="AP49" s="466" t="str">
        <f t="shared" si="38"/>
        <v/>
      </c>
      <c r="AQ49" s="466" t="str">
        <f>IF(C49="","",VLOOKUP(C49,非_まとめ表行番号!$B$3:$D$34,3,FALSE))</f>
        <v/>
      </c>
      <c r="AR49" s="466" t="str">
        <f t="shared" si="39"/>
        <v/>
      </c>
    </row>
    <row r="50" spans="1:44" ht="19.5" customHeight="1">
      <c r="A50" s="483"/>
      <c r="B50" s="519"/>
      <c r="C50" s="519"/>
      <c r="D50" s="519"/>
      <c r="E50" s="458"/>
      <c r="F50" s="519"/>
      <c r="G50" s="519"/>
      <c r="H50" s="458"/>
      <c r="I50" s="458"/>
      <c r="J50" s="458"/>
      <c r="K50" s="458"/>
      <c r="L50" s="458"/>
      <c r="M50" s="458"/>
      <c r="N50" s="458"/>
      <c r="O50" s="458"/>
      <c r="P50" s="458"/>
      <c r="Q50" s="458"/>
      <c r="R50" s="458"/>
      <c r="S50" s="458"/>
      <c r="T50" s="497"/>
      <c r="U50" s="569" t="str">
        <f t="shared" si="11"/>
        <v/>
      </c>
      <c r="V50" s="570" t="str">
        <f t="shared" si="33"/>
        <v/>
      </c>
      <c r="W50" s="521" t="str">
        <f>IF(C50="","",VLOOKUP(C50,非_単位!$N$3:$O$34,2,FALSE))</f>
        <v/>
      </c>
      <c r="X50" s="571" t="str">
        <f>IF(C50="","",VLOOKUP(C50,非_係数!$B$5:$F$36,2,FALSE))</f>
        <v/>
      </c>
      <c r="Y50" s="572" t="str">
        <f t="shared" si="34"/>
        <v/>
      </c>
      <c r="Z50" s="573" t="str">
        <f>IF(C50="","",VLOOKUP(C50,非_係数!$B$5:$F$36,4,FALSE))</f>
        <v/>
      </c>
      <c r="AA50" s="574" t="str">
        <f t="shared" si="35"/>
        <v/>
      </c>
      <c r="AB50" s="464"/>
      <c r="AC50" s="466" t="str">
        <f t="shared" si="32"/>
        <v/>
      </c>
      <c r="AD50" s="466" t="str">
        <f>IF(G50="","",VLOOKUP(G50,非_単位補正換算!$B$3:$C$16,2,FALSE))</f>
        <v/>
      </c>
      <c r="AE50" s="466" t="str">
        <f>IF(G50="","",IF(SUMIFS(非_単位補正換算!$D$19:$D$48,非_単位補正換算!$B$19:$B$48,燃料!C50,非_単位補正換算!$C$19:$C$48,燃料!G50)=0,1,SUMIFS(非_単位補正換算!$D$19:$D$48,非_単位補正換算!$B$19:$B$48,燃料!C50,非_単位補正換算!$C$19:$C$48,燃料!G50)))</f>
        <v/>
      </c>
      <c r="AF50" s="467" t="str">
        <f t="shared" si="36"/>
        <v/>
      </c>
      <c r="AG50" s="467" t="str">
        <f t="shared" si="5"/>
        <v/>
      </c>
      <c r="AH50" s="467" t="str">
        <f t="shared" si="6"/>
        <v/>
      </c>
      <c r="AI50" s="466" t="str">
        <f>IF(C50="","",VLOOKUP(C50,非_まとめ表行番号!$B$3:$C$34,2,FALSE))</f>
        <v/>
      </c>
      <c r="AJ50" s="525" t="str">
        <f>IF(AI50="","",VLOOKUP(AI50,非_まとめ表行番号!$U$3:$V$56,2,FALSE))</f>
        <v/>
      </c>
      <c r="AK50" s="468" t="str">
        <f>IF(C50="","",VLOOKUP(C50,非_係数!$B$5:$K$36,6,FALSE))</f>
        <v/>
      </c>
      <c r="AL50" s="467" t="str">
        <f t="shared" si="7"/>
        <v/>
      </c>
      <c r="AM50" s="466" t="str">
        <f>IF(C50="","",VLOOKUP(C50,非_係数!$B$5:$K$36,7,FALSE))</f>
        <v/>
      </c>
      <c r="AN50" s="466" t="str">
        <f t="shared" si="37"/>
        <v/>
      </c>
      <c r="AO50" s="466" t="str">
        <f>IF(C50="","",VLOOKUP(C50,非_係数!$B$5:$K$36,9,FALSE))</f>
        <v/>
      </c>
      <c r="AP50" s="466" t="str">
        <f t="shared" si="38"/>
        <v/>
      </c>
      <c r="AQ50" s="466" t="str">
        <f>IF(C50="","",VLOOKUP(C50,非_まとめ表行番号!$B$3:$D$34,3,FALSE))</f>
        <v/>
      </c>
      <c r="AR50" s="466" t="str">
        <f t="shared" si="39"/>
        <v/>
      </c>
    </row>
    <row r="51" spans="1:44" ht="19.5" customHeight="1">
      <c r="A51" s="483"/>
      <c r="B51" s="519"/>
      <c r="C51" s="519"/>
      <c r="D51" s="519"/>
      <c r="E51" s="458"/>
      <c r="F51" s="519"/>
      <c r="G51" s="519"/>
      <c r="H51" s="458"/>
      <c r="I51" s="458"/>
      <c r="J51" s="458"/>
      <c r="K51" s="458"/>
      <c r="L51" s="458"/>
      <c r="M51" s="458"/>
      <c r="N51" s="458"/>
      <c r="O51" s="458"/>
      <c r="P51" s="458"/>
      <c r="Q51" s="458"/>
      <c r="R51" s="458"/>
      <c r="S51" s="458"/>
      <c r="T51" s="497"/>
      <c r="U51" s="569" t="str">
        <f t="shared" si="11"/>
        <v/>
      </c>
      <c r="V51" s="570" t="str">
        <f t="shared" si="33"/>
        <v/>
      </c>
      <c r="W51" s="521" t="str">
        <f>IF(C51="","",VLOOKUP(C51,非_単位!$N$3:$O$34,2,FALSE))</f>
        <v/>
      </c>
      <c r="X51" s="571" t="str">
        <f>IF(C51="","",VLOOKUP(C51,非_係数!$B$5:$F$36,2,FALSE))</f>
        <v/>
      </c>
      <c r="Y51" s="572" t="str">
        <f t="shared" si="34"/>
        <v/>
      </c>
      <c r="Z51" s="573" t="str">
        <f>IF(C51="","",VLOOKUP(C51,非_係数!$B$5:$F$36,4,FALSE))</f>
        <v/>
      </c>
      <c r="AA51" s="574" t="str">
        <f t="shared" si="35"/>
        <v/>
      </c>
      <c r="AB51" s="464"/>
      <c r="AC51" s="466" t="str">
        <f t="shared" si="32"/>
        <v/>
      </c>
      <c r="AD51" s="466" t="str">
        <f>IF(G51="","",VLOOKUP(G51,非_単位補正換算!$B$3:$C$16,2,FALSE))</f>
        <v/>
      </c>
      <c r="AE51" s="466" t="str">
        <f>IF(G51="","",IF(SUMIFS(非_単位補正換算!$D$19:$D$48,非_単位補正換算!$B$19:$B$48,燃料!C51,非_単位補正換算!$C$19:$C$48,燃料!G51)=0,1,SUMIFS(非_単位補正換算!$D$19:$D$48,非_単位補正換算!$B$19:$B$48,燃料!C51,非_単位補正換算!$C$19:$C$48,燃料!G51)))</f>
        <v/>
      </c>
      <c r="AF51" s="467" t="str">
        <f t="shared" si="36"/>
        <v/>
      </c>
      <c r="AG51" s="467" t="str">
        <f t="shared" si="5"/>
        <v/>
      </c>
      <c r="AH51" s="467" t="str">
        <f t="shared" si="6"/>
        <v/>
      </c>
      <c r="AI51" s="466" t="str">
        <f>IF(C51="","",VLOOKUP(C51,非_まとめ表行番号!$B$3:$C$34,2,FALSE))</f>
        <v/>
      </c>
      <c r="AJ51" s="525" t="str">
        <f>IF(AI51="","",VLOOKUP(AI51,非_まとめ表行番号!$U$3:$V$56,2,FALSE))</f>
        <v/>
      </c>
      <c r="AK51" s="468" t="str">
        <f>IF(C51="","",VLOOKUP(C51,非_係数!$B$5:$K$36,6,FALSE))</f>
        <v/>
      </c>
      <c r="AL51" s="467" t="str">
        <f t="shared" si="7"/>
        <v/>
      </c>
      <c r="AM51" s="466" t="str">
        <f>IF(C51="","",VLOOKUP(C51,非_係数!$B$5:$K$36,7,FALSE))</f>
        <v/>
      </c>
      <c r="AN51" s="466" t="str">
        <f t="shared" si="37"/>
        <v/>
      </c>
      <c r="AO51" s="466" t="str">
        <f>IF(C51="","",VLOOKUP(C51,非_係数!$B$5:$K$36,9,FALSE))</f>
        <v/>
      </c>
      <c r="AP51" s="466" t="str">
        <f t="shared" si="38"/>
        <v/>
      </c>
      <c r="AQ51" s="466" t="str">
        <f>IF(C51="","",VLOOKUP(C51,非_まとめ表行番号!$B$3:$D$34,3,FALSE))</f>
        <v/>
      </c>
      <c r="AR51" s="466" t="str">
        <f t="shared" si="39"/>
        <v/>
      </c>
    </row>
    <row r="52" spans="1:44" ht="19.5" customHeight="1">
      <c r="A52" s="483"/>
      <c r="B52" s="519"/>
      <c r="C52" s="519"/>
      <c r="D52" s="519"/>
      <c r="E52" s="458"/>
      <c r="F52" s="519"/>
      <c r="G52" s="519"/>
      <c r="H52" s="458"/>
      <c r="I52" s="458"/>
      <c r="J52" s="458"/>
      <c r="K52" s="458"/>
      <c r="L52" s="458"/>
      <c r="M52" s="458"/>
      <c r="N52" s="458"/>
      <c r="O52" s="458"/>
      <c r="P52" s="458"/>
      <c r="Q52" s="458"/>
      <c r="R52" s="458"/>
      <c r="S52" s="458"/>
      <c r="T52" s="497"/>
      <c r="U52" s="569" t="str">
        <f t="shared" si="11"/>
        <v/>
      </c>
      <c r="V52" s="570" t="str">
        <f t="shared" si="33"/>
        <v/>
      </c>
      <c r="W52" s="521" t="str">
        <f>IF(C52="","",VLOOKUP(C52,非_単位!$N$3:$O$34,2,FALSE))</f>
        <v/>
      </c>
      <c r="X52" s="571" t="str">
        <f>IF(C52="","",VLOOKUP(C52,非_係数!$B$5:$F$36,2,FALSE))</f>
        <v/>
      </c>
      <c r="Y52" s="572" t="str">
        <f t="shared" si="34"/>
        <v/>
      </c>
      <c r="Z52" s="573" t="str">
        <f>IF(C52="","",VLOOKUP(C52,非_係数!$B$5:$F$36,4,FALSE))</f>
        <v/>
      </c>
      <c r="AA52" s="574" t="str">
        <f t="shared" si="35"/>
        <v/>
      </c>
      <c r="AB52" s="464"/>
      <c r="AC52" s="466" t="str">
        <f t="shared" si="32"/>
        <v/>
      </c>
      <c r="AD52" s="466" t="str">
        <f>IF(G52="","",VLOOKUP(G52,非_単位補正換算!$B$3:$C$16,2,FALSE))</f>
        <v/>
      </c>
      <c r="AE52" s="466" t="str">
        <f>IF(G52="","",IF(SUMIFS(非_単位補正換算!$D$19:$D$48,非_単位補正換算!$B$19:$B$48,燃料!C52,非_単位補正換算!$C$19:$C$48,燃料!G52)=0,1,SUMIFS(非_単位補正換算!$D$19:$D$48,非_単位補正換算!$B$19:$B$48,燃料!C52,非_単位補正換算!$C$19:$C$48,燃料!G52)))</f>
        <v/>
      </c>
      <c r="AF52" s="467" t="str">
        <f t="shared" si="36"/>
        <v/>
      </c>
      <c r="AG52" s="467" t="str">
        <f t="shared" si="5"/>
        <v/>
      </c>
      <c r="AH52" s="467" t="str">
        <f t="shared" si="6"/>
        <v/>
      </c>
      <c r="AI52" s="466" t="str">
        <f>IF(C52="","",VLOOKUP(C52,非_まとめ表行番号!$B$3:$C$34,2,FALSE))</f>
        <v/>
      </c>
      <c r="AJ52" s="525" t="str">
        <f>IF(AI52="","",VLOOKUP(AI52,非_まとめ表行番号!$U$3:$V$56,2,FALSE))</f>
        <v/>
      </c>
      <c r="AK52" s="468" t="str">
        <f>IF(C52="","",VLOOKUP(C52,非_係数!$B$5:$K$36,6,FALSE))</f>
        <v/>
      </c>
      <c r="AL52" s="467" t="str">
        <f t="shared" si="7"/>
        <v/>
      </c>
      <c r="AM52" s="466" t="str">
        <f>IF(C52="","",VLOOKUP(C52,非_係数!$B$5:$K$36,7,FALSE))</f>
        <v/>
      </c>
      <c r="AN52" s="466" t="str">
        <f t="shared" si="37"/>
        <v/>
      </c>
      <c r="AO52" s="466" t="str">
        <f>IF(C52="","",VLOOKUP(C52,非_係数!$B$5:$K$36,9,FALSE))</f>
        <v/>
      </c>
      <c r="AP52" s="466" t="str">
        <f t="shared" si="38"/>
        <v/>
      </c>
      <c r="AQ52" s="466" t="str">
        <f>IF(C52="","",VLOOKUP(C52,非_まとめ表行番号!$B$3:$D$34,3,FALSE))</f>
        <v/>
      </c>
      <c r="AR52" s="466" t="str">
        <f t="shared" si="39"/>
        <v/>
      </c>
    </row>
    <row r="53" spans="1:44" ht="19.5" customHeight="1">
      <c r="A53" s="483"/>
      <c r="B53" s="519"/>
      <c r="C53" s="519"/>
      <c r="D53" s="519"/>
      <c r="E53" s="458"/>
      <c r="F53" s="519"/>
      <c r="G53" s="519"/>
      <c r="H53" s="458"/>
      <c r="I53" s="458"/>
      <c r="J53" s="458"/>
      <c r="K53" s="458"/>
      <c r="L53" s="458"/>
      <c r="M53" s="458"/>
      <c r="N53" s="458"/>
      <c r="O53" s="458"/>
      <c r="P53" s="458"/>
      <c r="Q53" s="458"/>
      <c r="R53" s="458"/>
      <c r="S53" s="458"/>
      <c r="T53" s="497"/>
      <c r="U53" s="569" t="str">
        <f t="shared" si="11"/>
        <v/>
      </c>
      <c r="V53" s="570" t="str">
        <f t="shared" si="33"/>
        <v/>
      </c>
      <c r="W53" s="521" t="str">
        <f>IF(C53="","",VLOOKUP(C53,非_単位!$N$3:$O$34,2,FALSE))</f>
        <v/>
      </c>
      <c r="X53" s="571" t="str">
        <f>IF(C53="","",VLOOKUP(C53,非_係数!$B$5:$F$36,2,FALSE))</f>
        <v/>
      </c>
      <c r="Y53" s="572" t="str">
        <f t="shared" si="34"/>
        <v/>
      </c>
      <c r="Z53" s="573" t="str">
        <f>IF(C53="","",VLOOKUP(C53,非_係数!$B$5:$F$36,4,FALSE))</f>
        <v/>
      </c>
      <c r="AA53" s="574" t="str">
        <f t="shared" si="35"/>
        <v/>
      </c>
      <c r="AB53" s="464"/>
      <c r="AC53" s="466" t="str">
        <f t="shared" si="32"/>
        <v/>
      </c>
      <c r="AD53" s="466" t="str">
        <f>IF(G53="","",VLOOKUP(G53,非_単位補正換算!$B$3:$C$16,2,FALSE))</f>
        <v/>
      </c>
      <c r="AE53" s="466" t="str">
        <f>IF(G53="","",IF(SUMIFS(非_単位補正換算!$D$19:$D$48,非_単位補正換算!$B$19:$B$48,燃料!C53,非_単位補正換算!$C$19:$C$48,燃料!G53)=0,1,SUMIFS(非_単位補正換算!$D$19:$D$48,非_単位補正換算!$B$19:$B$48,燃料!C53,非_単位補正換算!$C$19:$C$48,燃料!G53)))</f>
        <v/>
      </c>
      <c r="AF53" s="467" t="str">
        <f t="shared" si="36"/>
        <v/>
      </c>
      <c r="AG53" s="467" t="str">
        <f t="shared" si="5"/>
        <v/>
      </c>
      <c r="AH53" s="467" t="str">
        <f t="shared" si="6"/>
        <v/>
      </c>
      <c r="AI53" s="466" t="str">
        <f>IF(C53="","",VLOOKUP(C53,非_まとめ表行番号!$B$3:$C$34,2,FALSE))</f>
        <v/>
      </c>
      <c r="AJ53" s="525" t="str">
        <f>IF(AI53="","",VLOOKUP(AI53,非_まとめ表行番号!$U$3:$V$56,2,FALSE))</f>
        <v/>
      </c>
      <c r="AK53" s="468" t="str">
        <f>IF(C53="","",VLOOKUP(C53,非_係数!$B$5:$K$36,6,FALSE))</f>
        <v/>
      </c>
      <c r="AL53" s="467" t="str">
        <f t="shared" si="7"/>
        <v/>
      </c>
      <c r="AM53" s="466" t="str">
        <f>IF(C53="","",VLOOKUP(C53,非_係数!$B$5:$K$36,7,FALSE))</f>
        <v/>
      </c>
      <c r="AN53" s="466" t="str">
        <f t="shared" si="37"/>
        <v/>
      </c>
      <c r="AO53" s="466" t="str">
        <f>IF(C53="","",VLOOKUP(C53,非_係数!$B$5:$K$36,9,FALSE))</f>
        <v/>
      </c>
      <c r="AP53" s="466" t="str">
        <f t="shared" si="38"/>
        <v/>
      </c>
      <c r="AQ53" s="466" t="str">
        <f>IF(C53="","",VLOOKUP(C53,非_まとめ表行番号!$B$3:$D$34,3,FALSE))</f>
        <v/>
      </c>
      <c r="AR53" s="466" t="str">
        <f t="shared" si="39"/>
        <v/>
      </c>
    </row>
    <row r="54" spans="1:44" ht="19.5" customHeight="1">
      <c r="A54" s="483"/>
      <c r="B54" s="519"/>
      <c r="C54" s="519"/>
      <c r="D54" s="519"/>
      <c r="E54" s="458"/>
      <c r="F54" s="519"/>
      <c r="G54" s="519"/>
      <c r="H54" s="458"/>
      <c r="I54" s="458"/>
      <c r="J54" s="458"/>
      <c r="K54" s="458"/>
      <c r="L54" s="458"/>
      <c r="M54" s="458"/>
      <c r="N54" s="458"/>
      <c r="O54" s="458"/>
      <c r="P54" s="458"/>
      <c r="Q54" s="458"/>
      <c r="R54" s="458"/>
      <c r="S54" s="458"/>
      <c r="T54" s="497"/>
      <c r="U54" s="569" t="str">
        <f t="shared" si="11"/>
        <v/>
      </c>
      <c r="V54" s="570" t="str">
        <f t="shared" si="33"/>
        <v/>
      </c>
      <c r="W54" s="521" t="str">
        <f>IF(C54="","",VLOOKUP(C54,非_単位!$N$3:$O$34,2,FALSE))</f>
        <v/>
      </c>
      <c r="X54" s="571" t="str">
        <f>IF(C54="","",VLOOKUP(C54,非_係数!$B$5:$F$36,2,FALSE))</f>
        <v/>
      </c>
      <c r="Y54" s="572" t="str">
        <f t="shared" si="34"/>
        <v/>
      </c>
      <c r="Z54" s="573" t="str">
        <f>IF(C54="","",VLOOKUP(C54,非_係数!$B$5:$F$36,4,FALSE))</f>
        <v/>
      </c>
      <c r="AA54" s="574" t="str">
        <f t="shared" si="35"/>
        <v/>
      </c>
      <c r="AB54" s="464"/>
      <c r="AC54" s="466" t="str">
        <f t="shared" si="32"/>
        <v/>
      </c>
      <c r="AD54" s="466" t="str">
        <f>IF(G54="","",VLOOKUP(G54,非_単位補正換算!$B$3:$C$16,2,FALSE))</f>
        <v/>
      </c>
      <c r="AE54" s="466" t="str">
        <f>IF(G54="","",IF(SUMIFS(非_単位補正換算!$D$19:$D$48,非_単位補正換算!$B$19:$B$48,燃料!C54,非_単位補正換算!$C$19:$C$48,燃料!G54)=0,1,SUMIFS(非_単位補正換算!$D$19:$D$48,非_単位補正換算!$B$19:$B$48,燃料!C54,非_単位補正換算!$C$19:$C$48,燃料!G54)))</f>
        <v/>
      </c>
      <c r="AF54" s="467" t="str">
        <f t="shared" si="36"/>
        <v/>
      </c>
      <c r="AG54" s="467" t="str">
        <f t="shared" si="5"/>
        <v/>
      </c>
      <c r="AH54" s="467" t="str">
        <f t="shared" si="6"/>
        <v/>
      </c>
      <c r="AI54" s="466" t="str">
        <f>IF(C54="","",VLOOKUP(C54,非_まとめ表行番号!$B$3:$C$34,2,FALSE))</f>
        <v/>
      </c>
      <c r="AJ54" s="525" t="str">
        <f>IF(AI54="","",VLOOKUP(AI54,非_まとめ表行番号!$U$3:$V$56,2,FALSE))</f>
        <v/>
      </c>
      <c r="AK54" s="468" t="str">
        <f>IF(C54="","",VLOOKUP(C54,非_係数!$B$5:$K$36,6,FALSE))</f>
        <v/>
      </c>
      <c r="AL54" s="467" t="str">
        <f t="shared" si="7"/>
        <v/>
      </c>
      <c r="AM54" s="466" t="str">
        <f>IF(C54="","",VLOOKUP(C54,非_係数!$B$5:$K$36,7,FALSE))</f>
        <v/>
      </c>
      <c r="AN54" s="466" t="str">
        <f t="shared" si="37"/>
        <v/>
      </c>
      <c r="AO54" s="466" t="str">
        <f>IF(C54="","",VLOOKUP(C54,非_係数!$B$5:$K$36,9,FALSE))</f>
        <v/>
      </c>
      <c r="AP54" s="466" t="str">
        <f t="shared" si="38"/>
        <v/>
      </c>
      <c r="AQ54" s="466" t="str">
        <f>IF(C54="","",VLOOKUP(C54,非_まとめ表行番号!$B$3:$D$34,3,FALSE))</f>
        <v/>
      </c>
      <c r="AR54" s="466" t="str">
        <f t="shared" si="39"/>
        <v/>
      </c>
    </row>
    <row r="55" spans="1:44" ht="19.5" customHeight="1">
      <c r="A55" s="483"/>
      <c r="B55" s="519"/>
      <c r="C55" s="519"/>
      <c r="D55" s="519"/>
      <c r="E55" s="458"/>
      <c r="F55" s="519"/>
      <c r="G55" s="519"/>
      <c r="H55" s="458"/>
      <c r="I55" s="458"/>
      <c r="J55" s="458"/>
      <c r="K55" s="458"/>
      <c r="L55" s="458"/>
      <c r="M55" s="458"/>
      <c r="N55" s="458"/>
      <c r="O55" s="458"/>
      <c r="P55" s="458"/>
      <c r="Q55" s="458"/>
      <c r="R55" s="458"/>
      <c r="S55" s="458"/>
      <c r="T55" s="497"/>
      <c r="U55" s="569" t="str">
        <f t="shared" si="11"/>
        <v/>
      </c>
      <c r="V55" s="570" t="str">
        <f t="shared" si="33"/>
        <v/>
      </c>
      <c r="W55" s="521" t="str">
        <f>IF(C55="","",VLOOKUP(C55,非_単位!$N$3:$O$34,2,FALSE))</f>
        <v/>
      </c>
      <c r="X55" s="571" t="str">
        <f>IF(C55="","",VLOOKUP(C55,非_係数!$B$5:$F$36,2,FALSE))</f>
        <v/>
      </c>
      <c r="Y55" s="572" t="str">
        <f t="shared" si="34"/>
        <v/>
      </c>
      <c r="Z55" s="573" t="str">
        <f>IF(C55="","",VLOOKUP(C55,非_係数!$B$5:$F$36,4,FALSE))</f>
        <v/>
      </c>
      <c r="AA55" s="574" t="str">
        <f t="shared" si="35"/>
        <v/>
      </c>
      <c r="AB55" s="464"/>
      <c r="AC55" s="466" t="str">
        <f t="shared" si="32"/>
        <v/>
      </c>
      <c r="AD55" s="466" t="str">
        <f>IF(G55="","",VLOOKUP(G55,非_単位補正換算!$B$3:$C$16,2,FALSE))</f>
        <v/>
      </c>
      <c r="AE55" s="466" t="str">
        <f>IF(G55="","",IF(SUMIFS(非_単位補正換算!$D$19:$D$48,非_単位補正換算!$B$19:$B$48,燃料!C55,非_単位補正換算!$C$19:$C$48,燃料!G55)=0,1,SUMIFS(非_単位補正換算!$D$19:$D$48,非_単位補正換算!$B$19:$B$48,燃料!C55,非_単位補正換算!$C$19:$C$48,燃料!G55)))</f>
        <v/>
      </c>
      <c r="AF55" s="467" t="str">
        <f t="shared" si="36"/>
        <v/>
      </c>
      <c r="AG55" s="467" t="str">
        <f t="shared" si="5"/>
        <v/>
      </c>
      <c r="AH55" s="467" t="str">
        <f t="shared" si="6"/>
        <v/>
      </c>
      <c r="AI55" s="466" t="str">
        <f>IF(C55="","",VLOOKUP(C55,非_まとめ表行番号!$B$3:$C$34,2,FALSE))</f>
        <v/>
      </c>
      <c r="AJ55" s="525" t="str">
        <f>IF(AI55="","",VLOOKUP(AI55,非_まとめ表行番号!$U$3:$V$56,2,FALSE))</f>
        <v/>
      </c>
      <c r="AK55" s="468" t="str">
        <f>IF(C55="","",VLOOKUP(C55,非_係数!$B$5:$K$36,6,FALSE))</f>
        <v/>
      </c>
      <c r="AL55" s="467" t="str">
        <f t="shared" si="7"/>
        <v/>
      </c>
      <c r="AM55" s="466" t="str">
        <f>IF(C55="","",VLOOKUP(C55,非_係数!$B$5:$K$36,7,FALSE))</f>
        <v/>
      </c>
      <c r="AN55" s="466" t="str">
        <f t="shared" si="37"/>
        <v/>
      </c>
      <c r="AO55" s="466" t="str">
        <f>IF(C55="","",VLOOKUP(C55,非_係数!$B$5:$K$36,9,FALSE))</f>
        <v/>
      </c>
      <c r="AP55" s="466" t="str">
        <f t="shared" si="38"/>
        <v/>
      </c>
      <c r="AQ55" s="466" t="str">
        <f>IF(C55="","",VLOOKUP(C55,非_まとめ表行番号!$B$3:$D$34,3,FALSE))</f>
        <v/>
      </c>
      <c r="AR55" s="466" t="str">
        <f t="shared" si="39"/>
        <v/>
      </c>
    </row>
    <row r="56" spans="1:44" ht="19.5" customHeight="1">
      <c r="A56" s="483"/>
      <c r="B56" s="519"/>
      <c r="C56" s="519"/>
      <c r="D56" s="519"/>
      <c r="E56" s="458"/>
      <c r="F56" s="519"/>
      <c r="G56" s="519"/>
      <c r="H56" s="458"/>
      <c r="I56" s="458"/>
      <c r="J56" s="458"/>
      <c r="K56" s="458"/>
      <c r="L56" s="458"/>
      <c r="M56" s="458"/>
      <c r="N56" s="458"/>
      <c r="O56" s="458"/>
      <c r="P56" s="458"/>
      <c r="Q56" s="458"/>
      <c r="R56" s="458"/>
      <c r="S56" s="458"/>
      <c r="T56" s="497"/>
      <c r="U56" s="569" t="str">
        <f t="shared" si="11"/>
        <v/>
      </c>
      <c r="V56" s="570" t="str">
        <f t="shared" si="33"/>
        <v/>
      </c>
      <c r="W56" s="521" t="str">
        <f>IF(C56="","",VLOOKUP(C56,非_単位!$N$3:$O$34,2,FALSE))</f>
        <v/>
      </c>
      <c r="X56" s="571" t="str">
        <f>IF(C56="","",VLOOKUP(C56,非_係数!$B$5:$F$36,2,FALSE))</f>
        <v/>
      </c>
      <c r="Y56" s="572" t="str">
        <f t="shared" si="34"/>
        <v/>
      </c>
      <c r="Z56" s="573" t="str">
        <f>IF(C56="","",VLOOKUP(C56,非_係数!$B$5:$F$36,4,FALSE))</f>
        <v/>
      </c>
      <c r="AA56" s="574" t="str">
        <f t="shared" si="35"/>
        <v/>
      </c>
      <c r="AB56" s="464"/>
      <c r="AC56" s="466" t="str">
        <f t="shared" si="32"/>
        <v/>
      </c>
      <c r="AD56" s="466" t="str">
        <f>IF(G56="","",VLOOKUP(G56,非_単位補正換算!$B$3:$C$16,2,FALSE))</f>
        <v/>
      </c>
      <c r="AE56" s="466" t="str">
        <f>IF(G56="","",IF(SUMIFS(非_単位補正換算!$D$19:$D$48,非_単位補正換算!$B$19:$B$48,燃料!C56,非_単位補正換算!$C$19:$C$48,燃料!G56)=0,1,SUMIFS(非_単位補正換算!$D$19:$D$48,非_単位補正換算!$B$19:$B$48,燃料!C56,非_単位補正換算!$C$19:$C$48,燃料!G56)))</f>
        <v/>
      </c>
      <c r="AF56" s="467" t="str">
        <f t="shared" si="36"/>
        <v/>
      </c>
      <c r="AG56" s="467" t="str">
        <f t="shared" si="5"/>
        <v/>
      </c>
      <c r="AH56" s="467" t="str">
        <f t="shared" si="6"/>
        <v/>
      </c>
      <c r="AI56" s="466" t="str">
        <f>IF(C56="","",VLOOKUP(C56,非_まとめ表行番号!$B$3:$C$34,2,FALSE))</f>
        <v/>
      </c>
      <c r="AJ56" s="525" t="str">
        <f>IF(AI56="","",VLOOKUP(AI56,非_まとめ表行番号!$U$3:$V$56,2,FALSE))</f>
        <v/>
      </c>
      <c r="AK56" s="468" t="str">
        <f>IF(C56="","",VLOOKUP(C56,非_係数!$B$5:$K$36,6,FALSE))</f>
        <v/>
      </c>
      <c r="AL56" s="467" t="str">
        <f t="shared" si="7"/>
        <v/>
      </c>
      <c r="AM56" s="466" t="str">
        <f>IF(C56="","",VLOOKUP(C56,非_係数!$B$5:$K$36,7,FALSE))</f>
        <v/>
      </c>
      <c r="AN56" s="466" t="str">
        <f t="shared" si="37"/>
        <v/>
      </c>
      <c r="AO56" s="466" t="str">
        <f>IF(C56="","",VLOOKUP(C56,非_係数!$B$5:$K$36,9,FALSE))</f>
        <v/>
      </c>
      <c r="AP56" s="466" t="str">
        <f t="shared" si="38"/>
        <v/>
      </c>
      <c r="AQ56" s="466" t="str">
        <f>IF(C56="","",VLOOKUP(C56,非_まとめ表行番号!$B$3:$D$34,3,FALSE))</f>
        <v/>
      </c>
      <c r="AR56" s="466" t="str">
        <f t="shared" si="39"/>
        <v/>
      </c>
    </row>
    <row r="57" spans="1:44" ht="19.5" customHeight="1">
      <c r="A57" s="483"/>
      <c r="B57" s="519"/>
      <c r="C57" s="519"/>
      <c r="D57" s="519"/>
      <c r="E57" s="458"/>
      <c r="F57" s="519"/>
      <c r="G57" s="519"/>
      <c r="H57" s="458"/>
      <c r="I57" s="458"/>
      <c r="J57" s="458"/>
      <c r="K57" s="458"/>
      <c r="L57" s="458"/>
      <c r="M57" s="458"/>
      <c r="N57" s="458"/>
      <c r="O57" s="458"/>
      <c r="P57" s="458"/>
      <c r="Q57" s="458"/>
      <c r="R57" s="458"/>
      <c r="S57" s="458"/>
      <c r="T57" s="497"/>
      <c r="U57" s="569" t="str">
        <f t="shared" si="11"/>
        <v/>
      </c>
      <c r="V57" s="570" t="str">
        <f t="shared" ref="V57" si="40">IF(AF57="","",-1*AF57)</f>
        <v/>
      </c>
      <c r="W57" s="521" t="str">
        <f>IF(C57="","",VLOOKUP(C57,非_単位!$N$3:$O$34,2,FALSE))</f>
        <v/>
      </c>
      <c r="X57" s="571" t="str">
        <f>IF(C57="","",VLOOKUP(C57,非_係数!$B$5:$F$36,2,FALSE))</f>
        <v/>
      </c>
      <c r="Y57" s="572" t="str">
        <f t="shared" ref="Y57" si="41">IF(AG57="","",-1*AG57)</f>
        <v/>
      </c>
      <c r="Z57" s="573" t="str">
        <f>IF(C57="","",VLOOKUP(C57,非_係数!$B$5:$F$36,4,FALSE))</f>
        <v/>
      </c>
      <c r="AA57" s="574" t="str">
        <f t="shared" ref="AA57" si="42">IF(AH57="","",-1*AH57)</f>
        <v/>
      </c>
      <c r="AB57" s="464"/>
      <c r="AC57" s="466" t="str">
        <f t="shared" ref="AC57" si="43">IF(B57="","","燃料種選択")</f>
        <v/>
      </c>
      <c r="AD57" s="466" t="str">
        <f>IF(G57="","",VLOOKUP(G57,非_単位補正換算!$B$3:$C$16,2,FALSE))</f>
        <v/>
      </c>
      <c r="AE57" s="466" t="str">
        <f>IF(G57="","",IF(SUMIFS(非_単位補正換算!$D$19:$D$48,非_単位補正換算!$B$19:$B$48,燃料!C57,非_単位補正換算!$C$19:$C$48,燃料!G57)=0,1,SUMIFS(非_単位補正換算!$D$19:$D$48,非_単位補正換算!$B$19:$B$48,燃料!C57,非_単位補正換算!$C$19:$C$48,燃料!G57)))</f>
        <v/>
      </c>
      <c r="AF57" s="467" t="str">
        <f t="shared" ref="AF57" si="44">IF(AND(U57&lt;&gt;"",AD57&lt;&gt;"",AE57&lt;&gt;""),-1*U57/AD57*AE57,"")</f>
        <v/>
      </c>
      <c r="AG57" s="467" t="str">
        <f t="shared" ref="AG57" si="45">IF(AND(X57&lt;&gt;"",AF57&lt;&gt;""),AF57*X57,"")</f>
        <v/>
      </c>
      <c r="AH57" s="467" t="str">
        <f t="shared" ref="AH57" si="46">IF(AND(Z57&lt;&gt;"",AF57&lt;&gt;"",X57&lt;&gt;""),AF57*X57*Z57*44/12,"")</f>
        <v/>
      </c>
      <c r="AI57" s="466" t="str">
        <f>IF(C57="","",VLOOKUP(C57,非_まとめ表行番号!$B$3:$C$34,2,FALSE))</f>
        <v/>
      </c>
      <c r="AJ57" s="525" t="str">
        <f>IF(AI57="","",VLOOKUP(AI57,非_まとめ表行番号!$U$3:$V$56,2,FALSE))</f>
        <v/>
      </c>
      <c r="AK57" s="468" t="str">
        <f>IF(C57="","",VLOOKUP(C57,非_係数!$B$5:$K$36,6,FALSE))</f>
        <v/>
      </c>
      <c r="AL57" s="467" t="str">
        <f t="shared" ref="AL57" si="47">IF(AF57="","",AF57*AK57)</f>
        <v/>
      </c>
      <c r="AM57" s="466" t="str">
        <f>IF(C57="","",VLOOKUP(C57,非_係数!$B$5:$K$36,7,FALSE))</f>
        <v/>
      </c>
      <c r="AN57" s="466" t="str">
        <f t="shared" ref="AN57" si="48">IF(AL57="","",AL57*AM57)</f>
        <v/>
      </c>
      <c r="AO57" s="466" t="str">
        <f>IF(C57="","",VLOOKUP(C57,非_係数!$B$5:$K$36,9,FALSE))</f>
        <v/>
      </c>
      <c r="AP57" s="466" t="str">
        <f t="shared" ref="AP57" si="49">IF(AN57="","",AN57*AO57*44/12)</f>
        <v/>
      </c>
      <c r="AQ57" s="466" t="str">
        <f>IF(C57="","",VLOOKUP(C57,非_まとめ表行番号!$B$3:$D$34,3,FALSE))</f>
        <v/>
      </c>
      <c r="AR57" s="466" t="str">
        <f t="shared" si="39"/>
        <v/>
      </c>
    </row>
    <row r="58" spans="1:44" ht="19.5" customHeight="1" thickBot="1">
      <c r="A58" s="485"/>
      <c r="B58" s="411"/>
      <c r="C58" s="411"/>
      <c r="D58" s="411"/>
      <c r="E58" s="459"/>
      <c r="F58" s="411"/>
      <c r="G58" s="411"/>
      <c r="H58" s="459"/>
      <c r="I58" s="459"/>
      <c r="J58" s="459"/>
      <c r="K58" s="459"/>
      <c r="L58" s="459"/>
      <c r="M58" s="459"/>
      <c r="N58" s="459"/>
      <c r="O58" s="459"/>
      <c r="P58" s="459"/>
      <c r="Q58" s="459"/>
      <c r="R58" s="459"/>
      <c r="S58" s="459"/>
      <c r="T58" s="502"/>
      <c r="U58" s="576" t="str">
        <f t="shared" si="11"/>
        <v/>
      </c>
      <c r="V58" s="577" t="str">
        <f t="shared" si="33"/>
        <v/>
      </c>
      <c r="W58" s="523" t="str">
        <f>IF(C58="","",VLOOKUP(C58,非_単位!$N$3:$O$34,2,FALSE))</f>
        <v/>
      </c>
      <c r="X58" s="578" t="str">
        <f>IF(C58="","",VLOOKUP(C58,非_係数!$B$5:$F$36,2,FALSE))</f>
        <v/>
      </c>
      <c r="Y58" s="579" t="str">
        <f t="shared" si="34"/>
        <v/>
      </c>
      <c r="Z58" s="580" t="str">
        <f>IF(C58="","",VLOOKUP(C58,非_係数!$B$5:$F$36,4,FALSE))</f>
        <v/>
      </c>
      <c r="AA58" s="581" t="str">
        <f t="shared" si="35"/>
        <v/>
      </c>
      <c r="AB58" s="464"/>
      <c r="AC58" s="466" t="str">
        <f t="shared" si="32"/>
        <v/>
      </c>
      <c r="AD58" s="466" t="str">
        <f>IF(G58="","",VLOOKUP(G58,非_単位補正換算!$B$3:$C$16,2,FALSE))</f>
        <v/>
      </c>
      <c r="AE58" s="466" t="str">
        <f>IF(G58="","",IF(SUMIFS(非_単位補正換算!$D$19:$D$48,非_単位補正換算!$B$19:$B$48,燃料!C58,非_単位補正換算!$C$19:$C$48,燃料!G58)=0,1,SUMIFS(非_単位補正換算!$D$19:$D$48,非_単位補正換算!$B$19:$B$48,燃料!C58,非_単位補正換算!$C$19:$C$48,燃料!G58)))</f>
        <v/>
      </c>
      <c r="AF58" s="467" t="str">
        <f t="shared" si="36"/>
        <v/>
      </c>
      <c r="AG58" s="467" t="str">
        <f t="shared" si="5"/>
        <v/>
      </c>
      <c r="AH58" s="467" t="str">
        <f t="shared" si="6"/>
        <v/>
      </c>
      <c r="AI58" s="466" t="str">
        <f>IF(C58="","",VLOOKUP(C58,非_まとめ表行番号!$B$3:$C$34,2,FALSE))</f>
        <v/>
      </c>
      <c r="AJ58" s="525" t="str">
        <f>IF(AI58="","",VLOOKUP(AI58,非_まとめ表行番号!$U$3:$V$56,2,FALSE))</f>
        <v/>
      </c>
      <c r="AK58" s="468" t="str">
        <f>IF(C58="","",VLOOKUP(C58,非_係数!$B$5:$K$36,6,FALSE))</f>
        <v/>
      </c>
      <c r="AL58" s="467" t="str">
        <f t="shared" si="7"/>
        <v/>
      </c>
      <c r="AM58" s="466" t="str">
        <f>IF(C58="","",VLOOKUP(C58,非_係数!$B$5:$K$36,7,FALSE))</f>
        <v/>
      </c>
      <c r="AN58" s="466" t="str">
        <f t="shared" si="37"/>
        <v/>
      </c>
      <c r="AO58" s="466" t="str">
        <f>IF(C58="","",VLOOKUP(C58,非_係数!$B$5:$K$36,9,FALSE))</f>
        <v/>
      </c>
      <c r="AP58" s="466" t="str">
        <f t="shared" si="38"/>
        <v/>
      </c>
      <c r="AQ58" s="466" t="str">
        <f>IF(C58="","",VLOOKUP(C58,非_まとめ表行番号!$B$3:$D$34,3,FALSE))</f>
        <v/>
      </c>
      <c r="AR58" s="466" t="str">
        <f t="shared" si="39"/>
        <v/>
      </c>
    </row>
  </sheetData>
  <sheetProtection algorithmName="SHA-512" hashValue="ZGWVbp9O6oD5XB6yuFozMTp0Ivu/QKySeHCnQR9h0LuZrtYq+7qAic87P0W6EWyyr/bLF7mRVmLZAIe1jywNbw==" saltValue="OpUmCYViZUsDVrj6vO3aUA==" spinCount="100000" sheet="1" objects="1" scenarios="1"/>
  <dataConsolidate link="1"/>
  <mergeCells count="30">
    <mergeCell ref="Z1:AA1"/>
    <mergeCell ref="AD4:AD5"/>
    <mergeCell ref="AE4:AE5"/>
    <mergeCell ref="AF4:AF5"/>
    <mergeCell ref="AI4:AI5"/>
    <mergeCell ref="AG4:AG5"/>
    <mergeCell ref="AH4:AH5"/>
    <mergeCell ref="Z4:Z5"/>
    <mergeCell ref="AC4:AC5"/>
    <mergeCell ref="G4:G5"/>
    <mergeCell ref="AA4:AA5"/>
    <mergeCell ref="U4:U5"/>
    <mergeCell ref="Y4:Y5"/>
    <mergeCell ref="X4:X5"/>
    <mergeCell ref="V4:W5"/>
    <mergeCell ref="E4:F4"/>
    <mergeCell ref="A2:C2"/>
    <mergeCell ref="A4:A5"/>
    <mergeCell ref="B4:B5"/>
    <mergeCell ref="C4:C5"/>
    <mergeCell ref="D4:D5"/>
    <mergeCell ref="AJ4:AJ5"/>
    <mergeCell ref="AQ4:AQ5"/>
    <mergeCell ref="AR4:AR5"/>
    <mergeCell ref="AK4:AK5"/>
    <mergeCell ref="AL4:AL5"/>
    <mergeCell ref="AM4:AM5"/>
    <mergeCell ref="AN4:AN5"/>
    <mergeCell ref="AO4:AO5"/>
    <mergeCell ref="AP4:AP5"/>
  </mergeCells>
  <phoneticPr fontId="5"/>
  <conditionalFormatting sqref="E44:F58 E7:F42">
    <cfRule type="expression" dxfId="38" priority="3">
      <formula>$D7&lt;&gt;"計量器の実測値"</formula>
    </cfRule>
  </conditionalFormatting>
  <conditionalFormatting sqref="T7:T42 T44:T58">
    <cfRule type="expression" dxfId="37" priority="1">
      <formula>OR($F7="有",$F7="")</formula>
    </cfRule>
  </conditionalFormatting>
  <dataValidations count="8">
    <dataValidation type="list" allowBlank="1" showInputMessage="1" showErrorMessage="1" sqref="C44:C58 C7:C42" xr:uid="{00000000-0002-0000-0400-000000000000}">
      <formula1>INDIRECT(AC7)</formula1>
    </dataValidation>
    <dataValidation type="list" allowBlank="1" showInputMessage="1" showErrorMessage="1" sqref="F7:F42 F44:F58" xr:uid="{00000000-0002-0000-0400-000001000000}">
      <formula1>計量器_検定有無_選択</formula1>
    </dataValidation>
    <dataValidation type="list" allowBlank="1" showInputMessage="1" showErrorMessage="1" sqref="D7:D42 D44:D58" xr:uid="{00000000-0002-0000-0400-000002000000}">
      <formula1>使用量把握方法_選択</formula1>
    </dataValidation>
    <dataValidation imeMode="disabled" allowBlank="1" showInputMessage="1" showErrorMessage="1" sqref="H7:S42 H44:S58" xr:uid="{00000000-0002-0000-0400-000003000000}"/>
    <dataValidation imeMode="halfAlpha" allowBlank="1" showInputMessage="1" showErrorMessage="1" sqref="Z7:Z42 X7:X42" xr:uid="{00000000-0002-0000-0400-000004000000}"/>
    <dataValidation type="list" allowBlank="1" showInputMessage="1" showErrorMessage="1" sqref="B7:B42" xr:uid="{00000000-0002-0000-0400-000005000000}">
      <formula1>燃料_排出活動①</formula1>
    </dataValidation>
    <dataValidation type="list" allowBlank="1" showInputMessage="1" showErrorMessage="1" sqref="B44:B58" xr:uid="{00000000-0002-0000-0400-000006000000}">
      <formula1>燃料_排出活動②</formula1>
    </dataValidation>
    <dataValidation type="list" imeMode="disabled" allowBlank="1" showInputMessage="1" showErrorMessage="1" sqref="T44:T58 T7:T42" xr:uid="{00000000-0002-0000-0400-000007000000}">
      <formula1>INDIRECT(AR7)</formula1>
    </dataValidation>
  </dataValidations>
  <pageMargins left="0.59055118110236227" right="0.39370078740157483" top="0.59055118110236227" bottom="0.59055118110236227" header="0.31496062992125984" footer="0.31496062992125984"/>
  <pageSetup paperSize="9"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8000000}">
          <x14:formula1>
            <xm:f>IF(C7=非_単位!$N$33,INDIRECT("その他の燃料①_単位"),IF(C7=非_単位!$N$34,INDIRECT("その他の燃料②_単位"),INDIRECT(C7&amp;"_単位")))</xm:f>
          </x14:formula1>
          <xm:sqref>G44:G58 G7:G42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U80"/>
  <sheetViews>
    <sheetView showGridLines="0" zoomScale="70" zoomScaleNormal="70" zoomScaleSheetLayoutView="70" workbookViewId="0">
      <pane ySplit="6" topLeftCell="A7" activePane="bottomLeft" state="frozen"/>
      <selection pane="bottomLeft"/>
    </sheetView>
  </sheetViews>
  <sheetFormatPr defaultColWidth="9" defaultRowHeight="18" outlineLevelCol="1"/>
  <cols>
    <col min="1" max="1" width="10.625" style="88" customWidth="1"/>
    <col min="2" max="2" width="29.375" style="88" customWidth="1"/>
    <col min="3" max="3" width="24.75" style="88" customWidth="1"/>
    <col min="4" max="4" width="30.375" style="88" customWidth="1"/>
    <col min="5" max="5" width="9.25" style="88" bestFit="1" customWidth="1"/>
    <col min="6" max="6" width="17.625" style="88" bestFit="1" customWidth="1"/>
    <col min="7" max="7" width="9.25" style="88" bestFit="1" customWidth="1"/>
    <col min="8" max="8" width="9.5" style="88" customWidth="1"/>
    <col min="9" max="9" width="9.75" style="88" customWidth="1"/>
    <col min="10" max="10" width="13" style="88" customWidth="1"/>
    <col min="11" max="11" width="10" style="88" customWidth="1"/>
    <col min="12" max="12" width="9.5" style="88" customWidth="1"/>
    <col min="13" max="13" width="10.375" style="88" customWidth="1"/>
    <col min="14" max="15" width="10.625" style="88" customWidth="1"/>
    <col min="16" max="16" width="5.375" style="88" customWidth="1"/>
    <col min="17" max="17" width="7.625" style="88" customWidth="1"/>
    <col min="18" max="30" width="8" style="88" customWidth="1"/>
    <col min="31" max="31" width="10.125" style="88" bestFit="1" customWidth="1"/>
    <col min="32" max="32" width="9.5" style="88" hidden="1" customWidth="1" outlineLevel="1"/>
    <col min="33" max="33" width="7.75" style="88" hidden="1" customWidth="1" outlineLevel="1"/>
    <col min="34" max="34" width="9" style="88" collapsed="1"/>
    <col min="35" max="35" width="9.5" style="88" customWidth="1"/>
    <col min="36" max="36" width="9" style="88"/>
    <col min="37" max="37" width="9" style="88" hidden="1" customWidth="1" outlineLevel="1"/>
    <col min="38" max="38" width="22" style="88" hidden="1" customWidth="1" outlineLevel="1"/>
    <col min="39" max="45" width="9" style="88" hidden="1" customWidth="1" outlineLevel="1"/>
    <col min="46" max="46" width="19.75" style="88" hidden="1" customWidth="1" outlineLevel="1"/>
    <col min="47" max="49" width="9" style="88" hidden="1" customWidth="1" outlineLevel="1"/>
    <col min="50" max="50" width="12.875" style="88" hidden="1" customWidth="1" outlineLevel="1"/>
    <col min="51" max="51" width="9.875" style="88" hidden="1" customWidth="1" outlineLevel="1"/>
    <col min="52" max="53" width="13.5" style="88" hidden="1" customWidth="1" outlineLevel="1"/>
    <col min="54" max="54" width="9" style="528" hidden="1" customWidth="1" outlineLevel="1"/>
    <col min="55" max="55" width="12.625" style="88" hidden="1" customWidth="1" outlineLevel="1"/>
    <col min="56" max="56" width="15.5" style="88" hidden="1" customWidth="1" outlineLevel="1"/>
    <col min="57" max="57" width="12.625" style="88" hidden="1" customWidth="1" outlineLevel="1"/>
    <col min="58" max="58" width="13.75" style="88" hidden="1" customWidth="1" outlineLevel="1"/>
    <col min="59" max="59" width="14" style="88" hidden="1" customWidth="1" outlineLevel="1"/>
    <col min="60" max="61" width="14.125" style="88" hidden="1" customWidth="1" outlineLevel="1"/>
    <col min="62" max="72" width="9" style="88" hidden="1" customWidth="1" outlineLevel="1"/>
    <col min="73" max="73" width="9" style="88" collapsed="1"/>
    <col min="74" max="16384" width="9" style="88"/>
  </cols>
  <sheetData>
    <row r="1" spans="1:71">
      <c r="A1" s="3" t="s">
        <v>309</v>
      </c>
      <c r="B1" s="3"/>
      <c r="C1" s="52"/>
      <c r="D1" s="52"/>
      <c r="E1" s="52"/>
      <c r="F1" s="52"/>
      <c r="G1" s="52"/>
      <c r="H1" s="52"/>
      <c r="I1" s="52"/>
      <c r="J1" s="52"/>
      <c r="K1" s="3"/>
      <c r="L1" s="52"/>
      <c r="M1" s="52"/>
      <c r="N1" s="52"/>
      <c r="O1" s="52"/>
      <c r="P1" s="52"/>
      <c r="Q1" s="52"/>
      <c r="R1" s="52"/>
      <c r="S1" s="52"/>
      <c r="T1" s="52"/>
      <c r="U1" s="52"/>
      <c r="V1" s="52"/>
      <c r="W1" s="52"/>
      <c r="X1" s="52"/>
      <c r="Y1" s="52"/>
      <c r="Z1" s="52"/>
      <c r="AA1" s="52"/>
      <c r="AB1" s="52"/>
      <c r="AC1" s="2"/>
      <c r="AD1" s="809" t="s">
        <v>0</v>
      </c>
      <c r="AE1" s="810"/>
      <c r="AF1" s="236" t="s">
        <v>865</v>
      </c>
      <c r="AG1" s="236" t="s">
        <v>865</v>
      </c>
      <c r="AH1" s="813" t="str">
        <f>IF(事業所概要_算定体制!D13="","",事業所概要_算定体制!D13)</f>
        <v/>
      </c>
      <c r="AI1" s="814"/>
    </row>
    <row r="2" spans="1:71" ht="18.75" customHeight="1">
      <c r="A2" s="788" t="s">
        <v>305</v>
      </c>
      <c r="B2" s="788"/>
      <c r="C2" s="788"/>
      <c r="D2" s="788"/>
      <c r="E2" s="788"/>
      <c r="F2" s="52"/>
      <c r="G2" s="52"/>
      <c r="H2" s="52"/>
      <c r="I2" s="52"/>
      <c r="J2" s="52"/>
      <c r="K2" s="52"/>
      <c r="L2" s="52"/>
      <c r="M2" s="52"/>
      <c r="N2" s="52"/>
      <c r="O2" s="52"/>
      <c r="P2" s="52"/>
      <c r="Q2" s="52"/>
      <c r="R2" s="52"/>
      <c r="S2" s="52"/>
      <c r="T2" s="52"/>
      <c r="U2" s="52"/>
      <c r="V2" s="52"/>
      <c r="W2" s="52"/>
      <c r="X2" s="52"/>
      <c r="Y2" s="52"/>
      <c r="Z2" s="52"/>
      <c r="AA2" s="52"/>
      <c r="AB2" s="52"/>
      <c r="AC2" s="2"/>
      <c r="AD2" s="2"/>
      <c r="AE2" s="2"/>
      <c r="AF2" s="237"/>
      <c r="AG2" s="237"/>
      <c r="AH2" s="817" t="str">
        <f>CONCATENATE(事業所概要_算定体制!$B$3,事業所概要_算定体制!$C$3,"年度")</f>
        <v>令和７年度</v>
      </c>
      <c r="AI2" s="817"/>
    </row>
    <row r="3" spans="1:71" ht="18.75" thickBot="1">
      <c r="A3" s="3"/>
      <c r="B3" s="3"/>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H3" s="52"/>
      <c r="AI3" s="52"/>
    </row>
    <row r="4" spans="1:71" ht="18" customHeight="1">
      <c r="A4" s="824" t="s">
        <v>217</v>
      </c>
      <c r="B4" s="826" t="s">
        <v>83</v>
      </c>
      <c r="C4" s="828" t="s">
        <v>219</v>
      </c>
      <c r="D4" s="821" t="s">
        <v>229</v>
      </c>
      <c r="E4" s="819"/>
      <c r="F4" s="819"/>
      <c r="G4" s="818" t="s">
        <v>225</v>
      </c>
      <c r="H4" s="819"/>
      <c r="I4" s="820"/>
      <c r="J4" s="489" t="s">
        <v>861</v>
      </c>
      <c r="K4" s="821" t="s">
        <v>227</v>
      </c>
      <c r="L4" s="819"/>
      <c r="M4" s="820"/>
      <c r="N4" s="828" t="s">
        <v>221</v>
      </c>
      <c r="O4" s="821" t="s">
        <v>218</v>
      </c>
      <c r="P4" s="820"/>
      <c r="Q4" s="828" t="s">
        <v>222</v>
      </c>
      <c r="R4" s="233" t="s">
        <v>88</v>
      </c>
      <c r="S4" s="233"/>
      <c r="T4" s="233"/>
      <c r="U4" s="233"/>
      <c r="V4" s="233"/>
      <c r="W4" s="233"/>
      <c r="X4" s="233"/>
      <c r="Y4" s="233"/>
      <c r="Z4" s="233"/>
      <c r="AA4" s="233"/>
      <c r="AB4" s="233"/>
      <c r="AC4" s="233"/>
      <c r="AD4" s="496"/>
      <c r="AE4" s="834" t="s">
        <v>835</v>
      </c>
      <c r="AF4" s="830" t="s">
        <v>836</v>
      </c>
      <c r="AG4" s="831"/>
      <c r="AH4" s="828" t="s">
        <v>233</v>
      </c>
      <c r="AI4" s="811" t="s">
        <v>862</v>
      </c>
      <c r="AK4" s="815" t="s">
        <v>659</v>
      </c>
      <c r="AL4" s="785" t="s">
        <v>637</v>
      </c>
      <c r="AM4" s="807" t="s">
        <v>797</v>
      </c>
      <c r="AN4" s="807"/>
      <c r="AO4" s="807" t="s">
        <v>798</v>
      </c>
      <c r="AP4" s="807"/>
      <c r="AQ4" s="807" t="s">
        <v>799</v>
      </c>
      <c r="AR4" s="807"/>
      <c r="AS4" s="785" t="s">
        <v>807</v>
      </c>
      <c r="AT4" s="785" t="s">
        <v>833</v>
      </c>
      <c r="AU4" s="785" t="s">
        <v>1027</v>
      </c>
      <c r="AV4" s="784" t="s">
        <v>837</v>
      </c>
      <c r="AW4" s="784" t="s">
        <v>849</v>
      </c>
      <c r="AX4" s="785" t="s">
        <v>634</v>
      </c>
      <c r="AY4" s="807" t="s">
        <v>233</v>
      </c>
      <c r="AZ4" s="807" t="s">
        <v>234</v>
      </c>
      <c r="BA4" s="807" t="s">
        <v>855</v>
      </c>
      <c r="BB4" s="785" t="s">
        <v>1032</v>
      </c>
      <c r="BC4" s="785" t="s">
        <v>852</v>
      </c>
      <c r="BD4" s="785" t="s">
        <v>634</v>
      </c>
      <c r="BE4" s="807" t="s">
        <v>853</v>
      </c>
      <c r="BF4" s="785" t="s">
        <v>648</v>
      </c>
      <c r="BG4" s="807" t="s">
        <v>854</v>
      </c>
      <c r="BH4" s="807" t="s">
        <v>856</v>
      </c>
      <c r="BI4" s="807" t="s">
        <v>1008</v>
      </c>
      <c r="BK4" s="815" t="s">
        <v>1012</v>
      </c>
      <c r="BL4" s="784" t="s">
        <v>1013</v>
      </c>
      <c r="BM4" s="784" t="s">
        <v>1014</v>
      </c>
      <c r="BN4" s="784" t="s">
        <v>1015</v>
      </c>
      <c r="BO4" s="784" t="s">
        <v>1016</v>
      </c>
      <c r="BP4" s="784" t="s">
        <v>1017</v>
      </c>
      <c r="BQ4" s="784" t="s">
        <v>1018</v>
      </c>
      <c r="BR4" s="784" t="s">
        <v>1019</v>
      </c>
      <c r="BS4" s="784" t="s">
        <v>1020</v>
      </c>
    </row>
    <row r="5" spans="1:71" ht="51" customHeight="1" thickBot="1">
      <c r="A5" s="825"/>
      <c r="B5" s="827"/>
      <c r="C5" s="829"/>
      <c r="D5" s="490" t="s">
        <v>1003</v>
      </c>
      <c r="E5" s="490" t="s">
        <v>231</v>
      </c>
      <c r="F5" s="488" t="s">
        <v>232</v>
      </c>
      <c r="G5" s="501" t="s">
        <v>663</v>
      </c>
      <c r="H5" s="488" t="s">
        <v>1000</v>
      </c>
      <c r="I5" s="488" t="s">
        <v>860</v>
      </c>
      <c r="J5" s="490" t="s">
        <v>806</v>
      </c>
      <c r="K5" s="488" t="s">
        <v>228</v>
      </c>
      <c r="L5" s="822" t="s">
        <v>863</v>
      </c>
      <c r="M5" s="823"/>
      <c r="N5" s="829"/>
      <c r="O5" s="490" t="s">
        <v>219</v>
      </c>
      <c r="P5" s="490" t="s">
        <v>220</v>
      </c>
      <c r="Q5" s="829"/>
      <c r="R5" s="234" t="s">
        <v>71</v>
      </c>
      <c r="S5" s="234" t="s">
        <v>72</v>
      </c>
      <c r="T5" s="234" t="s">
        <v>73</v>
      </c>
      <c r="U5" s="234" t="s">
        <v>74</v>
      </c>
      <c r="V5" s="234" t="s">
        <v>75</v>
      </c>
      <c r="W5" s="234" t="s">
        <v>76</v>
      </c>
      <c r="X5" s="234" t="s">
        <v>77</v>
      </c>
      <c r="Y5" s="234" t="s">
        <v>78</v>
      </c>
      <c r="Z5" s="234" t="s">
        <v>79</v>
      </c>
      <c r="AA5" s="234" t="s">
        <v>80</v>
      </c>
      <c r="AB5" s="234" t="s">
        <v>81</v>
      </c>
      <c r="AC5" s="234" t="s">
        <v>82</v>
      </c>
      <c r="AD5" s="536" t="s">
        <v>1029</v>
      </c>
      <c r="AE5" s="835"/>
      <c r="AF5" s="832"/>
      <c r="AG5" s="833"/>
      <c r="AH5" s="836"/>
      <c r="AI5" s="812"/>
      <c r="AK5" s="816"/>
      <c r="AL5" s="784"/>
      <c r="AM5" s="470" t="s">
        <v>790</v>
      </c>
      <c r="AN5" s="470" t="s">
        <v>791</v>
      </c>
      <c r="AO5" s="470" t="s">
        <v>790</v>
      </c>
      <c r="AP5" s="470" t="s">
        <v>791</v>
      </c>
      <c r="AQ5" s="470" t="s">
        <v>790</v>
      </c>
      <c r="AR5" s="470" t="s">
        <v>791</v>
      </c>
      <c r="AS5" s="784"/>
      <c r="AT5" s="784"/>
      <c r="AU5" s="784"/>
      <c r="AV5" s="784"/>
      <c r="AW5" s="784"/>
      <c r="AX5" s="784"/>
      <c r="AY5" s="808"/>
      <c r="AZ5" s="808"/>
      <c r="BA5" s="807"/>
      <c r="BB5" s="784"/>
      <c r="BC5" s="784"/>
      <c r="BD5" s="784"/>
      <c r="BE5" s="808"/>
      <c r="BF5" s="784"/>
      <c r="BG5" s="808"/>
      <c r="BH5" s="807"/>
      <c r="BI5" s="808"/>
      <c r="BK5" s="816"/>
      <c r="BL5" s="784"/>
      <c r="BM5" s="784"/>
      <c r="BN5" s="784"/>
      <c r="BO5" s="784"/>
      <c r="BP5" s="784"/>
      <c r="BQ5" s="784"/>
      <c r="BR5" s="784"/>
      <c r="BS5" s="784"/>
    </row>
    <row r="6" spans="1:71" ht="18" customHeight="1" thickTop="1" thickBot="1">
      <c r="A6" s="337" t="s">
        <v>318</v>
      </c>
      <c r="B6" s="338"/>
      <c r="C6" s="338"/>
      <c r="D6" s="338"/>
      <c r="E6" s="338"/>
      <c r="F6" s="338"/>
      <c r="G6" s="337"/>
      <c r="H6" s="338"/>
      <c r="I6" s="338"/>
      <c r="J6" s="338"/>
      <c r="K6" s="338"/>
      <c r="L6" s="338"/>
      <c r="M6" s="338"/>
      <c r="N6" s="338"/>
      <c r="O6" s="338"/>
      <c r="P6" s="338"/>
      <c r="Q6" s="338"/>
      <c r="R6" s="338"/>
      <c r="S6" s="338"/>
      <c r="T6" s="338"/>
      <c r="U6" s="338"/>
      <c r="V6" s="338"/>
      <c r="W6" s="338"/>
      <c r="X6" s="338"/>
      <c r="Y6" s="338"/>
      <c r="Z6" s="338"/>
      <c r="AA6" s="338"/>
      <c r="AB6" s="338"/>
      <c r="AC6" s="338"/>
      <c r="AD6" s="338"/>
      <c r="AE6" s="338"/>
      <c r="AF6" s="238"/>
      <c r="AG6" s="238"/>
      <c r="AH6" s="60"/>
      <c r="AI6" s="61"/>
    </row>
    <row r="7" spans="1:71" ht="18.75" customHeight="1" thickTop="1">
      <c r="A7" s="482"/>
      <c r="B7" s="406"/>
      <c r="C7" s="406"/>
      <c r="D7" s="406"/>
      <c r="E7" s="406"/>
      <c r="F7" s="499"/>
      <c r="G7" s="608"/>
      <c r="H7" s="609" t="str">
        <f>IF(AK7&lt;&gt;"都市ガス","",IF(ISERROR(VLOOKUP(D7,非_都市ガス事業者!$O$8:$P$200,2,FALSE)),"",VLOOKUP(D7,非_都市ガス事業者!$O$8:$P$200,2,FALSE)))</f>
        <v/>
      </c>
      <c r="I7" s="610" t="str">
        <f>IF(AK7&lt;&gt;"都市ガス","",非_都市ガス事業者!$P$4)</f>
        <v/>
      </c>
      <c r="J7" s="611" t="str">
        <f>IF(C7="","",IF(AK7&lt;&gt;"都市ガス",VLOOKUP(C7,非_係数!$B$42:$D$55,2,FALSE),""))</f>
        <v/>
      </c>
      <c r="K7" s="406"/>
      <c r="L7" s="486" t="str">
        <f>AS7</f>
        <v/>
      </c>
      <c r="M7" s="224" t="str">
        <f>AT7</f>
        <v/>
      </c>
      <c r="N7" s="406"/>
      <c r="O7" s="457"/>
      <c r="P7" s="406"/>
      <c r="Q7" s="406"/>
      <c r="R7" s="450"/>
      <c r="S7" s="450"/>
      <c r="T7" s="450"/>
      <c r="U7" s="450"/>
      <c r="V7" s="450"/>
      <c r="W7" s="450"/>
      <c r="X7" s="450"/>
      <c r="Y7" s="450"/>
      <c r="Z7" s="450"/>
      <c r="AA7" s="450"/>
      <c r="AB7" s="450"/>
      <c r="AC7" s="450"/>
      <c r="AD7" s="498"/>
      <c r="AE7" s="582" t="str">
        <f>IF(COUNT(R7:AC7)=0,"",IF(AD7="",SUM(R7:AC7),SUM(R7:AC7)*AD7))</f>
        <v/>
      </c>
      <c r="AF7" s="583" t="str">
        <f>AX7</f>
        <v/>
      </c>
      <c r="AG7" s="432" t="str">
        <f>IF(C7="","",VLOOKUP(C7,非_単位!$N$38:$O$53,2,FALSE))</f>
        <v/>
      </c>
      <c r="AH7" s="584" t="str">
        <f>AY7</f>
        <v/>
      </c>
      <c r="AI7" s="585" t="str">
        <f>AZ7</f>
        <v/>
      </c>
      <c r="AK7" s="466" t="str">
        <f t="shared" ref="AK7:AK50" si="0">IF(B7="","",IF(LEFT(B7,2)="電気","電気",IF(LEFT(B7,1)="熱","熱",IF(LEFT(B7,4)="都市ガス","都市ガス"))))</f>
        <v/>
      </c>
      <c r="AL7" s="466" t="str">
        <f>IF(B7="","",IF(B7=非_燃料種類_選択リスト!$I$3,"一般送配電_種類",IF(B7=非_燃料種類_選択リスト!$I$4,"一般送配電以外_種類",IF(B7=非_燃料種類_選択リスト!$I$5,"熱_種類",IF(B7=非_燃料種類_選択リスト!$I$6,"都市ガス_種類","")))))</f>
        <v/>
      </c>
      <c r="AM7" s="466" t="str">
        <f>IF(AK7&lt;&gt;"電気","",非_電気事業者!$S$4*1000)</f>
        <v/>
      </c>
      <c r="AN7" s="466" t="str">
        <f>IF(AK7&lt;&gt;"電気","",IF(ISERROR(VLOOKUP(D7&amp;F7,非_電気事業者!$R$9:$S$2000,2,FALSE)),"要記入",VLOOKUP(D7&amp;F7,非_電気事業者!$R$9:$S$2000,2,FALSE)*1000))</f>
        <v/>
      </c>
      <c r="AO7" s="466" t="str">
        <f>IF(AK7&lt;&gt;"熱","",非_熱供給事業者!$T$4)</f>
        <v/>
      </c>
      <c r="AP7" s="466" t="str">
        <f>IF(AK7&lt;&gt;"熱","",IF(ISERROR(VLOOKUP(D7&amp;F7,非_熱供給事業者!$S$8:$T$200,2,FALSE)),"要記入",VLOOKUP(D7&amp;F7,非_熱供給事業者!$S$8:$T$200,2,FALSE)))</f>
        <v/>
      </c>
      <c r="AQ7" s="466" t="str">
        <f>IF(AK7&lt;&gt;"都市ガス","",非_都市ガス事業者!$AB$4)</f>
        <v/>
      </c>
      <c r="AR7" s="466" t="str">
        <f>IF(AK7&lt;&gt;"都市ガス","",IF(ISERROR(VLOOKUP(D7&amp;F7,非_都市ガス事業者!$AA$8:$AB$200,2,FALSE)),"要記入",VLOOKUP(D7&amp;F7,非_都市ガス事業者!$AA$8:$AB$200,2,FALSE)))</f>
        <v/>
      </c>
      <c r="AS7" s="466" t="str">
        <f t="shared" ref="AS7:AS50" si="1">IF(AK7="","",IF(AK7="電気",IF(K7="国代替値",AM7,IF(K7="国公表値",AN7,"要記入")),IF(AK7="熱",IF(K7="国代替値",AO7,IF(K7="国公表値",AP7,"要記入")),IF(AK7="都市ガス",IF(K7="国代替値",AQ7,IF(K7="国公表値",AR7,"要記入"))))))</f>
        <v/>
      </c>
      <c r="AT7" s="466" t="str">
        <f>IF(AK7="電気","t-CO2/千kWh",IF(AK7="熱","t-CO2/GJ",IF(AK7="都市ガス","t-CO2/千m3(SATP)","")))</f>
        <v/>
      </c>
      <c r="AU7" s="535" t="b">
        <f>_xlfn.ISFORMULA(L7)</f>
        <v>1</v>
      </c>
      <c r="AV7" s="466" t="str">
        <f>IF(Q7="","",VLOOKUP(Q7,非_単位補正換算!$B$3:$C$16,2,FALSE))</f>
        <v/>
      </c>
      <c r="AW7" s="466" t="str">
        <f>IF(AK7="","",IF(AK7&lt;&gt;"都市ガス",1,IF(G7="","",SUMIFS(非_単位補正換算!$D$52:$D$63,非_単位補正換算!$B$52:$B$63,"都市ガス"&amp;G7,非_単位補正換算!$C$52:$C$63,電気・熱_都市ガス!Q7))))</f>
        <v/>
      </c>
      <c r="AX7" s="466" t="str">
        <f>IF(AND(Q7&lt;&gt;"",AE7&lt;&gt;"",AV7&lt;&gt;"",AW7&lt;&gt;""),AE7/AV7*AW7,"")</f>
        <v/>
      </c>
      <c r="AY7" s="466" t="str">
        <f t="shared" ref="AY7:AY50" si="2">IF(AND(AK7&lt;&gt;"",AX7&lt;&gt;""),IF(AK7&lt;&gt;"都市ガス",AX7*J7,IF(I7&gt;0,AX7*I7,"")),"")</f>
        <v/>
      </c>
      <c r="AZ7" s="466" t="str">
        <f t="shared" ref="AZ7:AZ50" si="3">IF(AX7="","",IF(ISNUMBER(L7),AX7*L7,""))</f>
        <v/>
      </c>
      <c r="BA7" s="466" t="str">
        <f>IF(C7="","",VLOOKUP(C7,非_まとめ表行番号!$F$3:$H$12,2,FALSE))</f>
        <v/>
      </c>
      <c r="BB7" s="539" t="b">
        <f>_xlfn.ISFORMULA(I7)</f>
        <v>1</v>
      </c>
      <c r="BC7" s="466" t="str">
        <f>IF(AK7="","",IF(AK7&lt;&gt;"都市ガス",1,非_係数!$G$55))</f>
        <v/>
      </c>
      <c r="BD7" s="466" t="str">
        <f>IF(AX7="","",AX7*BC7)</f>
        <v/>
      </c>
      <c r="BE7" s="466" t="str">
        <f t="shared" ref="BE7:BE50" si="4">IF(AK7="都市ガス",IF(BD7="","",H7*BD7),"")</f>
        <v/>
      </c>
      <c r="BF7" s="466" t="str">
        <f>IF(C7="","",VLOOKUP(C7,非_係数!$B$42:$K$55,9,FALSE))</f>
        <v/>
      </c>
      <c r="BG7" s="466" t="str">
        <f>IF(AND(BD7&lt;&gt;"",BF7&lt;&gt;""),IF(AK7&lt;&gt;"都市ガス",BD7*BF7,BE7*BF7*44/12),"")</f>
        <v/>
      </c>
      <c r="BH7" s="466" t="str">
        <f>IF(C7="","",VLOOKUP(C7,非_まとめ表行番号!$F$3:$H$12,3,FALSE))</f>
        <v/>
      </c>
      <c r="BI7" s="466" t="str">
        <f>IF(P7="無","乗率_排出量","")</f>
        <v/>
      </c>
      <c r="BK7" s="526" t="str">
        <f>IF(BA7="","",VLOOKUP(BA7,非_まとめ表行番号!$U$3:$V$56,2,FALSE))</f>
        <v/>
      </c>
      <c r="BL7" s="526" t="str">
        <f>IF(D7="","",D7)</f>
        <v/>
      </c>
      <c r="BM7" s="526" t="str">
        <f>IF(F7="","",F7)</f>
        <v/>
      </c>
      <c r="BN7" s="526" t="str">
        <f>IF(H7&lt;&gt;"",H7,IF(J7&lt;&gt;"",J7,""))</f>
        <v/>
      </c>
      <c r="BO7" s="526" t="str">
        <f>IF(I7="","",I7)</f>
        <v/>
      </c>
      <c r="BP7" s="526" t="str">
        <f>IF(K7="","",K7)</f>
        <v/>
      </c>
      <c r="BQ7" s="526" t="str">
        <f>IF(L7="","",L7)</f>
        <v/>
      </c>
      <c r="BR7" s="526" t="str">
        <f>IF(AF7="","",AF7)</f>
        <v/>
      </c>
      <c r="BS7" s="526" t="str">
        <f>IF(AZ7="","",IF(AZ7&gt;=0,1,-1))</f>
        <v/>
      </c>
    </row>
    <row r="8" spans="1:71" ht="18.75" customHeight="1">
      <c r="A8" s="483"/>
      <c r="B8" s="406"/>
      <c r="C8" s="406"/>
      <c r="D8" s="406"/>
      <c r="E8" s="406"/>
      <c r="F8" s="499"/>
      <c r="G8" s="608"/>
      <c r="H8" s="609" t="str">
        <f>IF(AK8&lt;&gt;"都市ガス","",IF(ISERROR(VLOOKUP(D8,非_都市ガス事業者!$O$8:$P$200,2,FALSE)),"",VLOOKUP(D8,非_都市ガス事業者!$O$8:$P$200,2,FALSE)))</f>
        <v/>
      </c>
      <c r="I8" s="610" t="str">
        <f>IF(AK8&lt;&gt;"都市ガス","",非_都市ガス事業者!$P$4)</f>
        <v/>
      </c>
      <c r="J8" s="611" t="str">
        <f>IF(C8="","",IF(AK8&lt;&gt;"都市ガス",VLOOKUP(C8,非_係数!$B$42:$D$55,2,FALSE),""))</f>
        <v/>
      </c>
      <c r="K8" s="406"/>
      <c r="L8" s="486" t="str">
        <f t="shared" ref="L8:L50" si="5">AS8</f>
        <v/>
      </c>
      <c r="M8" s="225" t="str">
        <f t="shared" ref="M8:M50" si="6">AT8</f>
        <v/>
      </c>
      <c r="N8" s="406"/>
      <c r="O8" s="458"/>
      <c r="P8" s="406"/>
      <c r="Q8" s="406"/>
      <c r="R8" s="451"/>
      <c r="S8" s="451"/>
      <c r="T8" s="451"/>
      <c r="U8" s="451"/>
      <c r="V8" s="451"/>
      <c r="W8" s="451"/>
      <c r="X8" s="451"/>
      <c r="Y8" s="451"/>
      <c r="Z8" s="451"/>
      <c r="AA8" s="451"/>
      <c r="AB8" s="451"/>
      <c r="AC8" s="451"/>
      <c r="AD8" s="497"/>
      <c r="AE8" s="586" t="str">
        <f>IF(COUNT(R8:AC8)=0,"",IF(AD8="",SUM(R8:AC8),SUM(R8:AC8)*AD8))</f>
        <v/>
      </c>
      <c r="AF8" s="434" t="str">
        <f t="shared" ref="AF8:AF50" si="7">AX8</f>
        <v/>
      </c>
      <c r="AG8" s="434" t="str">
        <f>IF(C8="","",VLOOKUP(C8,非_単位!$N$38:$O$53,2,FALSE))</f>
        <v/>
      </c>
      <c r="AH8" s="586" t="str">
        <f t="shared" ref="AH8:AH50" si="8">AY8</f>
        <v/>
      </c>
      <c r="AI8" s="587" t="str">
        <f t="shared" ref="AI8:AI50" si="9">AZ8</f>
        <v/>
      </c>
      <c r="AK8" s="466" t="str">
        <f t="shared" si="0"/>
        <v/>
      </c>
      <c r="AL8" s="466" t="str">
        <f>IF(B8="","",IF(B8=非_燃料種類_選択リスト!$I$3,"一般送配電_種類",IF(B8=非_燃料種類_選択リスト!$I$4,"一般送配電以外_種類",IF(B8=非_燃料種類_選択リスト!$I$5,"熱_種類",IF(B8=非_燃料種類_選択リスト!$I$6,"都市ガス_種類","")))))</f>
        <v/>
      </c>
      <c r="AM8" s="466" t="str">
        <f>IF(AK8&lt;&gt;"電気","",非_電気事業者!$S$4*1000)</f>
        <v/>
      </c>
      <c r="AN8" s="466" t="str">
        <f>IF(AK8&lt;&gt;"電気","",IF(ISERROR(VLOOKUP(D8&amp;F8,非_電気事業者!$R$9:$S$2000,2,FALSE)),"要記入",VLOOKUP(D8&amp;F8,非_電気事業者!$R$9:$S$2000,2,FALSE)*1000))</f>
        <v/>
      </c>
      <c r="AO8" s="466" t="str">
        <f>IF(AK8&lt;&gt;"熱","",非_熱供給事業者!$T$4)</f>
        <v/>
      </c>
      <c r="AP8" s="466" t="str">
        <f>IF(AK8&lt;&gt;"熱","",IF(ISERROR(VLOOKUP(D8&amp;F8,非_熱供給事業者!$S$8:$T$200,2,FALSE)),"要記入",VLOOKUP(D8&amp;F8,非_熱供給事業者!$S$8:$T$200,2,FALSE)))</f>
        <v/>
      </c>
      <c r="AQ8" s="466" t="str">
        <f>IF(AK8&lt;&gt;"都市ガス","",非_都市ガス事業者!$AB$4)</f>
        <v/>
      </c>
      <c r="AR8" s="466" t="str">
        <f>IF(AK8&lt;&gt;"都市ガス","",IF(ISERROR(VLOOKUP(D8&amp;F8,非_都市ガス事業者!$AA$8:$AB$200,2,FALSE)),"要記入",VLOOKUP(D8&amp;F8,非_都市ガス事業者!$AA$8:$AB$200,2,FALSE)))</f>
        <v/>
      </c>
      <c r="AS8" s="466" t="str">
        <f t="shared" si="1"/>
        <v/>
      </c>
      <c r="AT8" s="466" t="str">
        <f t="shared" ref="AT8:AT50" si="10">IF(AK8="電気","t-CO2/千kWh",IF(AK8="熱","t-CO2/GJ",IF(AK8="都市ガス","t-CO2/千m3(SATP)","")))</f>
        <v/>
      </c>
      <c r="AU8" s="535" t="b">
        <f t="shared" ref="AU8:AU71" si="11">_xlfn.ISFORMULA(L8)</f>
        <v>1</v>
      </c>
      <c r="AV8" s="466" t="str">
        <f>IF(Q8="","",VLOOKUP(Q8,非_単位補正換算!$B$3:$C$16,2,FALSE))</f>
        <v/>
      </c>
      <c r="AW8" s="466" t="str">
        <f>IF(AK8="","",IF(AK8&lt;&gt;"都市ガス",1,IF(G8="","",SUMIFS(非_単位補正換算!$D$52:$D$63,非_単位補正換算!$B$52:$B$63,"都市ガス"&amp;G8,非_単位補正換算!$C$52:$C$63,電気・熱_都市ガス!Q8))))</f>
        <v/>
      </c>
      <c r="AX8" s="527" t="str">
        <f t="shared" ref="AX8:AX50" si="12">IF(AND(Q8&lt;&gt;"",AE8&lt;&gt;"",AV8&lt;&gt;"",AW8&lt;&gt;""),AE8/AV8*AW8,"")</f>
        <v/>
      </c>
      <c r="AY8" s="466" t="str">
        <f t="shared" si="2"/>
        <v/>
      </c>
      <c r="AZ8" s="466" t="str">
        <f t="shared" si="3"/>
        <v/>
      </c>
      <c r="BA8" s="466" t="str">
        <f>IF(C8="","",VLOOKUP(C8,非_まとめ表行番号!$F$3:$H$12,2,FALSE))</f>
        <v/>
      </c>
      <c r="BB8" s="539" t="b">
        <f t="shared" ref="BB8:BB71" si="13">_xlfn.ISFORMULA(I8)</f>
        <v>1</v>
      </c>
      <c r="BC8" s="637" t="str">
        <f>IF(AK8="","",IF(AK8&lt;&gt;"都市ガス",1,非_係数!$G$55))</f>
        <v/>
      </c>
      <c r="BD8" s="466" t="str">
        <f t="shared" ref="BD8:BD50" si="14">IF(AX8="","",AX8*BC8)</f>
        <v/>
      </c>
      <c r="BE8" s="466" t="str">
        <f t="shared" si="4"/>
        <v/>
      </c>
      <c r="BF8" s="466" t="str">
        <f>IF(C8="","",VLOOKUP(C8,非_係数!$B$42:$K$55,9,FALSE))</f>
        <v/>
      </c>
      <c r="BG8" s="466" t="str">
        <f t="shared" ref="BG8:BG80" si="15">IF(AND(BD8&lt;&gt;"",BF8&lt;&gt;""),IF(AK8&lt;&gt;"都市ガス",BD8*BF8,BE8*BF8*44/12),"")</f>
        <v/>
      </c>
      <c r="BH8" s="466" t="str">
        <f>IF(C8="","",VLOOKUP(C8,非_まとめ表行番号!$F$3:$H$12,3,FALSE))</f>
        <v/>
      </c>
      <c r="BI8" s="466" t="str">
        <f t="shared" ref="BI8:BI50" si="16">IF(P8="無","乗率_排出量","")</f>
        <v/>
      </c>
      <c r="BK8" s="527" t="str">
        <f>IF(BA8="","",VLOOKUP(BA8,非_まとめ表行番号!$U$3:$V$56,2,FALSE))</f>
        <v/>
      </c>
      <c r="BL8" s="526" t="str">
        <f t="shared" ref="BL8:BL71" si="17">IF(D8="","",D8)</f>
        <v/>
      </c>
      <c r="BM8" s="526" t="str">
        <f t="shared" ref="BM8:BM71" si="18">IF(F8="","",F8)</f>
        <v/>
      </c>
      <c r="BN8" s="526" t="str">
        <f t="shared" ref="BN8:BN50" si="19">IF(H8&lt;&gt;"",H8,IF(J8&lt;&gt;"",J8,""))</f>
        <v/>
      </c>
      <c r="BO8" s="526" t="str">
        <f t="shared" ref="BO8:BO71" si="20">IF(I8="","",I8)</f>
        <v/>
      </c>
      <c r="BP8" s="526" t="str">
        <f t="shared" ref="BP8:BP71" si="21">IF(K8="","",K8)</f>
        <v/>
      </c>
      <c r="BQ8" s="526" t="str">
        <f t="shared" ref="BQ8:BQ50" si="22">IF(L8="","",L8)</f>
        <v/>
      </c>
      <c r="BR8" s="526" t="str">
        <f t="shared" ref="BR8:BR71" si="23">IF(AF8="","",AF8)</f>
        <v/>
      </c>
      <c r="BS8" s="635" t="str">
        <f t="shared" ref="BS8:BS50" si="24">IF(AZ8="","",IF(AZ8&gt;=0,1,-1))</f>
        <v/>
      </c>
    </row>
    <row r="9" spans="1:71" ht="18.75" customHeight="1">
      <c r="A9" s="483"/>
      <c r="B9" s="406"/>
      <c r="C9" s="406"/>
      <c r="D9" s="406"/>
      <c r="E9" s="406"/>
      <c r="F9" s="499"/>
      <c r="G9" s="608"/>
      <c r="H9" s="609" t="str">
        <f>IF(AK9&lt;&gt;"都市ガス","",IF(ISERROR(VLOOKUP(D9,非_都市ガス事業者!$O$8:$P$200,2,FALSE)),"",VLOOKUP(D9,非_都市ガス事業者!$O$8:$P$200,2,FALSE)))</f>
        <v/>
      </c>
      <c r="I9" s="610" t="str">
        <f>IF(AK9&lt;&gt;"都市ガス","",非_都市ガス事業者!$P$4)</f>
        <v/>
      </c>
      <c r="J9" s="611" t="str">
        <f>IF(C9="","",IF(AK9&lt;&gt;"都市ガス",VLOOKUP(C9,非_係数!$B$42:$D$55,2,FALSE),""))</f>
        <v/>
      </c>
      <c r="K9" s="406"/>
      <c r="L9" s="486" t="str">
        <f t="shared" si="5"/>
        <v/>
      </c>
      <c r="M9" s="225" t="str">
        <f t="shared" si="6"/>
        <v/>
      </c>
      <c r="N9" s="406"/>
      <c r="O9" s="458"/>
      <c r="P9" s="406"/>
      <c r="Q9" s="406"/>
      <c r="R9" s="451"/>
      <c r="S9" s="451"/>
      <c r="T9" s="451"/>
      <c r="U9" s="451"/>
      <c r="V9" s="451"/>
      <c r="W9" s="451"/>
      <c r="X9" s="451"/>
      <c r="Y9" s="451"/>
      <c r="Z9" s="451"/>
      <c r="AA9" s="451"/>
      <c r="AB9" s="451"/>
      <c r="AC9" s="451"/>
      <c r="AD9" s="497"/>
      <c r="AE9" s="586" t="str">
        <f t="shared" ref="AE9:AE30" si="25">IF(COUNT(R9:AC9)=0,"",IF(AD9="",SUM(R9:AC9),SUM(R9:AC9)*AD9))</f>
        <v/>
      </c>
      <c r="AF9" s="433" t="str">
        <f t="shared" si="7"/>
        <v/>
      </c>
      <c r="AG9" s="433" t="str">
        <f>IF(C9="","",VLOOKUP(C9,非_単位!$N$38:$O$53,2,FALSE))</f>
        <v/>
      </c>
      <c r="AH9" s="586" t="str">
        <f t="shared" si="8"/>
        <v/>
      </c>
      <c r="AI9" s="587" t="str">
        <f t="shared" si="9"/>
        <v/>
      </c>
      <c r="AK9" s="466" t="str">
        <f t="shared" si="0"/>
        <v/>
      </c>
      <c r="AL9" s="466" t="str">
        <f>IF(B9="","",IF(B9=非_燃料種類_選択リスト!$I$3,"一般送配電_種類",IF(B9=非_燃料種類_選択リスト!$I$4,"一般送配電以外_種類",IF(B9=非_燃料種類_選択リスト!$I$5,"熱_種類",IF(B9=非_燃料種類_選択リスト!$I$6,"都市ガス_種類","")))))</f>
        <v/>
      </c>
      <c r="AM9" s="466" t="str">
        <f>IF(AK9&lt;&gt;"電気","",非_電気事業者!$S$4*1000)</f>
        <v/>
      </c>
      <c r="AN9" s="466" t="str">
        <f>IF(AK9&lt;&gt;"電気","",IF(ISERROR(VLOOKUP(D9&amp;F9,非_電気事業者!$R$9:$S$2000,2,FALSE)),"要記入",VLOOKUP(D9&amp;F9,非_電気事業者!$R$9:$S$2000,2,FALSE)*1000))</f>
        <v/>
      </c>
      <c r="AO9" s="466" t="str">
        <f>IF(AK9&lt;&gt;"熱","",非_熱供給事業者!$T$4)</f>
        <v/>
      </c>
      <c r="AP9" s="466" t="str">
        <f>IF(AK9&lt;&gt;"熱","",IF(ISERROR(VLOOKUP(D9&amp;F9,非_熱供給事業者!$S$8:$T$200,2,FALSE)),"要記入",VLOOKUP(D9&amp;F9,非_熱供給事業者!$S$8:$T$200,2,FALSE)))</f>
        <v/>
      </c>
      <c r="AQ9" s="466" t="str">
        <f>IF(AK9&lt;&gt;"都市ガス","",非_都市ガス事業者!$AB$4)</f>
        <v/>
      </c>
      <c r="AR9" s="466" t="str">
        <f>IF(AK9&lt;&gt;"都市ガス","",IF(ISERROR(VLOOKUP(D9&amp;F9,非_都市ガス事業者!$AA$8:$AB$200,2,FALSE)),"要記入",VLOOKUP(D9&amp;F9,非_都市ガス事業者!$AA$8:$AB$200,2,FALSE)))</f>
        <v/>
      </c>
      <c r="AS9" s="466" t="str">
        <f t="shared" si="1"/>
        <v/>
      </c>
      <c r="AT9" s="466" t="str">
        <f t="shared" si="10"/>
        <v/>
      </c>
      <c r="AU9" s="535" t="b">
        <f t="shared" si="11"/>
        <v>1</v>
      </c>
      <c r="AV9" s="466" t="str">
        <f>IF(Q9="","",VLOOKUP(Q9,非_単位補正換算!$B$3:$C$16,2,FALSE))</f>
        <v/>
      </c>
      <c r="AW9" s="466" t="str">
        <f>IF(AK9="","",IF(AK9&lt;&gt;"都市ガス",1,IF(G9="","",SUMIFS(非_単位補正換算!$D$52:$D$63,非_単位補正換算!$B$52:$B$63,"都市ガス"&amp;G9,非_単位補正換算!$C$52:$C$63,電気・熱_都市ガス!Q9))))</f>
        <v/>
      </c>
      <c r="AX9" s="527" t="str">
        <f t="shared" si="12"/>
        <v/>
      </c>
      <c r="AY9" s="466" t="str">
        <f t="shared" si="2"/>
        <v/>
      </c>
      <c r="AZ9" s="466" t="str">
        <f t="shared" si="3"/>
        <v/>
      </c>
      <c r="BA9" s="466" t="str">
        <f>IF(C9="","",VLOOKUP(C9,非_まとめ表行番号!$F$3:$H$12,2,FALSE))</f>
        <v/>
      </c>
      <c r="BB9" s="539" t="b">
        <f t="shared" si="13"/>
        <v>1</v>
      </c>
      <c r="BC9" s="637" t="str">
        <f>IF(AK9="","",IF(AK9&lt;&gt;"都市ガス",1,非_係数!$G$55))</f>
        <v/>
      </c>
      <c r="BD9" s="466" t="str">
        <f t="shared" si="14"/>
        <v/>
      </c>
      <c r="BE9" s="466" t="str">
        <f t="shared" si="4"/>
        <v/>
      </c>
      <c r="BF9" s="466" t="str">
        <f>IF(C9="","",VLOOKUP(C9,非_係数!$B$42:$K$55,9,FALSE))</f>
        <v/>
      </c>
      <c r="BG9" s="466" t="str">
        <f t="shared" si="15"/>
        <v/>
      </c>
      <c r="BH9" s="466" t="str">
        <f>IF(C9="","",VLOOKUP(C9,非_まとめ表行番号!$F$3:$H$12,3,FALSE))</f>
        <v/>
      </c>
      <c r="BI9" s="466" t="str">
        <f t="shared" si="16"/>
        <v/>
      </c>
      <c r="BK9" s="527" t="str">
        <f>IF(BA9="","",VLOOKUP(BA9,非_まとめ表行番号!$U$3:$V$56,2,FALSE))</f>
        <v/>
      </c>
      <c r="BL9" s="526" t="str">
        <f t="shared" si="17"/>
        <v/>
      </c>
      <c r="BM9" s="526" t="str">
        <f t="shared" si="18"/>
        <v/>
      </c>
      <c r="BN9" s="526" t="str">
        <f t="shared" si="19"/>
        <v/>
      </c>
      <c r="BO9" s="526" t="str">
        <f t="shared" si="20"/>
        <v/>
      </c>
      <c r="BP9" s="526" t="str">
        <f t="shared" si="21"/>
        <v/>
      </c>
      <c r="BQ9" s="526" t="str">
        <f t="shared" si="22"/>
        <v/>
      </c>
      <c r="BR9" s="526" t="str">
        <f t="shared" si="23"/>
        <v/>
      </c>
      <c r="BS9" s="635" t="str">
        <f t="shared" si="24"/>
        <v/>
      </c>
    </row>
    <row r="10" spans="1:71" ht="18.75" customHeight="1">
      <c r="A10" s="483"/>
      <c r="B10" s="406"/>
      <c r="C10" s="406"/>
      <c r="D10" s="406"/>
      <c r="E10" s="406"/>
      <c r="F10" s="499"/>
      <c r="G10" s="608"/>
      <c r="H10" s="609" t="str">
        <f>IF(AK10&lt;&gt;"都市ガス","",IF(ISERROR(VLOOKUP(D10,非_都市ガス事業者!$O$8:$P$200,2,FALSE)),"",VLOOKUP(D10,非_都市ガス事業者!$O$8:$P$200,2,FALSE)))</f>
        <v/>
      </c>
      <c r="I10" s="610" t="str">
        <f>IF(AK10&lt;&gt;"都市ガス","",非_都市ガス事業者!$P$4)</f>
        <v/>
      </c>
      <c r="J10" s="611" t="str">
        <f>IF(C10="","",IF(AK10&lt;&gt;"都市ガス",VLOOKUP(C10,非_係数!$B$42:$D$55,2,FALSE),""))</f>
        <v/>
      </c>
      <c r="K10" s="406"/>
      <c r="L10" s="486" t="str">
        <f t="shared" si="5"/>
        <v/>
      </c>
      <c r="M10" s="225" t="str">
        <f t="shared" si="6"/>
        <v/>
      </c>
      <c r="N10" s="406"/>
      <c r="O10" s="458"/>
      <c r="P10" s="406"/>
      <c r="Q10" s="406"/>
      <c r="R10" s="451"/>
      <c r="S10" s="451"/>
      <c r="T10" s="451"/>
      <c r="U10" s="451"/>
      <c r="V10" s="451"/>
      <c r="W10" s="451"/>
      <c r="X10" s="451"/>
      <c r="Y10" s="451"/>
      <c r="Z10" s="451"/>
      <c r="AA10" s="451"/>
      <c r="AB10" s="451"/>
      <c r="AC10" s="451"/>
      <c r="AD10" s="497"/>
      <c r="AE10" s="586" t="str">
        <f t="shared" si="25"/>
        <v/>
      </c>
      <c r="AF10" s="433" t="str">
        <f t="shared" si="7"/>
        <v/>
      </c>
      <c r="AG10" s="433" t="str">
        <f>IF(C10="","",VLOOKUP(C10,非_単位!$N$38:$O$53,2,FALSE))</f>
        <v/>
      </c>
      <c r="AH10" s="586" t="str">
        <f t="shared" si="8"/>
        <v/>
      </c>
      <c r="AI10" s="587" t="str">
        <f t="shared" si="9"/>
        <v/>
      </c>
      <c r="AK10" s="466" t="str">
        <f t="shared" si="0"/>
        <v/>
      </c>
      <c r="AL10" s="466" t="str">
        <f>IF(B10="","",IF(B10=非_燃料種類_選択リスト!$I$3,"一般送配電_種類",IF(B10=非_燃料種類_選択リスト!$I$4,"一般送配電以外_種類",IF(B10=非_燃料種類_選択リスト!$I$5,"熱_種類",IF(B10=非_燃料種類_選択リスト!$I$6,"都市ガス_種類","")))))</f>
        <v/>
      </c>
      <c r="AM10" s="466" t="str">
        <f>IF(AK10&lt;&gt;"電気","",非_電気事業者!$S$4*1000)</f>
        <v/>
      </c>
      <c r="AN10" s="466" t="str">
        <f>IF(AK10&lt;&gt;"電気","",IF(ISERROR(VLOOKUP(D10&amp;F10,非_電気事業者!$R$9:$S$2000,2,FALSE)),"要記入",VLOOKUP(D10&amp;F10,非_電気事業者!$R$9:$S$2000,2,FALSE)*1000))</f>
        <v/>
      </c>
      <c r="AO10" s="466" t="str">
        <f>IF(AK10&lt;&gt;"熱","",非_熱供給事業者!$T$4)</f>
        <v/>
      </c>
      <c r="AP10" s="466" t="str">
        <f>IF(AK10&lt;&gt;"熱","",IF(ISERROR(VLOOKUP(D10&amp;F10,非_熱供給事業者!$S$8:$T$200,2,FALSE)),"要記入",VLOOKUP(D10&amp;F10,非_熱供給事業者!$S$8:$T$200,2,FALSE)))</f>
        <v/>
      </c>
      <c r="AQ10" s="466" t="str">
        <f>IF(AK10&lt;&gt;"都市ガス","",非_都市ガス事業者!$AB$4)</f>
        <v/>
      </c>
      <c r="AR10" s="466" t="str">
        <f>IF(AK10&lt;&gt;"都市ガス","",IF(ISERROR(VLOOKUP(D10&amp;F10,非_都市ガス事業者!$AA$8:$AB$200,2,FALSE)),"要記入",VLOOKUP(D10&amp;F10,非_都市ガス事業者!$AA$8:$AB$200,2,FALSE)))</f>
        <v/>
      </c>
      <c r="AS10" s="466" t="str">
        <f t="shared" si="1"/>
        <v/>
      </c>
      <c r="AT10" s="466" t="str">
        <f t="shared" si="10"/>
        <v/>
      </c>
      <c r="AU10" s="535" t="b">
        <f t="shared" si="11"/>
        <v>1</v>
      </c>
      <c r="AV10" s="466" t="str">
        <f>IF(Q10="","",VLOOKUP(Q10,非_単位補正換算!$B$3:$C$16,2,FALSE))</f>
        <v/>
      </c>
      <c r="AW10" s="466" t="str">
        <f>IF(AK10="","",IF(AK10&lt;&gt;"都市ガス",1,IF(G10="","",SUMIFS(非_単位補正換算!$D$52:$D$63,非_単位補正換算!$B$52:$B$63,"都市ガス"&amp;G10,非_単位補正換算!$C$52:$C$63,電気・熱_都市ガス!Q10))))</f>
        <v/>
      </c>
      <c r="AX10" s="527" t="str">
        <f t="shared" si="12"/>
        <v/>
      </c>
      <c r="AY10" s="466" t="str">
        <f t="shared" si="2"/>
        <v/>
      </c>
      <c r="AZ10" s="466" t="str">
        <f t="shared" si="3"/>
        <v/>
      </c>
      <c r="BA10" s="466" t="str">
        <f>IF(C10="","",VLOOKUP(C10,非_まとめ表行番号!$F$3:$H$12,2,FALSE))</f>
        <v/>
      </c>
      <c r="BB10" s="539" t="b">
        <f t="shared" si="13"/>
        <v>1</v>
      </c>
      <c r="BC10" s="637" t="str">
        <f>IF(AK10="","",IF(AK10&lt;&gt;"都市ガス",1,非_係数!$G$55))</f>
        <v/>
      </c>
      <c r="BD10" s="466" t="str">
        <f t="shared" si="14"/>
        <v/>
      </c>
      <c r="BE10" s="466" t="str">
        <f t="shared" si="4"/>
        <v/>
      </c>
      <c r="BF10" s="466" t="str">
        <f>IF(C10="","",VLOOKUP(C10,非_係数!$B$42:$K$55,9,FALSE))</f>
        <v/>
      </c>
      <c r="BG10" s="466" t="str">
        <f t="shared" si="15"/>
        <v/>
      </c>
      <c r="BH10" s="466" t="str">
        <f>IF(C10="","",VLOOKUP(C10,非_まとめ表行番号!$F$3:$H$12,3,FALSE))</f>
        <v/>
      </c>
      <c r="BI10" s="466" t="str">
        <f t="shared" si="16"/>
        <v/>
      </c>
      <c r="BK10" s="527" t="str">
        <f>IF(BA10="","",VLOOKUP(BA10,非_まとめ表行番号!$U$3:$V$56,2,FALSE))</f>
        <v/>
      </c>
      <c r="BL10" s="526" t="str">
        <f t="shared" si="17"/>
        <v/>
      </c>
      <c r="BM10" s="526" t="str">
        <f t="shared" si="18"/>
        <v/>
      </c>
      <c r="BN10" s="526" t="str">
        <f t="shared" si="19"/>
        <v/>
      </c>
      <c r="BO10" s="526" t="str">
        <f t="shared" si="20"/>
        <v/>
      </c>
      <c r="BP10" s="526" t="str">
        <f t="shared" si="21"/>
        <v/>
      </c>
      <c r="BQ10" s="526" t="str">
        <f t="shared" si="22"/>
        <v/>
      </c>
      <c r="BR10" s="526" t="str">
        <f t="shared" si="23"/>
        <v/>
      </c>
      <c r="BS10" s="635" t="str">
        <f t="shared" si="24"/>
        <v/>
      </c>
    </row>
    <row r="11" spans="1:71" ht="18.75" customHeight="1">
      <c r="A11" s="483"/>
      <c r="B11" s="406"/>
      <c r="C11" s="406"/>
      <c r="D11" s="406"/>
      <c r="E11" s="406"/>
      <c r="F11" s="499"/>
      <c r="G11" s="608"/>
      <c r="H11" s="609" t="str">
        <f>IF(AK11&lt;&gt;"都市ガス","",IF(ISERROR(VLOOKUP(D11,非_都市ガス事業者!$O$8:$P$200,2,FALSE)),"",VLOOKUP(D11,非_都市ガス事業者!$O$8:$P$200,2,FALSE)))</f>
        <v/>
      </c>
      <c r="I11" s="610" t="str">
        <f>IF(AK11&lt;&gt;"都市ガス","",非_都市ガス事業者!$P$4)</f>
        <v/>
      </c>
      <c r="J11" s="611" t="str">
        <f>IF(C11="","",IF(AK11&lt;&gt;"都市ガス",VLOOKUP(C11,非_係数!$B$42:$D$55,2,FALSE),""))</f>
        <v/>
      </c>
      <c r="K11" s="406"/>
      <c r="L11" s="486" t="str">
        <f t="shared" si="5"/>
        <v/>
      </c>
      <c r="M11" s="225" t="str">
        <f t="shared" si="6"/>
        <v/>
      </c>
      <c r="N11" s="406"/>
      <c r="O11" s="458"/>
      <c r="P11" s="406"/>
      <c r="Q11" s="406"/>
      <c r="R11" s="451"/>
      <c r="S11" s="451"/>
      <c r="T11" s="451"/>
      <c r="U11" s="451"/>
      <c r="V11" s="451"/>
      <c r="W11" s="451"/>
      <c r="X11" s="451"/>
      <c r="Y11" s="451"/>
      <c r="Z11" s="451"/>
      <c r="AA11" s="451"/>
      <c r="AB11" s="451"/>
      <c r="AC11" s="451"/>
      <c r="AD11" s="497"/>
      <c r="AE11" s="586" t="str">
        <f t="shared" si="25"/>
        <v/>
      </c>
      <c r="AF11" s="433" t="str">
        <f t="shared" si="7"/>
        <v/>
      </c>
      <c r="AG11" s="433" t="str">
        <f>IF(C11="","",VLOOKUP(C11,非_単位!$N$38:$O$53,2,FALSE))</f>
        <v/>
      </c>
      <c r="AH11" s="586" t="str">
        <f t="shared" si="8"/>
        <v/>
      </c>
      <c r="AI11" s="587" t="str">
        <f t="shared" si="9"/>
        <v/>
      </c>
      <c r="AK11" s="466" t="str">
        <f t="shared" si="0"/>
        <v/>
      </c>
      <c r="AL11" s="466" t="str">
        <f>IF(B11="","",IF(B11=非_燃料種類_選択リスト!$I$3,"一般送配電_種類",IF(B11=非_燃料種類_選択リスト!$I$4,"一般送配電以外_種類",IF(B11=非_燃料種類_選択リスト!$I$5,"熱_種類",IF(B11=非_燃料種類_選択リスト!$I$6,"都市ガス_種類","")))))</f>
        <v/>
      </c>
      <c r="AM11" s="466" t="str">
        <f>IF(AK11&lt;&gt;"電気","",非_電気事業者!$S$4*1000)</f>
        <v/>
      </c>
      <c r="AN11" s="466" t="str">
        <f>IF(AK11&lt;&gt;"電気","",IF(ISERROR(VLOOKUP(D11&amp;F11,非_電気事業者!$R$9:$S$2000,2,FALSE)),"要記入",VLOOKUP(D11&amp;F11,非_電気事業者!$R$9:$S$2000,2,FALSE)*1000))</f>
        <v/>
      </c>
      <c r="AO11" s="466" t="str">
        <f>IF(AK11&lt;&gt;"熱","",非_熱供給事業者!$T$4)</f>
        <v/>
      </c>
      <c r="AP11" s="466" t="str">
        <f>IF(AK11&lt;&gt;"熱","",IF(ISERROR(VLOOKUP(D11&amp;F11,非_熱供給事業者!$S$8:$T$200,2,FALSE)),"要記入",VLOOKUP(D11&amp;F11,非_熱供給事業者!$S$8:$T$200,2,FALSE)))</f>
        <v/>
      </c>
      <c r="AQ11" s="466" t="str">
        <f>IF(AK11&lt;&gt;"都市ガス","",非_都市ガス事業者!$AB$4)</f>
        <v/>
      </c>
      <c r="AR11" s="466" t="str">
        <f>IF(AK11&lt;&gt;"都市ガス","",IF(ISERROR(VLOOKUP(D11&amp;F11,非_都市ガス事業者!$AA$8:$AB$200,2,FALSE)),"要記入",VLOOKUP(D11&amp;F11,非_都市ガス事業者!$AA$8:$AB$200,2,FALSE)))</f>
        <v/>
      </c>
      <c r="AS11" s="466" t="str">
        <f t="shared" si="1"/>
        <v/>
      </c>
      <c r="AT11" s="466" t="str">
        <f t="shared" si="10"/>
        <v/>
      </c>
      <c r="AU11" s="535" t="b">
        <f t="shared" si="11"/>
        <v>1</v>
      </c>
      <c r="AV11" s="466" t="str">
        <f>IF(Q11="","",VLOOKUP(Q11,非_単位補正換算!$B$3:$C$16,2,FALSE))</f>
        <v/>
      </c>
      <c r="AW11" s="466" t="str">
        <f>IF(AK11="","",IF(AK11&lt;&gt;"都市ガス",1,IF(G11="","",SUMIFS(非_単位補正換算!$D$52:$D$63,非_単位補正換算!$B$52:$B$63,"都市ガス"&amp;G11,非_単位補正換算!$C$52:$C$63,電気・熱_都市ガス!Q11))))</f>
        <v/>
      </c>
      <c r="AX11" s="527" t="str">
        <f t="shared" si="12"/>
        <v/>
      </c>
      <c r="AY11" s="466" t="str">
        <f t="shared" si="2"/>
        <v/>
      </c>
      <c r="AZ11" s="466" t="str">
        <f t="shared" si="3"/>
        <v/>
      </c>
      <c r="BA11" s="466" t="str">
        <f>IF(C11="","",VLOOKUP(C11,非_まとめ表行番号!$F$3:$H$12,2,FALSE))</f>
        <v/>
      </c>
      <c r="BB11" s="539" t="b">
        <f t="shared" si="13"/>
        <v>1</v>
      </c>
      <c r="BC11" s="637" t="str">
        <f>IF(AK11="","",IF(AK11&lt;&gt;"都市ガス",1,非_係数!$G$55))</f>
        <v/>
      </c>
      <c r="BD11" s="466" t="str">
        <f t="shared" si="14"/>
        <v/>
      </c>
      <c r="BE11" s="466" t="str">
        <f t="shared" si="4"/>
        <v/>
      </c>
      <c r="BF11" s="466" t="str">
        <f>IF(C11="","",VLOOKUP(C11,非_係数!$B$42:$K$55,9,FALSE))</f>
        <v/>
      </c>
      <c r="BG11" s="466" t="str">
        <f t="shared" si="15"/>
        <v/>
      </c>
      <c r="BH11" s="466" t="str">
        <f>IF(C11="","",VLOOKUP(C11,非_まとめ表行番号!$F$3:$H$12,3,FALSE))</f>
        <v/>
      </c>
      <c r="BI11" s="466" t="str">
        <f t="shared" si="16"/>
        <v/>
      </c>
      <c r="BK11" s="527" t="str">
        <f>IF(BA11="","",VLOOKUP(BA11,非_まとめ表行番号!$U$3:$V$56,2,FALSE))</f>
        <v/>
      </c>
      <c r="BL11" s="526" t="str">
        <f t="shared" si="17"/>
        <v/>
      </c>
      <c r="BM11" s="526" t="str">
        <f t="shared" si="18"/>
        <v/>
      </c>
      <c r="BN11" s="526" t="str">
        <f t="shared" si="19"/>
        <v/>
      </c>
      <c r="BO11" s="526" t="str">
        <f t="shared" si="20"/>
        <v/>
      </c>
      <c r="BP11" s="526" t="str">
        <f t="shared" si="21"/>
        <v/>
      </c>
      <c r="BQ11" s="526" t="str">
        <f t="shared" si="22"/>
        <v/>
      </c>
      <c r="BR11" s="526" t="str">
        <f t="shared" si="23"/>
        <v/>
      </c>
      <c r="BS11" s="635" t="str">
        <f t="shared" si="24"/>
        <v/>
      </c>
    </row>
    <row r="12" spans="1:71" ht="18.75" customHeight="1">
      <c r="A12" s="483"/>
      <c r="B12" s="406"/>
      <c r="C12" s="406"/>
      <c r="D12" s="406"/>
      <c r="E12" s="406"/>
      <c r="F12" s="499"/>
      <c r="G12" s="608"/>
      <c r="H12" s="609" t="str">
        <f>IF(AK12&lt;&gt;"都市ガス","",IF(ISERROR(VLOOKUP(D12,非_都市ガス事業者!$O$8:$P$200,2,FALSE)),"",VLOOKUP(D12,非_都市ガス事業者!$O$8:$P$200,2,FALSE)))</f>
        <v/>
      </c>
      <c r="I12" s="610" t="str">
        <f>IF(AK12&lt;&gt;"都市ガス","",非_都市ガス事業者!$P$4)</f>
        <v/>
      </c>
      <c r="J12" s="611" t="str">
        <f>IF(C12="","",IF(AK12&lt;&gt;"都市ガス",VLOOKUP(C12,非_係数!$B$42:$D$55,2,FALSE),""))</f>
        <v/>
      </c>
      <c r="K12" s="406"/>
      <c r="L12" s="486" t="str">
        <f t="shared" si="5"/>
        <v/>
      </c>
      <c r="M12" s="225" t="str">
        <f t="shared" si="6"/>
        <v/>
      </c>
      <c r="N12" s="406"/>
      <c r="O12" s="458"/>
      <c r="P12" s="406"/>
      <c r="Q12" s="406"/>
      <c r="R12" s="451"/>
      <c r="S12" s="451"/>
      <c r="T12" s="451"/>
      <c r="U12" s="451"/>
      <c r="V12" s="451"/>
      <c r="W12" s="451"/>
      <c r="X12" s="451"/>
      <c r="Y12" s="451"/>
      <c r="Z12" s="451"/>
      <c r="AA12" s="451"/>
      <c r="AB12" s="451"/>
      <c r="AC12" s="451"/>
      <c r="AD12" s="497"/>
      <c r="AE12" s="586" t="str">
        <f t="shared" si="25"/>
        <v/>
      </c>
      <c r="AF12" s="433" t="str">
        <f t="shared" si="7"/>
        <v/>
      </c>
      <c r="AG12" s="433" t="str">
        <f>IF(C12="","",VLOOKUP(C12,非_単位!$N$38:$O$53,2,FALSE))</f>
        <v/>
      </c>
      <c r="AH12" s="586" t="str">
        <f t="shared" si="8"/>
        <v/>
      </c>
      <c r="AI12" s="587" t="str">
        <f t="shared" si="9"/>
        <v/>
      </c>
      <c r="AK12" s="466" t="str">
        <f t="shared" si="0"/>
        <v/>
      </c>
      <c r="AL12" s="466" t="str">
        <f>IF(B12="","",IF(B12=非_燃料種類_選択リスト!$I$3,"一般送配電_種類",IF(B12=非_燃料種類_選択リスト!$I$4,"一般送配電以外_種類",IF(B12=非_燃料種類_選択リスト!$I$5,"熱_種類",IF(B12=非_燃料種類_選択リスト!$I$6,"都市ガス_種類","")))))</f>
        <v/>
      </c>
      <c r="AM12" s="466" t="str">
        <f>IF(AK12&lt;&gt;"電気","",非_電気事業者!$S$4*1000)</f>
        <v/>
      </c>
      <c r="AN12" s="466" t="str">
        <f>IF(AK12&lt;&gt;"電気","",IF(ISERROR(VLOOKUP(D12&amp;F12,非_電気事業者!$R$9:$S$2000,2,FALSE)),"要記入",VLOOKUP(D12&amp;F12,非_電気事業者!$R$9:$S$2000,2,FALSE)*1000))</f>
        <v/>
      </c>
      <c r="AO12" s="466" t="str">
        <f>IF(AK12&lt;&gt;"熱","",非_熱供給事業者!$T$4)</f>
        <v/>
      </c>
      <c r="AP12" s="466" t="str">
        <f>IF(AK12&lt;&gt;"熱","",IF(ISERROR(VLOOKUP(D12&amp;F12,非_熱供給事業者!$S$8:$T$200,2,FALSE)),"要記入",VLOOKUP(D12&amp;F12,非_熱供給事業者!$S$8:$T$200,2,FALSE)))</f>
        <v/>
      </c>
      <c r="AQ12" s="466" t="str">
        <f>IF(AK12&lt;&gt;"都市ガス","",非_都市ガス事業者!$AB$4)</f>
        <v/>
      </c>
      <c r="AR12" s="466" t="str">
        <f>IF(AK12&lt;&gt;"都市ガス","",IF(ISERROR(VLOOKUP(D12&amp;F12,非_都市ガス事業者!$AA$8:$AB$200,2,FALSE)),"要記入",VLOOKUP(D12&amp;F12,非_都市ガス事業者!$AA$8:$AB$200,2,FALSE)))</f>
        <v/>
      </c>
      <c r="AS12" s="466" t="str">
        <f t="shared" si="1"/>
        <v/>
      </c>
      <c r="AT12" s="466" t="str">
        <f t="shared" si="10"/>
        <v/>
      </c>
      <c r="AU12" s="535" t="b">
        <f t="shared" si="11"/>
        <v>1</v>
      </c>
      <c r="AV12" s="466" t="str">
        <f>IF(Q12="","",VLOOKUP(Q12,非_単位補正換算!$B$3:$C$16,2,FALSE))</f>
        <v/>
      </c>
      <c r="AW12" s="466" t="str">
        <f>IF(AK12="","",IF(AK12&lt;&gt;"都市ガス",1,IF(G12="","",SUMIFS(非_単位補正換算!$D$52:$D$63,非_単位補正換算!$B$52:$B$63,"都市ガス"&amp;G12,非_単位補正換算!$C$52:$C$63,電気・熱_都市ガス!Q12))))</f>
        <v/>
      </c>
      <c r="AX12" s="527" t="str">
        <f t="shared" si="12"/>
        <v/>
      </c>
      <c r="AY12" s="466" t="str">
        <f t="shared" si="2"/>
        <v/>
      </c>
      <c r="AZ12" s="466" t="str">
        <f t="shared" si="3"/>
        <v/>
      </c>
      <c r="BA12" s="466" t="str">
        <f>IF(C12="","",VLOOKUP(C12,非_まとめ表行番号!$F$3:$H$12,2,FALSE))</f>
        <v/>
      </c>
      <c r="BB12" s="539" t="b">
        <f t="shared" si="13"/>
        <v>1</v>
      </c>
      <c r="BC12" s="637" t="str">
        <f>IF(AK12="","",IF(AK12&lt;&gt;"都市ガス",1,非_係数!$G$55))</f>
        <v/>
      </c>
      <c r="BD12" s="466" t="str">
        <f t="shared" si="14"/>
        <v/>
      </c>
      <c r="BE12" s="466" t="str">
        <f t="shared" si="4"/>
        <v/>
      </c>
      <c r="BF12" s="466" t="str">
        <f>IF(C12="","",VLOOKUP(C12,非_係数!$B$42:$K$55,9,FALSE))</f>
        <v/>
      </c>
      <c r="BG12" s="466" t="str">
        <f t="shared" si="15"/>
        <v/>
      </c>
      <c r="BH12" s="466" t="str">
        <f>IF(C12="","",VLOOKUP(C12,非_まとめ表行番号!$F$3:$H$12,3,FALSE))</f>
        <v/>
      </c>
      <c r="BI12" s="466" t="str">
        <f t="shared" si="16"/>
        <v/>
      </c>
      <c r="BK12" s="527" t="str">
        <f>IF(BA12="","",VLOOKUP(BA12,非_まとめ表行番号!$U$3:$V$56,2,FALSE))</f>
        <v/>
      </c>
      <c r="BL12" s="526" t="str">
        <f t="shared" si="17"/>
        <v/>
      </c>
      <c r="BM12" s="526" t="str">
        <f t="shared" si="18"/>
        <v/>
      </c>
      <c r="BN12" s="526" t="str">
        <f t="shared" si="19"/>
        <v/>
      </c>
      <c r="BO12" s="526" t="str">
        <f t="shared" si="20"/>
        <v/>
      </c>
      <c r="BP12" s="526" t="str">
        <f t="shared" si="21"/>
        <v/>
      </c>
      <c r="BQ12" s="526" t="str">
        <f t="shared" si="22"/>
        <v/>
      </c>
      <c r="BR12" s="526" t="str">
        <f t="shared" si="23"/>
        <v/>
      </c>
      <c r="BS12" s="635" t="str">
        <f t="shared" si="24"/>
        <v/>
      </c>
    </row>
    <row r="13" spans="1:71" ht="18.75" customHeight="1">
      <c r="A13" s="483"/>
      <c r="B13" s="406"/>
      <c r="C13" s="406"/>
      <c r="D13" s="406"/>
      <c r="E13" s="406"/>
      <c r="F13" s="499"/>
      <c r="G13" s="608"/>
      <c r="H13" s="609" t="str">
        <f>IF(AK13&lt;&gt;"都市ガス","",IF(ISERROR(VLOOKUP(D13,非_都市ガス事業者!$O$8:$P$200,2,FALSE)),"",VLOOKUP(D13,非_都市ガス事業者!$O$8:$P$200,2,FALSE)))</f>
        <v/>
      </c>
      <c r="I13" s="610" t="str">
        <f>IF(AK13&lt;&gt;"都市ガス","",非_都市ガス事業者!$P$4)</f>
        <v/>
      </c>
      <c r="J13" s="611" t="str">
        <f>IF(C13="","",IF(AK13&lt;&gt;"都市ガス",VLOOKUP(C13,非_係数!$B$42:$D$55,2,FALSE),""))</f>
        <v/>
      </c>
      <c r="K13" s="406"/>
      <c r="L13" s="486" t="str">
        <f t="shared" si="5"/>
        <v/>
      </c>
      <c r="M13" s="225" t="str">
        <f t="shared" si="6"/>
        <v/>
      </c>
      <c r="N13" s="406"/>
      <c r="O13" s="458"/>
      <c r="P13" s="406"/>
      <c r="Q13" s="406"/>
      <c r="R13" s="451"/>
      <c r="S13" s="451"/>
      <c r="T13" s="451"/>
      <c r="U13" s="451"/>
      <c r="V13" s="451"/>
      <c r="W13" s="451"/>
      <c r="X13" s="451"/>
      <c r="Y13" s="451"/>
      <c r="Z13" s="451"/>
      <c r="AA13" s="451"/>
      <c r="AB13" s="451"/>
      <c r="AC13" s="451"/>
      <c r="AD13" s="497"/>
      <c r="AE13" s="586" t="str">
        <f t="shared" si="25"/>
        <v/>
      </c>
      <c r="AF13" s="433" t="str">
        <f t="shared" si="7"/>
        <v/>
      </c>
      <c r="AG13" s="433" t="str">
        <f>IF(C13="","",VLOOKUP(C13,非_単位!$N$38:$O$53,2,FALSE))</f>
        <v/>
      </c>
      <c r="AH13" s="586" t="str">
        <f t="shared" si="8"/>
        <v/>
      </c>
      <c r="AI13" s="587" t="str">
        <f t="shared" si="9"/>
        <v/>
      </c>
      <c r="AK13" s="466" t="str">
        <f t="shared" si="0"/>
        <v/>
      </c>
      <c r="AL13" s="466" t="str">
        <f>IF(B13="","",IF(B13=非_燃料種類_選択リスト!$I$3,"一般送配電_種類",IF(B13=非_燃料種類_選択リスト!$I$4,"一般送配電以外_種類",IF(B13=非_燃料種類_選択リスト!$I$5,"熱_種類",IF(B13=非_燃料種類_選択リスト!$I$6,"都市ガス_種類","")))))</f>
        <v/>
      </c>
      <c r="AM13" s="466" t="str">
        <f>IF(AK13&lt;&gt;"電気","",非_電気事業者!$S$4*1000)</f>
        <v/>
      </c>
      <c r="AN13" s="466" t="str">
        <f>IF(AK13&lt;&gt;"電気","",IF(ISERROR(VLOOKUP(D13&amp;F13,非_電気事業者!$R$9:$S$2000,2,FALSE)),"要記入",VLOOKUP(D13&amp;F13,非_電気事業者!$R$9:$S$2000,2,FALSE)*1000))</f>
        <v/>
      </c>
      <c r="AO13" s="466" t="str">
        <f>IF(AK13&lt;&gt;"熱","",非_熱供給事業者!$T$4)</f>
        <v/>
      </c>
      <c r="AP13" s="466" t="str">
        <f>IF(AK13&lt;&gt;"熱","",IF(ISERROR(VLOOKUP(D13&amp;F13,非_熱供給事業者!$S$8:$T$200,2,FALSE)),"要記入",VLOOKUP(D13&amp;F13,非_熱供給事業者!$S$8:$T$200,2,FALSE)))</f>
        <v/>
      </c>
      <c r="AQ13" s="466" t="str">
        <f>IF(AK13&lt;&gt;"都市ガス","",非_都市ガス事業者!$AB$4)</f>
        <v/>
      </c>
      <c r="AR13" s="466" t="str">
        <f>IF(AK13&lt;&gt;"都市ガス","",IF(ISERROR(VLOOKUP(D13&amp;F13,非_都市ガス事業者!$AA$8:$AB$200,2,FALSE)),"要記入",VLOOKUP(D13&amp;F13,非_都市ガス事業者!$AA$8:$AB$200,2,FALSE)))</f>
        <v/>
      </c>
      <c r="AS13" s="466" t="str">
        <f t="shared" si="1"/>
        <v/>
      </c>
      <c r="AT13" s="466" t="str">
        <f t="shared" si="10"/>
        <v/>
      </c>
      <c r="AU13" s="535" t="b">
        <f t="shared" si="11"/>
        <v>1</v>
      </c>
      <c r="AV13" s="466" t="str">
        <f>IF(Q13="","",VLOOKUP(Q13,非_単位補正換算!$B$3:$C$16,2,FALSE))</f>
        <v/>
      </c>
      <c r="AW13" s="466" t="str">
        <f>IF(AK13="","",IF(AK13&lt;&gt;"都市ガス",1,IF(G13="","",SUMIFS(非_単位補正換算!$D$52:$D$63,非_単位補正換算!$B$52:$B$63,"都市ガス"&amp;G13,非_単位補正換算!$C$52:$C$63,電気・熱_都市ガス!Q13))))</f>
        <v/>
      </c>
      <c r="AX13" s="527" t="str">
        <f t="shared" si="12"/>
        <v/>
      </c>
      <c r="AY13" s="466" t="str">
        <f t="shared" si="2"/>
        <v/>
      </c>
      <c r="AZ13" s="466" t="str">
        <f t="shared" si="3"/>
        <v/>
      </c>
      <c r="BA13" s="466" t="str">
        <f>IF(C13="","",VLOOKUP(C13,非_まとめ表行番号!$F$3:$H$12,2,FALSE))</f>
        <v/>
      </c>
      <c r="BB13" s="539" t="b">
        <f t="shared" si="13"/>
        <v>1</v>
      </c>
      <c r="BC13" s="637" t="str">
        <f>IF(AK13="","",IF(AK13&lt;&gt;"都市ガス",1,非_係数!$G$55))</f>
        <v/>
      </c>
      <c r="BD13" s="466" t="str">
        <f t="shared" si="14"/>
        <v/>
      </c>
      <c r="BE13" s="466" t="str">
        <f t="shared" si="4"/>
        <v/>
      </c>
      <c r="BF13" s="466" t="str">
        <f>IF(C13="","",VLOOKUP(C13,非_係数!$B$42:$K$55,9,FALSE))</f>
        <v/>
      </c>
      <c r="BG13" s="466" t="str">
        <f t="shared" si="15"/>
        <v/>
      </c>
      <c r="BH13" s="466" t="str">
        <f>IF(C13="","",VLOOKUP(C13,非_まとめ表行番号!$F$3:$H$12,3,FALSE))</f>
        <v/>
      </c>
      <c r="BI13" s="466" t="str">
        <f t="shared" si="16"/>
        <v/>
      </c>
      <c r="BK13" s="527" t="str">
        <f>IF(BA13="","",VLOOKUP(BA13,非_まとめ表行番号!$U$3:$V$56,2,FALSE))</f>
        <v/>
      </c>
      <c r="BL13" s="526" t="str">
        <f t="shared" si="17"/>
        <v/>
      </c>
      <c r="BM13" s="526" t="str">
        <f t="shared" si="18"/>
        <v/>
      </c>
      <c r="BN13" s="526" t="str">
        <f t="shared" si="19"/>
        <v/>
      </c>
      <c r="BO13" s="526" t="str">
        <f t="shared" si="20"/>
        <v/>
      </c>
      <c r="BP13" s="526" t="str">
        <f t="shared" si="21"/>
        <v/>
      </c>
      <c r="BQ13" s="526" t="str">
        <f t="shared" si="22"/>
        <v/>
      </c>
      <c r="BR13" s="526" t="str">
        <f t="shared" si="23"/>
        <v/>
      </c>
      <c r="BS13" s="635" t="str">
        <f t="shared" si="24"/>
        <v/>
      </c>
    </row>
    <row r="14" spans="1:71" ht="18.75" customHeight="1">
      <c r="A14" s="483"/>
      <c r="B14" s="406"/>
      <c r="C14" s="406"/>
      <c r="D14" s="406"/>
      <c r="E14" s="406"/>
      <c r="F14" s="499"/>
      <c r="G14" s="608"/>
      <c r="H14" s="609" t="str">
        <f>IF(AK14&lt;&gt;"都市ガス","",IF(ISERROR(VLOOKUP(D14,非_都市ガス事業者!$O$8:$P$200,2,FALSE)),"",VLOOKUP(D14,非_都市ガス事業者!$O$8:$P$200,2,FALSE)))</f>
        <v/>
      </c>
      <c r="I14" s="610" t="str">
        <f>IF(AK14&lt;&gt;"都市ガス","",非_都市ガス事業者!$P$4)</f>
        <v/>
      </c>
      <c r="J14" s="611" t="str">
        <f>IF(C14="","",IF(AK14&lt;&gt;"都市ガス",VLOOKUP(C14,非_係数!$B$42:$D$55,2,FALSE),""))</f>
        <v/>
      </c>
      <c r="K14" s="406"/>
      <c r="L14" s="486" t="str">
        <f t="shared" si="5"/>
        <v/>
      </c>
      <c r="M14" s="225" t="str">
        <f t="shared" si="6"/>
        <v/>
      </c>
      <c r="N14" s="406"/>
      <c r="O14" s="458"/>
      <c r="P14" s="406"/>
      <c r="Q14" s="406"/>
      <c r="R14" s="451"/>
      <c r="S14" s="451"/>
      <c r="T14" s="451"/>
      <c r="U14" s="451"/>
      <c r="V14" s="451"/>
      <c r="W14" s="451"/>
      <c r="X14" s="451"/>
      <c r="Y14" s="451"/>
      <c r="Z14" s="451"/>
      <c r="AA14" s="451"/>
      <c r="AB14" s="451"/>
      <c r="AC14" s="451"/>
      <c r="AD14" s="497"/>
      <c r="AE14" s="586" t="str">
        <f t="shared" si="25"/>
        <v/>
      </c>
      <c r="AF14" s="433" t="str">
        <f t="shared" si="7"/>
        <v/>
      </c>
      <c r="AG14" s="433" t="str">
        <f>IF(C14="","",VLOOKUP(C14,非_単位!$N$38:$O$53,2,FALSE))</f>
        <v/>
      </c>
      <c r="AH14" s="586" t="str">
        <f t="shared" si="8"/>
        <v/>
      </c>
      <c r="AI14" s="587" t="str">
        <f t="shared" si="9"/>
        <v/>
      </c>
      <c r="AK14" s="466" t="str">
        <f t="shared" si="0"/>
        <v/>
      </c>
      <c r="AL14" s="466" t="str">
        <f>IF(B14="","",IF(B14=非_燃料種類_選択リスト!$I$3,"一般送配電_種類",IF(B14=非_燃料種類_選択リスト!$I$4,"一般送配電以外_種類",IF(B14=非_燃料種類_選択リスト!$I$5,"熱_種類",IF(B14=非_燃料種類_選択リスト!$I$6,"都市ガス_種類","")))))</f>
        <v/>
      </c>
      <c r="AM14" s="466" t="str">
        <f>IF(AK14&lt;&gt;"電気","",非_電気事業者!$S$4*1000)</f>
        <v/>
      </c>
      <c r="AN14" s="466" t="str">
        <f>IF(AK14&lt;&gt;"電気","",IF(ISERROR(VLOOKUP(D14&amp;F14,非_電気事業者!$R$9:$S$2000,2,FALSE)),"要記入",VLOOKUP(D14&amp;F14,非_電気事業者!$R$9:$S$2000,2,FALSE)*1000))</f>
        <v/>
      </c>
      <c r="AO14" s="466" t="str">
        <f>IF(AK14&lt;&gt;"熱","",非_熱供給事業者!$T$4)</f>
        <v/>
      </c>
      <c r="AP14" s="466" t="str">
        <f>IF(AK14&lt;&gt;"熱","",IF(ISERROR(VLOOKUP(D14&amp;F14,非_熱供給事業者!$S$8:$T$200,2,FALSE)),"要記入",VLOOKUP(D14&amp;F14,非_熱供給事業者!$S$8:$T$200,2,FALSE)))</f>
        <v/>
      </c>
      <c r="AQ14" s="466" t="str">
        <f>IF(AK14&lt;&gt;"都市ガス","",非_都市ガス事業者!$AB$4)</f>
        <v/>
      </c>
      <c r="AR14" s="466" t="str">
        <f>IF(AK14&lt;&gt;"都市ガス","",IF(ISERROR(VLOOKUP(D14&amp;F14,非_都市ガス事業者!$AA$8:$AB$200,2,FALSE)),"要記入",VLOOKUP(D14&amp;F14,非_都市ガス事業者!$AA$8:$AB$200,2,FALSE)))</f>
        <v/>
      </c>
      <c r="AS14" s="466" t="str">
        <f t="shared" si="1"/>
        <v/>
      </c>
      <c r="AT14" s="466" t="str">
        <f t="shared" si="10"/>
        <v/>
      </c>
      <c r="AU14" s="535" t="b">
        <f t="shared" si="11"/>
        <v>1</v>
      </c>
      <c r="AV14" s="466" t="str">
        <f>IF(Q14="","",VLOOKUP(Q14,非_単位補正換算!$B$3:$C$16,2,FALSE))</f>
        <v/>
      </c>
      <c r="AW14" s="466" t="str">
        <f>IF(AK14="","",IF(AK14&lt;&gt;"都市ガス",1,IF(G14="","",SUMIFS(非_単位補正換算!$D$52:$D$63,非_単位補正換算!$B$52:$B$63,"都市ガス"&amp;G14,非_単位補正換算!$C$52:$C$63,電気・熱_都市ガス!Q14))))</f>
        <v/>
      </c>
      <c r="AX14" s="527" t="str">
        <f t="shared" si="12"/>
        <v/>
      </c>
      <c r="AY14" s="466" t="str">
        <f t="shared" si="2"/>
        <v/>
      </c>
      <c r="AZ14" s="466" t="str">
        <f t="shared" si="3"/>
        <v/>
      </c>
      <c r="BA14" s="466" t="str">
        <f>IF(C14="","",VLOOKUP(C14,非_まとめ表行番号!$F$3:$H$12,2,FALSE))</f>
        <v/>
      </c>
      <c r="BB14" s="539" t="b">
        <f t="shared" si="13"/>
        <v>1</v>
      </c>
      <c r="BC14" s="637" t="str">
        <f>IF(AK14="","",IF(AK14&lt;&gt;"都市ガス",1,非_係数!$G$55))</f>
        <v/>
      </c>
      <c r="BD14" s="466" t="str">
        <f t="shared" si="14"/>
        <v/>
      </c>
      <c r="BE14" s="466" t="str">
        <f t="shared" si="4"/>
        <v/>
      </c>
      <c r="BF14" s="466" t="str">
        <f>IF(C14="","",VLOOKUP(C14,非_係数!$B$42:$K$55,9,FALSE))</f>
        <v/>
      </c>
      <c r="BG14" s="466" t="str">
        <f t="shared" si="15"/>
        <v/>
      </c>
      <c r="BH14" s="466" t="str">
        <f>IF(C14="","",VLOOKUP(C14,非_まとめ表行番号!$F$3:$H$12,3,FALSE))</f>
        <v/>
      </c>
      <c r="BI14" s="466" t="str">
        <f t="shared" si="16"/>
        <v/>
      </c>
      <c r="BK14" s="527" t="str">
        <f>IF(BA14="","",VLOOKUP(BA14,非_まとめ表行番号!$U$3:$V$56,2,FALSE))</f>
        <v/>
      </c>
      <c r="BL14" s="526" t="str">
        <f t="shared" si="17"/>
        <v/>
      </c>
      <c r="BM14" s="526" t="str">
        <f t="shared" si="18"/>
        <v/>
      </c>
      <c r="BN14" s="526" t="str">
        <f t="shared" si="19"/>
        <v/>
      </c>
      <c r="BO14" s="526" t="str">
        <f t="shared" si="20"/>
        <v/>
      </c>
      <c r="BP14" s="526" t="str">
        <f t="shared" si="21"/>
        <v/>
      </c>
      <c r="BQ14" s="526" t="str">
        <f t="shared" si="22"/>
        <v/>
      </c>
      <c r="BR14" s="526" t="str">
        <f t="shared" si="23"/>
        <v/>
      </c>
      <c r="BS14" s="635" t="str">
        <f t="shared" si="24"/>
        <v/>
      </c>
    </row>
    <row r="15" spans="1:71" ht="18.75" customHeight="1">
      <c r="A15" s="483"/>
      <c r="B15" s="406"/>
      <c r="C15" s="406"/>
      <c r="D15" s="406"/>
      <c r="E15" s="406"/>
      <c r="F15" s="499"/>
      <c r="G15" s="608"/>
      <c r="H15" s="609" t="str">
        <f>IF(AK15&lt;&gt;"都市ガス","",IF(ISERROR(VLOOKUP(D15,非_都市ガス事業者!$O$8:$P$200,2,FALSE)),"",VLOOKUP(D15,非_都市ガス事業者!$O$8:$P$200,2,FALSE)))</f>
        <v/>
      </c>
      <c r="I15" s="610" t="str">
        <f>IF(AK15&lt;&gt;"都市ガス","",非_都市ガス事業者!$P$4)</f>
        <v/>
      </c>
      <c r="J15" s="611" t="str">
        <f>IF(C15="","",IF(AK15&lt;&gt;"都市ガス",VLOOKUP(C15,非_係数!$B$42:$D$55,2,FALSE),""))</f>
        <v/>
      </c>
      <c r="K15" s="406"/>
      <c r="L15" s="486" t="str">
        <f t="shared" si="5"/>
        <v/>
      </c>
      <c r="M15" s="225" t="str">
        <f t="shared" si="6"/>
        <v/>
      </c>
      <c r="N15" s="406"/>
      <c r="O15" s="458"/>
      <c r="P15" s="406"/>
      <c r="Q15" s="406"/>
      <c r="R15" s="451"/>
      <c r="S15" s="451"/>
      <c r="T15" s="451"/>
      <c r="U15" s="451"/>
      <c r="V15" s="451"/>
      <c r="W15" s="451"/>
      <c r="X15" s="451"/>
      <c r="Y15" s="451"/>
      <c r="Z15" s="451"/>
      <c r="AA15" s="451"/>
      <c r="AB15" s="451"/>
      <c r="AC15" s="451"/>
      <c r="AD15" s="497"/>
      <c r="AE15" s="586" t="str">
        <f t="shared" si="25"/>
        <v/>
      </c>
      <c r="AF15" s="433" t="str">
        <f t="shared" si="7"/>
        <v/>
      </c>
      <c r="AG15" s="433" t="str">
        <f>IF(C15="","",VLOOKUP(C15,非_単位!$N$38:$O$53,2,FALSE))</f>
        <v/>
      </c>
      <c r="AH15" s="586" t="str">
        <f t="shared" si="8"/>
        <v/>
      </c>
      <c r="AI15" s="587" t="str">
        <f t="shared" si="9"/>
        <v/>
      </c>
      <c r="AK15" s="466" t="str">
        <f t="shared" si="0"/>
        <v/>
      </c>
      <c r="AL15" s="466" t="str">
        <f>IF(B15="","",IF(B15=非_燃料種類_選択リスト!$I$3,"一般送配電_種類",IF(B15=非_燃料種類_選択リスト!$I$4,"一般送配電以外_種類",IF(B15=非_燃料種類_選択リスト!$I$5,"熱_種類",IF(B15=非_燃料種類_選択リスト!$I$6,"都市ガス_種類","")))))</f>
        <v/>
      </c>
      <c r="AM15" s="466" t="str">
        <f>IF(AK15&lt;&gt;"電気","",非_電気事業者!$S$4*1000)</f>
        <v/>
      </c>
      <c r="AN15" s="466" t="str">
        <f>IF(AK15&lt;&gt;"電気","",IF(ISERROR(VLOOKUP(D15&amp;F15,非_電気事業者!$R$9:$S$2000,2,FALSE)),"要記入",VLOOKUP(D15&amp;F15,非_電気事業者!$R$9:$S$2000,2,FALSE)*1000))</f>
        <v/>
      </c>
      <c r="AO15" s="466" t="str">
        <f>IF(AK15&lt;&gt;"熱","",非_熱供給事業者!$T$4)</f>
        <v/>
      </c>
      <c r="AP15" s="466" t="str">
        <f>IF(AK15&lt;&gt;"熱","",IF(ISERROR(VLOOKUP(D15&amp;F15,非_熱供給事業者!$S$8:$T$200,2,FALSE)),"要記入",VLOOKUP(D15&amp;F15,非_熱供給事業者!$S$8:$T$200,2,FALSE)))</f>
        <v/>
      </c>
      <c r="AQ15" s="466" t="str">
        <f>IF(AK15&lt;&gt;"都市ガス","",非_都市ガス事業者!$AB$4)</f>
        <v/>
      </c>
      <c r="AR15" s="466" t="str">
        <f>IF(AK15&lt;&gt;"都市ガス","",IF(ISERROR(VLOOKUP(D15&amp;F15,非_都市ガス事業者!$AA$8:$AB$200,2,FALSE)),"要記入",VLOOKUP(D15&amp;F15,非_都市ガス事業者!$AA$8:$AB$200,2,FALSE)))</f>
        <v/>
      </c>
      <c r="AS15" s="466" t="str">
        <f t="shared" si="1"/>
        <v/>
      </c>
      <c r="AT15" s="466" t="str">
        <f t="shared" si="10"/>
        <v/>
      </c>
      <c r="AU15" s="535" t="b">
        <f t="shared" si="11"/>
        <v>1</v>
      </c>
      <c r="AV15" s="466" t="str">
        <f>IF(Q15="","",VLOOKUP(Q15,非_単位補正換算!$B$3:$C$16,2,FALSE))</f>
        <v/>
      </c>
      <c r="AW15" s="466" t="str">
        <f>IF(AK15="","",IF(AK15&lt;&gt;"都市ガス",1,IF(G15="","",SUMIFS(非_単位補正換算!$D$52:$D$63,非_単位補正換算!$B$52:$B$63,"都市ガス"&amp;G15,非_単位補正換算!$C$52:$C$63,電気・熱_都市ガス!Q15))))</f>
        <v/>
      </c>
      <c r="AX15" s="527" t="str">
        <f t="shared" si="12"/>
        <v/>
      </c>
      <c r="AY15" s="466" t="str">
        <f t="shared" si="2"/>
        <v/>
      </c>
      <c r="AZ15" s="466" t="str">
        <f t="shared" si="3"/>
        <v/>
      </c>
      <c r="BA15" s="466" t="str">
        <f>IF(C15="","",VLOOKUP(C15,非_まとめ表行番号!$F$3:$H$12,2,FALSE))</f>
        <v/>
      </c>
      <c r="BB15" s="539" t="b">
        <f t="shared" si="13"/>
        <v>1</v>
      </c>
      <c r="BC15" s="637" t="str">
        <f>IF(AK15="","",IF(AK15&lt;&gt;"都市ガス",1,非_係数!$G$55))</f>
        <v/>
      </c>
      <c r="BD15" s="466" t="str">
        <f t="shared" si="14"/>
        <v/>
      </c>
      <c r="BE15" s="466" t="str">
        <f t="shared" si="4"/>
        <v/>
      </c>
      <c r="BF15" s="466" t="str">
        <f>IF(C15="","",VLOOKUP(C15,非_係数!$B$42:$K$55,9,FALSE))</f>
        <v/>
      </c>
      <c r="BG15" s="466" t="str">
        <f t="shared" si="15"/>
        <v/>
      </c>
      <c r="BH15" s="466" t="str">
        <f>IF(C15="","",VLOOKUP(C15,非_まとめ表行番号!$F$3:$H$12,3,FALSE))</f>
        <v/>
      </c>
      <c r="BI15" s="466" t="str">
        <f t="shared" si="16"/>
        <v/>
      </c>
      <c r="BK15" s="527" t="str">
        <f>IF(BA15="","",VLOOKUP(BA15,非_まとめ表行番号!$U$3:$V$56,2,FALSE))</f>
        <v/>
      </c>
      <c r="BL15" s="526" t="str">
        <f t="shared" si="17"/>
        <v/>
      </c>
      <c r="BM15" s="526" t="str">
        <f t="shared" si="18"/>
        <v/>
      </c>
      <c r="BN15" s="526" t="str">
        <f t="shared" si="19"/>
        <v/>
      </c>
      <c r="BO15" s="526" t="str">
        <f t="shared" si="20"/>
        <v/>
      </c>
      <c r="BP15" s="526" t="str">
        <f t="shared" si="21"/>
        <v/>
      </c>
      <c r="BQ15" s="526" t="str">
        <f t="shared" si="22"/>
        <v/>
      </c>
      <c r="BR15" s="526" t="str">
        <f t="shared" si="23"/>
        <v/>
      </c>
      <c r="BS15" s="635" t="str">
        <f t="shared" si="24"/>
        <v/>
      </c>
    </row>
    <row r="16" spans="1:71" ht="18.75" customHeight="1">
      <c r="A16" s="483"/>
      <c r="B16" s="406"/>
      <c r="C16" s="406"/>
      <c r="D16" s="406"/>
      <c r="E16" s="406"/>
      <c r="F16" s="499"/>
      <c r="G16" s="608"/>
      <c r="H16" s="609" t="str">
        <f>IF(AK16&lt;&gt;"都市ガス","",IF(ISERROR(VLOOKUP(D16,非_都市ガス事業者!$O$8:$P$200,2,FALSE)),"",VLOOKUP(D16,非_都市ガス事業者!$O$8:$P$200,2,FALSE)))</f>
        <v/>
      </c>
      <c r="I16" s="610" t="str">
        <f>IF(AK16&lt;&gt;"都市ガス","",非_都市ガス事業者!$P$4)</f>
        <v/>
      </c>
      <c r="J16" s="611" t="str">
        <f>IF(C16="","",IF(AK16&lt;&gt;"都市ガス",VLOOKUP(C16,非_係数!$B$42:$D$55,2,FALSE),""))</f>
        <v/>
      </c>
      <c r="K16" s="406"/>
      <c r="L16" s="486" t="str">
        <f t="shared" si="5"/>
        <v/>
      </c>
      <c r="M16" s="225" t="str">
        <f t="shared" si="6"/>
        <v/>
      </c>
      <c r="N16" s="406"/>
      <c r="O16" s="458"/>
      <c r="P16" s="406"/>
      <c r="Q16" s="406"/>
      <c r="R16" s="451"/>
      <c r="S16" s="451"/>
      <c r="T16" s="451"/>
      <c r="U16" s="451"/>
      <c r="V16" s="451"/>
      <c r="W16" s="451"/>
      <c r="X16" s="451"/>
      <c r="Y16" s="451"/>
      <c r="Z16" s="451"/>
      <c r="AA16" s="451"/>
      <c r="AB16" s="451"/>
      <c r="AC16" s="451"/>
      <c r="AD16" s="497"/>
      <c r="AE16" s="586" t="str">
        <f t="shared" si="25"/>
        <v/>
      </c>
      <c r="AF16" s="433" t="str">
        <f t="shared" si="7"/>
        <v/>
      </c>
      <c r="AG16" s="433" t="str">
        <f>IF(C16="","",VLOOKUP(C16,非_単位!$N$38:$O$53,2,FALSE))</f>
        <v/>
      </c>
      <c r="AH16" s="586" t="str">
        <f t="shared" si="8"/>
        <v/>
      </c>
      <c r="AI16" s="587" t="str">
        <f t="shared" si="9"/>
        <v/>
      </c>
      <c r="AK16" s="466" t="str">
        <f t="shared" si="0"/>
        <v/>
      </c>
      <c r="AL16" s="466" t="str">
        <f>IF(B16="","",IF(B16=非_燃料種類_選択リスト!$I$3,"一般送配電_種類",IF(B16=非_燃料種類_選択リスト!$I$4,"一般送配電以外_種類",IF(B16=非_燃料種類_選択リスト!$I$5,"熱_種類",IF(B16=非_燃料種類_選択リスト!$I$6,"都市ガス_種類","")))))</f>
        <v/>
      </c>
      <c r="AM16" s="466" t="str">
        <f>IF(AK16&lt;&gt;"電気","",非_電気事業者!$S$4*1000)</f>
        <v/>
      </c>
      <c r="AN16" s="466" t="str">
        <f>IF(AK16&lt;&gt;"電気","",IF(ISERROR(VLOOKUP(D16&amp;F16,非_電気事業者!$R$9:$S$2000,2,FALSE)),"要記入",VLOOKUP(D16&amp;F16,非_電気事業者!$R$9:$S$2000,2,FALSE)*1000))</f>
        <v/>
      </c>
      <c r="AO16" s="466" t="str">
        <f>IF(AK16&lt;&gt;"熱","",非_熱供給事業者!$T$4)</f>
        <v/>
      </c>
      <c r="AP16" s="466" t="str">
        <f>IF(AK16&lt;&gt;"熱","",IF(ISERROR(VLOOKUP(D16&amp;F16,非_熱供給事業者!$S$8:$T$200,2,FALSE)),"要記入",VLOOKUP(D16&amp;F16,非_熱供給事業者!$S$8:$T$200,2,FALSE)))</f>
        <v/>
      </c>
      <c r="AQ16" s="466" t="str">
        <f>IF(AK16&lt;&gt;"都市ガス","",非_都市ガス事業者!$AB$4)</f>
        <v/>
      </c>
      <c r="AR16" s="466" t="str">
        <f>IF(AK16&lt;&gt;"都市ガス","",IF(ISERROR(VLOOKUP(D16&amp;F16,非_都市ガス事業者!$AA$8:$AB$200,2,FALSE)),"要記入",VLOOKUP(D16&amp;F16,非_都市ガス事業者!$AA$8:$AB$200,2,FALSE)))</f>
        <v/>
      </c>
      <c r="AS16" s="466" t="str">
        <f t="shared" si="1"/>
        <v/>
      </c>
      <c r="AT16" s="466" t="str">
        <f t="shared" si="10"/>
        <v/>
      </c>
      <c r="AU16" s="535" t="b">
        <f t="shared" si="11"/>
        <v>1</v>
      </c>
      <c r="AV16" s="466" t="str">
        <f>IF(Q16="","",VLOOKUP(Q16,非_単位補正換算!$B$3:$C$16,2,FALSE))</f>
        <v/>
      </c>
      <c r="AW16" s="466" t="str">
        <f>IF(AK16="","",IF(AK16&lt;&gt;"都市ガス",1,IF(G16="","",SUMIFS(非_単位補正換算!$D$52:$D$63,非_単位補正換算!$B$52:$B$63,"都市ガス"&amp;G16,非_単位補正換算!$C$52:$C$63,電気・熱_都市ガス!Q16))))</f>
        <v/>
      </c>
      <c r="AX16" s="527" t="str">
        <f t="shared" si="12"/>
        <v/>
      </c>
      <c r="AY16" s="466" t="str">
        <f t="shared" si="2"/>
        <v/>
      </c>
      <c r="AZ16" s="466" t="str">
        <f t="shared" si="3"/>
        <v/>
      </c>
      <c r="BA16" s="466" t="str">
        <f>IF(C16="","",VLOOKUP(C16,非_まとめ表行番号!$F$3:$H$12,2,FALSE))</f>
        <v/>
      </c>
      <c r="BB16" s="539" t="b">
        <f t="shared" si="13"/>
        <v>1</v>
      </c>
      <c r="BC16" s="637" t="str">
        <f>IF(AK16="","",IF(AK16&lt;&gt;"都市ガス",1,非_係数!$G$55))</f>
        <v/>
      </c>
      <c r="BD16" s="466" t="str">
        <f t="shared" si="14"/>
        <v/>
      </c>
      <c r="BE16" s="466" t="str">
        <f t="shared" si="4"/>
        <v/>
      </c>
      <c r="BF16" s="466" t="str">
        <f>IF(C16="","",VLOOKUP(C16,非_係数!$B$42:$K$55,9,FALSE))</f>
        <v/>
      </c>
      <c r="BG16" s="466" t="str">
        <f t="shared" si="15"/>
        <v/>
      </c>
      <c r="BH16" s="466" t="str">
        <f>IF(C16="","",VLOOKUP(C16,非_まとめ表行番号!$F$3:$H$12,3,FALSE))</f>
        <v/>
      </c>
      <c r="BI16" s="466" t="str">
        <f t="shared" si="16"/>
        <v/>
      </c>
      <c r="BK16" s="527" t="str">
        <f>IF(BA16="","",VLOOKUP(BA16,非_まとめ表行番号!$U$3:$V$56,2,FALSE))</f>
        <v/>
      </c>
      <c r="BL16" s="526" t="str">
        <f t="shared" si="17"/>
        <v/>
      </c>
      <c r="BM16" s="526" t="str">
        <f t="shared" si="18"/>
        <v/>
      </c>
      <c r="BN16" s="526" t="str">
        <f t="shared" si="19"/>
        <v/>
      </c>
      <c r="BO16" s="526" t="str">
        <f t="shared" si="20"/>
        <v/>
      </c>
      <c r="BP16" s="526" t="str">
        <f t="shared" si="21"/>
        <v/>
      </c>
      <c r="BQ16" s="526" t="str">
        <f t="shared" si="22"/>
        <v/>
      </c>
      <c r="BR16" s="526" t="str">
        <f t="shared" si="23"/>
        <v/>
      </c>
      <c r="BS16" s="635" t="str">
        <f t="shared" si="24"/>
        <v/>
      </c>
    </row>
    <row r="17" spans="1:71" ht="18.75" customHeight="1">
      <c r="A17" s="483"/>
      <c r="B17" s="406"/>
      <c r="C17" s="406"/>
      <c r="D17" s="406"/>
      <c r="E17" s="406"/>
      <c r="F17" s="499"/>
      <c r="G17" s="608"/>
      <c r="H17" s="609" t="str">
        <f>IF(AK17&lt;&gt;"都市ガス","",IF(ISERROR(VLOOKUP(D17,非_都市ガス事業者!$O$8:$P$200,2,FALSE)),"",VLOOKUP(D17,非_都市ガス事業者!$O$8:$P$200,2,FALSE)))</f>
        <v/>
      </c>
      <c r="I17" s="610" t="str">
        <f>IF(AK17&lt;&gt;"都市ガス","",非_都市ガス事業者!$P$4)</f>
        <v/>
      </c>
      <c r="J17" s="611" t="str">
        <f>IF(C17="","",IF(AK17&lt;&gt;"都市ガス",VLOOKUP(C17,非_係数!$B$42:$D$55,2,FALSE),""))</f>
        <v/>
      </c>
      <c r="K17" s="406"/>
      <c r="L17" s="486" t="str">
        <f t="shared" si="5"/>
        <v/>
      </c>
      <c r="M17" s="225" t="str">
        <f t="shared" si="6"/>
        <v/>
      </c>
      <c r="N17" s="406"/>
      <c r="O17" s="458"/>
      <c r="P17" s="406"/>
      <c r="Q17" s="406"/>
      <c r="R17" s="451"/>
      <c r="S17" s="451"/>
      <c r="T17" s="451"/>
      <c r="U17" s="451"/>
      <c r="V17" s="451"/>
      <c r="W17" s="451"/>
      <c r="X17" s="451"/>
      <c r="Y17" s="451"/>
      <c r="Z17" s="451"/>
      <c r="AA17" s="451"/>
      <c r="AB17" s="451"/>
      <c r="AC17" s="451"/>
      <c r="AD17" s="497"/>
      <c r="AE17" s="586" t="str">
        <f t="shared" si="25"/>
        <v/>
      </c>
      <c r="AF17" s="433" t="str">
        <f t="shared" si="7"/>
        <v/>
      </c>
      <c r="AG17" s="433" t="str">
        <f>IF(C17="","",VLOOKUP(C17,非_単位!$N$38:$O$53,2,FALSE))</f>
        <v/>
      </c>
      <c r="AH17" s="586" t="str">
        <f t="shared" si="8"/>
        <v/>
      </c>
      <c r="AI17" s="587" t="str">
        <f t="shared" si="9"/>
        <v/>
      </c>
      <c r="AK17" s="466" t="str">
        <f t="shared" si="0"/>
        <v/>
      </c>
      <c r="AL17" s="466" t="str">
        <f>IF(B17="","",IF(B17=非_燃料種類_選択リスト!$I$3,"一般送配電_種類",IF(B17=非_燃料種類_選択リスト!$I$4,"一般送配電以外_種類",IF(B17=非_燃料種類_選択リスト!$I$5,"熱_種類",IF(B17=非_燃料種類_選択リスト!$I$6,"都市ガス_種類","")))))</f>
        <v/>
      </c>
      <c r="AM17" s="466" t="str">
        <f>IF(AK17&lt;&gt;"電気","",非_電気事業者!$S$4*1000)</f>
        <v/>
      </c>
      <c r="AN17" s="466" t="str">
        <f>IF(AK17&lt;&gt;"電気","",IF(ISERROR(VLOOKUP(D17&amp;F17,非_電気事業者!$R$9:$S$2000,2,FALSE)),"要記入",VLOOKUP(D17&amp;F17,非_電気事業者!$R$9:$S$2000,2,FALSE)*1000))</f>
        <v/>
      </c>
      <c r="AO17" s="466" t="str">
        <f>IF(AK17&lt;&gt;"熱","",非_熱供給事業者!$T$4)</f>
        <v/>
      </c>
      <c r="AP17" s="466" t="str">
        <f>IF(AK17&lt;&gt;"熱","",IF(ISERROR(VLOOKUP(D17&amp;F17,非_熱供給事業者!$S$8:$T$200,2,FALSE)),"要記入",VLOOKUP(D17&amp;F17,非_熱供給事業者!$S$8:$T$200,2,FALSE)))</f>
        <v/>
      </c>
      <c r="AQ17" s="466" t="str">
        <f>IF(AK17&lt;&gt;"都市ガス","",非_都市ガス事業者!$AB$4)</f>
        <v/>
      </c>
      <c r="AR17" s="466" t="str">
        <f>IF(AK17&lt;&gt;"都市ガス","",IF(ISERROR(VLOOKUP(D17&amp;F17,非_都市ガス事業者!$AA$8:$AB$200,2,FALSE)),"要記入",VLOOKUP(D17&amp;F17,非_都市ガス事業者!$AA$8:$AB$200,2,FALSE)))</f>
        <v/>
      </c>
      <c r="AS17" s="466" t="str">
        <f t="shared" si="1"/>
        <v/>
      </c>
      <c r="AT17" s="466" t="str">
        <f t="shared" si="10"/>
        <v/>
      </c>
      <c r="AU17" s="535" t="b">
        <f t="shared" si="11"/>
        <v>1</v>
      </c>
      <c r="AV17" s="466" t="str">
        <f>IF(Q17="","",VLOOKUP(Q17,非_単位補正換算!$B$3:$C$16,2,FALSE))</f>
        <v/>
      </c>
      <c r="AW17" s="466" t="str">
        <f>IF(AK17="","",IF(AK17&lt;&gt;"都市ガス",1,IF(G17="","",SUMIFS(非_単位補正換算!$D$52:$D$63,非_単位補正換算!$B$52:$B$63,"都市ガス"&amp;G17,非_単位補正換算!$C$52:$C$63,電気・熱_都市ガス!Q17))))</f>
        <v/>
      </c>
      <c r="AX17" s="527" t="str">
        <f t="shared" si="12"/>
        <v/>
      </c>
      <c r="AY17" s="466" t="str">
        <f t="shared" si="2"/>
        <v/>
      </c>
      <c r="AZ17" s="466" t="str">
        <f t="shared" si="3"/>
        <v/>
      </c>
      <c r="BA17" s="466" t="str">
        <f>IF(C17="","",VLOOKUP(C17,非_まとめ表行番号!$F$3:$H$12,2,FALSE))</f>
        <v/>
      </c>
      <c r="BB17" s="539" t="b">
        <f t="shared" si="13"/>
        <v>1</v>
      </c>
      <c r="BC17" s="637" t="str">
        <f>IF(AK17="","",IF(AK17&lt;&gt;"都市ガス",1,非_係数!$G$55))</f>
        <v/>
      </c>
      <c r="BD17" s="466" t="str">
        <f t="shared" si="14"/>
        <v/>
      </c>
      <c r="BE17" s="466" t="str">
        <f t="shared" si="4"/>
        <v/>
      </c>
      <c r="BF17" s="466" t="str">
        <f>IF(C17="","",VLOOKUP(C17,非_係数!$B$42:$K$55,9,FALSE))</f>
        <v/>
      </c>
      <c r="BG17" s="466" t="str">
        <f t="shared" si="15"/>
        <v/>
      </c>
      <c r="BH17" s="466" t="str">
        <f>IF(C17="","",VLOOKUP(C17,非_まとめ表行番号!$F$3:$H$12,3,FALSE))</f>
        <v/>
      </c>
      <c r="BI17" s="466" t="str">
        <f t="shared" si="16"/>
        <v/>
      </c>
      <c r="BK17" s="527" t="str">
        <f>IF(BA17="","",VLOOKUP(BA17,非_まとめ表行番号!$U$3:$V$56,2,FALSE))</f>
        <v/>
      </c>
      <c r="BL17" s="526" t="str">
        <f t="shared" si="17"/>
        <v/>
      </c>
      <c r="BM17" s="526" t="str">
        <f t="shared" si="18"/>
        <v/>
      </c>
      <c r="BN17" s="526" t="str">
        <f t="shared" si="19"/>
        <v/>
      </c>
      <c r="BO17" s="526" t="str">
        <f t="shared" si="20"/>
        <v/>
      </c>
      <c r="BP17" s="526" t="str">
        <f t="shared" si="21"/>
        <v/>
      </c>
      <c r="BQ17" s="526" t="str">
        <f t="shared" si="22"/>
        <v/>
      </c>
      <c r="BR17" s="526" t="str">
        <f t="shared" si="23"/>
        <v/>
      </c>
      <c r="BS17" s="635" t="str">
        <f t="shared" si="24"/>
        <v/>
      </c>
    </row>
    <row r="18" spans="1:71" ht="18.75" customHeight="1">
      <c r="A18" s="483"/>
      <c r="B18" s="406"/>
      <c r="C18" s="406"/>
      <c r="D18" s="406"/>
      <c r="E18" s="406"/>
      <c r="F18" s="499"/>
      <c r="G18" s="608"/>
      <c r="H18" s="609" t="str">
        <f>IF(AK18&lt;&gt;"都市ガス","",IF(ISERROR(VLOOKUP(D18,非_都市ガス事業者!$O$8:$P$200,2,FALSE)),"",VLOOKUP(D18,非_都市ガス事業者!$O$8:$P$200,2,FALSE)))</f>
        <v/>
      </c>
      <c r="I18" s="610" t="str">
        <f>IF(AK18&lt;&gt;"都市ガス","",非_都市ガス事業者!$P$4)</f>
        <v/>
      </c>
      <c r="J18" s="611" t="str">
        <f>IF(C18="","",IF(AK18&lt;&gt;"都市ガス",VLOOKUP(C18,非_係数!$B$42:$D$55,2,FALSE),""))</f>
        <v/>
      </c>
      <c r="K18" s="406"/>
      <c r="L18" s="486" t="str">
        <f t="shared" si="5"/>
        <v/>
      </c>
      <c r="M18" s="225" t="str">
        <f t="shared" si="6"/>
        <v/>
      </c>
      <c r="N18" s="406"/>
      <c r="O18" s="458"/>
      <c r="P18" s="406"/>
      <c r="Q18" s="406"/>
      <c r="R18" s="451"/>
      <c r="S18" s="451"/>
      <c r="T18" s="451"/>
      <c r="U18" s="451"/>
      <c r="V18" s="451"/>
      <c r="W18" s="451"/>
      <c r="X18" s="451"/>
      <c r="Y18" s="451"/>
      <c r="Z18" s="451"/>
      <c r="AA18" s="451"/>
      <c r="AB18" s="451"/>
      <c r="AC18" s="451"/>
      <c r="AD18" s="497"/>
      <c r="AE18" s="586" t="str">
        <f t="shared" si="25"/>
        <v/>
      </c>
      <c r="AF18" s="433" t="str">
        <f t="shared" si="7"/>
        <v/>
      </c>
      <c r="AG18" s="433" t="str">
        <f>IF(C18="","",VLOOKUP(C18,非_単位!$N$38:$O$53,2,FALSE))</f>
        <v/>
      </c>
      <c r="AH18" s="586" t="str">
        <f t="shared" si="8"/>
        <v/>
      </c>
      <c r="AI18" s="587" t="str">
        <f t="shared" si="9"/>
        <v/>
      </c>
      <c r="AK18" s="466" t="str">
        <f t="shared" si="0"/>
        <v/>
      </c>
      <c r="AL18" s="466" t="str">
        <f>IF(B18="","",IF(B18=非_燃料種類_選択リスト!$I$3,"一般送配電_種類",IF(B18=非_燃料種類_選択リスト!$I$4,"一般送配電以外_種類",IF(B18=非_燃料種類_選択リスト!$I$5,"熱_種類",IF(B18=非_燃料種類_選択リスト!$I$6,"都市ガス_種類","")))))</f>
        <v/>
      </c>
      <c r="AM18" s="466" t="str">
        <f>IF(AK18&lt;&gt;"電気","",非_電気事業者!$S$4*1000)</f>
        <v/>
      </c>
      <c r="AN18" s="466" t="str">
        <f>IF(AK18&lt;&gt;"電気","",IF(ISERROR(VLOOKUP(D18&amp;F18,非_電気事業者!$R$9:$S$2000,2,FALSE)),"要記入",VLOOKUP(D18&amp;F18,非_電気事業者!$R$9:$S$2000,2,FALSE)*1000))</f>
        <v/>
      </c>
      <c r="AO18" s="466" t="str">
        <f>IF(AK18&lt;&gt;"熱","",非_熱供給事業者!$T$4)</f>
        <v/>
      </c>
      <c r="AP18" s="466" t="str">
        <f>IF(AK18&lt;&gt;"熱","",IF(ISERROR(VLOOKUP(D18&amp;F18,非_熱供給事業者!$S$8:$T$200,2,FALSE)),"要記入",VLOOKUP(D18&amp;F18,非_熱供給事業者!$S$8:$T$200,2,FALSE)))</f>
        <v/>
      </c>
      <c r="AQ18" s="466" t="str">
        <f>IF(AK18&lt;&gt;"都市ガス","",非_都市ガス事業者!$AB$4)</f>
        <v/>
      </c>
      <c r="AR18" s="466" t="str">
        <f>IF(AK18&lt;&gt;"都市ガス","",IF(ISERROR(VLOOKUP(D18&amp;F18,非_都市ガス事業者!$AA$8:$AB$200,2,FALSE)),"要記入",VLOOKUP(D18&amp;F18,非_都市ガス事業者!$AA$8:$AB$200,2,FALSE)))</f>
        <v/>
      </c>
      <c r="AS18" s="466" t="str">
        <f t="shared" si="1"/>
        <v/>
      </c>
      <c r="AT18" s="466" t="str">
        <f t="shared" si="10"/>
        <v/>
      </c>
      <c r="AU18" s="535" t="b">
        <f t="shared" si="11"/>
        <v>1</v>
      </c>
      <c r="AV18" s="466" t="str">
        <f>IF(Q18="","",VLOOKUP(Q18,非_単位補正換算!$B$3:$C$16,2,FALSE))</f>
        <v/>
      </c>
      <c r="AW18" s="466" t="str">
        <f>IF(AK18="","",IF(AK18&lt;&gt;"都市ガス",1,IF(G18="","",SUMIFS(非_単位補正換算!$D$52:$D$63,非_単位補正換算!$B$52:$B$63,"都市ガス"&amp;G18,非_単位補正換算!$C$52:$C$63,電気・熱_都市ガス!Q18))))</f>
        <v/>
      </c>
      <c r="AX18" s="527" t="str">
        <f t="shared" si="12"/>
        <v/>
      </c>
      <c r="AY18" s="466" t="str">
        <f t="shared" si="2"/>
        <v/>
      </c>
      <c r="AZ18" s="466" t="str">
        <f t="shared" si="3"/>
        <v/>
      </c>
      <c r="BA18" s="466" t="str">
        <f>IF(C18="","",VLOOKUP(C18,非_まとめ表行番号!$F$3:$H$12,2,FALSE))</f>
        <v/>
      </c>
      <c r="BB18" s="539" t="b">
        <f t="shared" si="13"/>
        <v>1</v>
      </c>
      <c r="BC18" s="637" t="str">
        <f>IF(AK18="","",IF(AK18&lt;&gt;"都市ガス",1,非_係数!$G$55))</f>
        <v/>
      </c>
      <c r="BD18" s="466" t="str">
        <f t="shared" si="14"/>
        <v/>
      </c>
      <c r="BE18" s="466" t="str">
        <f t="shared" si="4"/>
        <v/>
      </c>
      <c r="BF18" s="466" t="str">
        <f>IF(C18="","",VLOOKUP(C18,非_係数!$B$42:$K$55,9,FALSE))</f>
        <v/>
      </c>
      <c r="BG18" s="466" t="str">
        <f t="shared" si="15"/>
        <v/>
      </c>
      <c r="BH18" s="466" t="str">
        <f>IF(C18="","",VLOOKUP(C18,非_まとめ表行番号!$F$3:$H$12,3,FALSE))</f>
        <v/>
      </c>
      <c r="BI18" s="466" t="str">
        <f t="shared" si="16"/>
        <v/>
      </c>
      <c r="BK18" s="527" t="str">
        <f>IF(BA18="","",VLOOKUP(BA18,非_まとめ表行番号!$U$3:$V$56,2,FALSE))</f>
        <v/>
      </c>
      <c r="BL18" s="526" t="str">
        <f t="shared" si="17"/>
        <v/>
      </c>
      <c r="BM18" s="526" t="str">
        <f t="shared" si="18"/>
        <v/>
      </c>
      <c r="BN18" s="526" t="str">
        <f t="shared" si="19"/>
        <v/>
      </c>
      <c r="BO18" s="526" t="str">
        <f t="shared" si="20"/>
        <v/>
      </c>
      <c r="BP18" s="526" t="str">
        <f t="shared" si="21"/>
        <v/>
      </c>
      <c r="BQ18" s="526" t="str">
        <f t="shared" si="22"/>
        <v/>
      </c>
      <c r="BR18" s="526" t="str">
        <f t="shared" si="23"/>
        <v/>
      </c>
      <c r="BS18" s="635" t="str">
        <f t="shared" si="24"/>
        <v/>
      </c>
    </row>
    <row r="19" spans="1:71" ht="18.75" customHeight="1">
      <c r="A19" s="483"/>
      <c r="B19" s="406"/>
      <c r="C19" s="406"/>
      <c r="D19" s="406"/>
      <c r="E19" s="406"/>
      <c r="F19" s="499"/>
      <c r="G19" s="608"/>
      <c r="H19" s="609" t="str">
        <f>IF(AK19&lt;&gt;"都市ガス","",IF(ISERROR(VLOOKUP(D19,非_都市ガス事業者!$O$8:$P$200,2,FALSE)),"",VLOOKUP(D19,非_都市ガス事業者!$O$8:$P$200,2,FALSE)))</f>
        <v/>
      </c>
      <c r="I19" s="610" t="str">
        <f>IF(AK19&lt;&gt;"都市ガス","",非_都市ガス事業者!$P$4)</f>
        <v/>
      </c>
      <c r="J19" s="611" t="str">
        <f>IF(C19="","",IF(AK19&lt;&gt;"都市ガス",VLOOKUP(C19,非_係数!$B$42:$D$55,2,FALSE),""))</f>
        <v/>
      </c>
      <c r="K19" s="406"/>
      <c r="L19" s="486" t="str">
        <f t="shared" si="5"/>
        <v/>
      </c>
      <c r="M19" s="225" t="str">
        <f t="shared" ref="M19:M26" si="26">AT19</f>
        <v/>
      </c>
      <c r="N19" s="406"/>
      <c r="O19" s="458"/>
      <c r="P19" s="406"/>
      <c r="Q19" s="406"/>
      <c r="R19" s="451"/>
      <c r="S19" s="451"/>
      <c r="T19" s="451"/>
      <c r="U19" s="451"/>
      <c r="V19" s="451"/>
      <c r="W19" s="451"/>
      <c r="X19" s="451"/>
      <c r="Y19" s="451"/>
      <c r="Z19" s="451"/>
      <c r="AA19" s="451"/>
      <c r="AB19" s="451"/>
      <c r="AC19" s="451"/>
      <c r="AD19" s="497"/>
      <c r="AE19" s="586" t="str">
        <f t="shared" si="25"/>
        <v/>
      </c>
      <c r="AF19" s="433" t="str">
        <f t="shared" ref="AF19:AF26" si="27">AX19</f>
        <v/>
      </c>
      <c r="AG19" s="433" t="str">
        <f>IF(C19="","",VLOOKUP(C19,非_単位!$N$38:$O$53,2,FALSE))</f>
        <v/>
      </c>
      <c r="AH19" s="586" t="str">
        <f t="shared" ref="AH19:AH26" si="28">AY19</f>
        <v/>
      </c>
      <c r="AI19" s="587" t="str">
        <f t="shared" ref="AI19:AI26" si="29">AZ19</f>
        <v/>
      </c>
      <c r="AK19" s="466" t="str">
        <f t="shared" si="0"/>
        <v/>
      </c>
      <c r="AL19" s="466" t="str">
        <f>IF(B19="","",IF(B19=非_燃料種類_選択リスト!$I$3,"一般送配電_種類",IF(B19=非_燃料種類_選択リスト!$I$4,"一般送配電以外_種類",IF(B19=非_燃料種類_選択リスト!$I$5,"熱_種類",IF(B19=非_燃料種類_選択リスト!$I$6,"都市ガス_種類","")))))</f>
        <v/>
      </c>
      <c r="AM19" s="466" t="str">
        <f>IF(AK19&lt;&gt;"電気","",非_電気事業者!$S$4*1000)</f>
        <v/>
      </c>
      <c r="AN19" s="466" t="str">
        <f>IF(AK19&lt;&gt;"電気","",IF(ISERROR(VLOOKUP(D19&amp;F19,非_電気事業者!$R$9:$S$2000,2,FALSE)),"要記入",VLOOKUP(D19&amp;F19,非_電気事業者!$R$9:$S$2000,2,FALSE)*1000))</f>
        <v/>
      </c>
      <c r="AO19" s="466" t="str">
        <f>IF(AK19&lt;&gt;"熱","",非_熱供給事業者!$T$4)</f>
        <v/>
      </c>
      <c r="AP19" s="466" t="str">
        <f>IF(AK19&lt;&gt;"熱","",IF(ISERROR(VLOOKUP(D19&amp;F19,非_熱供給事業者!$S$8:$T$200,2,FALSE)),"要記入",VLOOKUP(D19&amp;F19,非_熱供給事業者!$S$8:$T$200,2,FALSE)))</f>
        <v/>
      </c>
      <c r="AQ19" s="466" t="str">
        <f>IF(AK19&lt;&gt;"都市ガス","",非_都市ガス事業者!$AB$4)</f>
        <v/>
      </c>
      <c r="AR19" s="466" t="str">
        <f>IF(AK19&lt;&gt;"都市ガス","",IF(ISERROR(VLOOKUP(D19&amp;F19,非_都市ガス事業者!$AA$8:$AB$200,2,FALSE)),"要記入",VLOOKUP(D19&amp;F19,非_都市ガス事業者!$AA$8:$AB$200,2,FALSE)))</f>
        <v/>
      </c>
      <c r="AS19" s="466" t="str">
        <f t="shared" si="1"/>
        <v/>
      </c>
      <c r="AT19" s="466" t="str">
        <f t="shared" si="10"/>
        <v/>
      </c>
      <c r="AU19" s="535" t="b">
        <f t="shared" si="11"/>
        <v>1</v>
      </c>
      <c r="AV19" s="466" t="str">
        <f>IF(Q19="","",VLOOKUP(Q19,非_単位補正換算!$B$3:$C$16,2,FALSE))</f>
        <v/>
      </c>
      <c r="AW19" s="466" t="str">
        <f>IF(AK19="","",IF(AK19&lt;&gt;"都市ガス",1,IF(G19="","",SUMIFS(非_単位補正換算!$D$52:$D$63,非_単位補正換算!$B$52:$B$63,"都市ガス"&amp;G19,非_単位補正換算!$C$52:$C$63,電気・熱_都市ガス!Q19))))</f>
        <v/>
      </c>
      <c r="AX19" s="527" t="str">
        <f t="shared" si="12"/>
        <v/>
      </c>
      <c r="AY19" s="466" t="str">
        <f t="shared" si="2"/>
        <v/>
      </c>
      <c r="AZ19" s="466" t="str">
        <f t="shared" si="3"/>
        <v/>
      </c>
      <c r="BA19" s="466" t="str">
        <f>IF(C19="","",VLOOKUP(C19,非_まとめ表行番号!$F$3:$H$12,2,FALSE))</f>
        <v/>
      </c>
      <c r="BB19" s="539" t="b">
        <f t="shared" si="13"/>
        <v>1</v>
      </c>
      <c r="BC19" s="637" t="str">
        <f>IF(AK19="","",IF(AK19&lt;&gt;"都市ガス",1,非_係数!$G$55))</f>
        <v/>
      </c>
      <c r="BD19" s="466" t="str">
        <f t="shared" ref="BD19:BD26" si="30">IF(AX19="","",AX19*BC19)</f>
        <v/>
      </c>
      <c r="BE19" s="466" t="str">
        <f t="shared" si="4"/>
        <v/>
      </c>
      <c r="BF19" s="466" t="str">
        <f>IF(C19="","",VLOOKUP(C19,非_係数!$B$42:$K$55,9,FALSE))</f>
        <v/>
      </c>
      <c r="BG19" s="466" t="str">
        <f t="shared" si="15"/>
        <v/>
      </c>
      <c r="BH19" s="466" t="str">
        <f>IF(C19="","",VLOOKUP(C19,非_まとめ表行番号!$F$3:$H$12,3,FALSE))</f>
        <v/>
      </c>
      <c r="BI19" s="466" t="str">
        <f t="shared" si="16"/>
        <v/>
      </c>
      <c r="BK19" s="527" t="str">
        <f>IF(BA19="","",VLOOKUP(BA19,非_まとめ表行番号!$U$3:$V$56,2,FALSE))</f>
        <v/>
      </c>
      <c r="BL19" s="526" t="str">
        <f t="shared" si="17"/>
        <v/>
      </c>
      <c r="BM19" s="526" t="str">
        <f t="shared" si="18"/>
        <v/>
      </c>
      <c r="BN19" s="526" t="str">
        <f t="shared" si="19"/>
        <v/>
      </c>
      <c r="BO19" s="526" t="str">
        <f t="shared" si="20"/>
        <v/>
      </c>
      <c r="BP19" s="526" t="str">
        <f t="shared" si="21"/>
        <v/>
      </c>
      <c r="BQ19" s="526" t="str">
        <f t="shared" si="22"/>
        <v/>
      </c>
      <c r="BR19" s="526" t="str">
        <f t="shared" si="23"/>
        <v/>
      </c>
      <c r="BS19" s="635" t="str">
        <f t="shared" si="24"/>
        <v/>
      </c>
    </row>
    <row r="20" spans="1:71" ht="18.75" customHeight="1">
      <c r="A20" s="483"/>
      <c r="B20" s="406"/>
      <c r="C20" s="406"/>
      <c r="D20" s="406"/>
      <c r="E20" s="406"/>
      <c r="F20" s="499"/>
      <c r="G20" s="608"/>
      <c r="H20" s="609" t="str">
        <f>IF(AK20&lt;&gt;"都市ガス","",IF(ISERROR(VLOOKUP(D20,非_都市ガス事業者!$O$8:$P$200,2,FALSE)),"",VLOOKUP(D20,非_都市ガス事業者!$O$8:$P$200,2,FALSE)))</f>
        <v/>
      </c>
      <c r="I20" s="610" t="str">
        <f>IF(AK20&lt;&gt;"都市ガス","",非_都市ガス事業者!$P$4)</f>
        <v/>
      </c>
      <c r="J20" s="611" t="str">
        <f>IF(C20="","",IF(AK20&lt;&gt;"都市ガス",VLOOKUP(C20,非_係数!$B$42:$D$55,2,FALSE),""))</f>
        <v/>
      </c>
      <c r="K20" s="406"/>
      <c r="L20" s="486" t="str">
        <f t="shared" si="5"/>
        <v/>
      </c>
      <c r="M20" s="225" t="str">
        <f t="shared" ref="M20:M24" si="31">AT20</f>
        <v/>
      </c>
      <c r="N20" s="406"/>
      <c r="O20" s="458"/>
      <c r="P20" s="406"/>
      <c r="Q20" s="406"/>
      <c r="R20" s="451"/>
      <c r="S20" s="451"/>
      <c r="T20" s="451"/>
      <c r="U20" s="451"/>
      <c r="V20" s="451"/>
      <c r="W20" s="451"/>
      <c r="X20" s="451"/>
      <c r="Y20" s="451"/>
      <c r="Z20" s="451"/>
      <c r="AA20" s="451"/>
      <c r="AB20" s="451"/>
      <c r="AC20" s="451"/>
      <c r="AD20" s="497"/>
      <c r="AE20" s="586" t="str">
        <f t="shared" si="25"/>
        <v/>
      </c>
      <c r="AF20" s="433" t="str">
        <f t="shared" ref="AF20:AF24" si="32">AX20</f>
        <v/>
      </c>
      <c r="AG20" s="433" t="str">
        <f>IF(C20="","",VLOOKUP(C20,非_単位!$N$38:$O$53,2,FALSE))</f>
        <v/>
      </c>
      <c r="AH20" s="586" t="str">
        <f t="shared" ref="AH20:AH24" si="33">AY20</f>
        <v/>
      </c>
      <c r="AI20" s="587" t="str">
        <f t="shared" ref="AI20:AI24" si="34">AZ20</f>
        <v/>
      </c>
      <c r="AK20" s="466" t="str">
        <f t="shared" si="0"/>
        <v/>
      </c>
      <c r="AL20" s="466" t="str">
        <f>IF(B20="","",IF(B20=非_燃料種類_選択リスト!$I$3,"一般送配電_種類",IF(B20=非_燃料種類_選択リスト!$I$4,"一般送配電以外_種類",IF(B20=非_燃料種類_選択リスト!$I$5,"熱_種類",IF(B20=非_燃料種類_選択リスト!$I$6,"都市ガス_種類","")))))</f>
        <v/>
      </c>
      <c r="AM20" s="466" t="str">
        <f>IF(AK20&lt;&gt;"電気","",非_電気事業者!$S$4*1000)</f>
        <v/>
      </c>
      <c r="AN20" s="466" t="str">
        <f>IF(AK20&lt;&gt;"電気","",IF(ISERROR(VLOOKUP(D20&amp;F20,非_電気事業者!$R$9:$S$2000,2,FALSE)),"要記入",VLOOKUP(D20&amp;F20,非_電気事業者!$R$9:$S$2000,2,FALSE)*1000))</f>
        <v/>
      </c>
      <c r="AO20" s="466" t="str">
        <f>IF(AK20&lt;&gt;"熱","",非_熱供給事業者!$T$4)</f>
        <v/>
      </c>
      <c r="AP20" s="466" t="str">
        <f>IF(AK20&lt;&gt;"熱","",IF(ISERROR(VLOOKUP(D20&amp;F20,非_熱供給事業者!$S$8:$T$200,2,FALSE)),"要記入",VLOOKUP(D20&amp;F20,非_熱供給事業者!$S$8:$T$200,2,FALSE)))</f>
        <v/>
      </c>
      <c r="AQ20" s="466" t="str">
        <f>IF(AK20&lt;&gt;"都市ガス","",非_都市ガス事業者!$AB$4)</f>
        <v/>
      </c>
      <c r="AR20" s="466" t="str">
        <f>IF(AK20&lt;&gt;"都市ガス","",IF(ISERROR(VLOOKUP(D20&amp;F20,非_都市ガス事業者!$AA$8:$AB$200,2,FALSE)),"要記入",VLOOKUP(D20&amp;F20,非_都市ガス事業者!$AA$8:$AB$200,2,FALSE)))</f>
        <v/>
      </c>
      <c r="AS20" s="466" t="str">
        <f t="shared" si="1"/>
        <v/>
      </c>
      <c r="AT20" s="466" t="str">
        <f t="shared" si="10"/>
        <v/>
      </c>
      <c r="AU20" s="535" t="b">
        <f t="shared" si="11"/>
        <v>1</v>
      </c>
      <c r="AV20" s="466" t="str">
        <f>IF(Q20="","",VLOOKUP(Q20,非_単位補正換算!$B$3:$C$16,2,FALSE))</f>
        <v/>
      </c>
      <c r="AW20" s="466" t="str">
        <f>IF(AK20="","",IF(AK20&lt;&gt;"都市ガス",1,IF(G20="","",SUMIFS(非_単位補正換算!$D$52:$D$63,非_単位補正換算!$B$52:$B$63,"都市ガス"&amp;G20,非_単位補正換算!$C$52:$C$63,電気・熱_都市ガス!Q20))))</f>
        <v/>
      </c>
      <c r="AX20" s="527" t="str">
        <f t="shared" si="12"/>
        <v/>
      </c>
      <c r="AY20" s="466" t="str">
        <f t="shared" si="2"/>
        <v/>
      </c>
      <c r="AZ20" s="466" t="str">
        <f t="shared" si="3"/>
        <v/>
      </c>
      <c r="BA20" s="466" t="str">
        <f>IF(C20="","",VLOOKUP(C20,非_まとめ表行番号!$F$3:$H$12,2,FALSE))</f>
        <v/>
      </c>
      <c r="BB20" s="539" t="b">
        <f t="shared" si="13"/>
        <v>1</v>
      </c>
      <c r="BC20" s="637" t="str">
        <f>IF(AK20="","",IF(AK20&lt;&gt;"都市ガス",1,非_係数!$G$55))</f>
        <v/>
      </c>
      <c r="BD20" s="466" t="str">
        <f t="shared" ref="BD20:BD24" si="35">IF(AX20="","",AX20*BC20)</f>
        <v/>
      </c>
      <c r="BE20" s="466" t="str">
        <f t="shared" si="4"/>
        <v/>
      </c>
      <c r="BF20" s="466" t="str">
        <f>IF(C20="","",VLOOKUP(C20,非_係数!$B$42:$K$55,9,FALSE))</f>
        <v/>
      </c>
      <c r="BG20" s="466" t="str">
        <f t="shared" si="15"/>
        <v/>
      </c>
      <c r="BH20" s="466" t="str">
        <f>IF(C20="","",VLOOKUP(C20,非_まとめ表行番号!$F$3:$H$12,3,FALSE))</f>
        <v/>
      </c>
      <c r="BI20" s="466" t="str">
        <f t="shared" si="16"/>
        <v/>
      </c>
      <c r="BK20" s="527" t="str">
        <f>IF(BA20="","",VLOOKUP(BA20,非_まとめ表行番号!$U$3:$V$56,2,FALSE))</f>
        <v/>
      </c>
      <c r="BL20" s="526" t="str">
        <f t="shared" si="17"/>
        <v/>
      </c>
      <c r="BM20" s="526" t="str">
        <f t="shared" si="18"/>
        <v/>
      </c>
      <c r="BN20" s="526" t="str">
        <f t="shared" si="19"/>
        <v/>
      </c>
      <c r="BO20" s="526" t="str">
        <f t="shared" si="20"/>
        <v/>
      </c>
      <c r="BP20" s="526" t="str">
        <f t="shared" si="21"/>
        <v/>
      </c>
      <c r="BQ20" s="526" t="str">
        <f t="shared" si="22"/>
        <v/>
      </c>
      <c r="BR20" s="526" t="str">
        <f t="shared" si="23"/>
        <v/>
      </c>
      <c r="BS20" s="635" t="str">
        <f t="shared" si="24"/>
        <v/>
      </c>
    </row>
    <row r="21" spans="1:71" ht="18.75" customHeight="1">
      <c r="A21" s="483"/>
      <c r="B21" s="406"/>
      <c r="C21" s="406"/>
      <c r="D21" s="406"/>
      <c r="E21" s="406"/>
      <c r="F21" s="499"/>
      <c r="G21" s="608"/>
      <c r="H21" s="609" t="str">
        <f>IF(AK21&lt;&gt;"都市ガス","",IF(ISERROR(VLOOKUP(D21,非_都市ガス事業者!$O$8:$P$200,2,FALSE)),"",VLOOKUP(D21,非_都市ガス事業者!$O$8:$P$200,2,FALSE)))</f>
        <v/>
      </c>
      <c r="I21" s="610" t="str">
        <f>IF(AK21&lt;&gt;"都市ガス","",非_都市ガス事業者!$P$4)</f>
        <v/>
      </c>
      <c r="J21" s="611" t="str">
        <f>IF(C21="","",IF(AK21&lt;&gt;"都市ガス",VLOOKUP(C21,非_係数!$B$42:$D$55,2,FALSE),""))</f>
        <v/>
      </c>
      <c r="K21" s="406"/>
      <c r="L21" s="486" t="str">
        <f t="shared" si="5"/>
        <v/>
      </c>
      <c r="M21" s="225" t="str">
        <f t="shared" si="31"/>
        <v/>
      </c>
      <c r="N21" s="406"/>
      <c r="O21" s="458"/>
      <c r="P21" s="406"/>
      <c r="Q21" s="406"/>
      <c r="R21" s="451"/>
      <c r="S21" s="451"/>
      <c r="T21" s="451"/>
      <c r="U21" s="451"/>
      <c r="V21" s="451"/>
      <c r="W21" s="451"/>
      <c r="X21" s="451"/>
      <c r="Y21" s="451"/>
      <c r="Z21" s="451"/>
      <c r="AA21" s="451"/>
      <c r="AB21" s="451"/>
      <c r="AC21" s="451"/>
      <c r="AD21" s="497"/>
      <c r="AE21" s="586" t="str">
        <f t="shared" si="25"/>
        <v/>
      </c>
      <c r="AF21" s="433" t="str">
        <f t="shared" si="32"/>
        <v/>
      </c>
      <c r="AG21" s="433" t="str">
        <f>IF(C21="","",VLOOKUP(C21,非_単位!$N$38:$O$53,2,FALSE))</f>
        <v/>
      </c>
      <c r="AH21" s="586" t="str">
        <f t="shared" si="33"/>
        <v/>
      </c>
      <c r="AI21" s="587" t="str">
        <f t="shared" si="34"/>
        <v/>
      </c>
      <c r="AK21" s="466" t="str">
        <f t="shared" si="0"/>
        <v/>
      </c>
      <c r="AL21" s="466" t="str">
        <f>IF(B21="","",IF(B21=非_燃料種類_選択リスト!$I$3,"一般送配電_種類",IF(B21=非_燃料種類_選択リスト!$I$4,"一般送配電以外_種類",IF(B21=非_燃料種類_選択リスト!$I$5,"熱_種類",IF(B21=非_燃料種類_選択リスト!$I$6,"都市ガス_種類","")))))</f>
        <v/>
      </c>
      <c r="AM21" s="466" t="str">
        <f>IF(AK21&lt;&gt;"電気","",非_電気事業者!$S$4*1000)</f>
        <v/>
      </c>
      <c r="AN21" s="466" t="str">
        <f>IF(AK21&lt;&gt;"電気","",IF(ISERROR(VLOOKUP(D21&amp;F21,非_電気事業者!$R$9:$S$2000,2,FALSE)),"要記入",VLOOKUP(D21&amp;F21,非_電気事業者!$R$9:$S$2000,2,FALSE)*1000))</f>
        <v/>
      </c>
      <c r="AO21" s="466" t="str">
        <f>IF(AK21&lt;&gt;"熱","",非_熱供給事業者!$T$4)</f>
        <v/>
      </c>
      <c r="AP21" s="466" t="str">
        <f>IF(AK21&lt;&gt;"熱","",IF(ISERROR(VLOOKUP(D21&amp;F21,非_熱供給事業者!$S$8:$T$200,2,FALSE)),"要記入",VLOOKUP(D21&amp;F21,非_熱供給事業者!$S$8:$T$200,2,FALSE)))</f>
        <v/>
      </c>
      <c r="AQ21" s="466" t="str">
        <f>IF(AK21&lt;&gt;"都市ガス","",非_都市ガス事業者!$AB$4)</f>
        <v/>
      </c>
      <c r="AR21" s="466" t="str">
        <f>IF(AK21&lt;&gt;"都市ガス","",IF(ISERROR(VLOOKUP(D21&amp;F21,非_都市ガス事業者!$AA$8:$AB$200,2,FALSE)),"要記入",VLOOKUP(D21&amp;F21,非_都市ガス事業者!$AA$8:$AB$200,2,FALSE)))</f>
        <v/>
      </c>
      <c r="AS21" s="466" t="str">
        <f t="shared" si="1"/>
        <v/>
      </c>
      <c r="AT21" s="466" t="str">
        <f t="shared" si="10"/>
        <v/>
      </c>
      <c r="AU21" s="535" t="b">
        <f t="shared" si="11"/>
        <v>1</v>
      </c>
      <c r="AV21" s="466" t="str">
        <f>IF(Q21="","",VLOOKUP(Q21,非_単位補正換算!$B$3:$C$16,2,FALSE))</f>
        <v/>
      </c>
      <c r="AW21" s="466" t="str">
        <f>IF(AK21="","",IF(AK21&lt;&gt;"都市ガス",1,IF(G21="","",SUMIFS(非_単位補正換算!$D$52:$D$63,非_単位補正換算!$B$52:$B$63,"都市ガス"&amp;G21,非_単位補正換算!$C$52:$C$63,電気・熱_都市ガス!Q21))))</f>
        <v/>
      </c>
      <c r="AX21" s="527" t="str">
        <f t="shared" si="12"/>
        <v/>
      </c>
      <c r="AY21" s="466" t="str">
        <f t="shared" si="2"/>
        <v/>
      </c>
      <c r="AZ21" s="466" t="str">
        <f t="shared" si="3"/>
        <v/>
      </c>
      <c r="BA21" s="466" t="str">
        <f>IF(C21="","",VLOOKUP(C21,非_まとめ表行番号!$F$3:$H$12,2,FALSE))</f>
        <v/>
      </c>
      <c r="BB21" s="539" t="b">
        <f t="shared" si="13"/>
        <v>1</v>
      </c>
      <c r="BC21" s="637" t="str">
        <f>IF(AK21="","",IF(AK21&lt;&gt;"都市ガス",1,非_係数!$G$55))</f>
        <v/>
      </c>
      <c r="BD21" s="466" t="str">
        <f t="shared" si="35"/>
        <v/>
      </c>
      <c r="BE21" s="466" t="str">
        <f t="shared" si="4"/>
        <v/>
      </c>
      <c r="BF21" s="466" t="str">
        <f>IF(C21="","",VLOOKUP(C21,非_係数!$B$42:$K$55,9,FALSE))</f>
        <v/>
      </c>
      <c r="BG21" s="466" t="str">
        <f t="shared" si="15"/>
        <v/>
      </c>
      <c r="BH21" s="466" t="str">
        <f>IF(C21="","",VLOOKUP(C21,非_まとめ表行番号!$F$3:$H$12,3,FALSE))</f>
        <v/>
      </c>
      <c r="BI21" s="466" t="str">
        <f t="shared" si="16"/>
        <v/>
      </c>
      <c r="BK21" s="527" t="str">
        <f>IF(BA21="","",VLOOKUP(BA21,非_まとめ表行番号!$U$3:$V$56,2,FALSE))</f>
        <v/>
      </c>
      <c r="BL21" s="526" t="str">
        <f t="shared" si="17"/>
        <v/>
      </c>
      <c r="BM21" s="526" t="str">
        <f t="shared" si="18"/>
        <v/>
      </c>
      <c r="BN21" s="526" t="str">
        <f t="shared" si="19"/>
        <v/>
      </c>
      <c r="BO21" s="526" t="str">
        <f t="shared" si="20"/>
        <v/>
      </c>
      <c r="BP21" s="526" t="str">
        <f t="shared" si="21"/>
        <v/>
      </c>
      <c r="BQ21" s="526" t="str">
        <f t="shared" si="22"/>
        <v/>
      </c>
      <c r="BR21" s="526" t="str">
        <f t="shared" si="23"/>
        <v/>
      </c>
      <c r="BS21" s="635" t="str">
        <f t="shared" si="24"/>
        <v/>
      </c>
    </row>
    <row r="22" spans="1:71" ht="18.75" customHeight="1">
      <c r="A22" s="483"/>
      <c r="B22" s="406"/>
      <c r="C22" s="406"/>
      <c r="D22" s="406"/>
      <c r="E22" s="406"/>
      <c r="F22" s="499"/>
      <c r="G22" s="608"/>
      <c r="H22" s="609" t="str">
        <f>IF(AK22&lt;&gt;"都市ガス","",IF(ISERROR(VLOOKUP(D22,非_都市ガス事業者!$O$8:$P$200,2,FALSE)),"",VLOOKUP(D22,非_都市ガス事業者!$O$8:$P$200,2,FALSE)))</f>
        <v/>
      </c>
      <c r="I22" s="610" t="str">
        <f>IF(AK22&lt;&gt;"都市ガス","",非_都市ガス事業者!$P$4)</f>
        <v/>
      </c>
      <c r="J22" s="611" t="str">
        <f>IF(C22="","",IF(AK22&lt;&gt;"都市ガス",VLOOKUP(C22,非_係数!$B$42:$D$55,2,FALSE),""))</f>
        <v/>
      </c>
      <c r="K22" s="406"/>
      <c r="L22" s="486" t="str">
        <f t="shared" si="5"/>
        <v/>
      </c>
      <c r="M22" s="225" t="str">
        <f t="shared" si="31"/>
        <v/>
      </c>
      <c r="N22" s="406"/>
      <c r="O22" s="458"/>
      <c r="P22" s="406"/>
      <c r="Q22" s="406"/>
      <c r="R22" s="451"/>
      <c r="S22" s="451"/>
      <c r="T22" s="451"/>
      <c r="U22" s="451"/>
      <c r="V22" s="451"/>
      <c r="W22" s="451"/>
      <c r="X22" s="451"/>
      <c r="Y22" s="451"/>
      <c r="Z22" s="451"/>
      <c r="AA22" s="451"/>
      <c r="AB22" s="451"/>
      <c r="AC22" s="451"/>
      <c r="AD22" s="497"/>
      <c r="AE22" s="586" t="str">
        <f t="shared" si="25"/>
        <v/>
      </c>
      <c r="AF22" s="433" t="str">
        <f t="shared" si="32"/>
        <v/>
      </c>
      <c r="AG22" s="433" t="str">
        <f>IF(C22="","",VLOOKUP(C22,非_単位!$N$38:$O$53,2,FALSE))</f>
        <v/>
      </c>
      <c r="AH22" s="586" t="str">
        <f t="shared" si="33"/>
        <v/>
      </c>
      <c r="AI22" s="587" t="str">
        <f t="shared" si="34"/>
        <v/>
      </c>
      <c r="AK22" s="466" t="str">
        <f t="shared" si="0"/>
        <v/>
      </c>
      <c r="AL22" s="466" t="str">
        <f>IF(B22="","",IF(B22=非_燃料種類_選択リスト!$I$3,"一般送配電_種類",IF(B22=非_燃料種類_選択リスト!$I$4,"一般送配電以外_種類",IF(B22=非_燃料種類_選択リスト!$I$5,"熱_種類",IF(B22=非_燃料種類_選択リスト!$I$6,"都市ガス_種類","")))))</f>
        <v/>
      </c>
      <c r="AM22" s="466" t="str">
        <f>IF(AK22&lt;&gt;"電気","",非_電気事業者!$S$4*1000)</f>
        <v/>
      </c>
      <c r="AN22" s="466" t="str">
        <f>IF(AK22&lt;&gt;"電気","",IF(ISERROR(VLOOKUP(D22&amp;F22,非_電気事業者!$R$9:$S$2000,2,FALSE)),"要記入",VLOOKUP(D22&amp;F22,非_電気事業者!$R$9:$S$2000,2,FALSE)*1000))</f>
        <v/>
      </c>
      <c r="AO22" s="466" t="str">
        <f>IF(AK22&lt;&gt;"熱","",非_熱供給事業者!$T$4)</f>
        <v/>
      </c>
      <c r="AP22" s="466" t="str">
        <f>IF(AK22&lt;&gt;"熱","",IF(ISERROR(VLOOKUP(D22&amp;F22,非_熱供給事業者!$S$8:$T$200,2,FALSE)),"要記入",VLOOKUP(D22&amp;F22,非_熱供給事業者!$S$8:$T$200,2,FALSE)))</f>
        <v/>
      </c>
      <c r="AQ22" s="466" t="str">
        <f>IF(AK22&lt;&gt;"都市ガス","",非_都市ガス事業者!$AB$4)</f>
        <v/>
      </c>
      <c r="AR22" s="466" t="str">
        <f>IF(AK22&lt;&gt;"都市ガス","",IF(ISERROR(VLOOKUP(D22&amp;F22,非_都市ガス事業者!$AA$8:$AB$200,2,FALSE)),"要記入",VLOOKUP(D22&amp;F22,非_都市ガス事業者!$AA$8:$AB$200,2,FALSE)))</f>
        <v/>
      </c>
      <c r="AS22" s="466" t="str">
        <f t="shared" si="1"/>
        <v/>
      </c>
      <c r="AT22" s="466" t="str">
        <f t="shared" si="10"/>
        <v/>
      </c>
      <c r="AU22" s="535" t="b">
        <f t="shared" si="11"/>
        <v>1</v>
      </c>
      <c r="AV22" s="466" t="str">
        <f>IF(Q22="","",VLOOKUP(Q22,非_単位補正換算!$B$3:$C$16,2,FALSE))</f>
        <v/>
      </c>
      <c r="AW22" s="466" t="str">
        <f>IF(AK22="","",IF(AK22&lt;&gt;"都市ガス",1,IF(G22="","",SUMIFS(非_単位補正換算!$D$52:$D$63,非_単位補正換算!$B$52:$B$63,"都市ガス"&amp;G22,非_単位補正換算!$C$52:$C$63,電気・熱_都市ガス!Q22))))</f>
        <v/>
      </c>
      <c r="AX22" s="527" t="str">
        <f t="shared" si="12"/>
        <v/>
      </c>
      <c r="AY22" s="466" t="str">
        <f t="shared" si="2"/>
        <v/>
      </c>
      <c r="AZ22" s="466" t="str">
        <f t="shared" si="3"/>
        <v/>
      </c>
      <c r="BA22" s="466" t="str">
        <f>IF(C22="","",VLOOKUP(C22,非_まとめ表行番号!$F$3:$H$12,2,FALSE))</f>
        <v/>
      </c>
      <c r="BB22" s="539" t="b">
        <f t="shared" si="13"/>
        <v>1</v>
      </c>
      <c r="BC22" s="637" t="str">
        <f>IF(AK22="","",IF(AK22&lt;&gt;"都市ガス",1,非_係数!$G$55))</f>
        <v/>
      </c>
      <c r="BD22" s="466" t="str">
        <f t="shared" si="35"/>
        <v/>
      </c>
      <c r="BE22" s="466" t="str">
        <f t="shared" si="4"/>
        <v/>
      </c>
      <c r="BF22" s="466" t="str">
        <f>IF(C22="","",VLOOKUP(C22,非_係数!$B$42:$K$55,9,FALSE))</f>
        <v/>
      </c>
      <c r="BG22" s="466" t="str">
        <f t="shared" si="15"/>
        <v/>
      </c>
      <c r="BH22" s="466" t="str">
        <f>IF(C22="","",VLOOKUP(C22,非_まとめ表行番号!$F$3:$H$12,3,FALSE))</f>
        <v/>
      </c>
      <c r="BI22" s="466" t="str">
        <f t="shared" si="16"/>
        <v/>
      </c>
      <c r="BK22" s="527" t="str">
        <f>IF(BA22="","",VLOOKUP(BA22,非_まとめ表行番号!$U$3:$V$56,2,FALSE))</f>
        <v/>
      </c>
      <c r="BL22" s="526" t="str">
        <f t="shared" si="17"/>
        <v/>
      </c>
      <c r="BM22" s="526" t="str">
        <f t="shared" si="18"/>
        <v/>
      </c>
      <c r="BN22" s="526" t="str">
        <f t="shared" si="19"/>
        <v/>
      </c>
      <c r="BO22" s="526" t="str">
        <f t="shared" si="20"/>
        <v/>
      </c>
      <c r="BP22" s="526" t="str">
        <f t="shared" si="21"/>
        <v/>
      </c>
      <c r="BQ22" s="526" t="str">
        <f t="shared" si="22"/>
        <v/>
      </c>
      <c r="BR22" s="526" t="str">
        <f t="shared" si="23"/>
        <v/>
      </c>
      <c r="BS22" s="635" t="str">
        <f t="shared" si="24"/>
        <v/>
      </c>
    </row>
    <row r="23" spans="1:71" ht="18.75" customHeight="1">
      <c r="A23" s="483"/>
      <c r="B23" s="406"/>
      <c r="C23" s="406"/>
      <c r="D23" s="406"/>
      <c r="E23" s="406"/>
      <c r="F23" s="499"/>
      <c r="G23" s="608"/>
      <c r="H23" s="609" t="str">
        <f>IF(AK23&lt;&gt;"都市ガス","",IF(ISERROR(VLOOKUP(D23,非_都市ガス事業者!$O$8:$P$200,2,FALSE)),"",VLOOKUP(D23,非_都市ガス事業者!$O$8:$P$200,2,FALSE)))</f>
        <v/>
      </c>
      <c r="I23" s="610" t="str">
        <f>IF(AK23&lt;&gt;"都市ガス","",非_都市ガス事業者!$P$4)</f>
        <v/>
      </c>
      <c r="J23" s="611" t="str">
        <f>IF(C23="","",IF(AK23&lt;&gt;"都市ガス",VLOOKUP(C23,非_係数!$B$42:$D$55,2,FALSE),""))</f>
        <v/>
      </c>
      <c r="K23" s="406"/>
      <c r="L23" s="486" t="str">
        <f t="shared" si="5"/>
        <v/>
      </c>
      <c r="M23" s="225" t="str">
        <f t="shared" si="31"/>
        <v/>
      </c>
      <c r="N23" s="406"/>
      <c r="O23" s="458"/>
      <c r="P23" s="406"/>
      <c r="Q23" s="406"/>
      <c r="R23" s="451"/>
      <c r="S23" s="451"/>
      <c r="T23" s="451"/>
      <c r="U23" s="451"/>
      <c r="V23" s="451"/>
      <c r="W23" s="451"/>
      <c r="X23" s="451"/>
      <c r="Y23" s="451"/>
      <c r="Z23" s="451"/>
      <c r="AA23" s="451"/>
      <c r="AB23" s="451"/>
      <c r="AC23" s="451"/>
      <c r="AD23" s="497"/>
      <c r="AE23" s="586" t="str">
        <f t="shared" si="25"/>
        <v/>
      </c>
      <c r="AF23" s="433" t="str">
        <f t="shared" si="32"/>
        <v/>
      </c>
      <c r="AG23" s="433" t="str">
        <f>IF(C23="","",VLOOKUP(C23,非_単位!$N$38:$O$53,2,FALSE))</f>
        <v/>
      </c>
      <c r="AH23" s="586" t="str">
        <f t="shared" si="33"/>
        <v/>
      </c>
      <c r="AI23" s="587" t="str">
        <f t="shared" si="34"/>
        <v/>
      </c>
      <c r="AK23" s="466" t="str">
        <f t="shared" si="0"/>
        <v/>
      </c>
      <c r="AL23" s="466" t="str">
        <f>IF(B23="","",IF(B23=非_燃料種類_選択リスト!$I$3,"一般送配電_種類",IF(B23=非_燃料種類_選択リスト!$I$4,"一般送配電以外_種類",IF(B23=非_燃料種類_選択リスト!$I$5,"熱_種類",IF(B23=非_燃料種類_選択リスト!$I$6,"都市ガス_種類","")))))</f>
        <v/>
      </c>
      <c r="AM23" s="466" t="str">
        <f>IF(AK23&lt;&gt;"電気","",非_電気事業者!$S$4*1000)</f>
        <v/>
      </c>
      <c r="AN23" s="466" t="str">
        <f>IF(AK23&lt;&gt;"電気","",IF(ISERROR(VLOOKUP(D23&amp;F23,非_電気事業者!$R$9:$S$2000,2,FALSE)),"要記入",VLOOKUP(D23&amp;F23,非_電気事業者!$R$9:$S$2000,2,FALSE)*1000))</f>
        <v/>
      </c>
      <c r="AO23" s="466" t="str">
        <f>IF(AK23&lt;&gt;"熱","",非_熱供給事業者!$T$4)</f>
        <v/>
      </c>
      <c r="AP23" s="466" t="str">
        <f>IF(AK23&lt;&gt;"熱","",IF(ISERROR(VLOOKUP(D23&amp;F23,非_熱供給事業者!$S$8:$T$200,2,FALSE)),"要記入",VLOOKUP(D23&amp;F23,非_熱供給事業者!$S$8:$T$200,2,FALSE)))</f>
        <v/>
      </c>
      <c r="AQ23" s="466" t="str">
        <f>IF(AK23&lt;&gt;"都市ガス","",非_都市ガス事業者!$AB$4)</f>
        <v/>
      </c>
      <c r="AR23" s="466" t="str">
        <f>IF(AK23&lt;&gt;"都市ガス","",IF(ISERROR(VLOOKUP(D23&amp;F23,非_都市ガス事業者!$AA$8:$AB$200,2,FALSE)),"要記入",VLOOKUP(D23&amp;F23,非_都市ガス事業者!$AA$8:$AB$200,2,FALSE)))</f>
        <v/>
      </c>
      <c r="AS23" s="466" t="str">
        <f t="shared" si="1"/>
        <v/>
      </c>
      <c r="AT23" s="466" t="str">
        <f t="shared" si="10"/>
        <v/>
      </c>
      <c r="AU23" s="535" t="b">
        <f t="shared" si="11"/>
        <v>1</v>
      </c>
      <c r="AV23" s="466" t="str">
        <f>IF(Q23="","",VLOOKUP(Q23,非_単位補正換算!$B$3:$C$16,2,FALSE))</f>
        <v/>
      </c>
      <c r="AW23" s="466" t="str">
        <f>IF(AK23="","",IF(AK23&lt;&gt;"都市ガス",1,IF(G23="","",SUMIFS(非_単位補正換算!$D$52:$D$63,非_単位補正換算!$B$52:$B$63,"都市ガス"&amp;G23,非_単位補正換算!$C$52:$C$63,電気・熱_都市ガス!Q23))))</f>
        <v/>
      </c>
      <c r="AX23" s="527" t="str">
        <f t="shared" si="12"/>
        <v/>
      </c>
      <c r="AY23" s="466" t="str">
        <f t="shared" si="2"/>
        <v/>
      </c>
      <c r="AZ23" s="466" t="str">
        <f t="shared" si="3"/>
        <v/>
      </c>
      <c r="BA23" s="466" t="str">
        <f>IF(C23="","",VLOOKUP(C23,非_まとめ表行番号!$F$3:$H$12,2,FALSE))</f>
        <v/>
      </c>
      <c r="BB23" s="539" t="b">
        <f t="shared" si="13"/>
        <v>1</v>
      </c>
      <c r="BC23" s="637" t="str">
        <f>IF(AK23="","",IF(AK23&lt;&gt;"都市ガス",1,非_係数!$G$55))</f>
        <v/>
      </c>
      <c r="BD23" s="466" t="str">
        <f t="shared" si="35"/>
        <v/>
      </c>
      <c r="BE23" s="466" t="str">
        <f t="shared" si="4"/>
        <v/>
      </c>
      <c r="BF23" s="466" t="str">
        <f>IF(C23="","",VLOOKUP(C23,非_係数!$B$42:$K$55,9,FALSE))</f>
        <v/>
      </c>
      <c r="BG23" s="466" t="str">
        <f t="shared" si="15"/>
        <v/>
      </c>
      <c r="BH23" s="466" t="str">
        <f>IF(C23="","",VLOOKUP(C23,非_まとめ表行番号!$F$3:$H$12,3,FALSE))</f>
        <v/>
      </c>
      <c r="BI23" s="466" t="str">
        <f t="shared" si="16"/>
        <v/>
      </c>
      <c r="BK23" s="527" t="str">
        <f>IF(BA23="","",VLOOKUP(BA23,非_まとめ表行番号!$U$3:$V$56,2,FALSE))</f>
        <v/>
      </c>
      <c r="BL23" s="526" t="str">
        <f t="shared" si="17"/>
        <v/>
      </c>
      <c r="BM23" s="526" t="str">
        <f t="shared" si="18"/>
        <v/>
      </c>
      <c r="BN23" s="526" t="str">
        <f t="shared" si="19"/>
        <v/>
      </c>
      <c r="BO23" s="526" t="str">
        <f t="shared" si="20"/>
        <v/>
      </c>
      <c r="BP23" s="526" t="str">
        <f t="shared" si="21"/>
        <v/>
      </c>
      <c r="BQ23" s="526" t="str">
        <f t="shared" si="22"/>
        <v/>
      </c>
      <c r="BR23" s="526" t="str">
        <f t="shared" si="23"/>
        <v/>
      </c>
      <c r="BS23" s="635" t="str">
        <f t="shared" si="24"/>
        <v/>
      </c>
    </row>
    <row r="24" spans="1:71" ht="18.75" customHeight="1">
      <c r="A24" s="483"/>
      <c r="B24" s="406"/>
      <c r="C24" s="406"/>
      <c r="D24" s="406"/>
      <c r="E24" s="406"/>
      <c r="F24" s="499"/>
      <c r="G24" s="608"/>
      <c r="H24" s="609" t="str">
        <f>IF(AK24&lt;&gt;"都市ガス","",IF(ISERROR(VLOOKUP(D24,非_都市ガス事業者!$O$8:$P$200,2,FALSE)),"",VLOOKUP(D24,非_都市ガス事業者!$O$8:$P$200,2,FALSE)))</f>
        <v/>
      </c>
      <c r="I24" s="610" t="str">
        <f>IF(AK24&lt;&gt;"都市ガス","",非_都市ガス事業者!$P$4)</f>
        <v/>
      </c>
      <c r="J24" s="611" t="str">
        <f>IF(C24="","",IF(AK24&lt;&gt;"都市ガス",VLOOKUP(C24,非_係数!$B$42:$D$55,2,FALSE),""))</f>
        <v/>
      </c>
      <c r="K24" s="406"/>
      <c r="L24" s="486" t="str">
        <f t="shared" si="5"/>
        <v/>
      </c>
      <c r="M24" s="225" t="str">
        <f t="shared" si="31"/>
        <v/>
      </c>
      <c r="N24" s="406"/>
      <c r="O24" s="458"/>
      <c r="P24" s="406"/>
      <c r="Q24" s="406"/>
      <c r="R24" s="451"/>
      <c r="S24" s="451"/>
      <c r="T24" s="451"/>
      <c r="U24" s="451"/>
      <c r="V24" s="451"/>
      <c r="W24" s="451"/>
      <c r="X24" s="451"/>
      <c r="Y24" s="451"/>
      <c r="Z24" s="451"/>
      <c r="AA24" s="451"/>
      <c r="AB24" s="451"/>
      <c r="AC24" s="451"/>
      <c r="AD24" s="497"/>
      <c r="AE24" s="586" t="str">
        <f t="shared" si="25"/>
        <v/>
      </c>
      <c r="AF24" s="433" t="str">
        <f t="shared" si="32"/>
        <v/>
      </c>
      <c r="AG24" s="433" t="str">
        <f>IF(C24="","",VLOOKUP(C24,非_単位!$N$38:$O$53,2,FALSE))</f>
        <v/>
      </c>
      <c r="AH24" s="586" t="str">
        <f t="shared" si="33"/>
        <v/>
      </c>
      <c r="AI24" s="587" t="str">
        <f t="shared" si="34"/>
        <v/>
      </c>
      <c r="AK24" s="466" t="str">
        <f t="shared" si="0"/>
        <v/>
      </c>
      <c r="AL24" s="466" t="str">
        <f>IF(B24="","",IF(B24=非_燃料種類_選択リスト!$I$3,"一般送配電_種類",IF(B24=非_燃料種類_選択リスト!$I$4,"一般送配電以外_種類",IF(B24=非_燃料種類_選択リスト!$I$5,"熱_種類",IF(B24=非_燃料種類_選択リスト!$I$6,"都市ガス_種類","")))))</f>
        <v/>
      </c>
      <c r="AM24" s="466" t="str">
        <f>IF(AK24&lt;&gt;"電気","",非_電気事業者!$S$4*1000)</f>
        <v/>
      </c>
      <c r="AN24" s="466" t="str">
        <f>IF(AK24&lt;&gt;"電気","",IF(ISERROR(VLOOKUP(D24&amp;F24,非_電気事業者!$R$9:$S$2000,2,FALSE)),"要記入",VLOOKUP(D24&amp;F24,非_電気事業者!$R$9:$S$2000,2,FALSE)*1000))</f>
        <v/>
      </c>
      <c r="AO24" s="466" t="str">
        <f>IF(AK24&lt;&gt;"熱","",非_熱供給事業者!$T$4)</f>
        <v/>
      </c>
      <c r="AP24" s="466" t="str">
        <f>IF(AK24&lt;&gt;"熱","",IF(ISERROR(VLOOKUP(D24&amp;F24,非_熱供給事業者!$S$8:$T$200,2,FALSE)),"要記入",VLOOKUP(D24&amp;F24,非_熱供給事業者!$S$8:$T$200,2,FALSE)))</f>
        <v/>
      </c>
      <c r="AQ24" s="466" t="str">
        <f>IF(AK24&lt;&gt;"都市ガス","",非_都市ガス事業者!$AB$4)</f>
        <v/>
      </c>
      <c r="AR24" s="466" t="str">
        <f>IF(AK24&lt;&gt;"都市ガス","",IF(ISERROR(VLOOKUP(D24&amp;F24,非_都市ガス事業者!$AA$8:$AB$200,2,FALSE)),"要記入",VLOOKUP(D24&amp;F24,非_都市ガス事業者!$AA$8:$AB$200,2,FALSE)))</f>
        <v/>
      </c>
      <c r="AS24" s="466" t="str">
        <f t="shared" si="1"/>
        <v/>
      </c>
      <c r="AT24" s="466" t="str">
        <f t="shared" si="10"/>
        <v/>
      </c>
      <c r="AU24" s="535" t="b">
        <f t="shared" si="11"/>
        <v>1</v>
      </c>
      <c r="AV24" s="466" t="str">
        <f>IF(Q24="","",VLOOKUP(Q24,非_単位補正換算!$B$3:$C$16,2,FALSE))</f>
        <v/>
      </c>
      <c r="AW24" s="466" t="str">
        <f>IF(AK24="","",IF(AK24&lt;&gt;"都市ガス",1,IF(G24="","",SUMIFS(非_単位補正換算!$D$52:$D$63,非_単位補正換算!$B$52:$B$63,"都市ガス"&amp;G24,非_単位補正換算!$C$52:$C$63,電気・熱_都市ガス!Q24))))</f>
        <v/>
      </c>
      <c r="AX24" s="527" t="str">
        <f t="shared" si="12"/>
        <v/>
      </c>
      <c r="AY24" s="466" t="str">
        <f t="shared" si="2"/>
        <v/>
      </c>
      <c r="AZ24" s="466" t="str">
        <f t="shared" si="3"/>
        <v/>
      </c>
      <c r="BA24" s="466" t="str">
        <f>IF(C24="","",VLOOKUP(C24,非_まとめ表行番号!$F$3:$H$12,2,FALSE))</f>
        <v/>
      </c>
      <c r="BB24" s="539" t="b">
        <f t="shared" si="13"/>
        <v>1</v>
      </c>
      <c r="BC24" s="637" t="str">
        <f>IF(AK24="","",IF(AK24&lt;&gt;"都市ガス",1,非_係数!$G$55))</f>
        <v/>
      </c>
      <c r="BD24" s="466" t="str">
        <f t="shared" si="35"/>
        <v/>
      </c>
      <c r="BE24" s="466" t="str">
        <f t="shared" si="4"/>
        <v/>
      </c>
      <c r="BF24" s="466" t="str">
        <f>IF(C24="","",VLOOKUP(C24,非_係数!$B$42:$K$55,9,FALSE))</f>
        <v/>
      </c>
      <c r="BG24" s="466" t="str">
        <f t="shared" si="15"/>
        <v/>
      </c>
      <c r="BH24" s="466" t="str">
        <f>IF(C24="","",VLOOKUP(C24,非_まとめ表行番号!$F$3:$H$12,3,FALSE))</f>
        <v/>
      </c>
      <c r="BI24" s="466" t="str">
        <f t="shared" si="16"/>
        <v/>
      </c>
      <c r="BK24" s="527" t="str">
        <f>IF(BA24="","",VLOOKUP(BA24,非_まとめ表行番号!$U$3:$V$56,2,FALSE))</f>
        <v/>
      </c>
      <c r="BL24" s="526" t="str">
        <f t="shared" si="17"/>
        <v/>
      </c>
      <c r="BM24" s="526" t="str">
        <f t="shared" si="18"/>
        <v/>
      </c>
      <c r="BN24" s="526" t="str">
        <f t="shared" si="19"/>
        <v/>
      </c>
      <c r="BO24" s="526" t="str">
        <f t="shared" si="20"/>
        <v/>
      </c>
      <c r="BP24" s="526" t="str">
        <f t="shared" si="21"/>
        <v/>
      </c>
      <c r="BQ24" s="526" t="str">
        <f t="shared" si="22"/>
        <v/>
      </c>
      <c r="BR24" s="526" t="str">
        <f t="shared" si="23"/>
        <v/>
      </c>
      <c r="BS24" s="635" t="str">
        <f t="shared" si="24"/>
        <v/>
      </c>
    </row>
    <row r="25" spans="1:71" ht="18.75" customHeight="1">
      <c r="A25" s="483"/>
      <c r="B25" s="406"/>
      <c r="C25" s="406"/>
      <c r="D25" s="406"/>
      <c r="E25" s="406"/>
      <c r="F25" s="499"/>
      <c r="G25" s="608"/>
      <c r="H25" s="609" t="str">
        <f>IF(AK25&lt;&gt;"都市ガス","",IF(ISERROR(VLOOKUP(D25,非_都市ガス事業者!$O$8:$P$200,2,FALSE)),"",VLOOKUP(D25,非_都市ガス事業者!$O$8:$P$200,2,FALSE)))</f>
        <v/>
      </c>
      <c r="I25" s="610" t="str">
        <f>IF(AK25&lt;&gt;"都市ガス","",非_都市ガス事業者!$P$4)</f>
        <v/>
      </c>
      <c r="J25" s="611" t="str">
        <f>IF(C25="","",IF(AK25&lt;&gt;"都市ガス",VLOOKUP(C25,非_係数!$B$42:$D$55,2,FALSE),""))</f>
        <v/>
      </c>
      <c r="K25" s="406"/>
      <c r="L25" s="486" t="str">
        <f t="shared" si="5"/>
        <v/>
      </c>
      <c r="M25" s="225" t="str">
        <f t="shared" si="26"/>
        <v/>
      </c>
      <c r="N25" s="406"/>
      <c r="O25" s="458"/>
      <c r="P25" s="406"/>
      <c r="Q25" s="406"/>
      <c r="R25" s="451"/>
      <c r="S25" s="451"/>
      <c r="T25" s="451"/>
      <c r="U25" s="451"/>
      <c r="V25" s="451"/>
      <c r="W25" s="451"/>
      <c r="X25" s="451"/>
      <c r="Y25" s="451"/>
      <c r="Z25" s="451"/>
      <c r="AA25" s="451"/>
      <c r="AB25" s="451"/>
      <c r="AC25" s="451"/>
      <c r="AD25" s="497"/>
      <c r="AE25" s="586" t="str">
        <f t="shared" si="25"/>
        <v/>
      </c>
      <c r="AF25" s="433" t="str">
        <f t="shared" si="27"/>
        <v/>
      </c>
      <c r="AG25" s="433" t="str">
        <f>IF(C25="","",VLOOKUP(C25,非_単位!$N$38:$O$53,2,FALSE))</f>
        <v/>
      </c>
      <c r="AH25" s="586" t="str">
        <f t="shared" si="28"/>
        <v/>
      </c>
      <c r="AI25" s="587" t="str">
        <f t="shared" si="29"/>
        <v/>
      </c>
      <c r="AK25" s="466" t="str">
        <f t="shared" si="0"/>
        <v/>
      </c>
      <c r="AL25" s="466" t="str">
        <f>IF(B25="","",IF(B25=非_燃料種類_選択リスト!$I$3,"一般送配電_種類",IF(B25=非_燃料種類_選択リスト!$I$4,"一般送配電以外_種類",IF(B25=非_燃料種類_選択リスト!$I$5,"熱_種類",IF(B25=非_燃料種類_選択リスト!$I$6,"都市ガス_種類","")))))</f>
        <v/>
      </c>
      <c r="AM25" s="466" t="str">
        <f>IF(AK25&lt;&gt;"電気","",非_電気事業者!$S$4*1000)</f>
        <v/>
      </c>
      <c r="AN25" s="466" t="str">
        <f>IF(AK25&lt;&gt;"電気","",IF(ISERROR(VLOOKUP(D25&amp;F25,非_電気事業者!$R$9:$S$2000,2,FALSE)),"要記入",VLOOKUP(D25&amp;F25,非_電気事業者!$R$9:$S$2000,2,FALSE)*1000))</f>
        <v/>
      </c>
      <c r="AO25" s="466" t="str">
        <f>IF(AK25&lt;&gt;"熱","",非_熱供給事業者!$T$4)</f>
        <v/>
      </c>
      <c r="AP25" s="466" t="str">
        <f>IF(AK25&lt;&gt;"熱","",IF(ISERROR(VLOOKUP(D25&amp;F25,非_熱供給事業者!$S$8:$T$200,2,FALSE)),"要記入",VLOOKUP(D25&amp;F25,非_熱供給事業者!$S$8:$T$200,2,FALSE)))</f>
        <v/>
      </c>
      <c r="AQ25" s="466" t="str">
        <f>IF(AK25&lt;&gt;"都市ガス","",非_都市ガス事業者!$AB$4)</f>
        <v/>
      </c>
      <c r="AR25" s="466" t="str">
        <f>IF(AK25&lt;&gt;"都市ガス","",IF(ISERROR(VLOOKUP(D25&amp;F25,非_都市ガス事業者!$AA$8:$AB$200,2,FALSE)),"要記入",VLOOKUP(D25&amp;F25,非_都市ガス事業者!$AA$8:$AB$200,2,FALSE)))</f>
        <v/>
      </c>
      <c r="AS25" s="466" t="str">
        <f t="shared" si="1"/>
        <v/>
      </c>
      <c r="AT25" s="466" t="str">
        <f t="shared" si="10"/>
        <v/>
      </c>
      <c r="AU25" s="535" t="b">
        <f t="shared" si="11"/>
        <v>1</v>
      </c>
      <c r="AV25" s="466" t="str">
        <f>IF(Q25="","",VLOOKUP(Q25,非_単位補正換算!$B$3:$C$16,2,FALSE))</f>
        <v/>
      </c>
      <c r="AW25" s="466" t="str">
        <f>IF(AK25="","",IF(AK25&lt;&gt;"都市ガス",1,IF(G25="","",SUMIFS(非_単位補正換算!$D$52:$D$63,非_単位補正換算!$B$52:$B$63,"都市ガス"&amp;G25,非_単位補正換算!$C$52:$C$63,電気・熱_都市ガス!Q25))))</f>
        <v/>
      </c>
      <c r="AX25" s="527" t="str">
        <f t="shared" si="12"/>
        <v/>
      </c>
      <c r="AY25" s="466" t="str">
        <f t="shared" si="2"/>
        <v/>
      </c>
      <c r="AZ25" s="466" t="str">
        <f t="shared" si="3"/>
        <v/>
      </c>
      <c r="BA25" s="466" t="str">
        <f>IF(C25="","",VLOOKUP(C25,非_まとめ表行番号!$F$3:$H$12,2,FALSE))</f>
        <v/>
      </c>
      <c r="BB25" s="539" t="b">
        <f t="shared" si="13"/>
        <v>1</v>
      </c>
      <c r="BC25" s="637" t="str">
        <f>IF(AK25="","",IF(AK25&lt;&gt;"都市ガス",1,非_係数!$G$55))</f>
        <v/>
      </c>
      <c r="BD25" s="466" t="str">
        <f t="shared" si="30"/>
        <v/>
      </c>
      <c r="BE25" s="466" t="str">
        <f t="shared" si="4"/>
        <v/>
      </c>
      <c r="BF25" s="466" t="str">
        <f>IF(C25="","",VLOOKUP(C25,非_係数!$B$42:$K$55,9,FALSE))</f>
        <v/>
      </c>
      <c r="BG25" s="466" t="str">
        <f t="shared" si="15"/>
        <v/>
      </c>
      <c r="BH25" s="466" t="str">
        <f>IF(C25="","",VLOOKUP(C25,非_まとめ表行番号!$F$3:$H$12,3,FALSE))</f>
        <v/>
      </c>
      <c r="BI25" s="466" t="str">
        <f t="shared" si="16"/>
        <v/>
      </c>
      <c r="BK25" s="527" t="str">
        <f>IF(BA25="","",VLOOKUP(BA25,非_まとめ表行番号!$U$3:$V$56,2,FALSE))</f>
        <v/>
      </c>
      <c r="BL25" s="526" t="str">
        <f t="shared" si="17"/>
        <v/>
      </c>
      <c r="BM25" s="526" t="str">
        <f t="shared" si="18"/>
        <v/>
      </c>
      <c r="BN25" s="526" t="str">
        <f t="shared" si="19"/>
        <v/>
      </c>
      <c r="BO25" s="526" t="str">
        <f t="shared" si="20"/>
        <v/>
      </c>
      <c r="BP25" s="526" t="str">
        <f t="shared" si="21"/>
        <v/>
      </c>
      <c r="BQ25" s="526" t="str">
        <f t="shared" si="22"/>
        <v/>
      </c>
      <c r="BR25" s="526" t="str">
        <f t="shared" si="23"/>
        <v/>
      </c>
      <c r="BS25" s="635" t="str">
        <f t="shared" si="24"/>
        <v/>
      </c>
    </row>
    <row r="26" spans="1:71" ht="18.75" customHeight="1">
      <c r="A26" s="483"/>
      <c r="B26" s="406"/>
      <c r="C26" s="406"/>
      <c r="D26" s="406"/>
      <c r="E26" s="406"/>
      <c r="F26" s="499"/>
      <c r="G26" s="608"/>
      <c r="H26" s="609" t="str">
        <f>IF(AK26&lt;&gt;"都市ガス","",IF(ISERROR(VLOOKUP(D26,非_都市ガス事業者!$O$8:$P$200,2,FALSE)),"",VLOOKUP(D26,非_都市ガス事業者!$O$8:$P$200,2,FALSE)))</f>
        <v/>
      </c>
      <c r="I26" s="610" t="str">
        <f>IF(AK26&lt;&gt;"都市ガス","",非_都市ガス事業者!$P$4)</f>
        <v/>
      </c>
      <c r="J26" s="611" t="str">
        <f>IF(C26="","",IF(AK26&lt;&gt;"都市ガス",VLOOKUP(C26,非_係数!$B$42:$D$55,2,FALSE),""))</f>
        <v/>
      </c>
      <c r="K26" s="406"/>
      <c r="L26" s="486" t="str">
        <f t="shared" si="5"/>
        <v/>
      </c>
      <c r="M26" s="225" t="str">
        <f t="shared" si="26"/>
        <v/>
      </c>
      <c r="N26" s="406"/>
      <c r="O26" s="458"/>
      <c r="P26" s="406"/>
      <c r="Q26" s="406"/>
      <c r="R26" s="451"/>
      <c r="S26" s="451"/>
      <c r="T26" s="451"/>
      <c r="U26" s="451"/>
      <c r="V26" s="451"/>
      <c r="W26" s="451"/>
      <c r="X26" s="451"/>
      <c r="Y26" s="451"/>
      <c r="Z26" s="451"/>
      <c r="AA26" s="451"/>
      <c r="AB26" s="451"/>
      <c r="AC26" s="451"/>
      <c r="AD26" s="497"/>
      <c r="AE26" s="586" t="str">
        <f t="shared" si="25"/>
        <v/>
      </c>
      <c r="AF26" s="433" t="str">
        <f t="shared" si="27"/>
        <v/>
      </c>
      <c r="AG26" s="433" t="str">
        <f>IF(C26="","",VLOOKUP(C26,非_単位!$N$38:$O$53,2,FALSE))</f>
        <v/>
      </c>
      <c r="AH26" s="586" t="str">
        <f t="shared" si="28"/>
        <v/>
      </c>
      <c r="AI26" s="587" t="str">
        <f t="shared" si="29"/>
        <v/>
      </c>
      <c r="AK26" s="466" t="str">
        <f t="shared" si="0"/>
        <v/>
      </c>
      <c r="AL26" s="466" t="str">
        <f>IF(B26="","",IF(B26=非_燃料種類_選択リスト!$I$3,"一般送配電_種類",IF(B26=非_燃料種類_選択リスト!$I$4,"一般送配電以外_種類",IF(B26=非_燃料種類_選択リスト!$I$5,"熱_種類",IF(B26=非_燃料種類_選択リスト!$I$6,"都市ガス_種類","")))))</f>
        <v/>
      </c>
      <c r="AM26" s="466" t="str">
        <f>IF(AK26&lt;&gt;"電気","",非_電気事業者!$S$4*1000)</f>
        <v/>
      </c>
      <c r="AN26" s="466" t="str">
        <f>IF(AK26&lt;&gt;"電気","",IF(ISERROR(VLOOKUP(D26&amp;F26,非_電気事業者!$R$9:$S$2000,2,FALSE)),"要記入",VLOOKUP(D26&amp;F26,非_電気事業者!$R$9:$S$2000,2,FALSE)*1000))</f>
        <v/>
      </c>
      <c r="AO26" s="466" t="str">
        <f>IF(AK26&lt;&gt;"熱","",非_熱供給事業者!$T$4)</f>
        <v/>
      </c>
      <c r="AP26" s="466" t="str">
        <f>IF(AK26&lt;&gt;"熱","",IF(ISERROR(VLOOKUP(D26&amp;F26,非_熱供給事業者!$S$8:$T$200,2,FALSE)),"要記入",VLOOKUP(D26&amp;F26,非_熱供給事業者!$S$8:$T$200,2,FALSE)))</f>
        <v/>
      </c>
      <c r="AQ26" s="466" t="str">
        <f>IF(AK26&lt;&gt;"都市ガス","",非_都市ガス事業者!$AB$4)</f>
        <v/>
      </c>
      <c r="AR26" s="466" t="str">
        <f>IF(AK26&lt;&gt;"都市ガス","",IF(ISERROR(VLOOKUP(D26&amp;F26,非_都市ガス事業者!$AA$8:$AB$200,2,FALSE)),"要記入",VLOOKUP(D26&amp;F26,非_都市ガス事業者!$AA$8:$AB$200,2,FALSE)))</f>
        <v/>
      </c>
      <c r="AS26" s="466" t="str">
        <f t="shared" si="1"/>
        <v/>
      </c>
      <c r="AT26" s="466" t="str">
        <f t="shared" si="10"/>
        <v/>
      </c>
      <c r="AU26" s="535" t="b">
        <f t="shared" si="11"/>
        <v>1</v>
      </c>
      <c r="AV26" s="466" t="str">
        <f>IF(Q26="","",VLOOKUP(Q26,非_単位補正換算!$B$3:$C$16,2,FALSE))</f>
        <v/>
      </c>
      <c r="AW26" s="466" t="str">
        <f>IF(AK26="","",IF(AK26&lt;&gt;"都市ガス",1,IF(G26="","",SUMIFS(非_単位補正換算!$D$52:$D$63,非_単位補正換算!$B$52:$B$63,"都市ガス"&amp;G26,非_単位補正換算!$C$52:$C$63,電気・熱_都市ガス!Q26))))</f>
        <v/>
      </c>
      <c r="AX26" s="527" t="str">
        <f t="shared" si="12"/>
        <v/>
      </c>
      <c r="AY26" s="466" t="str">
        <f t="shared" si="2"/>
        <v/>
      </c>
      <c r="AZ26" s="466" t="str">
        <f t="shared" si="3"/>
        <v/>
      </c>
      <c r="BA26" s="466" t="str">
        <f>IF(C26="","",VLOOKUP(C26,非_まとめ表行番号!$F$3:$H$12,2,FALSE))</f>
        <v/>
      </c>
      <c r="BB26" s="539" t="b">
        <f t="shared" si="13"/>
        <v>1</v>
      </c>
      <c r="BC26" s="637" t="str">
        <f>IF(AK26="","",IF(AK26&lt;&gt;"都市ガス",1,非_係数!$G$55))</f>
        <v/>
      </c>
      <c r="BD26" s="466" t="str">
        <f t="shared" si="30"/>
        <v/>
      </c>
      <c r="BE26" s="466" t="str">
        <f t="shared" si="4"/>
        <v/>
      </c>
      <c r="BF26" s="466" t="str">
        <f>IF(C26="","",VLOOKUP(C26,非_係数!$B$42:$K$55,9,FALSE))</f>
        <v/>
      </c>
      <c r="BG26" s="466" t="str">
        <f t="shared" si="15"/>
        <v/>
      </c>
      <c r="BH26" s="466" t="str">
        <f>IF(C26="","",VLOOKUP(C26,非_まとめ表行番号!$F$3:$H$12,3,FALSE))</f>
        <v/>
      </c>
      <c r="BI26" s="466" t="str">
        <f t="shared" si="16"/>
        <v/>
      </c>
      <c r="BK26" s="527" t="str">
        <f>IF(BA26="","",VLOOKUP(BA26,非_まとめ表行番号!$U$3:$V$56,2,FALSE))</f>
        <v/>
      </c>
      <c r="BL26" s="526" t="str">
        <f t="shared" si="17"/>
        <v/>
      </c>
      <c r="BM26" s="526" t="str">
        <f t="shared" si="18"/>
        <v/>
      </c>
      <c r="BN26" s="526" t="str">
        <f t="shared" si="19"/>
        <v/>
      </c>
      <c r="BO26" s="526" t="str">
        <f t="shared" si="20"/>
        <v/>
      </c>
      <c r="BP26" s="526" t="str">
        <f t="shared" si="21"/>
        <v/>
      </c>
      <c r="BQ26" s="526" t="str">
        <f t="shared" si="22"/>
        <v/>
      </c>
      <c r="BR26" s="526" t="str">
        <f t="shared" si="23"/>
        <v/>
      </c>
      <c r="BS26" s="635" t="str">
        <f t="shared" si="24"/>
        <v/>
      </c>
    </row>
    <row r="27" spans="1:71" ht="18.75" customHeight="1">
      <c r="A27" s="483"/>
      <c r="B27" s="406"/>
      <c r="C27" s="406"/>
      <c r="D27" s="406"/>
      <c r="E27" s="406"/>
      <c r="F27" s="499"/>
      <c r="G27" s="608"/>
      <c r="H27" s="609" t="str">
        <f>IF(AK27&lt;&gt;"都市ガス","",IF(ISERROR(VLOOKUP(D27,非_都市ガス事業者!$O$8:$P$200,2,FALSE)),"",VLOOKUP(D27,非_都市ガス事業者!$O$8:$P$200,2,FALSE)))</f>
        <v/>
      </c>
      <c r="I27" s="610" t="str">
        <f>IF(AK27&lt;&gt;"都市ガス","",非_都市ガス事業者!$P$4)</f>
        <v/>
      </c>
      <c r="J27" s="611" t="str">
        <f>IF(C27="","",IF(AK27&lt;&gt;"都市ガス",VLOOKUP(C27,非_係数!$B$42:$D$55,2,FALSE),""))</f>
        <v/>
      </c>
      <c r="K27" s="406"/>
      <c r="L27" s="486" t="str">
        <f t="shared" si="5"/>
        <v/>
      </c>
      <c r="M27" s="225" t="str">
        <f t="shared" ref="M27" si="36">AT27</f>
        <v/>
      </c>
      <c r="N27" s="406"/>
      <c r="O27" s="458"/>
      <c r="P27" s="406"/>
      <c r="Q27" s="406"/>
      <c r="R27" s="451"/>
      <c r="S27" s="451"/>
      <c r="T27" s="451"/>
      <c r="U27" s="451"/>
      <c r="V27" s="451"/>
      <c r="W27" s="451"/>
      <c r="X27" s="451"/>
      <c r="Y27" s="451"/>
      <c r="Z27" s="451"/>
      <c r="AA27" s="451"/>
      <c r="AB27" s="451"/>
      <c r="AC27" s="451"/>
      <c r="AD27" s="497"/>
      <c r="AE27" s="586" t="str">
        <f t="shared" si="25"/>
        <v/>
      </c>
      <c r="AF27" s="433" t="str">
        <f t="shared" ref="AF27" si="37">AX27</f>
        <v/>
      </c>
      <c r="AG27" s="433" t="str">
        <f>IF(C27="","",VLOOKUP(C27,非_単位!$N$38:$O$53,2,FALSE))</f>
        <v/>
      </c>
      <c r="AH27" s="586" t="str">
        <f t="shared" ref="AH27" si="38">AY27</f>
        <v/>
      </c>
      <c r="AI27" s="587" t="str">
        <f t="shared" ref="AI27" si="39">AZ27</f>
        <v/>
      </c>
      <c r="AK27" s="466" t="str">
        <f t="shared" si="0"/>
        <v/>
      </c>
      <c r="AL27" s="466" t="str">
        <f>IF(B27="","",IF(B27=非_燃料種類_選択リスト!$I$3,"一般送配電_種類",IF(B27=非_燃料種類_選択リスト!$I$4,"一般送配電以外_種類",IF(B27=非_燃料種類_選択リスト!$I$5,"熱_種類",IF(B27=非_燃料種類_選択リスト!$I$6,"都市ガス_種類","")))))</f>
        <v/>
      </c>
      <c r="AM27" s="466" t="str">
        <f>IF(AK27&lt;&gt;"電気","",非_電気事業者!$S$4*1000)</f>
        <v/>
      </c>
      <c r="AN27" s="466" t="str">
        <f>IF(AK27&lt;&gt;"電気","",IF(ISERROR(VLOOKUP(D27&amp;F27,非_電気事業者!$R$9:$S$2000,2,FALSE)),"要記入",VLOOKUP(D27&amp;F27,非_電気事業者!$R$9:$S$2000,2,FALSE)*1000))</f>
        <v/>
      </c>
      <c r="AO27" s="466" t="str">
        <f>IF(AK27&lt;&gt;"熱","",非_熱供給事業者!$T$4)</f>
        <v/>
      </c>
      <c r="AP27" s="466" t="str">
        <f>IF(AK27&lt;&gt;"熱","",IF(ISERROR(VLOOKUP(D27&amp;F27,非_熱供給事業者!$S$8:$T$200,2,FALSE)),"要記入",VLOOKUP(D27&amp;F27,非_熱供給事業者!$S$8:$T$200,2,FALSE)))</f>
        <v/>
      </c>
      <c r="AQ27" s="466" t="str">
        <f>IF(AK27&lt;&gt;"都市ガス","",非_都市ガス事業者!$AB$4)</f>
        <v/>
      </c>
      <c r="AR27" s="466" t="str">
        <f>IF(AK27&lt;&gt;"都市ガス","",IF(ISERROR(VLOOKUP(D27&amp;F27,非_都市ガス事業者!$AA$8:$AB$200,2,FALSE)),"要記入",VLOOKUP(D27&amp;F27,非_都市ガス事業者!$AA$8:$AB$200,2,FALSE)))</f>
        <v/>
      </c>
      <c r="AS27" s="466" t="str">
        <f t="shared" si="1"/>
        <v/>
      </c>
      <c r="AT27" s="466" t="str">
        <f t="shared" si="10"/>
        <v/>
      </c>
      <c r="AU27" s="535" t="b">
        <f t="shared" si="11"/>
        <v>1</v>
      </c>
      <c r="AV27" s="466" t="str">
        <f>IF(Q27="","",VLOOKUP(Q27,非_単位補正換算!$B$3:$C$16,2,FALSE))</f>
        <v/>
      </c>
      <c r="AW27" s="466" t="str">
        <f>IF(AK27="","",IF(AK27&lt;&gt;"都市ガス",1,IF(G27="","",SUMIFS(非_単位補正換算!$D$52:$D$63,非_単位補正換算!$B$52:$B$63,"都市ガス"&amp;G27,非_単位補正換算!$C$52:$C$63,電気・熱_都市ガス!Q27))))</f>
        <v/>
      </c>
      <c r="AX27" s="527" t="str">
        <f t="shared" si="12"/>
        <v/>
      </c>
      <c r="AY27" s="466" t="str">
        <f t="shared" si="2"/>
        <v/>
      </c>
      <c r="AZ27" s="466" t="str">
        <f t="shared" si="3"/>
        <v/>
      </c>
      <c r="BA27" s="466" t="str">
        <f>IF(C27="","",VLOOKUP(C27,非_まとめ表行番号!$F$3:$H$12,2,FALSE))</f>
        <v/>
      </c>
      <c r="BB27" s="539" t="b">
        <f t="shared" si="13"/>
        <v>1</v>
      </c>
      <c r="BC27" s="637" t="str">
        <f>IF(AK27="","",IF(AK27&lt;&gt;"都市ガス",1,非_係数!$G$55))</f>
        <v/>
      </c>
      <c r="BD27" s="466" t="str">
        <f t="shared" ref="BD27" si="40">IF(AX27="","",AX27*BC27)</f>
        <v/>
      </c>
      <c r="BE27" s="466" t="str">
        <f t="shared" si="4"/>
        <v/>
      </c>
      <c r="BF27" s="466" t="str">
        <f>IF(C27="","",VLOOKUP(C27,非_係数!$B$42:$K$55,9,FALSE))</f>
        <v/>
      </c>
      <c r="BG27" s="466" t="str">
        <f t="shared" si="15"/>
        <v/>
      </c>
      <c r="BH27" s="466" t="str">
        <f>IF(C27="","",VLOOKUP(C27,非_まとめ表行番号!$F$3:$H$12,3,FALSE))</f>
        <v/>
      </c>
      <c r="BI27" s="466" t="str">
        <f t="shared" si="16"/>
        <v/>
      </c>
      <c r="BK27" s="527" t="str">
        <f>IF(BA27="","",VLOOKUP(BA27,非_まとめ表行番号!$U$3:$V$56,2,FALSE))</f>
        <v/>
      </c>
      <c r="BL27" s="526" t="str">
        <f t="shared" si="17"/>
        <v/>
      </c>
      <c r="BM27" s="526" t="str">
        <f t="shared" si="18"/>
        <v/>
      </c>
      <c r="BN27" s="526" t="str">
        <f t="shared" si="19"/>
        <v/>
      </c>
      <c r="BO27" s="526" t="str">
        <f t="shared" si="20"/>
        <v/>
      </c>
      <c r="BP27" s="526" t="str">
        <f t="shared" si="21"/>
        <v/>
      </c>
      <c r="BQ27" s="526" t="str">
        <f t="shared" si="22"/>
        <v/>
      </c>
      <c r="BR27" s="526" t="str">
        <f t="shared" si="23"/>
        <v/>
      </c>
      <c r="BS27" s="635" t="str">
        <f t="shared" si="24"/>
        <v/>
      </c>
    </row>
    <row r="28" spans="1:71" ht="18.75" customHeight="1">
      <c r="A28" s="483"/>
      <c r="B28" s="406"/>
      <c r="C28" s="406"/>
      <c r="D28" s="406"/>
      <c r="E28" s="406"/>
      <c r="F28" s="499"/>
      <c r="G28" s="608"/>
      <c r="H28" s="609" t="str">
        <f>IF(AK28&lt;&gt;"都市ガス","",IF(ISERROR(VLOOKUP(D28,非_都市ガス事業者!$O$8:$P$200,2,FALSE)),"",VLOOKUP(D28,非_都市ガス事業者!$O$8:$P$200,2,FALSE)))</f>
        <v/>
      </c>
      <c r="I28" s="610" t="str">
        <f>IF(AK28&lt;&gt;"都市ガス","",非_都市ガス事業者!$P$4)</f>
        <v/>
      </c>
      <c r="J28" s="611" t="str">
        <f>IF(C28="","",IF(AK28&lt;&gt;"都市ガス",VLOOKUP(C28,非_係数!$B$42:$D$55,2,FALSE),""))</f>
        <v/>
      </c>
      <c r="K28" s="406"/>
      <c r="L28" s="486" t="str">
        <f t="shared" si="5"/>
        <v/>
      </c>
      <c r="M28" s="225" t="str">
        <f t="shared" si="6"/>
        <v/>
      </c>
      <c r="N28" s="406"/>
      <c r="O28" s="458"/>
      <c r="P28" s="406"/>
      <c r="Q28" s="406"/>
      <c r="R28" s="451"/>
      <c r="S28" s="451"/>
      <c r="T28" s="451"/>
      <c r="U28" s="451"/>
      <c r="V28" s="451"/>
      <c r="W28" s="451"/>
      <c r="X28" s="451"/>
      <c r="Y28" s="451"/>
      <c r="Z28" s="451"/>
      <c r="AA28" s="451"/>
      <c r="AB28" s="451"/>
      <c r="AC28" s="451"/>
      <c r="AD28" s="497"/>
      <c r="AE28" s="586" t="str">
        <f t="shared" si="25"/>
        <v/>
      </c>
      <c r="AF28" s="433" t="str">
        <f t="shared" si="7"/>
        <v/>
      </c>
      <c r="AG28" s="433" t="str">
        <f>IF(C28="","",VLOOKUP(C28,非_単位!$N$38:$O$53,2,FALSE))</f>
        <v/>
      </c>
      <c r="AH28" s="586" t="str">
        <f t="shared" si="8"/>
        <v/>
      </c>
      <c r="AI28" s="587" t="str">
        <f t="shared" si="9"/>
        <v/>
      </c>
      <c r="AK28" s="466" t="str">
        <f t="shared" si="0"/>
        <v/>
      </c>
      <c r="AL28" s="466" t="str">
        <f>IF(B28="","",IF(B28=非_燃料種類_選択リスト!$I$3,"一般送配電_種類",IF(B28=非_燃料種類_選択リスト!$I$4,"一般送配電以外_種類",IF(B28=非_燃料種類_選択リスト!$I$5,"熱_種類",IF(B28=非_燃料種類_選択リスト!$I$6,"都市ガス_種類","")))))</f>
        <v/>
      </c>
      <c r="AM28" s="466" t="str">
        <f>IF(AK28&lt;&gt;"電気","",非_電気事業者!$S$4*1000)</f>
        <v/>
      </c>
      <c r="AN28" s="466" t="str">
        <f>IF(AK28&lt;&gt;"電気","",IF(ISERROR(VLOOKUP(D28&amp;F28,非_電気事業者!$R$9:$S$2000,2,FALSE)),"要記入",VLOOKUP(D28&amp;F28,非_電気事業者!$R$9:$S$2000,2,FALSE)*1000))</f>
        <v/>
      </c>
      <c r="AO28" s="466" t="str">
        <f>IF(AK28&lt;&gt;"熱","",非_熱供給事業者!$T$4)</f>
        <v/>
      </c>
      <c r="AP28" s="466" t="str">
        <f>IF(AK28&lt;&gt;"熱","",IF(ISERROR(VLOOKUP(D28&amp;F28,非_熱供給事業者!$S$8:$T$200,2,FALSE)),"要記入",VLOOKUP(D28&amp;F28,非_熱供給事業者!$S$8:$T$200,2,FALSE)))</f>
        <v/>
      </c>
      <c r="AQ28" s="466" t="str">
        <f>IF(AK28&lt;&gt;"都市ガス","",非_都市ガス事業者!$AB$4)</f>
        <v/>
      </c>
      <c r="AR28" s="466" t="str">
        <f>IF(AK28&lt;&gt;"都市ガス","",IF(ISERROR(VLOOKUP(D28&amp;F28,非_都市ガス事業者!$AA$8:$AB$200,2,FALSE)),"要記入",VLOOKUP(D28&amp;F28,非_都市ガス事業者!$AA$8:$AB$200,2,FALSE)))</f>
        <v/>
      </c>
      <c r="AS28" s="466" t="str">
        <f t="shared" si="1"/>
        <v/>
      </c>
      <c r="AT28" s="466" t="str">
        <f t="shared" si="10"/>
        <v/>
      </c>
      <c r="AU28" s="535" t="b">
        <f t="shared" si="11"/>
        <v>1</v>
      </c>
      <c r="AV28" s="466" t="str">
        <f>IF(Q28="","",VLOOKUP(Q28,非_単位補正換算!$B$3:$C$16,2,FALSE))</f>
        <v/>
      </c>
      <c r="AW28" s="466" t="str">
        <f>IF(AK28="","",IF(AK28&lt;&gt;"都市ガス",1,IF(G28="","",SUMIFS(非_単位補正換算!$D$52:$D$63,非_単位補正換算!$B$52:$B$63,"都市ガス"&amp;G28,非_単位補正換算!$C$52:$C$63,電気・熱_都市ガス!Q28))))</f>
        <v/>
      </c>
      <c r="AX28" s="527" t="str">
        <f t="shared" si="12"/>
        <v/>
      </c>
      <c r="AY28" s="466" t="str">
        <f t="shared" si="2"/>
        <v/>
      </c>
      <c r="AZ28" s="466" t="str">
        <f t="shared" si="3"/>
        <v/>
      </c>
      <c r="BA28" s="466" t="str">
        <f>IF(C28="","",VLOOKUP(C28,非_まとめ表行番号!$F$3:$H$12,2,FALSE))</f>
        <v/>
      </c>
      <c r="BB28" s="539" t="b">
        <f t="shared" si="13"/>
        <v>1</v>
      </c>
      <c r="BC28" s="637" t="str">
        <f>IF(AK28="","",IF(AK28&lt;&gt;"都市ガス",1,非_係数!$G$55))</f>
        <v/>
      </c>
      <c r="BD28" s="466" t="str">
        <f t="shared" si="14"/>
        <v/>
      </c>
      <c r="BE28" s="466" t="str">
        <f t="shared" si="4"/>
        <v/>
      </c>
      <c r="BF28" s="466" t="str">
        <f>IF(C28="","",VLOOKUP(C28,非_係数!$B$42:$K$55,9,FALSE))</f>
        <v/>
      </c>
      <c r="BG28" s="466" t="str">
        <f t="shared" si="15"/>
        <v/>
      </c>
      <c r="BH28" s="466" t="str">
        <f>IF(C28="","",VLOOKUP(C28,非_まとめ表行番号!$F$3:$H$12,3,FALSE))</f>
        <v/>
      </c>
      <c r="BI28" s="466" t="str">
        <f t="shared" si="16"/>
        <v/>
      </c>
      <c r="BK28" s="527" t="str">
        <f>IF(BA28="","",VLOOKUP(BA28,非_まとめ表行番号!$U$3:$V$56,2,FALSE))</f>
        <v/>
      </c>
      <c r="BL28" s="526" t="str">
        <f t="shared" si="17"/>
        <v/>
      </c>
      <c r="BM28" s="526" t="str">
        <f t="shared" si="18"/>
        <v/>
      </c>
      <c r="BN28" s="526" t="str">
        <f t="shared" si="19"/>
        <v/>
      </c>
      <c r="BO28" s="526" t="str">
        <f t="shared" si="20"/>
        <v/>
      </c>
      <c r="BP28" s="526" t="str">
        <f t="shared" si="21"/>
        <v/>
      </c>
      <c r="BQ28" s="526" t="str">
        <f t="shared" si="22"/>
        <v/>
      </c>
      <c r="BR28" s="526" t="str">
        <f t="shared" si="23"/>
        <v/>
      </c>
      <c r="BS28" s="635" t="str">
        <f t="shared" si="24"/>
        <v/>
      </c>
    </row>
    <row r="29" spans="1:71" ht="18.75" customHeight="1">
      <c r="A29" s="483"/>
      <c r="B29" s="406"/>
      <c r="C29" s="406"/>
      <c r="D29" s="406"/>
      <c r="E29" s="406"/>
      <c r="F29" s="499"/>
      <c r="G29" s="608"/>
      <c r="H29" s="609" t="str">
        <f>IF(AK29&lt;&gt;"都市ガス","",IF(ISERROR(VLOOKUP(D29,非_都市ガス事業者!$O$8:$P$200,2,FALSE)),"",VLOOKUP(D29,非_都市ガス事業者!$O$8:$P$200,2,FALSE)))</f>
        <v/>
      </c>
      <c r="I29" s="610" t="str">
        <f>IF(AK29&lt;&gt;"都市ガス","",非_都市ガス事業者!$P$4)</f>
        <v/>
      </c>
      <c r="J29" s="611" t="str">
        <f>IF(C29="","",IF(AK29&lt;&gt;"都市ガス",VLOOKUP(C29,非_係数!$B$42:$D$55,2,FALSE),""))</f>
        <v/>
      </c>
      <c r="K29" s="406"/>
      <c r="L29" s="486" t="str">
        <f t="shared" si="5"/>
        <v/>
      </c>
      <c r="M29" s="225" t="str">
        <f t="shared" si="6"/>
        <v/>
      </c>
      <c r="N29" s="406"/>
      <c r="O29" s="458"/>
      <c r="P29" s="406"/>
      <c r="Q29" s="406"/>
      <c r="R29" s="451"/>
      <c r="S29" s="451"/>
      <c r="T29" s="451"/>
      <c r="U29" s="451"/>
      <c r="V29" s="451"/>
      <c r="W29" s="451"/>
      <c r="X29" s="451"/>
      <c r="Y29" s="451"/>
      <c r="Z29" s="451"/>
      <c r="AA29" s="451"/>
      <c r="AB29" s="451"/>
      <c r="AC29" s="451"/>
      <c r="AD29" s="497"/>
      <c r="AE29" s="586" t="str">
        <f t="shared" si="25"/>
        <v/>
      </c>
      <c r="AF29" s="433" t="str">
        <f t="shared" si="7"/>
        <v/>
      </c>
      <c r="AG29" s="433" t="str">
        <f>IF(C29="","",VLOOKUP(C29,非_単位!$N$38:$O$53,2,FALSE))</f>
        <v/>
      </c>
      <c r="AH29" s="586" t="str">
        <f t="shared" si="8"/>
        <v/>
      </c>
      <c r="AI29" s="587" t="str">
        <f t="shared" si="9"/>
        <v/>
      </c>
      <c r="AK29" s="466" t="str">
        <f t="shared" si="0"/>
        <v/>
      </c>
      <c r="AL29" s="466" t="str">
        <f>IF(B29="","",IF(B29=非_燃料種類_選択リスト!$I$3,"一般送配電_種類",IF(B29=非_燃料種類_選択リスト!$I$4,"一般送配電以外_種類",IF(B29=非_燃料種類_選択リスト!$I$5,"熱_種類",IF(B29=非_燃料種類_選択リスト!$I$6,"都市ガス_種類","")))))</f>
        <v/>
      </c>
      <c r="AM29" s="466" t="str">
        <f>IF(AK29&lt;&gt;"電気","",非_電気事業者!$S$4*1000)</f>
        <v/>
      </c>
      <c r="AN29" s="466" t="str">
        <f>IF(AK29&lt;&gt;"電気","",IF(ISERROR(VLOOKUP(D29&amp;F29,非_電気事業者!$R$9:$S$2000,2,FALSE)),"要記入",VLOOKUP(D29&amp;F29,非_電気事業者!$R$9:$S$2000,2,FALSE)*1000))</f>
        <v/>
      </c>
      <c r="AO29" s="466" t="str">
        <f>IF(AK29&lt;&gt;"熱","",非_熱供給事業者!$T$4)</f>
        <v/>
      </c>
      <c r="AP29" s="466" t="str">
        <f>IF(AK29&lt;&gt;"熱","",IF(ISERROR(VLOOKUP(D29&amp;F29,非_熱供給事業者!$S$8:$T$200,2,FALSE)),"要記入",VLOOKUP(D29&amp;F29,非_熱供給事業者!$S$8:$T$200,2,FALSE)))</f>
        <v/>
      </c>
      <c r="AQ29" s="466" t="str">
        <f>IF(AK29&lt;&gt;"都市ガス","",非_都市ガス事業者!$AB$4)</f>
        <v/>
      </c>
      <c r="AR29" s="466" t="str">
        <f>IF(AK29&lt;&gt;"都市ガス","",IF(ISERROR(VLOOKUP(D29&amp;F29,非_都市ガス事業者!$AA$8:$AB$200,2,FALSE)),"要記入",VLOOKUP(D29&amp;F29,非_都市ガス事業者!$AA$8:$AB$200,2,FALSE)))</f>
        <v/>
      </c>
      <c r="AS29" s="466" t="str">
        <f t="shared" si="1"/>
        <v/>
      </c>
      <c r="AT29" s="466" t="str">
        <f t="shared" si="10"/>
        <v/>
      </c>
      <c r="AU29" s="535" t="b">
        <f t="shared" si="11"/>
        <v>1</v>
      </c>
      <c r="AV29" s="466" t="str">
        <f>IF(Q29="","",VLOOKUP(Q29,非_単位補正換算!$B$3:$C$16,2,FALSE))</f>
        <v/>
      </c>
      <c r="AW29" s="466" t="str">
        <f>IF(AK29="","",IF(AK29&lt;&gt;"都市ガス",1,IF(G29="","",SUMIFS(非_単位補正換算!$D$52:$D$63,非_単位補正換算!$B$52:$B$63,"都市ガス"&amp;G29,非_単位補正換算!$C$52:$C$63,電気・熱_都市ガス!Q29))))</f>
        <v/>
      </c>
      <c r="AX29" s="527" t="str">
        <f t="shared" si="12"/>
        <v/>
      </c>
      <c r="AY29" s="466" t="str">
        <f t="shared" si="2"/>
        <v/>
      </c>
      <c r="AZ29" s="466" t="str">
        <f t="shared" si="3"/>
        <v/>
      </c>
      <c r="BA29" s="466" t="str">
        <f>IF(C29="","",VLOOKUP(C29,非_まとめ表行番号!$F$3:$H$12,2,FALSE))</f>
        <v/>
      </c>
      <c r="BB29" s="539" t="b">
        <f t="shared" si="13"/>
        <v>1</v>
      </c>
      <c r="BC29" s="637" t="str">
        <f>IF(AK29="","",IF(AK29&lt;&gt;"都市ガス",1,非_係数!$G$55))</f>
        <v/>
      </c>
      <c r="BD29" s="466" t="str">
        <f t="shared" si="14"/>
        <v/>
      </c>
      <c r="BE29" s="466" t="str">
        <f t="shared" si="4"/>
        <v/>
      </c>
      <c r="BF29" s="466" t="str">
        <f>IF(C29="","",VLOOKUP(C29,非_係数!$B$42:$K$55,9,FALSE))</f>
        <v/>
      </c>
      <c r="BG29" s="466" t="str">
        <f t="shared" si="15"/>
        <v/>
      </c>
      <c r="BH29" s="466" t="str">
        <f>IF(C29="","",VLOOKUP(C29,非_まとめ表行番号!$F$3:$H$12,3,FALSE))</f>
        <v/>
      </c>
      <c r="BI29" s="466" t="str">
        <f t="shared" si="16"/>
        <v/>
      </c>
      <c r="BK29" s="527" t="str">
        <f>IF(BA29="","",VLOOKUP(BA29,非_まとめ表行番号!$U$3:$V$56,2,FALSE))</f>
        <v/>
      </c>
      <c r="BL29" s="526" t="str">
        <f t="shared" si="17"/>
        <v/>
      </c>
      <c r="BM29" s="526" t="str">
        <f t="shared" si="18"/>
        <v/>
      </c>
      <c r="BN29" s="526" t="str">
        <f t="shared" si="19"/>
        <v/>
      </c>
      <c r="BO29" s="526" t="str">
        <f t="shared" si="20"/>
        <v/>
      </c>
      <c r="BP29" s="526" t="str">
        <f t="shared" si="21"/>
        <v/>
      </c>
      <c r="BQ29" s="526" t="str">
        <f t="shared" si="22"/>
        <v/>
      </c>
      <c r="BR29" s="526" t="str">
        <f t="shared" si="23"/>
        <v/>
      </c>
      <c r="BS29" s="635" t="str">
        <f t="shared" si="24"/>
        <v/>
      </c>
    </row>
    <row r="30" spans="1:71" ht="18.75" customHeight="1">
      <c r="A30" s="483"/>
      <c r="B30" s="406"/>
      <c r="C30" s="406"/>
      <c r="D30" s="406"/>
      <c r="E30" s="406"/>
      <c r="F30" s="499"/>
      <c r="G30" s="608"/>
      <c r="H30" s="609" t="str">
        <f>IF(AK30&lt;&gt;"都市ガス","",IF(ISERROR(VLOOKUP(D30,非_都市ガス事業者!$O$8:$P$200,2,FALSE)),"",VLOOKUP(D30,非_都市ガス事業者!$O$8:$P$200,2,FALSE)))</f>
        <v/>
      </c>
      <c r="I30" s="610" t="str">
        <f>IF(AK30&lt;&gt;"都市ガス","",非_都市ガス事業者!$P$4)</f>
        <v/>
      </c>
      <c r="J30" s="611" t="str">
        <f>IF(C30="","",IF(AK30&lt;&gt;"都市ガス",VLOOKUP(C30,非_係数!$B$42:$D$55,2,FALSE),""))</f>
        <v/>
      </c>
      <c r="K30" s="406"/>
      <c r="L30" s="486" t="str">
        <f t="shared" si="5"/>
        <v/>
      </c>
      <c r="M30" s="225" t="str">
        <f t="shared" si="6"/>
        <v/>
      </c>
      <c r="N30" s="406"/>
      <c r="O30" s="458"/>
      <c r="P30" s="406"/>
      <c r="Q30" s="406"/>
      <c r="R30" s="451"/>
      <c r="S30" s="451"/>
      <c r="T30" s="451"/>
      <c r="U30" s="451"/>
      <c r="V30" s="451"/>
      <c r="W30" s="451"/>
      <c r="X30" s="451"/>
      <c r="Y30" s="451"/>
      <c r="Z30" s="451"/>
      <c r="AA30" s="451"/>
      <c r="AB30" s="451"/>
      <c r="AC30" s="451"/>
      <c r="AD30" s="497"/>
      <c r="AE30" s="586" t="str">
        <f t="shared" si="25"/>
        <v/>
      </c>
      <c r="AF30" s="433" t="str">
        <f t="shared" si="7"/>
        <v/>
      </c>
      <c r="AG30" s="433" t="str">
        <f>IF(C30="","",VLOOKUP(C30,非_単位!$N$38:$O$53,2,FALSE))</f>
        <v/>
      </c>
      <c r="AH30" s="586" t="str">
        <f t="shared" si="8"/>
        <v/>
      </c>
      <c r="AI30" s="587" t="str">
        <f t="shared" si="9"/>
        <v/>
      </c>
      <c r="AK30" s="466" t="str">
        <f t="shared" si="0"/>
        <v/>
      </c>
      <c r="AL30" s="466" t="str">
        <f>IF(B30="","",IF(B30=非_燃料種類_選択リスト!$I$3,"一般送配電_種類",IF(B30=非_燃料種類_選択リスト!$I$4,"一般送配電以外_種類",IF(B30=非_燃料種類_選択リスト!$I$5,"熱_種類",IF(B30=非_燃料種類_選択リスト!$I$6,"都市ガス_種類","")))))</f>
        <v/>
      </c>
      <c r="AM30" s="466" t="str">
        <f>IF(AK30&lt;&gt;"電気","",非_電気事業者!$S$4*1000)</f>
        <v/>
      </c>
      <c r="AN30" s="466" t="str">
        <f>IF(AK30&lt;&gt;"電気","",IF(ISERROR(VLOOKUP(D30&amp;F30,非_電気事業者!$R$9:$S$2000,2,FALSE)),"要記入",VLOOKUP(D30&amp;F30,非_電気事業者!$R$9:$S$2000,2,FALSE)*1000))</f>
        <v/>
      </c>
      <c r="AO30" s="466" t="str">
        <f>IF(AK30&lt;&gt;"熱","",非_熱供給事業者!$T$4)</f>
        <v/>
      </c>
      <c r="AP30" s="466" t="str">
        <f>IF(AK30&lt;&gt;"熱","",IF(ISERROR(VLOOKUP(D30&amp;F30,非_熱供給事業者!$S$8:$T$200,2,FALSE)),"要記入",VLOOKUP(D30&amp;F30,非_熱供給事業者!$S$8:$T$200,2,FALSE)))</f>
        <v/>
      </c>
      <c r="AQ30" s="466" t="str">
        <f>IF(AK30&lt;&gt;"都市ガス","",非_都市ガス事業者!$AB$4)</f>
        <v/>
      </c>
      <c r="AR30" s="466" t="str">
        <f>IF(AK30&lt;&gt;"都市ガス","",IF(ISERROR(VLOOKUP(D30&amp;F30,非_都市ガス事業者!$AA$8:$AB$200,2,FALSE)),"要記入",VLOOKUP(D30&amp;F30,非_都市ガス事業者!$AA$8:$AB$200,2,FALSE)))</f>
        <v/>
      </c>
      <c r="AS30" s="466" t="str">
        <f t="shared" si="1"/>
        <v/>
      </c>
      <c r="AT30" s="466" t="str">
        <f t="shared" si="10"/>
        <v/>
      </c>
      <c r="AU30" s="535" t="b">
        <f t="shared" si="11"/>
        <v>1</v>
      </c>
      <c r="AV30" s="466" t="str">
        <f>IF(Q30="","",VLOOKUP(Q30,非_単位補正換算!$B$3:$C$16,2,FALSE))</f>
        <v/>
      </c>
      <c r="AW30" s="466" t="str">
        <f>IF(AK30="","",IF(AK30&lt;&gt;"都市ガス",1,IF(G30="","",SUMIFS(非_単位補正換算!$D$52:$D$63,非_単位補正換算!$B$52:$B$63,"都市ガス"&amp;G30,非_単位補正換算!$C$52:$C$63,電気・熱_都市ガス!Q30))))</f>
        <v/>
      </c>
      <c r="AX30" s="527" t="str">
        <f t="shared" si="12"/>
        <v/>
      </c>
      <c r="AY30" s="466" t="str">
        <f t="shared" si="2"/>
        <v/>
      </c>
      <c r="AZ30" s="466" t="str">
        <f t="shared" si="3"/>
        <v/>
      </c>
      <c r="BA30" s="466" t="str">
        <f>IF(C30="","",VLOOKUP(C30,非_まとめ表行番号!$F$3:$H$12,2,FALSE))</f>
        <v/>
      </c>
      <c r="BB30" s="539" t="b">
        <f t="shared" si="13"/>
        <v>1</v>
      </c>
      <c r="BC30" s="637" t="str">
        <f>IF(AK30="","",IF(AK30&lt;&gt;"都市ガス",1,非_係数!$G$55))</f>
        <v/>
      </c>
      <c r="BD30" s="466" t="str">
        <f t="shared" si="14"/>
        <v/>
      </c>
      <c r="BE30" s="466" t="str">
        <f t="shared" si="4"/>
        <v/>
      </c>
      <c r="BF30" s="466" t="str">
        <f>IF(C30="","",VLOOKUP(C30,非_係数!$B$42:$K$55,9,FALSE))</f>
        <v/>
      </c>
      <c r="BG30" s="466" t="str">
        <f t="shared" si="15"/>
        <v/>
      </c>
      <c r="BH30" s="466" t="str">
        <f>IF(C30="","",VLOOKUP(C30,非_まとめ表行番号!$F$3:$H$12,3,FALSE))</f>
        <v/>
      </c>
      <c r="BI30" s="466" t="str">
        <f t="shared" si="16"/>
        <v/>
      </c>
      <c r="BK30" s="527" t="str">
        <f>IF(BA30="","",VLOOKUP(BA30,非_まとめ表行番号!$U$3:$V$56,2,FALSE))</f>
        <v/>
      </c>
      <c r="BL30" s="526" t="str">
        <f t="shared" si="17"/>
        <v/>
      </c>
      <c r="BM30" s="526" t="str">
        <f t="shared" si="18"/>
        <v/>
      </c>
      <c r="BN30" s="526" t="str">
        <f t="shared" si="19"/>
        <v/>
      </c>
      <c r="BO30" s="526" t="str">
        <f t="shared" si="20"/>
        <v/>
      </c>
      <c r="BP30" s="526" t="str">
        <f t="shared" si="21"/>
        <v/>
      </c>
      <c r="BQ30" s="526" t="str">
        <f t="shared" si="22"/>
        <v/>
      </c>
      <c r="BR30" s="526" t="str">
        <f t="shared" si="23"/>
        <v/>
      </c>
      <c r="BS30" s="635" t="str">
        <f t="shared" si="24"/>
        <v/>
      </c>
    </row>
    <row r="31" spans="1:71" ht="18.75" customHeight="1">
      <c r="A31" s="483"/>
      <c r="B31" s="406"/>
      <c r="C31" s="406"/>
      <c r="D31" s="406"/>
      <c r="E31" s="406"/>
      <c r="F31" s="499"/>
      <c r="G31" s="608"/>
      <c r="H31" s="609" t="str">
        <f>IF(AK31&lt;&gt;"都市ガス","",IF(ISERROR(VLOOKUP(D31,非_都市ガス事業者!$O$8:$P$200,2,FALSE)),"",VLOOKUP(D31,非_都市ガス事業者!$O$8:$P$200,2,FALSE)))</f>
        <v/>
      </c>
      <c r="I31" s="610" t="str">
        <f>IF(AK31&lt;&gt;"都市ガス","",非_都市ガス事業者!$P$4)</f>
        <v/>
      </c>
      <c r="J31" s="611" t="str">
        <f>IF(C31="","",IF(AK31&lt;&gt;"都市ガス",VLOOKUP(C31,非_係数!$B$42:$D$55,2,FALSE),""))</f>
        <v/>
      </c>
      <c r="K31" s="406"/>
      <c r="L31" s="486" t="str">
        <f t="shared" si="5"/>
        <v/>
      </c>
      <c r="M31" s="225" t="str">
        <f t="shared" si="6"/>
        <v/>
      </c>
      <c r="N31" s="406"/>
      <c r="O31" s="458"/>
      <c r="P31" s="406"/>
      <c r="Q31" s="406"/>
      <c r="R31" s="451"/>
      <c r="S31" s="451"/>
      <c r="T31" s="451"/>
      <c r="U31" s="451"/>
      <c r="V31" s="451"/>
      <c r="W31" s="451"/>
      <c r="X31" s="451"/>
      <c r="Y31" s="451"/>
      <c r="Z31" s="451"/>
      <c r="AA31" s="451"/>
      <c r="AB31" s="451"/>
      <c r="AC31" s="451"/>
      <c r="AD31" s="497"/>
      <c r="AE31" s="586" t="str">
        <f>IF(COUNT(R31:AC31)=0,"",IF(AD31="",SUM(R31:AC31),SUM(R31:AC31)*AD31))</f>
        <v/>
      </c>
      <c r="AF31" s="433" t="str">
        <f t="shared" si="7"/>
        <v/>
      </c>
      <c r="AG31" s="433" t="str">
        <f>IF(C31="","",VLOOKUP(C31,非_単位!$N$38:$O$53,2,FALSE))</f>
        <v/>
      </c>
      <c r="AH31" s="586" t="str">
        <f t="shared" si="8"/>
        <v/>
      </c>
      <c r="AI31" s="587" t="str">
        <f t="shared" si="9"/>
        <v/>
      </c>
      <c r="AK31" s="466" t="str">
        <f t="shared" si="0"/>
        <v/>
      </c>
      <c r="AL31" s="466" t="str">
        <f>IF(B31="","",IF(B31=非_燃料種類_選択リスト!$I$3,"一般送配電_種類",IF(B31=非_燃料種類_選択リスト!$I$4,"一般送配電以外_種類",IF(B31=非_燃料種類_選択リスト!$I$5,"熱_種類",IF(B31=非_燃料種類_選択リスト!$I$6,"都市ガス_種類","")))))</f>
        <v/>
      </c>
      <c r="AM31" s="466" t="str">
        <f>IF(AK31&lt;&gt;"電気","",非_電気事業者!$S$4*1000)</f>
        <v/>
      </c>
      <c r="AN31" s="466" t="str">
        <f>IF(AK31&lt;&gt;"電気","",IF(ISERROR(VLOOKUP(D31&amp;F31,非_電気事業者!$R$9:$S$2000,2,FALSE)),"要記入",VLOOKUP(D31&amp;F31,非_電気事業者!$R$9:$S$2000,2,FALSE)*1000))</f>
        <v/>
      </c>
      <c r="AO31" s="466" t="str">
        <f>IF(AK31&lt;&gt;"熱","",非_熱供給事業者!$T$4)</f>
        <v/>
      </c>
      <c r="AP31" s="466" t="str">
        <f>IF(AK31&lt;&gt;"熱","",IF(ISERROR(VLOOKUP(D31&amp;F31,非_熱供給事業者!$S$8:$T$200,2,FALSE)),"要記入",VLOOKUP(D31&amp;F31,非_熱供給事業者!$S$8:$T$200,2,FALSE)))</f>
        <v/>
      </c>
      <c r="AQ31" s="466" t="str">
        <f>IF(AK31&lt;&gt;"都市ガス","",非_都市ガス事業者!$AB$4)</f>
        <v/>
      </c>
      <c r="AR31" s="466" t="str">
        <f>IF(AK31&lt;&gt;"都市ガス","",IF(ISERROR(VLOOKUP(D31&amp;F31,非_都市ガス事業者!$AA$8:$AB$200,2,FALSE)),"要記入",VLOOKUP(D31&amp;F31,非_都市ガス事業者!$AA$8:$AB$200,2,FALSE)))</f>
        <v/>
      </c>
      <c r="AS31" s="466" t="str">
        <f t="shared" si="1"/>
        <v/>
      </c>
      <c r="AT31" s="466" t="str">
        <f t="shared" si="10"/>
        <v/>
      </c>
      <c r="AU31" s="535" t="b">
        <f t="shared" si="11"/>
        <v>1</v>
      </c>
      <c r="AV31" s="466" t="str">
        <f>IF(Q31="","",VLOOKUP(Q31,非_単位補正換算!$B$3:$C$16,2,FALSE))</f>
        <v/>
      </c>
      <c r="AW31" s="466" t="str">
        <f>IF(AK31="","",IF(AK31&lt;&gt;"都市ガス",1,IF(G31="","",SUMIFS(非_単位補正換算!$D$52:$D$63,非_単位補正換算!$B$52:$B$63,"都市ガス"&amp;G31,非_単位補正換算!$C$52:$C$63,電気・熱_都市ガス!Q31))))</f>
        <v/>
      </c>
      <c r="AX31" s="527" t="str">
        <f t="shared" si="12"/>
        <v/>
      </c>
      <c r="AY31" s="466" t="str">
        <f t="shared" si="2"/>
        <v/>
      </c>
      <c r="AZ31" s="466" t="str">
        <f t="shared" si="3"/>
        <v/>
      </c>
      <c r="BA31" s="466" t="str">
        <f>IF(C31="","",VLOOKUP(C31,非_まとめ表行番号!$F$3:$H$12,2,FALSE))</f>
        <v/>
      </c>
      <c r="BB31" s="539" t="b">
        <f t="shared" si="13"/>
        <v>1</v>
      </c>
      <c r="BC31" s="637" t="str">
        <f>IF(AK31="","",IF(AK31&lt;&gt;"都市ガス",1,非_係数!$G$55))</f>
        <v/>
      </c>
      <c r="BD31" s="466" t="str">
        <f t="shared" si="14"/>
        <v/>
      </c>
      <c r="BE31" s="466" t="str">
        <f t="shared" si="4"/>
        <v/>
      </c>
      <c r="BF31" s="466" t="str">
        <f>IF(C31="","",VLOOKUP(C31,非_係数!$B$42:$K$55,9,FALSE))</f>
        <v/>
      </c>
      <c r="BG31" s="466" t="str">
        <f t="shared" si="15"/>
        <v/>
      </c>
      <c r="BH31" s="466" t="str">
        <f>IF(C31="","",VLOOKUP(C31,非_まとめ表行番号!$F$3:$H$12,3,FALSE))</f>
        <v/>
      </c>
      <c r="BI31" s="466" t="str">
        <f t="shared" si="16"/>
        <v/>
      </c>
      <c r="BK31" s="527" t="str">
        <f>IF(BA31="","",VLOOKUP(BA31,非_まとめ表行番号!$U$3:$V$56,2,FALSE))</f>
        <v/>
      </c>
      <c r="BL31" s="526" t="str">
        <f t="shared" si="17"/>
        <v/>
      </c>
      <c r="BM31" s="526" t="str">
        <f t="shared" si="18"/>
        <v/>
      </c>
      <c r="BN31" s="526" t="str">
        <f t="shared" si="19"/>
        <v/>
      </c>
      <c r="BO31" s="526" t="str">
        <f t="shared" si="20"/>
        <v/>
      </c>
      <c r="BP31" s="526" t="str">
        <f t="shared" si="21"/>
        <v/>
      </c>
      <c r="BQ31" s="526" t="str">
        <f t="shared" si="22"/>
        <v/>
      </c>
      <c r="BR31" s="526" t="str">
        <f t="shared" si="23"/>
        <v/>
      </c>
      <c r="BS31" s="635" t="str">
        <f t="shared" si="24"/>
        <v/>
      </c>
    </row>
    <row r="32" spans="1:71" ht="18.75" customHeight="1">
      <c r="A32" s="483"/>
      <c r="B32" s="406"/>
      <c r="C32" s="406"/>
      <c r="D32" s="406"/>
      <c r="E32" s="406"/>
      <c r="F32" s="499"/>
      <c r="G32" s="608"/>
      <c r="H32" s="609" t="str">
        <f>IF(AK32&lt;&gt;"都市ガス","",IF(ISERROR(VLOOKUP(D32,非_都市ガス事業者!$O$8:$P$200,2,FALSE)),"",VLOOKUP(D32,非_都市ガス事業者!$O$8:$P$200,2,FALSE)))</f>
        <v/>
      </c>
      <c r="I32" s="610" t="str">
        <f>IF(AK32&lt;&gt;"都市ガス","",非_都市ガス事業者!$P$4)</f>
        <v/>
      </c>
      <c r="J32" s="611" t="str">
        <f>IF(C32="","",IF(AK32&lt;&gt;"都市ガス",VLOOKUP(C32,非_係数!$B$42:$D$55,2,FALSE),""))</f>
        <v/>
      </c>
      <c r="K32" s="406"/>
      <c r="L32" s="486" t="str">
        <f t="shared" si="5"/>
        <v/>
      </c>
      <c r="M32" s="225" t="str">
        <f t="shared" si="6"/>
        <v/>
      </c>
      <c r="N32" s="406"/>
      <c r="O32" s="458"/>
      <c r="P32" s="406"/>
      <c r="Q32" s="406"/>
      <c r="R32" s="451"/>
      <c r="S32" s="451"/>
      <c r="T32" s="451"/>
      <c r="U32" s="451"/>
      <c r="V32" s="451"/>
      <c r="W32" s="451"/>
      <c r="X32" s="451"/>
      <c r="Y32" s="451"/>
      <c r="Z32" s="451"/>
      <c r="AA32" s="451"/>
      <c r="AB32" s="451"/>
      <c r="AC32" s="451"/>
      <c r="AD32" s="497"/>
      <c r="AE32" s="586" t="str">
        <f t="shared" ref="AE32:AE50" si="41">IF(COUNT(R32:AC32)=0,"",IF(AD32="",SUM(R32:AC32),SUM(R32:AC32)*AD32))</f>
        <v/>
      </c>
      <c r="AF32" s="435" t="str">
        <f t="shared" si="7"/>
        <v/>
      </c>
      <c r="AG32" s="435" t="str">
        <f>IF(C32="","",VLOOKUP(C32,非_単位!$N$38:$O$53,2,FALSE))</f>
        <v/>
      </c>
      <c r="AH32" s="586" t="str">
        <f t="shared" si="8"/>
        <v/>
      </c>
      <c r="AI32" s="587" t="str">
        <f t="shared" si="9"/>
        <v/>
      </c>
      <c r="AK32" s="466" t="str">
        <f t="shared" si="0"/>
        <v/>
      </c>
      <c r="AL32" s="466" t="str">
        <f>IF(B32="","",IF(B32=非_燃料種類_選択リスト!$I$3,"一般送配電_種類",IF(B32=非_燃料種類_選択リスト!$I$4,"一般送配電以外_種類",IF(B32=非_燃料種類_選択リスト!$I$5,"熱_種類",IF(B32=非_燃料種類_選択リスト!$I$6,"都市ガス_種類","")))))</f>
        <v/>
      </c>
      <c r="AM32" s="466" t="str">
        <f>IF(AK32&lt;&gt;"電気","",非_電気事業者!$S$4*1000)</f>
        <v/>
      </c>
      <c r="AN32" s="466" t="str">
        <f>IF(AK32&lt;&gt;"電気","",IF(ISERROR(VLOOKUP(D32&amp;F32,非_電気事業者!$R$9:$S$2000,2,FALSE)),"要記入",VLOOKUP(D32&amp;F32,非_電気事業者!$R$9:$S$2000,2,FALSE)*1000))</f>
        <v/>
      </c>
      <c r="AO32" s="466" t="str">
        <f>IF(AK32&lt;&gt;"熱","",非_熱供給事業者!$T$4)</f>
        <v/>
      </c>
      <c r="AP32" s="466" t="str">
        <f>IF(AK32&lt;&gt;"熱","",IF(ISERROR(VLOOKUP(D32&amp;F32,非_熱供給事業者!$S$8:$T$200,2,FALSE)),"要記入",VLOOKUP(D32&amp;F32,非_熱供給事業者!$S$8:$T$200,2,FALSE)))</f>
        <v/>
      </c>
      <c r="AQ32" s="466" t="str">
        <f>IF(AK32&lt;&gt;"都市ガス","",非_都市ガス事業者!$AB$4)</f>
        <v/>
      </c>
      <c r="AR32" s="466" t="str">
        <f>IF(AK32&lt;&gt;"都市ガス","",IF(ISERROR(VLOOKUP(D32&amp;F32,非_都市ガス事業者!$AA$8:$AB$200,2,FALSE)),"要記入",VLOOKUP(D32&amp;F32,非_都市ガス事業者!$AA$8:$AB$200,2,FALSE)))</f>
        <v/>
      </c>
      <c r="AS32" s="466" t="str">
        <f t="shared" si="1"/>
        <v/>
      </c>
      <c r="AT32" s="466" t="str">
        <f t="shared" si="10"/>
        <v/>
      </c>
      <c r="AU32" s="535" t="b">
        <f t="shared" si="11"/>
        <v>1</v>
      </c>
      <c r="AV32" s="466" t="str">
        <f>IF(Q32="","",VLOOKUP(Q32,非_単位補正換算!$B$3:$C$16,2,FALSE))</f>
        <v/>
      </c>
      <c r="AW32" s="466" t="str">
        <f>IF(AK32="","",IF(AK32&lt;&gt;"都市ガス",1,IF(G32="","",SUMIFS(非_単位補正換算!$D$52:$D$63,非_単位補正換算!$B$52:$B$63,"都市ガス"&amp;G32,非_単位補正換算!$C$52:$C$63,電気・熱_都市ガス!Q32))))</f>
        <v/>
      </c>
      <c r="AX32" s="527" t="str">
        <f t="shared" si="12"/>
        <v/>
      </c>
      <c r="AY32" s="466" t="str">
        <f t="shared" si="2"/>
        <v/>
      </c>
      <c r="AZ32" s="466" t="str">
        <f t="shared" si="3"/>
        <v/>
      </c>
      <c r="BA32" s="466" t="str">
        <f>IF(C32="","",VLOOKUP(C32,非_まとめ表行番号!$F$3:$H$12,2,FALSE))</f>
        <v/>
      </c>
      <c r="BB32" s="539" t="b">
        <f t="shared" si="13"/>
        <v>1</v>
      </c>
      <c r="BC32" s="637" t="str">
        <f>IF(AK32="","",IF(AK32&lt;&gt;"都市ガス",1,非_係数!$G$55))</f>
        <v/>
      </c>
      <c r="BD32" s="466" t="str">
        <f t="shared" si="14"/>
        <v/>
      </c>
      <c r="BE32" s="466" t="str">
        <f t="shared" si="4"/>
        <v/>
      </c>
      <c r="BF32" s="466" t="str">
        <f>IF(C32="","",VLOOKUP(C32,非_係数!$B$42:$K$55,9,FALSE))</f>
        <v/>
      </c>
      <c r="BG32" s="466" t="str">
        <f t="shared" si="15"/>
        <v/>
      </c>
      <c r="BH32" s="466" t="str">
        <f>IF(C32="","",VLOOKUP(C32,非_まとめ表行番号!$F$3:$H$12,3,FALSE))</f>
        <v/>
      </c>
      <c r="BI32" s="466" t="str">
        <f t="shared" si="16"/>
        <v/>
      </c>
      <c r="BK32" s="527" t="str">
        <f>IF(BA32="","",VLOOKUP(BA32,非_まとめ表行番号!$U$3:$V$56,2,FALSE))</f>
        <v/>
      </c>
      <c r="BL32" s="526" t="str">
        <f t="shared" si="17"/>
        <v/>
      </c>
      <c r="BM32" s="526" t="str">
        <f t="shared" si="18"/>
        <v/>
      </c>
      <c r="BN32" s="526" t="str">
        <f t="shared" si="19"/>
        <v/>
      </c>
      <c r="BO32" s="526" t="str">
        <f t="shared" si="20"/>
        <v/>
      </c>
      <c r="BP32" s="526" t="str">
        <f t="shared" si="21"/>
        <v/>
      </c>
      <c r="BQ32" s="526" t="str">
        <f t="shared" si="22"/>
        <v/>
      </c>
      <c r="BR32" s="526" t="str">
        <f t="shared" si="23"/>
        <v/>
      </c>
      <c r="BS32" s="635" t="str">
        <f t="shared" si="24"/>
        <v/>
      </c>
    </row>
    <row r="33" spans="1:71" ht="18.75" customHeight="1">
      <c r="A33" s="483"/>
      <c r="B33" s="406"/>
      <c r="C33" s="406"/>
      <c r="D33" s="406"/>
      <c r="E33" s="406"/>
      <c r="F33" s="499"/>
      <c r="G33" s="608"/>
      <c r="H33" s="609" t="str">
        <f>IF(AK33&lt;&gt;"都市ガス","",IF(ISERROR(VLOOKUP(D33,非_都市ガス事業者!$O$8:$P$200,2,FALSE)),"",VLOOKUP(D33,非_都市ガス事業者!$O$8:$P$200,2,FALSE)))</f>
        <v/>
      </c>
      <c r="I33" s="610" t="str">
        <f>IF(AK33&lt;&gt;"都市ガス","",非_都市ガス事業者!$P$4)</f>
        <v/>
      </c>
      <c r="J33" s="611" t="str">
        <f>IF(C33="","",IF(AK33&lt;&gt;"都市ガス",VLOOKUP(C33,非_係数!$B$42:$D$55,2,FALSE),""))</f>
        <v/>
      </c>
      <c r="K33" s="406"/>
      <c r="L33" s="486" t="str">
        <f t="shared" si="5"/>
        <v/>
      </c>
      <c r="M33" s="225" t="str">
        <f t="shared" si="6"/>
        <v/>
      </c>
      <c r="N33" s="406"/>
      <c r="O33" s="458"/>
      <c r="P33" s="406"/>
      <c r="Q33" s="406"/>
      <c r="R33" s="451"/>
      <c r="S33" s="451"/>
      <c r="T33" s="451"/>
      <c r="U33" s="451"/>
      <c r="V33" s="451"/>
      <c r="W33" s="451"/>
      <c r="X33" s="451"/>
      <c r="Y33" s="451"/>
      <c r="Z33" s="451"/>
      <c r="AA33" s="451"/>
      <c r="AB33" s="451"/>
      <c r="AC33" s="451"/>
      <c r="AD33" s="497"/>
      <c r="AE33" s="586" t="str">
        <f t="shared" si="41"/>
        <v/>
      </c>
      <c r="AF33" s="435" t="str">
        <f t="shared" si="7"/>
        <v/>
      </c>
      <c r="AG33" s="435" t="str">
        <f>IF(C33="","",VLOOKUP(C33,非_単位!$N$38:$O$53,2,FALSE))</f>
        <v/>
      </c>
      <c r="AH33" s="586" t="str">
        <f t="shared" si="8"/>
        <v/>
      </c>
      <c r="AI33" s="587" t="str">
        <f t="shared" si="9"/>
        <v/>
      </c>
      <c r="AK33" s="466" t="str">
        <f t="shared" si="0"/>
        <v/>
      </c>
      <c r="AL33" s="466" t="str">
        <f>IF(B33="","",IF(B33=非_燃料種類_選択リスト!$I$3,"一般送配電_種類",IF(B33=非_燃料種類_選択リスト!$I$4,"一般送配電以外_種類",IF(B33=非_燃料種類_選択リスト!$I$5,"熱_種類",IF(B33=非_燃料種類_選択リスト!$I$6,"都市ガス_種類","")))))</f>
        <v/>
      </c>
      <c r="AM33" s="466" t="str">
        <f>IF(AK33&lt;&gt;"電気","",非_電気事業者!$S$4*1000)</f>
        <v/>
      </c>
      <c r="AN33" s="466" t="str">
        <f>IF(AK33&lt;&gt;"電気","",IF(ISERROR(VLOOKUP(D33&amp;F33,非_電気事業者!$R$9:$S$2000,2,FALSE)),"要記入",VLOOKUP(D33&amp;F33,非_電気事業者!$R$9:$S$2000,2,FALSE)*1000))</f>
        <v/>
      </c>
      <c r="AO33" s="466" t="str">
        <f>IF(AK33&lt;&gt;"熱","",非_熱供給事業者!$T$4)</f>
        <v/>
      </c>
      <c r="AP33" s="466" t="str">
        <f>IF(AK33&lt;&gt;"熱","",IF(ISERROR(VLOOKUP(D33&amp;F33,非_熱供給事業者!$S$8:$T$200,2,FALSE)),"要記入",VLOOKUP(D33&amp;F33,非_熱供給事業者!$S$8:$T$200,2,FALSE)))</f>
        <v/>
      </c>
      <c r="AQ33" s="466" t="str">
        <f>IF(AK33&lt;&gt;"都市ガス","",非_都市ガス事業者!$AB$4)</f>
        <v/>
      </c>
      <c r="AR33" s="466" t="str">
        <f>IF(AK33&lt;&gt;"都市ガス","",IF(ISERROR(VLOOKUP(D33&amp;F33,非_都市ガス事業者!$AA$8:$AB$200,2,FALSE)),"要記入",VLOOKUP(D33&amp;F33,非_都市ガス事業者!$AA$8:$AB$200,2,FALSE)))</f>
        <v/>
      </c>
      <c r="AS33" s="466" t="str">
        <f t="shared" si="1"/>
        <v/>
      </c>
      <c r="AT33" s="466" t="str">
        <f t="shared" si="10"/>
        <v/>
      </c>
      <c r="AU33" s="535" t="b">
        <f t="shared" si="11"/>
        <v>1</v>
      </c>
      <c r="AV33" s="466" t="str">
        <f>IF(Q33="","",VLOOKUP(Q33,非_単位補正換算!$B$3:$C$16,2,FALSE))</f>
        <v/>
      </c>
      <c r="AW33" s="466" t="str">
        <f>IF(AK33="","",IF(AK33&lt;&gt;"都市ガス",1,IF(G33="","",SUMIFS(非_単位補正換算!$D$52:$D$63,非_単位補正換算!$B$52:$B$63,"都市ガス"&amp;G33,非_単位補正換算!$C$52:$C$63,電気・熱_都市ガス!Q33))))</f>
        <v/>
      </c>
      <c r="AX33" s="527" t="str">
        <f t="shared" si="12"/>
        <v/>
      </c>
      <c r="AY33" s="466" t="str">
        <f t="shared" si="2"/>
        <v/>
      </c>
      <c r="AZ33" s="466" t="str">
        <f t="shared" si="3"/>
        <v/>
      </c>
      <c r="BA33" s="466" t="str">
        <f>IF(C33="","",VLOOKUP(C33,非_まとめ表行番号!$F$3:$H$12,2,FALSE))</f>
        <v/>
      </c>
      <c r="BB33" s="539" t="b">
        <f t="shared" si="13"/>
        <v>1</v>
      </c>
      <c r="BC33" s="637" t="str">
        <f>IF(AK33="","",IF(AK33&lt;&gt;"都市ガス",1,非_係数!$G$55))</f>
        <v/>
      </c>
      <c r="BD33" s="466" t="str">
        <f t="shared" si="14"/>
        <v/>
      </c>
      <c r="BE33" s="466" t="str">
        <f t="shared" si="4"/>
        <v/>
      </c>
      <c r="BF33" s="466" t="str">
        <f>IF(C33="","",VLOOKUP(C33,非_係数!$B$42:$K$55,9,FALSE))</f>
        <v/>
      </c>
      <c r="BG33" s="466" t="str">
        <f t="shared" si="15"/>
        <v/>
      </c>
      <c r="BH33" s="466" t="str">
        <f>IF(C33="","",VLOOKUP(C33,非_まとめ表行番号!$F$3:$H$12,3,FALSE))</f>
        <v/>
      </c>
      <c r="BI33" s="466" t="str">
        <f t="shared" si="16"/>
        <v/>
      </c>
      <c r="BK33" s="527" t="str">
        <f>IF(BA33="","",VLOOKUP(BA33,非_まとめ表行番号!$U$3:$V$56,2,FALSE))</f>
        <v/>
      </c>
      <c r="BL33" s="526" t="str">
        <f t="shared" si="17"/>
        <v/>
      </c>
      <c r="BM33" s="526" t="str">
        <f t="shared" si="18"/>
        <v/>
      </c>
      <c r="BN33" s="526" t="str">
        <f t="shared" si="19"/>
        <v/>
      </c>
      <c r="BO33" s="526" t="str">
        <f t="shared" si="20"/>
        <v/>
      </c>
      <c r="BP33" s="526" t="str">
        <f t="shared" si="21"/>
        <v/>
      </c>
      <c r="BQ33" s="526" t="str">
        <f t="shared" si="22"/>
        <v/>
      </c>
      <c r="BR33" s="526" t="str">
        <f t="shared" si="23"/>
        <v/>
      </c>
      <c r="BS33" s="635" t="str">
        <f t="shared" si="24"/>
        <v/>
      </c>
    </row>
    <row r="34" spans="1:71" ht="18.75" customHeight="1">
      <c r="A34" s="483"/>
      <c r="B34" s="406"/>
      <c r="C34" s="406"/>
      <c r="D34" s="406"/>
      <c r="E34" s="406"/>
      <c r="F34" s="499"/>
      <c r="G34" s="608"/>
      <c r="H34" s="609" t="str">
        <f>IF(AK34&lt;&gt;"都市ガス","",IF(ISERROR(VLOOKUP(D34,非_都市ガス事業者!$O$8:$P$200,2,FALSE)),"",VLOOKUP(D34,非_都市ガス事業者!$O$8:$P$200,2,FALSE)))</f>
        <v/>
      </c>
      <c r="I34" s="610" t="str">
        <f>IF(AK34&lt;&gt;"都市ガス","",非_都市ガス事業者!$P$4)</f>
        <v/>
      </c>
      <c r="J34" s="611" t="str">
        <f>IF(C34="","",IF(AK34&lt;&gt;"都市ガス",VLOOKUP(C34,非_係数!$B$42:$D$55,2,FALSE),""))</f>
        <v/>
      </c>
      <c r="K34" s="406"/>
      <c r="L34" s="486" t="str">
        <f t="shared" si="5"/>
        <v/>
      </c>
      <c r="M34" s="225" t="str">
        <f t="shared" si="6"/>
        <v/>
      </c>
      <c r="N34" s="406"/>
      <c r="O34" s="458"/>
      <c r="P34" s="406"/>
      <c r="Q34" s="406"/>
      <c r="R34" s="451"/>
      <c r="S34" s="451"/>
      <c r="T34" s="451"/>
      <c r="U34" s="451"/>
      <c r="V34" s="451"/>
      <c r="W34" s="451"/>
      <c r="X34" s="451"/>
      <c r="Y34" s="451"/>
      <c r="Z34" s="451"/>
      <c r="AA34" s="451"/>
      <c r="AB34" s="451"/>
      <c r="AC34" s="451"/>
      <c r="AD34" s="497"/>
      <c r="AE34" s="586" t="str">
        <f t="shared" si="41"/>
        <v/>
      </c>
      <c r="AF34" s="435" t="str">
        <f t="shared" si="7"/>
        <v/>
      </c>
      <c r="AG34" s="435" t="str">
        <f>IF(C34="","",VLOOKUP(C34,非_単位!$N$38:$O$53,2,FALSE))</f>
        <v/>
      </c>
      <c r="AH34" s="586" t="str">
        <f t="shared" si="8"/>
        <v/>
      </c>
      <c r="AI34" s="587" t="str">
        <f t="shared" si="9"/>
        <v/>
      </c>
      <c r="AK34" s="466" t="str">
        <f t="shared" si="0"/>
        <v/>
      </c>
      <c r="AL34" s="466" t="str">
        <f>IF(B34="","",IF(B34=非_燃料種類_選択リスト!$I$3,"一般送配電_種類",IF(B34=非_燃料種類_選択リスト!$I$4,"一般送配電以外_種類",IF(B34=非_燃料種類_選択リスト!$I$5,"熱_種類",IF(B34=非_燃料種類_選択リスト!$I$6,"都市ガス_種類","")))))</f>
        <v/>
      </c>
      <c r="AM34" s="466" t="str">
        <f>IF(AK34&lt;&gt;"電気","",非_電気事業者!$S$4*1000)</f>
        <v/>
      </c>
      <c r="AN34" s="466" t="str">
        <f>IF(AK34&lt;&gt;"電気","",IF(ISERROR(VLOOKUP(D34&amp;F34,非_電気事業者!$R$9:$S$2000,2,FALSE)),"要記入",VLOOKUP(D34&amp;F34,非_電気事業者!$R$9:$S$2000,2,FALSE)*1000))</f>
        <v/>
      </c>
      <c r="AO34" s="466" t="str">
        <f>IF(AK34&lt;&gt;"熱","",非_熱供給事業者!$T$4)</f>
        <v/>
      </c>
      <c r="AP34" s="466" t="str">
        <f>IF(AK34&lt;&gt;"熱","",IF(ISERROR(VLOOKUP(D34&amp;F34,非_熱供給事業者!$S$8:$T$200,2,FALSE)),"要記入",VLOOKUP(D34&amp;F34,非_熱供給事業者!$S$8:$T$200,2,FALSE)))</f>
        <v/>
      </c>
      <c r="AQ34" s="466" t="str">
        <f>IF(AK34&lt;&gt;"都市ガス","",非_都市ガス事業者!$AB$4)</f>
        <v/>
      </c>
      <c r="AR34" s="466" t="str">
        <f>IF(AK34&lt;&gt;"都市ガス","",IF(ISERROR(VLOOKUP(D34&amp;F34,非_都市ガス事業者!$AA$8:$AB$200,2,FALSE)),"要記入",VLOOKUP(D34&amp;F34,非_都市ガス事業者!$AA$8:$AB$200,2,FALSE)))</f>
        <v/>
      </c>
      <c r="AS34" s="466" t="str">
        <f t="shared" si="1"/>
        <v/>
      </c>
      <c r="AT34" s="466" t="str">
        <f t="shared" si="10"/>
        <v/>
      </c>
      <c r="AU34" s="535" t="b">
        <f t="shared" si="11"/>
        <v>1</v>
      </c>
      <c r="AV34" s="466" t="str">
        <f>IF(Q34="","",VLOOKUP(Q34,非_単位補正換算!$B$3:$C$16,2,FALSE))</f>
        <v/>
      </c>
      <c r="AW34" s="466" t="str">
        <f>IF(AK34="","",IF(AK34&lt;&gt;"都市ガス",1,IF(G34="","",SUMIFS(非_単位補正換算!$D$52:$D$63,非_単位補正換算!$B$52:$B$63,"都市ガス"&amp;G34,非_単位補正換算!$C$52:$C$63,電気・熱_都市ガス!Q34))))</f>
        <v/>
      </c>
      <c r="AX34" s="527" t="str">
        <f t="shared" si="12"/>
        <v/>
      </c>
      <c r="AY34" s="466" t="str">
        <f t="shared" si="2"/>
        <v/>
      </c>
      <c r="AZ34" s="466" t="str">
        <f t="shared" si="3"/>
        <v/>
      </c>
      <c r="BA34" s="466" t="str">
        <f>IF(C34="","",VLOOKUP(C34,非_まとめ表行番号!$F$3:$H$12,2,FALSE))</f>
        <v/>
      </c>
      <c r="BB34" s="539" t="b">
        <f t="shared" si="13"/>
        <v>1</v>
      </c>
      <c r="BC34" s="637" t="str">
        <f>IF(AK34="","",IF(AK34&lt;&gt;"都市ガス",1,非_係数!$G$55))</f>
        <v/>
      </c>
      <c r="BD34" s="466" t="str">
        <f t="shared" si="14"/>
        <v/>
      </c>
      <c r="BE34" s="466" t="str">
        <f t="shared" si="4"/>
        <v/>
      </c>
      <c r="BF34" s="466" t="str">
        <f>IF(C34="","",VLOOKUP(C34,非_係数!$B$42:$K$55,9,FALSE))</f>
        <v/>
      </c>
      <c r="BG34" s="466" t="str">
        <f t="shared" si="15"/>
        <v/>
      </c>
      <c r="BH34" s="466" t="str">
        <f>IF(C34="","",VLOOKUP(C34,非_まとめ表行番号!$F$3:$H$12,3,FALSE))</f>
        <v/>
      </c>
      <c r="BI34" s="466" t="str">
        <f t="shared" si="16"/>
        <v/>
      </c>
      <c r="BK34" s="527" t="str">
        <f>IF(BA34="","",VLOOKUP(BA34,非_まとめ表行番号!$U$3:$V$56,2,FALSE))</f>
        <v/>
      </c>
      <c r="BL34" s="526" t="str">
        <f t="shared" si="17"/>
        <v/>
      </c>
      <c r="BM34" s="526" t="str">
        <f t="shared" si="18"/>
        <v/>
      </c>
      <c r="BN34" s="526" t="str">
        <f t="shared" si="19"/>
        <v/>
      </c>
      <c r="BO34" s="526" t="str">
        <f t="shared" si="20"/>
        <v/>
      </c>
      <c r="BP34" s="526" t="str">
        <f t="shared" si="21"/>
        <v/>
      </c>
      <c r="BQ34" s="526" t="str">
        <f t="shared" si="22"/>
        <v/>
      </c>
      <c r="BR34" s="526" t="str">
        <f t="shared" si="23"/>
        <v/>
      </c>
      <c r="BS34" s="635" t="str">
        <f t="shared" si="24"/>
        <v/>
      </c>
    </row>
    <row r="35" spans="1:71" ht="18.75" customHeight="1">
      <c r="A35" s="483"/>
      <c r="B35" s="406"/>
      <c r="C35" s="406"/>
      <c r="D35" s="406"/>
      <c r="E35" s="406"/>
      <c r="F35" s="499"/>
      <c r="G35" s="608"/>
      <c r="H35" s="609" t="str">
        <f>IF(AK35&lt;&gt;"都市ガス","",IF(ISERROR(VLOOKUP(D35,非_都市ガス事業者!$O$8:$P$200,2,FALSE)),"",VLOOKUP(D35,非_都市ガス事業者!$O$8:$P$200,2,FALSE)))</f>
        <v/>
      </c>
      <c r="I35" s="610" t="str">
        <f>IF(AK35&lt;&gt;"都市ガス","",非_都市ガス事業者!$P$4)</f>
        <v/>
      </c>
      <c r="J35" s="611" t="str">
        <f>IF(C35="","",IF(AK35&lt;&gt;"都市ガス",VLOOKUP(C35,非_係数!$B$42:$D$55,2,FALSE),""))</f>
        <v/>
      </c>
      <c r="K35" s="406"/>
      <c r="L35" s="486" t="str">
        <f t="shared" si="5"/>
        <v/>
      </c>
      <c r="M35" s="225" t="str">
        <f t="shared" si="6"/>
        <v/>
      </c>
      <c r="N35" s="406"/>
      <c r="O35" s="458"/>
      <c r="P35" s="406"/>
      <c r="Q35" s="406"/>
      <c r="R35" s="451"/>
      <c r="S35" s="451"/>
      <c r="T35" s="451"/>
      <c r="U35" s="451"/>
      <c r="V35" s="451"/>
      <c r="W35" s="451"/>
      <c r="X35" s="451"/>
      <c r="Y35" s="451"/>
      <c r="Z35" s="451"/>
      <c r="AA35" s="451"/>
      <c r="AB35" s="451"/>
      <c r="AC35" s="451"/>
      <c r="AD35" s="497"/>
      <c r="AE35" s="586" t="str">
        <f t="shared" si="41"/>
        <v/>
      </c>
      <c r="AF35" s="435" t="str">
        <f t="shared" si="7"/>
        <v/>
      </c>
      <c r="AG35" s="435" t="str">
        <f>IF(C35="","",VLOOKUP(C35,非_単位!$N$38:$O$53,2,FALSE))</f>
        <v/>
      </c>
      <c r="AH35" s="586" t="str">
        <f t="shared" si="8"/>
        <v/>
      </c>
      <c r="AI35" s="587" t="str">
        <f t="shared" si="9"/>
        <v/>
      </c>
      <c r="AK35" s="466" t="str">
        <f t="shared" si="0"/>
        <v/>
      </c>
      <c r="AL35" s="466" t="str">
        <f>IF(B35="","",IF(B35=非_燃料種類_選択リスト!$I$3,"一般送配電_種類",IF(B35=非_燃料種類_選択リスト!$I$4,"一般送配電以外_種類",IF(B35=非_燃料種類_選択リスト!$I$5,"熱_種類",IF(B35=非_燃料種類_選択リスト!$I$6,"都市ガス_種類","")))))</f>
        <v/>
      </c>
      <c r="AM35" s="466" t="str">
        <f>IF(AK35&lt;&gt;"電気","",非_電気事業者!$S$4*1000)</f>
        <v/>
      </c>
      <c r="AN35" s="466" t="str">
        <f>IF(AK35&lt;&gt;"電気","",IF(ISERROR(VLOOKUP(D35&amp;F35,非_電気事業者!$R$9:$S$2000,2,FALSE)),"要記入",VLOOKUP(D35&amp;F35,非_電気事業者!$R$9:$S$2000,2,FALSE)*1000))</f>
        <v/>
      </c>
      <c r="AO35" s="466" t="str">
        <f>IF(AK35&lt;&gt;"熱","",非_熱供給事業者!$T$4)</f>
        <v/>
      </c>
      <c r="AP35" s="466" t="str">
        <f>IF(AK35&lt;&gt;"熱","",IF(ISERROR(VLOOKUP(D35&amp;F35,非_熱供給事業者!$S$8:$T$200,2,FALSE)),"要記入",VLOOKUP(D35&amp;F35,非_熱供給事業者!$S$8:$T$200,2,FALSE)))</f>
        <v/>
      </c>
      <c r="AQ35" s="466" t="str">
        <f>IF(AK35&lt;&gt;"都市ガス","",非_都市ガス事業者!$AB$4)</f>
        <v/>
      </c>
      <c r="AR35" s="466" t="str">
        <f>IF(AK35&lt;&gt;"都市ガス","",IF(ISERROR(VLOOKUP(D35&amp;F35,非_都市ガス事業者!$AA$8:$AB$200,2,FALSE)),"要記入",VLOOKUP(D35&amp;F35,非_都市ガス事業者!$AA$8:$AB$200,2,FALSE)))</f>
        <v/>
      </c>
      <c r="AS35" s="466" t="str">
        <f t="shared" si="1"/>
        <v/>
      </c>
      <c r="AT35" s="466" t="str">
        <f t="shared" si="10"/>
        <v/>
      </c>
      <c r="AU35" s="535" t="b">
        <f t="shared" si="11"/>
        <v>1</v>
      </c>
      <c r="AV35" s="466" t="str">
        <f>IF(Q35="","",VLOOKUP(Q35,非_単位補正換算!$B$3:$C$16,2,FALSE))</f>
        <v/>
      </c>
      <c r="AW35" s="466" t="str">
        <f>IF(AK35="","",IF(AK35&lt;&gt;"都市ガス",1,IF(G35="","",SUMIFS(非_単位補正換算!$D$52:$D$63,非_単位補正換算!$B$52:$B$63,"都市ガス"&amp;G35,非_単位補正換算!$C$52:$C$63,電気・熱_都市ガス!Q35))))</f>
        <v/>
      </c>
      <c r="AX35" s="527" t="str">
        <f t="shared" si="12"/>
        <v/>
      </c>
      <c r="AY35" s="466" t="str">
        <f t="shared" si="2"/>
        <v/>
      </c>
      <c r="AZ35" s="466" t="str">
        <f t="shared" si="3"/>
        <v/>
      </c>
      <c r="BA35" s="466" t="str">
        <f>IF(C35="","",VLOOKUP(C35,非_まとめ表行番号!$F$3:$H$12,2,FALSE))</f>
        <v/>
      </c>
      <c r="BB35" s="539" t="b">
        <f t="shared" si="13"/>
        <v>1</v>
      </c>
      <c r="BC35" s="637" t="str">
        <f>IF(AK35="","",IF(AK35&lt;&gt;"都市ガス",1,非_係数!$G$55))</f>
        <v/>
      </c>
      <c r="BD35" s="466" t="str">
        <f t="shared" si="14"/>
        <v/>
      </c>
      <c r="BE35" s="466" t="str">
        <f t="shared" si="4"/>
        <v/>
      </c>
      <c r="BF35" s="466" t="str">
        <f>IF(C35="","",VLOOKUP(C35,非_係数!$B$42:$K$55,9,FALSE))</f>
        <v/>
      </c>
      <c r="BG35" s="466" t="str">
        <f t="shared" si="15"/>
        <v/>
      </c>
      <c r="BH35" s="466" t="str">
        <f>IF(C35="","",VLOOKUP(C35,非_まとめ表行番号!$F$3:$H$12,3,FALSE))</f>
        <v/>
      </c>
      <c r="BI35" s="466" t="str">
        <f t="shared" si="16"/>
        <v/>
      </c>
      <c r="BK35" s="527" t="str">
        <f>IF(BA35="","",VLOOKUP(BA35,非_まとめ表行番号!$U$3:$V$56,2,FALSE))</f>
        <v/>
      </c>
      <c r="BL35" s="526" t="str">
        <f t="shared" si="17"/>
        <v/>
      </c>
      <c r="BM35" s="526" t="str">
        <f t="shared" si="18"/>
        <v/>
      </c>
      <c r="BN35" s="526" t="str">
        <f t="shared" si="19"/>
        <v/>
      </c>
      <c r="BO35" s="526" t="str">
        <f t="shared" si="20"/>
        <v/>
      </c>
      <c r="BP35" s="526" t="str">
        <f t="shared" si="21"/>
        <v/>
      </c>
      <c r="BQ35" s="526" t="str">
        <f t="shared" si="22"/>
        <v/>
      </c>
      <c r="BR35" s="526" t="str">
        <f t="shared" si="23"/>
        <v/>
      </c>
      <c r="BS35" s="635" t="str">
        <f t="shared" si="24"/>
        <v/>
      </c>
    </row>
    <row r="36" spans="1:71" ht="18.75" customHeight="1">
      <c r="A36" s="483"/>
      <c r="B36" s="406"/>
      <c r="C36" s="406"/>
      <c r="D36" s="406"/>
      <c r="E36" s="406"/>
      <c r="F36" s="499"/>
      <c r="G36" s="608"/>
      <c r="H36" s="609" t="str">
        <f>IF(AK36&lt;&gt;"都市ガス","",IF(ISERROR(VLOOKUP(D36,非_都市ガス事業者!$O$8:$P$200,2,FALSE)),"",VLOOKUP(D36,非_都市ガス事業者!$O$8:$P$200,2,FALSE)))</f>
        <v/>
      </c>
      <c r="I36" s="610" t="str">
        <f>IF(AK36&lt;&gt;"都市ガス","",非_都市ガス事業者!$P$4)</f>
        <v/>
      </c>
      <c r="J36" s="611" t="str">
        <f>IF(C36="","",IF(AK36&lt;&gt;"都市ガス",VLOOKUP(C36,非_係数!$B$42:$D$55,2,FALSE),""))</f>
        <v/>
      </c>
      <c r="K36" s="406"/>
      <c r="L36" s="486" t="str">
        <f t="shared" si="5"/>
        <v/>
      </c>
      <c r="M36" s="225" t="str">
        <f t="shared" si="6"/>
        <v/>
      </c>
      <c r="N36" s="406"/>
      <c r="O36" s="458"/>
      <c r="P36" s="406"/>
      <c r="Q36" s="406"/>
      <c r="R36" s="451"/>
      <c r="S36" s="451"/>
      <c r="T36" s="451"/>
      <c r="U36" s="451"/>
      <c r="V36" s="451"/>
      <c r="W36" s="451"/>
      <c r="X36" s="451"/>
      <c r="Y36" s="451"/>
      <c r="Z36" s="451"/>
      <c r="AA36" s="451"/>
      <c r="AB36" s="451"/>
      <c r="AC36" s="451"/>
      <c r="AD36" s="497"/>
      <c r="AE36" s="586" t="str">
        <f t="shared" si="41"/>
        <v/>
      </c>
      <c r="AF36" s="435" t="str">
        <f t="shared" si="7"/>
        <v/>
      </c>
      <c r="AG36" s="435" t="str">
        <f>IF(C36="","",VLOOKUP(C36,非_単位!$N$38:$O$53,2,FALSE))</f>
        <v/>
      </c>
      <c r="AH36" s="586" t="str">
        <f t="shared" si="8"/>
        <v/>
      </c>
      <c r="AI36" s="587" t="str">
        <f t="shared" si="9"/>
        <v/>
      </c>
      <c r="AK36" s="466" t="str">
        <f t="shared" si="0"/>
        <v/>
      </c>
      <c r="AL36" s="466" t="str">
        <f>IF(B36="","",IF(B36=非_燃料種類_選択リスト!$I$3,"一般送配電_種類",IF(B36=非_燃料種類_選択リスト!$I$4,"一般送配電以外_種類",IF(B36=非_燃料種類_選択リスト!$I$5,"熱_種類",IF(B36=非_燃料種類_選択リスト!$I$6,"都市ガス_種類","")))))</f>
        <v/>
      </c>
      <c r="AM36" s="466" t="str">
        <f>IF(AK36&lt;&gt;"電気","",非_電気事業者!$S$4*1000)</f>
        <v/>
      </c>
      <c r="AN36" s="466" t="str">
        <f>IF(AK36&lt;&gt;"電気","",IF(ISERROR(VLOOKUP(D36&amp;F36,非_電気事業者!$R$9:$S$2000,2,FALSE)),"要記入",VLOOKUP(D36&amp;F36,非_電気事業者!$R$9:$S$2000,2,FALSE)*1000))</f>
        <v/>
      </c>
      <c r="AO36" s="466" t="str">
        <f>IF(AK36&lt;&gt;"熱","",非_熱供給事業者!$T$4)</f>
        <v/>
      </c>
      <c r="AP36" s="466" t="str">
        <f>IF(AK36&lt;&gt;"熱","",IF(ISERROR(VLOOKUP(D36&amp;F36,非_熱供給事業者!$S$8:$T$200,2,FALSE)),"要記入",VLOOKUP(D36&amp;F36,非_熱供給事業者!$S$8:$T$200,2,FALSE)))</f>
        <v/>
      </c>
      <c r="AQ36" s="466" t="str">
        <f>IF(AK36&lt;&gt;"都市ガス","",非_都市ガス事業者!$AB$4)</f>
        <v/>
      </c>
      <c r="AR36" s="466" t="str">
        <f>IF(AK36&lt;&gt;"都市ガス","",IF(ISERROR(VLOOKUP(D36&amp;F36,非_都市ガス事業者!$AA$8:$AB$200,2,FALSE)),"要記入",VLOOKUP(D36&amp;F36,非_都市ガス事業者!$AA$8:$AB$200,2,FALSE)))</f>
        <v/>
      </c>
      <c r="AS36" s="466" t="str">
        <f t="shared" si="1"/>
        <v/>
      </c>
      <c r="AT36" s="466" t="str">
        <f t="shared" si="10"/>
        <v/>
      </c>
      <c r="AU36" s="535" t="b">
        <f t="shared" si="11"/>
        <v>1</v>
      </c>
      <c r="AV36" s="466" t="str">
        <f>IF(Q36="","",VLOOKUP(Q36,非_単位補正換算!$B$3:$C$16,2,FALSE))</f>
        <v/>
      </c>
      <c r="AW36" s="466" t="str">
        <f>IF(AK36="","",IF(AK36&lt;&gt;"都市ガス",1,IF(G36="","",SUMIFS(非_単位補正換算!$D$52:$D$63,非_単位補正換算!$B$52:$B$63,"都市ガス"&amp;G36,非_単位補正換算!$C$52:$C$63,電気・熱_都市ガス!Q36))))</f>
        <v/>
      </c>
      <c r="AX36" s="527" t="str">
        <f t="shared" si="12"/>
        <v/>
      </c>
      <c r="AY36" s="466" t="str">
        <f t="shared" si="2"/>
        <v/>
      </c>
      <c r="AZ36" s="466" t="str">
        <f t="shared" si="3"/>
        <v/>
      </c>
      <c r="BA36" s="466" t="str">
        <f>IF(C36="","",VLOOKUP(C36,非_まとめ表行番号!$F$3:$H$12,2,FALSE))</f>
        <v/>
      </c>
      <c r="BB36" s="539" t="b">
        <f t="shared" si="13"/>
        <v>1</v>
      </c>
      <c r="BC36" s="637" t="str">
        <f>IF(AK36="","",IF(AK36&lt;&gt;"都市ガス",1,非_係数!$G$55))</f>
        <v/>
      </c>
      <c r="BD36" s="466" t="str">
        <f t="shared" si="14"/>
        <v/>
      </c>
      <c r="BE36" s="466" t="str">
        <f t="shared" si="4"/>
        <v/>
      </c>
      <c r="BF36" s="466" t="str">
        <f>IF(C36="","",VLOOKUP(C36,非_係数!$B$42:$K$55,9,FALSE))</f>
        <v/>
      </c>
      <c r="BG36" s="466" t="str">
        <f t="shared" si="15"/>
        <v/>
      </c>
      <c r="BH36" s="466" t="str">
        <f>IF(C36="","",VLOOKUP(C36,非_まとめ表行番号!$F$3:$H$12,3,FALSE))</f>
        <v/>
      </c>
      <c r="BI36" s="466" t="str">
        <f t="shared" si="16"/>
        <v/>
      </c>
      <c r="BK36" s="527" t="str">
        <f>IF(BA36="","",VLOOKUP(BA36,非_まとめ表行番号!$U$3:$V$56,2,FALSE))</f>
        <v/>
      </c>
      <c r="BL36" s="526" t="str">
        <f t="shared" si="17"/>
        <v/>
      </c>
      <c r="BM36" s="526" t="str">
        <f t="shared" si="18"/>
        <v/>
      </c>
      <c r="BN36" s="526" t="str">
        <f t="shared" si="19"/>
        <v/>
      </c>
      <c r="BO36" s="526" t="str">
        <f t="shared" si="20"/>
        <v/>
      </c>
      <c r="BP36" s="526" t="str">
        <f t="shared" si="21"/>
        <v/>
      </c>
      <c r="BQ36" s="526" t="str">
        <f t="shared" si="22"/>
        <v/>
      </c>
      <c r="BR36" s="526" t="str">
        <f t="shared" si="23"/>
        <v/>
      </c>
      <c r="BS36" s="635" t="str">
        <f t="shared" si="24"/>
        <v/>
      </c>
    </row>
    <row r="37" spans="1:71" ht="18.75" customHeight="1">
      <c r="A37" s="483"/>
      <c r="B37" s="406"/>
      <c r="C37" s="406"/>
      <c r="D37" s="406"/>
      <c r="E37" s="406"/>
      <c r="F37" s="499"/>
      <c r="G37" s="608"/>
      <c r="H37" s="609" t="str">
        <f>IF(AK37&lt;&gt;"都市ガス","",IF(ISERROR(VLOOKUP(D37,非_都市ガス事業者!$O$8:$P$200,2,FALSE)),"",VLOOKUP(D37,非_都市ガス事業者!$O$8:$P$200,2,FALSE)))</f>
        <v/>
      </c>
      <c r="I37" s="610" t="str">
        <f>IF(AK37&lt;&gt;"都市ガス","",非_都市ガス事業者!$P$4)</f>
        <v/>
      </c>
      <c r="J37" s="611" t="str">
        <f>IF(C37="","",IF(AK37&lt;&gt;"都市ガス",VLOOKUP(C37,非_係数!$B$42:$D$55,2,FALSE),""))</f>
        <v/>
      </c>
      <c r="K37" s="406"/>
      <c r="L37" s="486" t="str">
        <f t="shared" si="5"/>
        <v/>
      </c>
      <c r="M37" s="225" t="str">
        <f t="shared" si="6"/>
        <v/>
      </c>
      <c r="N37" s="406"/>
      <c r="O37" s="458"/>
      <c r="P37" s="406"/>
      <c r="Q37" s="406"/>
      <c r="R37" s="451"/>
      <c r="S37" s="451"/>
      <c r="T37" s="451"/>
      <c r="U37" s="451"/>
      <c r="V37" s="451"/>
      <c r="W37" s="451"/>
      <c r="X37" s="451"/>
      <c r="Y37" s="451"/>
      <c r="Z37" s="451"/>
      <c r="AA37" s="451"/>
      <c r="AB37" s="451"/>
      <c r="AC37" s="451"/>
      <c r="AD37" s="497"/>
      <c r="AE37" s="586" t="str">
        <f t="shared" si="41"/>
        <v/>
      </c>
      <c r="AF37" s="435" t="str">
        <f t="shared" ref="AF37:AF47" si="42">AX37</f>
        <v/>
      </c>
      <c r="AG37" s="435" t="str">
        <f>IF(C37="","",VLOOKUP(C37,非_単位!$N$38:$O$53,2,FALSE))</f>
        <v/>
      </c>
      <c r="AH37" s="586" t="str">
        <f t="shared" ref="AH37:AH47" si="43">AY37</f>
        <v/>
      </c>
      <c r="AI37" s="587" t="str">
        <f t="shared" ref="AI37:AI47" si="44">AZ37</f>
        <v/>
      </c>
      <c r="AK37" s="466" t="str">
        <f t="shared" ref="AK37:AK40" si="45">IF(B37="","",IF(LEFT(B37,2)="電気","電気",IF(LEFT(B37,1)="熱","熱",IF(LEFT(B37,4)="都市ガス","都市ガス"))))</f>
        <v/>
      </c>
      <c r="AL37" s="466" t="str">
        <f>IF(B37="","",IF(B37=非_燃料種類_選択リスト!$I$3,"一般送配電_種類",IF(B37=非_燃料種類_選択リスト!$I$4,"一般送配電以外_種類",IF(B37=非_燃料種類_選択リスト!$I$5,"熱_種類",IF(B37=非_燃料種類_選択リスト!$I$6,"都市ガス_種類","")))))</f>
        <v/>
      </c>
      <c r="AM37" s="466" t="str">
        <f>IF(AK37&lt;&gt;"電気","",非_電気事業者!$S$4*1000)</f>
        <v/>
      </c>
      <c r="AN37" s="466" t="str">
        <f>IF(AK37&lt;&gt;"電気","",IF(ISERROR(VLOOKUP(D37&amp;F37,非_電気事業者!$R$9:$S$2000,2,FALSE)),"要記入",VLOOKUP(D37&amp;F37,非_電気事業者!$R$9:$S$2000,2,FALSE)*1000))</f>
        <v/>
      </c>
      <c r="AO37" s="466" t="str">
        <f>IF(AK37&lt;&gt;"熱","",非_熱供給事業者!$T$4)</f>
        <v/>
      </c>
      <c r="AP37" s="466" t="str">
        <f>IF(AK37&lt;&gt;"熱","",IF(ISERROR(VLOOKUP(D37&amp;F37,非_熱供給事業者!$S$8:$T$200,2,FALSE)),"要記入",VLOOKUP(D37&amp;F37,非_熱供給事業者!$S$8:$T$200,2,FALSE)))</f>
        <v/>
      </c>
      <c r="AQ37" s="466" t="str">
        <f>IF(AK37&lt;&gt;"都市ガス","",非_都市ガス事業者!$AB$4)</f>
        <v/>
      </c>
      <c r="AR37" s="466" t="str">
        <f>IF(AK37&lt;&gt;"都市ガス","",IF(ISERROR(VLOOKUP(D37&amp;F37,非_都市ガス事業者!$AA$8:$AB$200,2,FALSE)),"要記入",VLOOKUP(D37&amp;F37,非_都市ガス事業者!$AA$8:$AB$200,2,FALSE)))</f>
        <v/>
      </c>
      <c r="AS37" s="466" t="str">
        <f t="shared" ref="AS37:AS40" si="46">IF(AK37="","",IF(AK37="電気",IF(K37="国代替値",AM37,IF(K37="国公表値",AN37,"要記入")),IF(AK37="熱",IF(K37="国代替値",AO37,IF(K37="国公表値",AP37,"要記入")),IF(AK37="都市ガス",IF(K37="国代替値",AQ37,IF(K37="国公表値",AR37,"要記入"))))))</f>
        <v/>
      </c>
      <c r="AT37" s="466" t="str">
        <f t="shared" ref="AT37:AT40" si="47">IF(AK37="電気","t-CO2/千kWh",IF(AK37="熱","t-CO2/GJ",IF(AK37="都市ガス","t-CO2/千m3(SATP)","")))</f>
        <v/>
      </c>
      <c r="AU37" s="535" t="b">
        <f t="shared" si="11"/>
        <v>1</v>
      </c>
      <c r="AV37" s="466" t="str">
        <f>IF(Q37="","",VLOOKUP(Q37,非_単位補正換算!$B$3:$C$16,2,FALSE))</f>
        <v/>
      </c>
      <c r="AW37" s="466" t="str">
        <f>IF(AK37="","",IF(AK37&lt;&gt;"都市ガス",1,IF(G37="","",SUMIFS(非_単位補正換算!$D$52:$D$63,非_単位補正換算!$B$52:$B$63,"都市ガス"&amp;G37,非_単位補正換算!$C$52:$C$63,電気・熱_都市ガス!Q37))))</f>
        <v/>
      </c>
      <c r="AX37" s="527" t="str">
        <f t="shared" si="12"/>
        <v/>
      </c>
      <c r="AY37" s="466" t="str">
        <f t="shared" ref="AY37:AY40" si="48">IF(AND(AK37&lt;&gt;"",AX37&lt;&gt;""),IF(AK37&lt;&gt;"都市ガス",AX37*J37,IF(I37&gt;0,AX37*I37,"")),"")</f>
        <v/>
      </c>
      <c r="AZ37" s="466" t="str">
        <f t="shared" ref="AZ37:AZ40" si="49">IF(AX37="","",IF(ISNUMBER(L37),AX37*L37,""))</f>
        <v/>
      </c>
      <c r="BA37" s="466" t="str">
        <f>IF(C37="","",VLOOKUP(C37,非_まとめ表行番号!$F$3:$H$12,2,FALSE))</f>
        <v/>
      </c>
      <c r="BB37" s="539" t="b">
        <f t="shared" si="13"/>
        <v>1</v>
      </c>
      <c r="BC37" s="637" t="str">
        <f>IF(AK37="","",IF(AK37&lt;&gt;"都市ガス",1,非_係数!$G$55))</f>
        <v/>
      </c>
      <c r="BD37" s="466" t="str">
        <f t="shared" ref="BD37:BD40" si="50">IF(AX37="","",AX37*BC37)</f>
        <v/>
      </c>
      <c r="BE37" s="466" t="str">
        <f t="shared" ref="BE37:BE40" si="51">IF(AK37="都市ガス",IF(BD37="","",H37*BD37),"")</f>
        <v/>
      </c>
      <c r="BF37" s="466" t="str">
        <f>IF(C37="","",VLOOKUP(C37,非_係数!$B$42:$K$55,9,FALSE))</f>
        <v/>
      </c>
      <c r="BG37" s="466" t="str">
        <f t="shared" ref="BG37:BG40" si="52">IF(AND(BD37&lt;&gt;"",BF37&lt;&gt;""),IF(AK37&lt;&gt;"都市ガス",BD37*BF37,BE37*BF37*44/12),"")</f>
        <v/>
      </c>
      <c r="BH37" s="466" t="str">
        <f>IF(C37="","",VLOOKUP(C37,非_まとめ表行番号!$F$3:$H$12,3,FALSE))</f>
        <v/>
      </c>
      <c r="BI37" s="466" t="str">
        <f t="shared" si="16"/>
        <v/>
      </c>
      <c r="BK37" s="527" t="str">
        <f>IF(BA37="","",VLOOKUP(BA37,非_まとめ表行番号!$U$3:$V$56,2,FALSE))</f>
        <v/>
      </c>
      <c r="BL37" s="526" t="str">
        <f t="shared" si="17"/>
        <v/>
      </c>
      <c r="BM37" s="526" t="str">
        <f t="shared" si="18"/>
        <v/>
      </c>
      <c r="BN37" s="526" t="str">
        <f t="shared" si="19"/>
        <v/>
      </c>
      <c r="BO37" s="526" t="str">
        <f t="shared" si="20"/>
        <v/>
      </c>
      <c r="BP37" s="526" t="str">
        <f t="shared" si="21"/>
        <v/>
      </c>
      <c r="BQ37" s="526" t="str">
        <f t="shared" si="22"/>
        <v/>
      </c>
      <c r="BR37" s="526" t="str">
        <f t="shared" si="23"/>
        <v/>
      </c>
      <c r="BS37" s="635" t="str">
        <f t="shared" si="24"/>
        <v/>
      </c>
    </row>
    <row r="38" spans="1:71" ht="18.75" customHeight="1">
      <c r="A38" s="483"/>
      <c r="B38" s="406"/>
      <c r="C38" s="406"/>
      <c r="D38" s="406"/>
      <c r="E38" s="406"/>
      <c r="F38" s="499"/>
      <c r="G38" s="608"/>
      <c r="H38" s="609" t="str">
        <f>IF(AK38&lt;&gt;"都市ガス","",IF(ISERROR(VLOOKUP(D38,非_都市ガス事業者!$O$8:$P$200,2,FALSE)),"",VLOOKUP(D38,非_都市ガス事業者!$O$8:$P$200,2,FALSE)))</f>
        <v/>
      </c>
      <c r="I38" s="610" t="str">
        <f>IF(AK38&lt;&gt;"都市ガス","",非_都市ガス事業者!$P$4)</f>
        <v/>
      </c>
      <c r="J38" s="611" t="str">
        <f>IF(C38="","",IF(AK38&lt;&gt;"都市ガス",VLOOKUP(C38,非_係数!$B$42:$D$55,2,FALSE),""))</f>
        <v/>
      </c>
      <c r="K38" s="406"/>
      <c r="L38" s="486" t="str">
        <f t="shared" si="5"/>
        <v/>
      </c>
      <c r="M38" s="225" t="str">
        <f t="shared" si="6"/>
        <v/>
      </c>
      <c r="N38" s="406"/>
      <c r="O38" s="458"/>
      <c r="P38" s="406"/>
      <c r="Q38" s="406"/>
      <c r="R38" s="451"/>
      <c r="S38" s="451"/>
      <c r="T38" s="451"/>
      <c r="U38" s="451"/>
      <c r="V38" s="451"/>
      <c r="W38" s="451"/>
      <c r="X38" s="451"/>
      <c r="Y38" s="451"/>
      <c r="Z38" s="451"/>
      <c r="AA38" s="451"/>
      <c r="AB38" s="451"/>
      <c r="AC38" s="451"/>
      <c r="AD38" s="497"/>
      <c r="AE38" s="586" t="str">
        <f t="shared" si="41"/>
        <v/>
      </c>
      <c r="AF38" s="435" t="str">
        <f t="shared" si="42"/>
        <v/>
      </c>
      <c r="AG38" s="435" t="str">
        <f>IF(C38="","",VLOOKUP(C38,非_単位!$N$38:$O$53,2,FALSE))</f>
        <v/>
      </c>
      <c r="AH38" s="586" t="str">
        <f t="shared" si="43"/>
        <v/>
      </c>
      <c r="AI38" s="587" t="str">
        <f t="shared" si="44"/>
        <v/>
      </c>
      <c r="AK38" s="466" t="str">
        <f t="shared" si="45"/>
        <v/>
      </c>
      <c r="AL38" s="466" t="str">
        <f>IF(B38="","",IF(B38=非_燃料種類_選択リスト!$I$3,"一般送配電_種類",IF(B38=非_燃料種類_選択リスト!$I$4,"一般送配電以外_種類",IF(B38=非_燃料種類_選択リスト!$I$5,"熱_種類",IF(B38=非_燃料種類_選択リスト!$I$6,"都市ガス_種類","")))))</f>
        <v/>
      </c>
      <c r="AM38" s="466" t="str">
        <f>IF(AK38&lt;&gt;"電気","",非_電気事業者!$S$4*1000)</f>
        <v/>
      </c>
      <c r="AN38" s="466" t="str">
        <f>IF(AK38&lt;&gt;"電気","",IF(ISERROR(VLOOKUP(D38&amp;F38,非_電気事業者!$R$9:$S$2000,2,FALSE)),"要記入",VLOOKUP(D38&amp;F38,非_電気事業者!$R$9:$S$2000,2,FALSE)*1000))</f>
        <v/>
      </c>
      <c r="AO38" s="466" t="str">
        <f>IF(AK38&lt;&gt;"熱","",非_熱供給事業者!$T$4)</f>
        <v/>
      </c>
      <c r="AP38" s="466" t="str">
        <f>IF(AK38&lt;&gt;"熱","",IF(ISERROR(VLOOKUP(D38&amp;F38,非_熱供給事業者!$S$8:$T$200,2,FALSE)),"要記入",VLOOKUP(D38&amp;F38,非_熱供給事業者!$S$8:$T$200,2,FALSE)))</f>
        <v/>
      </c>
      <c r="AQ38" s="466" t="str">
        <f>IF(AK38&lt;&gt;"都市ガス","",非_都市ガス事業者!$AB$4)</f>
        <v/>
      </c>
      <c r="AR38" s="466" t="str">
        <f>IF(AK38&lt;&gt;"都市ガス","",IF(ISERROR(VLOOKUP(D38&amp;F38,非_都市ガス事業者!$AA$8:$AB$200,2,FALSE)),"要記入",VLOOKUP(D38&amp;F38,非_都市ガス事業者!$AA$8:$AB$200,2,FALSE)))</f>
        <v/>
      </c>
      <c r="AS38" s="466" t="str">
        <f t="shared" si="46"/>
        <v/>
      </c>
      <c r="AT38" s="466" t="str">
        <f t="shared" si="47"/>
        <v/>
      </c>
      <c r="AU38" s="535" t="b">
        <f t="shared" si="11"/>
        <v>1</v>
      </c>
      <c r="AV38" s="466" t="str">
        <f>IF(Q38="","",VLOOKUP(Q38,非_単位補正換算!$B$3:$C$16,2,FALSE))</f>
        <v/>
      </c>
      <c r="AW38" s="466" t="str">
        <f>IF(AK38="","",IF(AK38&lt;&gt;"都市ガス",1,IF(G38="","",SUMIFS(非_単位補正換算!$D$52:$D$63,非_単位補正換算!$B$52:$B$63,"都市ガス"&amp;G38,非_単位補正換算!$C$52:$C$63,電気・熱_都市ガス!Q38))))</f>
        <v/>
      </c>
      <c r="AX38" s="527" t="str">
        <f t="shared" si="12"/>
        <v/>
      </c>
      <c r="AY38" s="466" t="str">
        <f t="shared" si="48"/>
        <v/>
      </c>
      <c r="AZ38" s="466" t="str">
        <f t="shared" si="49"/>
        <v/>
      </c>
      <c r="BA38" s="466" t="str">
        <f>IF(C38="","",VLOOKUP(C38,非_まとめ表行番号!$F$3:$H$12,2,FALSE))</f>
        <v/>
      </c>
      <c r="BB38" s="539" t="b">
        <f t="shared" si="13"/>
        <v>1</v>
      </c>
      <c r="BC38" s="637" t="str">
        <f>IF(AK38="","",IF(AK38&lt;&gt;"都市ガス",1,非_係数!$G$55))</f>
        <v/>
      </c>
      <c r="BD38" s="466" t="str">
        <f t="shared" si="50"/>
        <v/>
      </c>
      <c r="BE38" s="466" t="str">
        <f t="shared" si="51"/>
        <v/>
      </c>
      <c r="BF38" s="466" t="str">
        <f>IF(C38="","",VLOOKUP(C38,非_係数!$B$42:$K$55,9,FALSE))</f>
        <v/>
      </c>
      <c r="BG38" s="466" t="str">
        <f t="shared" si="52"/>
        <v/>
      </c>
      <c r="BH38" s="466" t="str">
        <f>IF(C38="","",VLOOKUP(C38,非_まとめ表行番号!$F$3:$H$12,3,FALSE))</f>
        <v/>
      </c>
      <c r="BI38" s="466" t="str">
        <f t="shared" si="16"/>
        <v/>
      </c>
      <c r="BK38" s="527" t="str">
        <f>IF(BA38="","",VLOOKUP(BA38,非_まとめ表行番号!$U$3:$V$56,2,FALSE))</f>
        <v/>
      </c>
      <c r="BL38" s="526" t="str">
        <f t="shared" si="17"/>
        <v/>
      </c>
      <c r="BM38" s="526" t="str">
        <f t="shared" si="18"/>
        <v/>
      </c>
      <c r="BN38" s="526" t="str">
        <f t="shared" si="19"/>
        <v/>
      </c>
      <c r="BO38" s="526" t="str">
        <f t="shared" si="20"/>
        <v/>
      </c>
      <c r="BP38" s="526" t="str">
        <f t="shared" si="21"/>
        <v/>
      </c>
      <c r="BQ38" s="526" t="str">
        <f t="shared" si="22"/>
        <v/>
      </c>
      <c r="BR38" s="526" t="str">
        <f t="shared" si="23"/>
        <v/>
      </c>
      <c r="BS38" s="635" t="str">
        <f t="shared" si="24"/>
        <v/>
      </c>
    </row>
    <row r="39" spans="1:71" ht="18.75" customHeight="1">
      <c r="A39" s="483"/>
      <c r="B39" s="406"/>
      <c r="C39" s="406"/>
      <c r="D39" s="406"/>
      <c r="E39" s="406"/>
      <c r="F39" s="499"/>
      <c r="G39" s="608"/>
      <c r="H39" s="609" t="str">
        <f>IF(AK39&lt;&gt;"都市ガス","",IF(ISERROR(VLOOKUP(D39,非_都市ガス事業者!$O$8:$P$200,2,FALSE)),"",VLOOKUP(D39,非_都市ガス事業者!$O$8:$P$200,2,FALSE)))</f>
        <v/>
      </c>
      <c r="I39" s="610" t="str">
        <f>IF(AK39&lt;&gt;"都市ガス","",非_都市ガス事業者!$P$4)</f>
        <v/>
      </c>
      <c r="J39" s="611" t="str">
        <f>IF(C39="","",IF(AK39&lt;&gt;"都市ガス",VLOOKUP(C39,非_係数!$B$42:$D$55,2,FALSE),""))</f>
        <v/>
      </c>
      <c r="K39" s="406"/>
      <c r="L39" s="486" t="str">
        <f t="shared" si="5"/>
        <v/>
      </c>
      <c r="M39" s="225" t="str">
        <f t="shared" si="6"/>
        <v/>
      </c>
      <c r="N39" s="406"/>
      <c r="O39" s="458"/>
      <c r="P39" s="406"/>
      <c r="Q39" s="406"/>
      <c r="R39" s="451"/>
      <c r="S39" s="451"/>
      <c r="T39" s="451"/>
      <c r="U39" s="451"/>
      <c r="V39" s="451"/>
      <c r="W39" s="451"/>
      <c r="X39" s="451"/>
      <c r="Y39" s="451"/>
      <c r="Z39" s="451"/>
      <c r="AA39" s="451"/>
      <c r="AB39" s="451"/>
      <c r="AC39" s="451"/>
      <c r="AD39" s="497"/>
      <c r="AE39" s="586" t="str">
        <f t="shared" si="41"/>
        <v/>
      </c>
      <c r="AF39" s="435" t="str">
        <f t="shared" si="42"/>
        <v/>
      </c>
      <c r="AG39" s="435" t="str">
        <f>IF(C39="","",VLOOKUP(C39,非_単位!$N$38:$O$53,2,FALSE))</f>
        <v/>
      </c>
      <c r="AH39" s="586" t="str">
        <f t="shared" si="43"/>
        <v/>
      </c>
      <c r="AI39" s="587" t="str">
        <f t="shared" si="44"/>
        <v/>
      </c>
      <c r="AK39" s="466" t="str">
        <f t="shared" si="45"/>
        <v/>
      </c>
      <c r="AL39" s="466" t="str">
        <f>IF(B39="","",IF(B39=非_燃料種類_選択リスト!$I$3,"一般送配電_種類",IF(B39=非_燃料種類_選択リスト!$I$4,"一般送配電以外_種類",IF(B39=非_燃料種類_選択リスト!$I$5,"熱_種類",IF(B39=非_燃料種類_選択リスト!$I$6,"都市ガス_種類","")))))</f>
        <v/>
      </c>
      <c r="AM39" s="466" t="str">
        <f>IF(AK39&lt;&gt;"電気","",非_電気事業者!$S$4*1000)</f>
        <v/>
      </c>
      <c r="AN39" s="466" t="str">
        <f>IF(AK39&lt;&gt;"電気","",IF(ISERROR(VLOOKUP(D39&amp;F39,非_電気事業者!$R$9:$S$2000,2,FALSE)),"要記入",VLOOKUP(D39&amp;F39,非_電気事業者!$R$9:$S$2000,2,FALSE)*1000))</f>
        <v/>
      </c>
      <c r="AO39" s="466" t="str">
        <f>IF(AK39&lt;&gt;"熱","",非_熱供給事業者!$T$4)</f>
        <v/>
      </c>
      <c r="AP39" s="466" t="str">
        <f>IF(AK39&lt;&gt;"熱","",IF(ISERROR(VLOOKUP(D39&amp;F39,非_熱供給事業者!$S$8:$T$200,2,FALSE)),"要記入",VLOOKUP(D39&amp;F39,非_熱供給事業者!$S$8:$T$200,2,FALSE)))</f>
        <v/>
      </c>
      <c r="AQ39" s="466" t="str">
        <f>IF(AK39&lt;&gt;"都市ガス","",非_都市ガス事業者!$AB$4)</f>
        <v/>
      </c>
      <c r="AR39" s="466" t="str">
        <f>IF(AK39&lt;&gt;"都市ガス","",IF(ISERROR(VLOOKUP(D39&amp;F39,非_都市ガス事業者!$AA$8:$AB$200,2,FALSE)),"要記入",VLOOKUP(D39&amp;F39,非_都市ガス事業者!$AA$8:$AB$200,2,FALSE)))</f>
        <v/>
      </c>
      <c r="AS39" s="466" t="str">
        <f t="shared" si="46"/>
        <v/>
      </c>
      <c r="AT39" s="466" t="str">
        <f t="shared" si="47"/>
        <v/>
      </c>
      <c r="AU39" s="535" t="b">
        <f t="shared" si="11"/>
        <v>1</v>
      </c>
      <c r="AV39" s="466" t="str">
        <f>IF(Q39="","",VLOOKUP(Q39,非_単位補正換算!$B$3:$C$16,2,FALSE))</f>
        <v/>
      </c>
      <c r="AW39" s="466" t="str">
        <f>IF(AK39="","",IF(AK39&lt;&gt;"都市ガス",1,IF(G39="","",SUMIFS(非_単位補正換算!$D$52:$D$63,非_単位補正換算!$B$52:$B$63,"都市ガス"&amp;G39,非_単位補正換算!$C$52:$C$63,電気・熱_都市ガス!Q39))))</f>
        <v/>
      </c>
      <c r="AX39" s="527" t="str">
        <f t="shared" si="12"/>
        <v/>
      </c>
      <c r="AY39" s="466" t="str">
        <f t="shared" si="48"/>
        <v/>
      </c>
      <c r="AZ39" s="466" t="str">
        <f t="shared" si="49"/>
        <v/>
      </c>
      <c r="BA39" s="466" t="str">
        <f>IF(C39="","",VLOOKUP(C39,非_まとめ表行番号!$F$3:$H$12,2,FALSE))</f>
        <v/>
      </c>
      <c r="BB39" s="539" t="b">
        <f t="shared" si="13"/>
        <v>1</v>
      </c>
      <c r="BC39" s="637" t="str">
        <f>IF(AK39="","",IF(AK39&lt;&gt;"都市ガス",1,非_係数!$G$55))</f>
        <v/>
      </c>
      <c r="BD39" s="466" t="str">
        <f t="shared" si="50"/>
        <v/>
      </c>
      <c r="BE39" s="466" t="str">
        <f t="shared" si="51"/>
        <v/>
      </c>
      <c r="BF39" s="466" t="str">
        <f>IF(C39="","",VLOOKUP(C39,非_係数!$B$42:$K$55,9,FALSE))</f>
        <v/>
      </c>
      <c r="BG39" s="466" t="str">
        <f t="shared" si="52"/>
        <v/>
      </c>
      <c r="BH39" s="466" t="str">
        <f>IF(C39="","",VLOOKUP(C39,非_まとめ表行番号!$F$3:$H$12,3,FALSE))</f>
        <v/>
      </c>
      <c r="BI39" s="466" t="str">
        <f t="shared" si="16"/>
        <v/>
      </c>
      <c r="BK39" s="527" t="str">
        <f>IF(BA39="","",VLOOKUP(BA39,非_まとめ表行番号!$U$3:$V$56,2,FALSE))</f>
        <v/>
      </c>
      <c r="BL39" s="526" t="str">
        <f t="shared" si="17"/>
        <v/>
      </c>
      <c r="BM39" s="526" t="str">
        <f t="shared" si="18"/>
        <v/>
      </c>
      <c r="BN39" s="526" t="str">
        <f t="shared" si="19"/>
        <v/>
      </c>
      <c r="BO39" s="526" t="str">
        <f t="shared" si="20"/>
        <v/>
      </c>
      <c r="BP39" s="526" t="str">
        <f t="shared" si="21"/>
        <v/>
      </c>
      <c r="BQ39" s="526" t="str">
        <f t="shared" si="22"/>
        <v/>
      </c>
      <c r="BR39" s="526" t="str">
        <f t="shared" si="23"/>
        <v/>
      </c>
      <c r="BS39" s="635" t="str">
        <f t="shared" si="24"/>
        <v/>
      </c>
    </row>
    <row r="40" spans="1:71" ht="18.75" customHeight="1">
      <c r="A40" s="483"/>
      <c r="B40" s="406"/>
      <c r="C40" s="406"/>
      <c r="D40" s="406"/>
      <c r="E40" s="406"/>
      <c r="F40" s="499"/>
      <c r="G40" s="608"/>
      <c r="H40" s="609" t="str">
        <f>IF(AK40&lt;&gt;"都市ガス","",IF(ISERROR(VLOOKUP(D40,非_都市ガス事業者!$O$8:$P$200,2,FALSE)),"",VLOOKUP(D40,非_都市ガス事業者!$O$8:$P$200,2,FALSE)))</f>
        <v/>
      </c>
      <c r="I40" s="610" t="str">
        <f>IF(AK40&lt;&gt;"都市ガス","",非_都市ガス事業者!$P$4)</f>
        <v/>
      </c>
      <c r="J40" s="611" t="str">
        <f>IF(C40="","",IF(AK40&lt;&gt;"都市ガス",VLOOKUP(C40,非_係数!$B$42:$D$55,2,FALSE),""))</f>
        <v/>
      </c>
      <c r="K40" s="406"/>
      <c r="L40" s="486" t="str">
        <f t="shared" si="5"/>
        <v/>
      </c>
      <c r="M40" s="225" t="str">
        <f t="shared" si="6"/>
        <v/>
      </c>
      <c r="N40" s="406"/>
      <c r="O40" s="458"/>
      <c r="P40" s="406"/>
      <c r="Q40" s="406"/>
      <c r="R40" s="451"/>
      <c r="S40" s="451"/>
      <c r="T40" s="451"/>
      <c r="U40" s="451"/>
      <c r="V40" s="451"/>
      <c r="W40" s="451"/>
      <c r="X40" s="451"/>
      <c r="Y40" s="451"/>
      <c r="Z40" s="451"/>
      <c r="AA40" s="451"/>
      <c r="AB40" s="451"/>
      <c r="AC40" s="451"/>
      <c r="AD40" s="497"/>
      <c r="AE40" s="586" t="str">
        <f t="shared" si="41"/>
        <v/>
      </c>
      <c r="AF40" s="435" t="str">
        <f t="shared" si="42"/>
        <v/>
      </c>
      <c r="AG40" s="435" t="str">
        <f>IF(C40="","",VLOOKUP(C40,非_単位!$N$38:$O$53,2,FALSE))</f>
        <v/>
      </c>
      <c r="AH40" s="586" t="str">
        <f t="shared" si="43"/>
        <v/>
      </c>
      <c r="AI40" s="587" t="str">
        <f t="shared" si="44"/>
        <v/>
      </c>
      <c r="AK40" s="466" t="str">
        <f t="shared" si="45"/>
        <v/>
      </c>
      <c r="AL40" s="466" t="str">
        <f>IF(B40="","",IF(B40=非_燃料種類_選択リスト!$I$3,"一般送配電_種類",IF(B40=非_燃料種類_選択リスト!$I$4,"一般送配電以外_種類",IF(B40=非_燃料種類_選択リスト!$I$5,"熱_種類",IF(B40=非_燃料種類_選択リスト!$I$6,"都市ガス_種類","")))))</f>
        <v/>
      </c>
      <c r="AM40" s="466" t="str">
        <f>IF(AK40&lt;&gt;"電気","",非_電気事業者!$S$4*1000)</f>
        <v/>
      </c>
      <c r="AN40" s="466" t="str">
        <f>IF(AK40&lt;&gt;"電気","",IF(ISERROR(VLOOKUP(D40&amp;F40,非_電気事業者!$R$9:$S$2000,2,FALSE)),"要記入",VLOOKUP(D40&amp;F40,非_電気事業者!$R$9:$S$2000,2,FALSE)*1000))</f>
        <v/>
      </c>
      <c r="AO40" s="466" t="str">
        <f>IF(AK40&lt;&gt;"熱","",非_熱供給事業者!$T$4)</f>
        <v/>
      </c>
      <c r="AP40" s="466" t="str">
        <f>IF(AK40&lt;&gt;"熱","",IF(ISERROR(VLOOKUP(D40&amp;F40,非_熱供給事業者!$S$8:$T$200,2,FALSE)),"要記入",VLOOKUP(D40&amp;F40,非_熱供給事業者!$S$8:$T$200,2,FALSE)))</f>
        <v/>
      </c>
      <c r="AQ40" s="466" t="str">
        <f>IF(AK40&lt;&gt;"都市ガス","",非_都市ガス事業者!$AB$4)</f>
        <v/>
      </c>
      <c r="AR40" s="466" t="str">
        <f>IF(AK40&lt;&gt;"都市ガス","",IF(ISERROR(VLOOKUP(D40&amp;F40,非_都市ガス事業者!$AA$8:$AB$200,2,FALSE)),"要記入",VLOOKUP(D40&amp;F40,非_都市ガス事業者!$AA$8:$AB$200,2,FALSE)))</f>
        <v/>
      </c>
      <c r="AS40" s="466" t="str">
        <f t="shared" si="46"/>
        <v/>
      </c>
      <c r="AT40" s="466" t="str">
        <f t="shared" si="47"/>
        <v/>
      </c>
      <c r="AU40" s="535" t="b">
        <f t="shared" si="11"/>
        <v>1</v>
      </c>
      <c r="AV40" s="466" t="str">
        <f>IF(Q40="","",VLOOKUP(Q40,非_単位補正換算!$B$3:$C$16,2,FALSE))</f>
        <v/>
      </c>
      <c r="AW40" s="466" t="str">
        <f>IF(AK40="","",IF(AK40&lt;&gt;"都市ガス",1,IF(G40="","",SUMIFS(非_単位補正換算!$D$52:$D$63,非_単位補正換算!$B$52:$B$63,"都市ガス"&amp;G40,非_単位補正換算!$C$52:$C$63,電気・熱_都市ガス!Q40))))</f>
        <v/>
      </c>
      <c r="AX40" s="527" t="str">
        <f t="shared" si="12"/>
        <v/>
      </c>
      <c r="AY40" s="466" t="str">
        <f t="shared" si="48"/>
        <v/>
      </c>
      <c r="AZ40" s="466" t="str">
        <f t="shared" si="49"/>
        <v/>
      </c>
      <c r="BA40" s="466" t="str">
        <f>IF(C40="","",VLOOKUP(C40,非_まとめ表行番号!$F$3:$H$12,2,FALSE))</f>
        <v/>
      </c>
      <c r="BB40" s="539" t="b">
        <f t="shared" si="13"/>
        <v>1</v>
      </c>
      <c r="BC40" s="637" t="str">
        <f>IF(AK40="","",IF(AK40&lt;&gt;"都市ガス",1,非_係数!$G$55))</f>
        <v/>
      </c>
      <c r="BD40" s="466" t="str">
        <f t="shared" si="50"/>
        <v/>
      </c>
      <c r="BE40" s="466" t="str">
        <f t="shared" si="51"/>
        <v/>
      </c>
      <c r="BF40" s="466" t="str">
        <f>IF(C40="","",VLOOKUP(C40,非_係数!$B$42:$K$55,9,FALSE))</f>
        <v/>
      </c>
      <c r="BG40" s="466" t="str">
        <f t="shared" si="52"/>
        <v/>
      </c>
      <c r="BH40" s="466" t="str">
        <f>IF(C40="","",VLOOKUP(C40,非_まとめ表行番号!$F$3:$H$12,3,FALSE))</f>
        <v/>
      </c>
      <c r="BI40" s="466" t="str">
        <f t="shared" si="16"/>
        <v/>
      </c>
      <c r="BK40" s="527" t="str">
        <f>IF(BA40="","",VLOOKUP(BA40,非_まとめ表行番号!$U$3:$V$56,2,FALSE))</f>
        <v/>
      </c>
      <c r="BL40" s="526" t="str">
        <f t="shared" si="17"/>
        <v/>
      </c>
      <c r="BM40" s="526" t="str">
        <f t="shared" si="18"/>
        <v/>
      </c>
      <c r="BN40" s="526" t="str">
        <f t="shared" si="19"/>
        <v/>
      </c>
      <c r="BO40" s="526" t="str">
        <f t="shared" si="20"/>
        <v/>
      </c>
      <c r="BP40" s="526" t="str">
        <f t="shared" si="21"/>
        <v/>
      </c>
      <c r="BQ40" s="526" t="str">
        <f t="shared" si="22"/>
        <v/>
      </c>
      <c r="BR40" s="526" t="str">
        <f t="shared" si="23"/>
        <v/>
      </c>
      <c r="BS40" s="635" t="str">
        <f t="shared" si="24"/>
        <v/>
      </c>
    </row>
    <row r="41" spans="1:71" ht="18.75" customHeight="1">
      <c r="A41" s="483"/>
      <c r="B41" s="406"/>
      <c r="C41" s="406"/>
      <c r="D41" s="406"/>
      <c r="E41" s="406"/>
      <c r="F41" s="499"/>
      <c r="G41" s="608"/>
      <c r="H41" s="609" t="str">
        <f>IF(AK41&lt;&gt;"都市ガス","",IF(ISERROR(VLOOKUP(D41,非_都市ガス事業者!$O$8:$P$200,2,FALSE)),"",VLOOKUP(D41,非_都市ガス事業者!$O$8:$P$200,2,FALSE)))</f>
        <v/>
      </c>
      <c r="I41" s="610" t="str">
        <f>IF(AK41&lt;&gt;"都市ガス","",非_都市ガス事業者!$P$4)</f>
        <v/>
      </c>
      <c r="J41" s="611" t="str">
        <f>IF(C41="","",IF(AK41&lt;&gt;"都市ガス",VLOOKUP(C41,非_係数!$B$42:$D$55,2,FALSE),""))</f>
        <v/>
      </c>
      <c r="K41" s="406"/>
      <c r="L41" s="486" t="str">
        <f t="shared" si="5"/>
        <v/>
      </c>
      <c r="M41" s="225" t="str">
        <f t="shared" si="6"/>
        <v/>
      </c>
      <c r="N41" s="406"/>
      <c r="O41" s="458"/>
      <c r="P41" s="406"/>
      <c r="Q41" s="406"/>
      <c r="R41" s="451"/>
      <c r="S41" s="451"/>
      <c r="T41" s="451"/>
      <c r="U41" s="451"/>
      <c r="V41" s="451"/>
      <c r="W41" s="451"/>
      <c r="X41" s="451"/>
      <c r="Y41" s="451"/>
      <c r="Z41" s="451"/>
      <c r="AA41" s="451"/>
      <c r="AB41" s="451"/>
      <c r="AC41" s="451"/>
      <c r="AD41" s="497"/>
      <c r="AE41" s="586" t="str">
        <f t="shared" si="41"/>
        <v/>
      </c>
      <c r="AF41" s="435" t="str">
        <f t="shared" ref="AF41:AF46" si="53">AX41</f>
        <v/>
      </c>
      <c r="AG41" s="435" t="str">
        <f>IF(C41="","",VLOOKUP(C41,非_単位!$N$38:$O$53,2,FALSE))</f>
        <v/>
      </c>
      <c r="AH41" s="586" t="str">
        <f t="shared" ref="AH41:AH46" si="54">AY41</f>
        <v/>
      </c>
      <c r="AI41" s="587" t="str">
        <f t="shared" ref="AI41:AI46" si="55">AZ41</f>
        <v/>
      </c>
      <c r="AK41" s="466" t="str">
        <f t="shared" ref="AK41:AK46" si="56">IF(B41="","",IF(LEFT(B41,2)="電気","電気",IF(LEFT(B41,1)="熱","熱",IF(LEFT(B41,4)="都市ガス","都市ガス"))))</f>
        <v/>
      </c>
      <c r="AL41" s="466" t="str">
        <f>IF(B41="","",IF(B41=非_燃料種類_選択リスト!$I$3,"一般送配電_種類",IF(B41=非_燃料種類_選択リスト!$I$4,"一般送配電以外_種類",IF(B41=非_燃料種類_選択リスト!$I$5,"熱_種類",IF(B41=非_燃料種類_選択リスト!$I$6,"都市ガス_種類","")))))</f>
        <v/>
      </c>
      <c r="AM41" s="466" t="str">
        <f>IF(AK41&lt;&gt;"電気","",非_電気事業者!$S$4*1000)</f>
        <v/>
      </c>
      <c r="AN41" s="466" t="str">
        <f>IF(AK41&lt;&gt;"電気","",IF(ISERROR(VLOOKUP(D41&amp;F41,非_電気事業者!$R$9:$S$2000,2,FALSE)),"要記入",VLOOKUP(D41&amp;F41,非_電気事業者!$R$9:$S$2000,2,FALSE)*1000))</f>
        <v/>
      </c>
      <c r="AO41" s="466" t="str">
        <f>IF(AK41&lt;&gt;"熱","",非_熱供給事業者!$T$4)</f>
        <v/>
      </c>
      <c r="AP41" s="466" t="str">
        <f>IF(AK41&lt;&gt;"熱","",IF(ISERROR(VLOOKUP(D41&amp;F41,非_熱供給事業者!$S$8:$T$200,2,FALSE)),"要記入",VLOOKUP(D41&amp;F41,非_熱供給事業者!$S$8:$T$200,2,FALSE)))</f>
        <v/>
      </c>
      <c r="AQ41" s="466" t="str">
        <f>IF(AK41&lt;&gt;"都市ガス","",非_都市ガス事業者!$AB$4)</f>
        <v/>
      </c>
      <c r="AR41" s="466" t="str">
        <f>IF(AK41&lt;&gt;"都市ガス","",IF(ISERROR(VLOOKUP(D41&amp;F41,非_都市ガス事業者!$AA$8:$AB$200,2,FALSE)),"要記入",VLOOKUP(D41&amp;F41,非_都市ガス事業者!$AA$8:$AB$200,2,FALSE)))</f>
        <v/>
      </c>
      <c r="AS41" s="466" t="str">
        <f t="shared" ref="AS41:AS46" si="57">IF(AK41="","",IF(AK41="電気",IF(K41="国代替値",AM41,IF(K41="国公表値",AN41,"要記入")),IF(AK41="熱",IF(K41="国代替値",AO41,IF(K41="国公表値",AP41,"要記入")),IF(AK41="都市ガス",IF(K41="国代替値",AQ41,IF(K41="国公表値",AR41,"要記入"))))))</f>
        <v/>
      </c>
      <c r="AT41" s="466" t="str">
        <f t="shared" ref="AT41:AT46" si="58">IF(AK41="電気","t-CO2/千kWh",IF(AK41="熱","t-CO2/GJ",IF(AK41="都市ガス","t-CO2/千m3(SATP)","")))</f>
        <v/>
      </c>
      <c r="AU41" s="535" t="b">
        <f t="shared" si="11"/>
        <v>1</v>
      </c>
      <c r="AV41" s="466" t="str">
        <f>IF(Q41="","",VLOOKUP(Q41,非_単位補正換算!$B$3:$C$16,2,FALSE))</f>
        <v/>
      </c>
      <c r="AW41" s="466" t="str">
        <f>IF(AK41="","",IF(AK41&lt;&gt;"都市ガス",1,IF(G41="","",SUMIFS(非_単位補正換算!$D$52:$D$63,非_単位補正換算!$B$52:$B$63,"都市ガス"&amp;G41,非_単位補正換算!$C$52:$C$63,電気・熱_都市ガス!Q41))))</f>
        <v/>
      </c>
      <c r="AX41" s="527" t="str">
        <f t="shared" si="12"/>
        <v/>
      </c>
      <c r="AY41" s="466" t="str">
        <f t="shared" ref="AY41:AY46" si="59">IF(AND(AK41&lt;&gt;"",AX41&lt;&gt;""),IF(AK41&lt;&gt;"都市ガス",AX41*J41,IF(I41&gt;0,AX41*I41,"")),"")</f>
        <v/>
      </c>
      <c r="AZ41" s="466" t="str">
        <f t="shared" ref="AZ41:AZ46" si="60">IF(AX41="","",IF(ISNUMBER(L41),AX41*L41,""))</f>
        <v/>
      </c>
      <c r="BA41" s="466" t="str">
        <f>IF(C41="","",VLOOKUP(C41,非_まとめ表行番号!$F$3:$H$12,2,FALSE))</f>
        <v/>
      </c>
      <c r="BB41" s="539" t="b">
        <f t="shared" si="13"/>
        <v>1</v>
      </c>
      <c r="BC41" s="637" t="str">
        <f>IF(AK41="","",IF(AK41&lt;&gt;"都市ガス",1,非_係数!$G$55))</f>
        <v/>
      </c>
      <c r="BD41" s="466" t="str">
        <f t="shared" ref="BD41:BD46" si="61">IF(AX41="","",AX41*BC41)</f>
        <v/>
      </c>
      <c r="BE41" s="466" t="str">
        <f t="shared" ref="BE41:BE46" si="62">IF(AK41="都市ガス",IF(BD41="","",H41*BD41),"")</f>
        <v/>
      </c>
      <c r="BF41" s="466" t="str">
        <f>IF(C41="","",VLOOKUP(C41,非_係数!$B$42:$K$55,9,FALSE))</f>
        <v/>
      </c>
      <c r="BG41" s="466" t="str">
        <f t="shared" ref="BG41:BG46" si="63">IF(AND(BD41&lt;&gt;"",BF41&lt;&gt;""),IF(AK41&lt;&gt;"都市ガス",BD41*BF41,BE41*BF41*44/12),"")</f>
        <v/>
      </c>
      <c r="BH41" s="466" t="str">
        <f>IF(C41="","",VLOOKUP(C41,非_まとめ表行番号!$F$3:$H$12,3,FALSE))</f>
        <v/>
      </c>
      <c r="BI41" s="466" t="str">
        <f t="shared" si="16"/>
        <v/>
      </c>
      <c r="BK41" s="527" t="str">
        <f>IF(BA41="","",VLOOKUP(BA41,非_まとめ表行番号!$U$3:$V$56,2,FALSE))</f>
        <v/>
      </c>
      <c r="BL41" s="526" t="str">
        <f t="shared" si="17"/>
        <v/>
      </c>
      <c r="BM41" s="526" t="str">
        <f t="shared" si="18"/>
        <v/>
      </c>
      <c r="BN41" s="526" t="str">
        <f t="shared" si="19"/>
        <v/>
      </c>
      <c r="BO41" s="526" t="str">
        <f t="shared" si="20"/>
        <v/>
      </c>
      <c r="BP41" s="526" t="str">
        <f t="shared" si="21"/>
        <v/>
      </c>
      <c r="BQ41" s="526" t="str">
        <f t="shared" si="22"/>
        <v/>
      </c>
      <c r="BR41" s="526" t="str">
        <f t="shared" si="23"/>
        <v/>
      </c>
      <c r="BS41" s="635" t="str">
        <f t="shared" si="24"/>
        <v/>
      </c>
    </row>
    <row r="42" spans="1:71" ht="18.75" customHeight="1">
      <c r="A42" s="483"/>
      <c r="B42" s="406"/>
      <c r="C42" s="406"/>
      <c r="D42" s="406"/>
      <c r="E42" s="406"/>
      <c r="F42" s="499"/>
      <c r="G42" s="608"/>
      <c r="H42" s="609" t="str">
        <f>IF(AK42&lt;&gt;"都市ガス","",IF(ISERROR(VLOOKUP(D42,非_都市ガス事業者!$O$8:$P$200,2,FALSE)),"",VLOOKUP(D42,非_都市ガス事業者!$O$8:$P$200,2,FALSE)))</f>
        <v/>
      </c>
      <c r="I42" s="610" t="str">
        <f>IF(AK42&lt;&gt;"都市ガス","",非_都市ガス事業者!$P$4)</f>
        <v/>
      </c>
      <c r="J42" s="611" t="str">
        <f>IF(C42="","",IF(AK42&lt;&gt;"都市ガス",VLOOKUP(C42,非_係数!$B$42:$D$55,2,FALSE),""))</f>
        <v/>
      </c>
      <c r="K42" s="406"/>
      <c r="L42" s="486" t="str">
        <f t="shared" si="5"/>
        <v/>
      </c>
      <c r="M42" s="225" t="str">
        <f t="shared" ref="M42:M46" si="64">AT42</f>
        <v/>
      </c>
      <c r="N42" s="406"/>
      <c r="O42" s="458"/>
      <c r="P42" s="406"/>
      <c r="Q42" s="406"/>
      <c r="R42" s="451"/>
      <c r="S42" s="451"/>
      <c r="T42" s="451"/>
      <c r="U42" s="451"/>
      <c r="V42" s="451"/>
      <c r="W42" s="451"/>
      <c r="X42" s="451"/>
      <c r="Y42" s="451"/>
      <c r="Z42" s="451"/>
      <c r="AA42" s="451"/>
      <c r="AB42" s="451"/>
      <c r="AC42" s="451"/>
      <c r="AD42" s="497"/>
      <c r="AE42" s="586" t="str">
        <f t="shared" si="41"/>
        <v/>
      </c>
      <c r="AF42" s="435" t="str">
        <f t="shared" si="53"/>
        <v/>
      </c>
      <c r="AG42" s="435" t="str">
        <f>IF(C42="","",VLOOKUP(C42,非_単位!$N$38:$O$53,2,FALSE))</f>
        <v/>
      </c>
      <c r="AH42" s="586" t="str">
        <f t="shared" si="54"/>
        <v/>
      </c>
      <c r="AI42" s="587" t="str">
        <f t="shared" si="55"/>
        <v/>
      </c>
      <c r="AK42" s="466" t="str">
        <f t="shared" si="56"/>
        <v/>
      </c>
      <c r="AL42" s="466" t="str">
        <f>IF(B42="","",IF(B42=非_燃料種類_選択リスト!$I$3,"一般送配電_種類",IF(B42=非_燃料種類_選択リスト!$I$4,"一般送配電以外_種類",IF(B42=非_燃料種類_選択リスト!$I$5,"熱_種類",IF(B42=非_燃料種類_選択リスト!$I$6,"都市ガス_種類","")))))</f>
        <v/>
      </c>
      <c r="AM42" s="466" t="str">
        <f>IF(AK42&lt;&gt;"電気","",非_電気事業者!$S$4*1000)</f>
        <v/>
      </c>
      <c r="AN42" s="466" t="str">
        <f>IF(AK42&lt;&gt;"電気","",IF(ISERROR(VLOOKUP(D42&amp;F42,非_電気事業者!$R$9:$S$2000,2,FALSE)),"要記入",VLOOKUP(D42&amp;F42,非_電気事業者!$R$9:$S$2000,2,FALSE)*1000))</f>
        <v/>
      </c>
      <c r="AO42" s="466" t="str">
        <f>IF(AK42&lt;&gt;"熱","",非_熱供給事業者!$T$4)</f>
        <v/>
      </c>
      <c r="AP42" s="466" t="str">
        <f>IF(AK42&lt;&gt;"熱","",IF(ISERROR(VLOOKUP(D42&amp;F42,非_熱供給事業者!$S$8:$T$200,2,FALSE)),"要記入",VLOOKUP(D42&amp;F42,非_熱供給事業者!$S$8:$T$200,2,FALSE)))</f>
        <v/>
      </c>
      <c r="AQ42" s="466" t="str">
        <f>IF(AK42&lt;&gt;"都市ガス","",非_都市ガス事業者!$AB$4)</f>
        <v/>
      </c>
      <c r="AR42" s="466" t="str">
        <f>IF(AK42&lt;&gt;"都市ガス","",IF(ISERROR(VLOOKUP(D42&amp;F42,非_都市ガス事業者!$AA$8:$AB$200,2,FALSE)),"要記入",VLOOKUP(D42&amp;F42,非_都市ガス事業者!$AA$8:$AB$200,2,FALSE)))</f>
        <v/>
      </c>
      <c r="AS42" s="466" t="str">
        <f t="shared" si="57"/>
        <v/>
      </c>
      <c r="AT42" s="466" t="str">
        <f t="shared" si="58"/>
        <v/>
      </c>
      <c r="AU42" s="535" t="b">
        <f t="shared" si="11"/>
        <v>1</v>
      </c>
      <c r="AV42" s="466" t="str">
        <f>IF(Q42="","",VLOOKUP(Q42,非_単位補正換算!$B$3:$C$16,2,FALSE))</f>
        <v/>
      </c>
      <c r="AW42" s="466" t="str">
        <f>IF(AK42="","",IF(AK42&lt;&gt;"都市ガス",1,IF(G42="","",SUMIFS(非_単位補正換算!$D$52:$D$63,非_単位補正換算!$B$52:$B$63,"都市ガス"&amp;G42,非_単位補正換算!$C$52:$C$63,電気・熱_都市ガス!Q42))))</f>
        <v/>
      </c>
      <c r="AX42" s="527" t="str">
        <f t="shared" si="12"/>
        <v/>
      </c>
      <c r="AY42" s="466" t="str">
        <f t="shared" si="59"/>
        <v/>
      </c>
      <c r="AZ42" s="466" t="str">
        <f t="shared" si="60"/>
        <v/>
      </c>
      <c r="BA42" s="466" t="str">
        <f>IF(C42="","",VLOOKUP(C42,非_まとめ表行番号!$F$3:$H$12,2,FALSE))</f>
        <v/>
      </c>
      <c r="BB42" s="539" t="b">
        <f t="shared" si="13"/>
        <v>1</v>
      </c>
      <c r="BC42" s="637" t="str">
        <f>IF(AK42="","",IF(AK42&lt;&gt;"都市ガス",1,非_係数!$G$55))</f>
        <v/>
      </c>
      <c r="BD42" s="466" t="str">
        <f t="shared" si="61"/>
        <v/>
      </c>
      <c r="BE42" s="466" t="str">
        <f t="shared" si="62"/>
        <v/>
      </c>
      <c r="BF42" s="466" t="str">
        <f>IF(C42="","",VLOOKUP(C42,非_係数!$B$42:$K$55,9,FALSE))</f>
        <v/>
      </c>
      <c r="BG42" s="466" t="str">
        <f t="shared" si="63"/>
        <v/>
      </c>
      <c r="BH42" s="466" t="str">
        <f>IF(C42="","",VLOOKUP(C42,非_まとめ表行番号!$F$3:$H$12,3,FALSE))</f>
        <v/>
      </c>
      <c r="BI42" s="466" t="str">
        <f t="shared" si="16"/>
        <v/>
      </c>
      <c r="BK42" s="527" t="str">
        <f>IF(BA42="","",VLOOKUP(BA42,非_まとめ表行番号!$U$3:$V$56,2,FALSE))</f>
        <v/>
      </c>
      <c r="BL42" s="526" t="str">
        <f t="shared" si="17"/>
        <v/>
      </c>
      <c r="BM42" s="526" t="str">
        <f t="shared" si="18"/>
        <v/>
      </c>
      <c r="BN42" s="526" t="str">
        <f t="shared" si="19"/>
        <v/>
      </c>
      <c r="BO42" s="526" t="str">
        <f t="shared" si="20"/>
        <v/>
      </c>
      <c r="BP42" s="526" t="str">
        <f t="shared" si="21"/>
        <v/>
      </c>
      <c r="BQ42" s="526" t="str">
        <f t="shared" si="22"/>
        <v/>
      </c>
      <c r="BR42" s="526" t="str">
        <f t="shared" si="23"/>
        <v/>
      </c>
      <c r="BS42" s="635" t="str">
        <f t="shared" si="24"/>
        <v/>
      </c>
    </row>
    <row r="43" spans="1:71" ht="18.75" customHeight="1">
      <c r="A43" s="483"/>
      <c r="B43" s="406"/>
      <c r="C43" s="406"/>
      <c r="D43" s="406"/>
      <c r="E43" s="406"/>
      <c r="F43" s="499"/>
      <c r="G43" s="608"/>
      <c r="H43" s="609" t="str">
        <f>IF(AK43&lt;&gt;"都市ガス","",IF(ISERROR(VLOOKUP(D43,非_都市ガス事業者!$O$8:$P$200,2,FALSE)),"",VLOOKUP(D43,非_都市ガス事業者!$O$8:$P$200,2,FALSE)))</f>
        <v/>
      </c>
      <c r="I43" s="610" t="str">
        <f>IF(AK43&lt;&gt;"都市ガス","",非_都市ガス事業者!$P$4)</f>
        <v/>
      </c>
      <c r="J43" s="611" t="str">
        <f>IF(C43="","",IF(AK43&lt;&gt;"都市ガス",VLOOKUP(C43,非_係数!$B$42:$D$55,2,FALSE),""))</f>
        <v/>
      </c>
      <c r="K43" s="406"/>
      <c r="L43" s="486" t="str">
        <f t="shared" si="5"/>
        <v/>
      </c>
      <c r="M43" s="225" t="str">
        <f t="shared" si="64"/>
        <v/>
      </c>
      <c r="N43" s="406"/>
      <c r="O43" s="458"/>
      <c r="P43" s="406"/>
      <c r="Q43" s="406"/>
      <c r="R43" s="451"/>
      <c r="S43" s="451"/>
      <c r="T43" s="451"/>
      <c r="U43" s="451"/>
      <c r="V43" s="451"/>
      <c r="W43" s="451"/>
      <c r="X43" s="451"/>
      <c r="Y43" s="451"/>
      <c r="Z43" s="451"/>
      <c r="AA43" s="451"/>
      <c r="AB43" s="451"/>
      <c r="AC43" s="451"/>
      <c r="AD43" s="497"/>
      <c r="AE43" s="586" t="str">
        <f t="shared" si="41"/>
        <v/>
      </c>
      <c r="AF43" s="435" t="str">
        <f t="shared" si="53"/>
        <v/>
      </c>
      <c r="AG43" s="435" t="str">
        <f>IF(C43="","",VLOOKUP(C43,非_単位!$N$38:$O$53,2,FALSE))</f>
        <v/>
      </c>
      <c r="AH43" s="586" t="str">
        <f t="shared" si="54"/>
        <v/>
      </c>
      <c r="AI43" s="587" t="str">
        <f t="shared" si="55"/>
        <v/>
      </c>
      <c r="AK43" s="466" t="str">
        <f t="shared" si="56"/>
        <v/>
      </c>
      <c r="AL43" s="466" t="str">
        <f>IF(B43="","",IF(B43=非_燃料種類_選択リスト!$I$3,"一般送配電_種類",IF(B43=非_燃料種類_選択リスト!$I$4,"一般送配電以外_種類",IF(B43=非_燃料種類_選択リスト!$I$5,"熱_種類",IF(B43=非_燃料種類_選択リスト!$I$6,"都市ガス_種類","")))))</f>
        <v/>
      </c>
      <c r="AM43" s="466" t="str">
        <f>IF(AK43&lt;&gt;"電気","",非_電気事業者!$S$4*1000)</f>
        <v/>
      </c>
      <c r="AN43" s="466" t="str">
        <f>IF(AK43&lt;&gt;"電気","",IF(ISERROR(VLOOKUP(D43&amp;F43,非_電気事業者!$R$9:$S$2000,2,FALSE)),"要記入",VLOOKUP(D43&amp;F43,非_電気事業者!$R$9:$S$2000,2,FALSE)*1000))</f>
        <v/>
      </c>
      <c r="AO43" s="466" t="str">
        <f>IF(AK43&lt;&gt;"熱","",非_熱供給事業者!$T$4)</f>
        <v/>
      </c>
      <c r="AP43" s="466" t="str">
        <f>IF(AK43&lt;&gt;"熱","",IF(ISERROR(VLOOKUP(D43&amp;F43,非_熱供給事業者!$S$8:$T$200,2,FALSE)),"要記入",VLOOKUP(D43&amp;F43,非_熱供給事業者!$S$8:$T$200,2,FALSE)))</f>
        <v/>
      </c>
      <c r="AQ43" s="466" t="str">
        <f>IF(AK43&lt;&gt;"都市ガス","",非_都市ガス事業者!$AB$4)</f>
        <v/>
      </c>
      <c r="AR43" s="466" t="str">
        <f>IF(AK43&lt;&gt;"都市ガス","",IF(ISERROR(VLOOKUP(D43&amp;F43,非_都市ガス事業者!$AA$8:$AB$200,2,FALSE)),"要記入",VLOOKUP(D43&amp;F43,非_都市ガス事業者!$AA$8:$AB$200,2,FALSE)))</f>
        <v/>
      </c>
      <c r="AS43" s="466" t="str">
        <f t="shared" si="57"/>
        <v/>
      </c>
      <c r="AT43" s="466" t="str">
        <f t="shared" si="58"/>
        <v/>
      </c>
      <c r="AU43" s="535" t="b">
        <f t="shared" si="11"/>
        <v>1</v>
      </c>
      <c r="AV43" s="466" t="str">
        <f>IF(Q43="","",VLOOKUP(Q43,非_単位補正換算!$B$3:$C$16,2,FALSE))</f>
        <v/>
      </c>
      <c r="AW43" s="466" t="str">
        <f>IF(AK43="","",IF(AK43&lt;&gt;"都市ガス",1,IF(G43="","",SUMIFS(非_単位補正換算!$D$52:$D$63,非_単位補正換算!$B$52:$B$63,"都市ガス"&amp;G43,非_単位補正換算!$C$52:$C$63,電気・熱_都市ガス!Q43))))</f>
        <v/>
      </c>
      <c r="AX43" s="527" t="str">
        <f t="shared" si="12"/>
        <v/>
      </c>
      <c r="AY43" s="466" t="str">
        <f t="shared" si="59"/>
        <v/>
      </c>
      <c r="AZ43" s="466" t="str">
        <f t="shared" si="60"/>
        <v/>
      </c>
      <c r="BA43" s="466" t="str">
        <f>IF(C43="","",VLOOKUP(C43,非_まとめ表行番号!$F$3:$H$12,2,FALSE))</f>
        <v/>
      </c>
      <c r="BB43" s="539" t="b">
        <f t="shared" si="13"/>
        <v>1</v>
      </c>
      <c r="BC43" s="637" t="str">
        <f>IF(AK43="","",IF(AK43&lt;&gt;"都市ガス",1,非_係数!$G$55))</f>
        <v/>
      </c>
      <c r="BD43" s="466" t="str">
        <f t="shared" si="61"/>
        <v/>
      </c>
      <c r="BE43" s="466" t="str">
        <f t="shared" si="62"/>
        <v/>
      </c>
      <c r="BF43" s="466" t="str">
        <f>IF(C43="","",VLOOKUP(C43,非_係数!$B$42:$K$55,9,FALSE))</f>
        <v/>
      </c>
      <c r="BG43" s="466" t="str">
        <f t="shared" si="63"/>
        <v/>
      </c>
      <c r="BH43" s="466" t="str">
        <f>IF(C43="","",VLOOKUP(C43,非_まとめ表行番号!$F$3:$H$12,3,FALSE))</f>
        <v/>
      </c>
      <c r="BI43" s="466" t="str">
        <f t="shared" si="16"/>
        <v/>
      </c>
      <c r="BK43" s="527" t="str">
        <f>IF(BA43="","",VLOOKUP(BA43,非_まとめ表行番号!$U$3:$V$56,2,FALSE))</f>
        <v/>
      </c>
      <c r="BL43" s="526" t="str">
        <f t="shared" si="17"/>
        <v/>
      </c>
      <c r="BM43" s="526" t="str">
        <f t="shared" si="18"/>
        <v/>
      </c>
      <c r="BN43" s="526" t="str">
        <f t="shared" si="19"/>
        <v/>
      </c>
      <c r="BO43" s="526" t="str">
        <f t="shared" si="20"/>
        <v/>
      </c>
      <c r="BP43" s="526" t="str">
        <f t="shared" si="21"/>
        <v/>
      </c>
      <c r="BQ43" s="526" t="str">
        <f t="shared" si="22"/>
        <v/>
      </c>
      <c r="BR43" s="526" t="str">
        <f t="shared" si="23"/>
        <v/>
      </c>
      <c r="BS43" s="635" t="str">
        <f t="shared" si="24"/>
        <v/>
      </c>
    </row>
    <row r="44" spans="1:71" ht="18.75" customHeight="1">
      <c r="A44" s="483"/>
      <c r="B44" s="406"/>
      <c r="C44" s="406"/>
      <c r="D44" s="406"/>
      <c r="E44" s="406"/>
      <c r="F44" s="499"/>
      <c r="G44" s="608"/>
      <c r="H44" s="609" t="str">
        <f>IF(AK44&lt;&gt;"都市ガス","",IF(ISERROR(VLOOKUP(D44,非_都市ガス事業者!$O$8:$P$200,2,FALSE)),"",VLOOKUP(D44,非_都市ガス事業者!$O$8:$P$200,2,FALSE)))</f>
        <v/>
      </c>
      <c r="I44" s="610" t="str">
        <f>IF(AK44&lt;&gt;"都市ガス","",非_都市ガス事業者!$P$4)</f>
        <v/>
      </c>
      <c r="J44" s="611" t="str">
        <f>IF(C44="","",IF(AK44&lt;&gt;"都市ガス",VLOOKUP(C44,非_係数!$B$42:$D$55,2,FALSE),""))</f>
        <v/>
      </c>
      <c r="K44" s="406"/>
      <c r="L44" s="486" t="str">
        <f t="shared" si="5"/>
        <v/>
      </c>
      <c r="M44" s="225" t="str">
        <f t="shared" si="64"/>
        <v/>
      </c>
      <c r="N44" s="406"/>
      <c r="O44" s="458"/>
      <c r="P44" s="406"/>
      <c r="Q44" s="406"/>
      <c r="R44" s="451"/>
      <c r="S44" s="451"/>
      <c r="T44" s="451"/>
      <c r="U44" s="451"/>
      <c r="V44" s="451"/>
      <c r="W44" s="451"/>
      <c r="X44" s="451"/>
      <c r="Y44" s="451"/>
      <c r="Z44" s="451"/>
      <c r="AA44" s="451"/>
      <c r="AB44" s="451"/>
      <c r="AC44" s="451"/>
      <c r="AD44" s="497"/>
      <c r="AE44" s="586" t="str">
        <f t="shared" si="41"/>
        <v/>
      </c>
      <c r="AF44" s="435" t="str">
        <f t="shared" si="53"/>
        <v/>
      </c>
      <c r="AG44" s="435" t="str">
        <f>IF(C44="","",VLOOKUP(C44,非_単位!$N$38:$O$53,2,FALSE))</f>
        <v/>
      </c>
      <c r="AH44" s="586" t="str">
        <f t="shared" si="54"/>
        <v/>
      </c>
      <c r="AI44" s="587" t="str">
        <f t="shared" si="55"/>
        <v/>
      </c>
      <c r="AK44" s="466" t="str">
        <f t="shared" si="56"/>
        <v/>
      </c>
      <c r="AL44" s="466" t="str">
        <f>IF(B44="","",IF(B44=非_燃料種類_選択リスト!$I$3,"一般送配電_種類",IF(B44=非_燃料種類_選択リスト!$I$4,"一般送配電以外_種類",IF(B44=非_燃料種類_選択リスト!$I$5,"熱_種類",IF(B44=非_燃料種類_選択リスト!$I$6,"都市ガス_種類","")))))</f>
        <v/>
      </c>
      <c r="AM44" s="466" t="str">
        <f>IF(AK44&lt;&gt;"電気","",非_電気事業者!$S$4*1000)</f>
        <v/>
      </c>
      <c r="AN44" s="466" t="str">
        <f>IF(AK44&lt;&gt;"電気","",IF(ISERROR(VLOOKUP(D44&amp;F44,非_電気事業者!$R$9:$S$2000,2,FALSE)),"要記入",VLOOKUP(D44&amp;F44,非_電気事業者!$R$9:$S$2000,2,FALSE)*1000))</f>
        <v/>
      </c>
      <c r="AO44" s="466" t="str">
        <f>IF(AK44&lt;&gt;"熱","",非_熱供給事業者!$T$4)</f>
        <v/>
      </c>
      <c r="AP44" s="466" t="str">
        <f>IF(AK44&lt;&gt;"熱","",IF(ISERROR(VLOOKUP(D44&amp;F44,非_熱供給事業者!$S$8:$T$200,2,FALSE)),"要記入",VLOOKUP(D44&amp;F44,非_熱供給事業者!$S$8:$T$200,2,FALSE)))</f>
        <v/>
      </c>
      <c r="AQ44" s="466" t="str">
        <f>IF(AK44&lt;&gt;"都市ガス","",非_都市ガス事業者!$AB$4)</f>
        <v/>
      </c>
      <c r="AR44" s="466" t="str">
        <f>IF(AK44&lt;&gt;"都市ガス","",IF(ISERROR(VLOOKUP(D44&amp;F44,非_都市ガス事業者!$AA$8:$AB$200,2,FALSE)),"要記入",VLOOKUP(D44&amp;F44,非_都市ガス事業者!$AA$8:$AB$200,2,FALSE)))</f>
        <v/>
      </c>
      <c r="AS44" s="466" t="str">
        <f t="shared" si="57"/>
        <v/>
      </c>
      <c r="AT44" s="466" t="str">
        <f t="shared" si="58"/>
        <v/>
      </c>
      <c r="AU44" s="535" t="b">
        <f t="shared" si="11"/>
        <v>1</v>
      </c>
      <c r="AV44" s="466" t="str">
        <f>IF(Q44="","",VLOOKUP(Q44,非_単位補正換算!$B$3:$C$16,2,FALSE))</f>
        <v/>
      </c>
      <c r="AW44" s="466" t="str">
        <f>IF(AK44="","",IF(AK44&lt;&gt;"都市ガス",1,IF(G44="","",SUMIFS(非_単位補正換算!$D$52:$D$63,非_単位補正換算!$B$52:$B$63,"都市ガス"&amp;G44,非_単位補正換算!$C$52:$C$63,電気・熱_都市ガス!Q44))))</f>
        <v/>
      </c>
      <c r="AX44" s="527" t="str">
        <f t="shared" si="12"/>
        <v/>
      </c>
      <c r="AY44" s="466" t="str">
        <f t="shared" si="59"/>
        <v/>
      </c>
      <c r="AZ44" s="466" t="str">
        <f t="shared" si="60"/>
        <v/>
      </c>
      <c r="BA44" s="466" t="str">
        <f>IF(C44="","",VLOOKUP(C44,非_まとめ表行番号!$F$3:$H$12,2,FALSE))</f>
        <v/>
      </c>
      <c r="BB44" s="539" t="b">
        <f t="shared" si="13"/>
        <v>1</v>
      </c>
      <c r="BC44" s="637" t="str">
        <f>IF(AK44="","",IF(AK44&lt;&gt;"都市ガス",1,非_係数!$G$55))</f>
        <v/>
      </c>
      <c r="BD44" s="466" t="str">
        <f t="shared" si="61"/>
        <v/>
      </c>
      <c r="BE44" s="466" t="str">
        <f t="shared" si="62"/>
        <v/>
      </c>
      <c r="BF44" s="466" t="str">
        <f>IF(C44="","",VLOOKUP(C44,非_係数!$B$42:$K$55,9,FALSE))</f>
        <v/>
      </c>
      <c r="BG44" s="466" t="str">
        <f t="shared" si="63"/>
        <v/>
      </c>
      <c r="BH44" s="466" t="str">
        <f>IF(C44="","",VLOOKUP(C44,非_まとめ表行番号!$F$3:$H$12,3,FALSE))</f>
        <v/>
      </c>
      <c r="BI44" s="466" t="str">
        <f t="shared" si="16"/>
        <v/>
      </c>
      <c r="BK44" s="527" t="str">
        <f>IF(BA44="","",VLOOKUP(BA44,非_まとめ表行番号!$U$3:$V$56,2,FALSE))</f>
        <v/>
      </c>
      <c r="BL44" s="526" t="str">
        <f t="shared" si="17"/>
        <v/>
      </c>
      <c r="BM44" s="526" t="str">
        <f t="shared" si="18"/>
        <v/>
      </c>
      <c r="BN44" s="526" t="str">
        <f t="shared" si="19"/>
        <v/>
      </c>
      <c r="BO44" s="526" t="str">
        <f t="shared" si="20"/>
        <v/>
      </c>
      <c r="BP44" s="526" t="str">
        <f t="shared" si="21"/>
        <v/>
      </c>
      <c r="BQ44" s="526" t="str">
        <f t="shared" si="22"/>
        <v/>
      </c>
      <c r="BR44" s="526" t="str">
        <f t="shared" si="23"/>
        <v/>
      </c>
      <c r="BS44" s="635" t="str">
        <f t="shared" si="24"/>
        <v/>
      </c>
    </row>
    <row r="45" spans="1:71" ht="18.75" customHeight="1">
      <c r="A45" s="483"/>
      <c r="B45" s="406"/>
      <c r="C45" s="406"/>
      <c r="D45" s="406"/>
      <c r="E45" s="406"/>
      <c r="F45" s="499"/>
      <c r="G45" s="608"/>
      <c r="H45" s="609" t="str">
        <f>IF(AK45&lt;&gt;"都市ガス","",IF(ISERROR(VLOOKUP(D45,非_都市ガス事業者!$O$8:$P$200,2,FALSE)),"",VLOOKUP(D45,非_都市ガス事業者!$O$8:$P$200,2,FALSE)))</f>
        <v/>
      </c>
      <c r="I45" s="610" t="str">
        <f>IF(AK45&lt;&gt;"都市ガス","",非_都市ガス事業者!$P$4)</f>
        <v/>
      </c>
      <c r="J45" s="611" t="str">
        <f>IF(C45="","",IF(AK45&lt;&gt;"都市ガス",VLOOKUP(C45,非_係数!$B$42:$D$55,2,FALSE),""))</f>
        <v/>
      </c>
      <c r="K45" s="406"/>
      <c r="L45" s="486" t="str">
        <f t="shared" si="5"/>
        <v/>
      </c>
      <c r="M45" s="225" t="str">
        <f t="shared" si="64"/>
        <v/>
      </c>
      <c r="N45" s="406"/>
      <c r="O45" s="458"/>
      <c r="P45" s="406"/>
      <c r="Q45" s="406"/>
      <c r="R45" s="451"/>
      <c r="S45" s="451"/>
      <c r="T45" s="451"/>
      <c r="U45" s="451"/>
      <c r="V45" s="451"/>
      <c r="W45" s="451"/>
      <c r="X45" s="451"/>
      <c r="Y45" s="451"/>
      <c r="Z45" s="451"/>
      <c r="AA45" s="451"/>
      <c r="AB45" s="451"/>
      <c r="AC45" s="451"/>
      <c r="AD45" s="497"/>
      <c r="AE45" s="586" t="str">
        <f t="shared" si="41"/>
        <v/>
      </c>
      <c r="AF45" s="435" t="str">
        <f t="shared" si="53"/>
        <v/>
      </c>
      <c r="AG45" s="435" t="str">
        <f>IF(C45="","",VLOOKUP(C45,非_単位!$N$38:$O$53,2,FALSE))</f>
        <v/>
      </c>
      <c r="AH45" s="586" t="str">
        <f t="shared" si="54"/>
        <v/>
      </c>
      <c r="AI45" s="587" t="str">
        <f t="shared" si="55"/>
        <v/>
      </c>
      <c r="AK45" s="466" t="str">
        <f t="shared" si="56"/>
        <v/>
      </c>
      <c r="AL45" s="466" t="str">
        <f>IF(B45="","",IF(B45=非_燃料種類_選択リスト!$I$3,"一般送配電_種類",IF(B45=非_燃料種類_選択リスト!$I$4,"一般送配電以外_種類",IF(B45=非_燃料種類_選択リスト!$I$5,"熱_種類",IF(B45=非_燃料種類_選択リスト!$I$6,"都市ガス_種類","")))))</f>
        <v/>
      </c>
      <c r="AM45" s="466" t="str">
        <f>IF(AK45&lt;&gt;"電気","",非_電気事業者!$S$4*1000)</f>
        <v/>
      </c>
      <c r="AN45" s="466" t="str">
        <f>IF(AK45&lt;&gt;"電気","",IF(ISERROR(VLOOKUP(D45&amp;F45,非_電気事業者!$R$9:$S$2000,2,FALSE)),"要記入",VLOOKUP(D45&amp;F45,非_電気事業者!$R$9:$S$2000,2,FALSE)*1000))</f>
        <v/>
      </c>
      <c r="AO45" s="466" t="str">
        <f>IF(AK45&lt;&gt;"熱","",非_熱供給事業者!$T$4)</f>
        <v/>
      </c>
      <c r="AP45" s="466" t="str">
        <f>IF(AK45&lt;&gt;"熱","",IF(ISERROR(VLOOKUP(D45&amp;F45,非_熱供給事業者!$S$8:$T$200,2,FALSE)),"要記入",VLOOKUP(D45&amp;F45,非_熱供給事業者!$S$8:$T$200,2,FALSE)))</f>
        <v/>
      </c>
      <c r="AQ45" s="466" t="str">
        <f>IF(AK45&lt;&gt;"都市ガス","",非_都市ガス事業者!$AB$4)</f>
        <v/>
      </c>
      <c r="AR45" s="466" t="str">
        <f>IF(AK45&lt;&gt;"都市ガス","",IF(ISERROR(VLOOKUP(D45&amp;F45,非_都市ガス事業者!$AA$8:$AB$200,2,FALSE)),"要記入",VLOOKUP(D45&amp;F45,非_都市ガス事業者!$AA$8:$AB$200,2,FALSE)))</f>
        <v/>
      </c>
      <c r="AS45" s="466" t="str">
        <f t="shared" si="57"/>
        <v/>
      </c>
      <c r="AT45" s="466" t="str">
        <f t="shared" si="58"/>
        <v/>
      </c>
      <c r="AU45" s="535" t="b">
        <f t="shared" si="11"/>
        <v>1</v>
      </c>
      <c r="AV45" s="466" t="str">
        <f>IF(Q45="","",VLOOKUP(Q45,非_単位補正換算!$B$3:$C$16,2,FALSE))</f>
        <v/>
      </c>
      <c r="AW45" s="466" t="str">
        <f>IF(AK45="","",IF(AK45&lt;&gt;"都市ガス",1,IF(G45="","",SUMIFS(非_単位補正換算!$D$52:$D$63,非_単位補正換算!$B$52:$B$63,"都市ガス"&amp;G45,非_単位補正換算!$C$52:$C$63,電気・熱_都市ガス!Q45))))</f>
        <v/>
      </c>
      <c r="AX45" s="527" t="str">
        <f t="shared" si="12"/>
        <v/>
      </c>
      <c r="AY45" s="466" t="str">
        <f t="shared" si="59"/>
        <v/>
      </c>
      <c r="AZ45" s="466" t="str">
        <f t="shared" si="60"/>
        <v/>
      </c>
      <c r="BA45" s="466" t="str">
        <f>IF(C45="","",VLOOKUP(C45,非_まとめ表行番号!$F$3:$H$12,2,FALSE))</f>
        <v/>
      </c>
      <c r="BB45" s="539" t="b">
        <f t="shared" si="13"/>
        <v>1</v>
      </c>
      <c r="BC45" s="637" t="str">
        <f>IF(AK45="","",IF(AK45&lt;&gt;"都市ガス",1,非_係数!$G$55))</f>
        <v/>
      </c>
      <c r="BD45" s="466" t="str">
        <f t="shared" si="61"/>
        <v/>
      </c>
      <c r="BE45" s="466" t="str">
        <f t="shared" si="62"/>
        <v/>
      </c>
      <c r="BF45" s="466" t="str">
        <f>IF(C45="","",VLOOKUP(C45,非_係数!$B$42:$K$55,9,FALSE))</f>
        <v/>
      </c>
      <c r="BG45" s="466" t="str">
        <f t="shared" si="63"/>
        <v/>
      </c>
      <c r="BH45" s="466" t="str">
        <f>IF(C45="","",VLOOKUP(C45,非_まとめ表行番号!$F$3:$H$12,3,FALSE))</f>
        <v/>
      </c>
      <c r="BI45" s="466" t="str">
        <f t="shared" si="16"/>
        <v/>
      </c>
      <c r="BK45" s="527" t="str">
        <f>IF(BA45="","",VLOOKUP(BA45,非_まとめ表行番号!$U$3:$V$56,2,FALSE))</f>
        <v/>
      </c>
      <c r="BL45" s="526" t="str">
        <f t="shared" si="17"/>
        <v/>
      </c>
      <c r="BM45" s="526" t="str">
        <f t="shared" si="18"/>
        <v/>
      </c>
      <c r="BN45" s="526" t="str">
        <f t="shared" si="19"/>
        <v/>
      </c>
      <c r="BO45" s="526" t="str">
        <f t="shared" si="20"/>
        <v/>
      </c>
      <c r="BP45" s="526" t="str">
        <f t="shared" si="21"/>
        <v/>
      </c>
      <c r="BQ45" s="526" t="str">
        <f t="shared" si="22"/>
        <v/>
      </c>
      <c r="BR45" s="526" t="str">
        <f t="shared" si="23"/>
        <v/>
      </c>
      <c r="BS45" s="635" t="str">
        <f t="shared" si="24"/>
        <v/>
      </c>
    </row>
    <row r="46" spans="1:71" ht="18.75" customHeight="1">
      <c r="A46" s="483"/>
      <c r="B46" s="406"/>
      <c r="C46" s="406"/>
      <c r="D46" s="406"/>
      <c r="E46" s="406"/>
      <c r="F46" s="499"/>
      <c r="G46" s="608"/>
      <c r="H46" s="609" t="str">
        <f>IF(AK46&lt;&gt;"都市ガス","",IF(ISERROR(VLOOKUP(D46,非_都市ガス事業者!$O$8:$P$200,2,FALSE)),"",VLOOKUP(D46,非_都市ガス事業者!$O$8:$P$200,2,FALSE)))</f>
        <v/>
      </c>
      <c r="I46" s="610" t="str">
        <f>IF(AK46&lt;&gt;"都市ガス","",非_都市ガス事業者!$P$4)</f>
        <v/>
      </c>
      <c r="J46" s="611" t="str">
        <f>IF(C46="","",IF(AK46&lt;&gt;"都市ガス",VLOOKUP(C46,非_係数!$B$42:$D$55,2,FALSE),""))</f>
        <v/>
      </c>
      <c r="K46" s="406"/>
      <c r="L46" s="486" t="str">
        <f t="shared" si="5"/>
        <v/>
      </c>
      <c r="M46" s="225" t="str">
        <f t="shared" si="64"/>
        <v/>
      </c>
      <c r="N46" s="406"/>
      <c r="O46" s="458"/>
      <c r="P46" s="406"/>
      <c r="Q46" s="406"/>
      <c r="R46" s="451"/>
      <c r="S46" s="451"/>
      <c r="T46" s="451"/>
      <c r="U46" s="451"/>
      <c r="V46" s="451"/>
      <c r="W46" s="451"/>
      <c r="X46" s="451"/>
      <c r="Y46" s="451"/>
      <c r="Z46" s="451"/>
      <c r="AA46" s="451"/>
      <c r="AB46" s="451"/>
      <c r="AC46" s="451"/>
      <c r="AD46" s="497"/>
      <c r="AE46" s="586" t="str">
        <f t="shared" si="41"/>
        <v/>
      </c>
      <c r="AF46" s="435" t="str">
        <f t="shared" si="53"/>
        <v/>
      </c>
      <c r="AG46" s="435" t="str">
        <f>IF(C46="","",VLOOKUP(C46,非_単位!$N$38:$O$53,2,FALSE))</f>
        <v/>
      </c>
      <c r="AH46" s="586" t="str">
        <f t="shared" si="54"/>
        <v/>
      </c>
      <c r="AI46" s="587" t="str">
        <f t="shared" si="55"/>
        <v/>
      </c>
      <c r="AK46" s="466" t="str">
        <f t="shared" si="56"/>
        <v/>
      </c>
      <c r="AL46" s="466" t="str">
        <f>IF(B46="","",IF(B46=非_燃料種類_選択リスト!$I$3,"一般送配電_種類",IF(B46=非_燃料種類_選択リスト!$I$4,"一般送配電以外_種類",IF(B46=非_燃料種類_選択リスト!$I$5,"熱_種類",IF(B46=非_燃料種類_選択リスト!$I$6,"都市ガス_種類","")))))</f>
        <v/>
      </c>
      <c r="AM46" s="466" t="str">
        <f>IF(AK46&lt;&gt;"電気","",非_電気事業者!$S$4*1000)</f>
        <v/>
      </c>
      <c r="AN46" s="466" t="str">
        <f>IF(AK46&lt;&gt;"電気","",IF(ISERROR(VLOOKUP(D46&amp;F46,非_電気事業者!$R$9:$S$2000,2,FALSE)),"要記入",VLOOKUP(D46&amp;F46,非_電気事業者!$R$9:$S$2000,2,FALSE)*1000))</f>
        <v/>
      </c>
      <c r="AO46" s="466" t="str">
        <f>IF(AK46&lt;&gt;"熱","",非_熱供給事業者!$T$4)</f>
        <v/>
      </c>
      <c r="AP46" s="466" t="str">
        <f>IF(AK46&lt;&gt;"熱","",IF(ISERROR(VLOOKUP(D46&amp;F46,非_熱供給事業者!$S$8:$T$200,2,FALSE)),"要記入",VLOOKUP(D46&amp;F46,非_熱供給事業者!$S$8:$T$200,2,FALSE)))</f>
        <v/>
      </c>
      <c r="AQ46" s="466" t="str">
        <f>IF(AK46&lt;&gt;"都市ガス","",非_都市ガス事業者!$AB$4)</f>
        <v/>
      </c>
      <c r="AR46" s="466" t="str">
        <f>IF(AK46&lt;&gt;"都市ガス","",IF(ISERROR(VLOOKUP(D46&amp;F46,非_都市ガス事業者!$AA$8:$AB$200,2,FALSE)),"要記入",VLOOKUP(D46&amp;F46,非_都市ガス事業者!$AA$8:$AB$200,2,FALSE)))</f>
        <v/>
      </c>
      <c r="AS46" s="466" t="str">
        <f t="shared" si="57"/>
        <v/>
      </c>
      <c r="AT46" s="466" t="str">
        <f t="shared" si="58"/>
        <v/>
      </c>
      <c r="AU46" s="535" t="b">
        <f t="shared" si="11"/>
        <v>1</v>
      </c>
      <c r="AV46" s="466" t="str">
        <f>IF(Q46="","",VLOOKUP(Q46,非_単位補正換算!$B$3:$C$16,2,FALSE))</f>
        <v/>
      </c>
      <c r="AW46" s="466" t="str">
        <f>IF(AK46="","",IF(AK46&lt;&gt;"都市ガス",1,IF(G46="","",SUMIFS(非_単位補正換算!$D$52:$D$63,非_単位補正換算!$B$52:$B$63,"都市ガス"&amp;G46,非_単位補正換算!$C$52:$C$63,電気・熱_都市ガス!Q46))))</f>
        <v/>
      </c>
      <c r="AX46" s="527" t="str">
        <f t="shared" si="12"/>
        <v/>
      </c>
      <c r="AY46" s="466" t="str">
        <f t="shared" si="59"/>
        <v/>
      </c>
      <c r="AZ46" s="466" t="str">
        <f t="shared" si="60"/>
        <v/>
      </c>
      <c r="BA46" s="466" t="str">
        <f>IF(C46="","",VLOOKUP(C46,非_まとめ表行番号!$F$3:$H$12,2,FALSE))</f>
        <v/>
      </c>
      <c r="BB46" s="539" t="b">
        <f t="shared" si="13"/>
        <v>1</v>
      </c>
      <c r="BC46" s="637" t="str">
        <f>IF(AK46="","",IF(AK46&lt;&gt;"都市ガス",1,非_係数!$G$55))</f>
        <v/>
      </c>
      <c r="BD46" s="466" t="str">
        <f t="shared" si="61"/>
        <v/>
      </c>
      <c r="BE46" s="466" t="str">
        <f t="shared" si="62"/>
        <v/>
      </c>
      <c r="BF46" s="466" t="str">
        <f>IF(C46="","",VLOOKUP(C46,非_係数!$B$42:$K$55,9,FALSE))</f>
        <v/>
      </c>
      <c r="BG46" s="466" t="str">
        <f t="shared" si="63"/>
        <v/>
      </c>
      <c r="BH46" s="466" t="str">
        <f>IF(C46="","",VLOOKUP(C46,非_まとめ表行番号!$F$3:$H$12,3,FALSE))</f>
        <v/>
      </c>
      <c r="BI46" s="466" t="str">
        <f t="shared" si="16"/>
        <v/>
      </c>
      <c r="BK46" s="527" t="str">
        <f>IF(BA46="","",VLOOKUP(BA46,非_まとめ表行番号!$U$3:$V$56,2,FALSE))</f>
        <v/>
      </c>
      <c r="BL46" s="526" t="str">
        <f t="shared" si="17"/>
        <v/>
      </c>
      <c r="BM46" s="526" t="str">
        <f t="shared" si="18"/>
        <v/>
      </c>
      <c r="BN46" s="526" t="str">
        <f t="shared" si="19"/>
        <v/>
      </c>
      <c r="BO46" s="526" t="str">
        <f t="shared" si="20"/>
        <v/>
      </c>
      <c r="BP46" s="526" t="str">
        <f t="shared" si="21"/>
        <v/>
      </c>
      <c r="BQ46" s="526" t="str">
        <f t="shared" si="22"/>
        <v/>
      </c>
      <c r="BR46" s="526" t="str">
        <f t="shared" si="23"/>
        <v/>
      </c>
      <c r="BS46" s="635" t="str">
        <f t="shared" si="24"/>
        <v/>
      </c>
    </row>
    <row r="47" spans="1:71" ht="18.75" customHeight="1">
      <c r="A47" s="483"/>
      <c r="B47" s="406"/>
      <c r="C47" s="406"/>
      <c r="D47" s="406"/>
      <c r="E47" s="406"/>
      <c r="F47" s="499"/>
      <c r="G47" s="608"/>
      <c r="H47" s="609" t="str">
        <f>IF(AK47&lt;&gt;"都市ガス","",IF(ISERROR(VLOOKUP(D47,非_都市ガス事業者!$O$8:$P$200,2,FALSE)),"",VLOOKUP(D47,非_都市ガス事業者!$O$8:$P$200,2,FALSE)))</f>
        <v/>
      </c>
      <c r="I47" s="610" t="str">
        <f>IF(AK47&lt;&gt;"都市ガス","",非_都市ガス事業者!$P$4)</f>
        <v/>
      </c>
      <c r="J47" s="611" t="str">
        <f>IF(C47="","",IF(AK47&lt;&gt;"都市ガス",VLOOKUP(C47,非_係数!$B$42:$D$55,2,FALSE),""))</f>
        <v/>
      </c>
      <c r="K47" s="406"/>
      <c r="L47" s="486" t="str">
        <f t="shared" si="5"/>
        <v/>
      </c>
      <c r="M47" s="225" t="str">
        <f t="shared" si="6"/>
        <v/>
      </c>
      <c r="N47" s="406"/>
      <c r="O47" s="458"/>
      <c r="P47" s="406"/>
      <c r="Q47" s="406"/>
      <c r="R47" s="451"/>
      <c r="S47" s="451"/>
      <c r="T47" s="451"/>
      <c r="U47" s="451"/>
      <c r="V47" s="451"/>
      <c r="W47" s="451"/>
      <c r="X47" s="451"/>
      <c r="Y47" s="451"/>
      <c r="Z47" s="451"/>
      <c r="AA47" s="451"/>
      <c r="AB47" s="451"/>
      <c r="AC47" s="451"/>
      <c r="AD47" s="497"/>
      <c r="AE47" s="586" t="str">
        <f t="shared" si="41"/>
        <v/>
      </c>
      <c r="AF47" s="435" t="str">
        <f t="shared" si="42"/>
        <v/>
      </c>
      <c r="AG47" s="435" t="str">
        <f>IF(C47="","",VLOOKUP(C47,非_単位!$N$38:$O$53,2,FALSE))</f>
        <v/>
      </c>
      <c r="AH47" s="586" t="str">
        <f t="shared" si="43"/>
        <v/>
      </c>
      <c r="AI47" s="587" t="str">
        <f t="shared" si="44"/>
        <v/>
      </c>
      <c r="AK47" s="466" t="str">
        <f t="shared" si="0"/>
        <v/>
      </c>
      <c r="AL47" s="466" t="str">
        <f>IF(B47="","",IF(B47=非_燃料種類_選択リスト!$I$3,"一般送配電_種類",IF(B47=非_燃料種類_選択リスト!$I$4,"一般送配電以外_種類",IF(B47=非_燃料種類_選択リスト!$I$5,"熱_種類",IF(B47=非_燃料種類_選択リスト!$I$6,"都市ガス_種類","")))))</f>
        <v/>
      </c>
      <c r="AM47" s="466" t="str">
        <f>IF(AK47&lt;&gt;"電気","",非_電気事業者!$S$4*1000)</f>
        <v/>
      </c>
      <c r="AN47" s="466" t="str">
        <f>IF(AK47&lt;&gt;"電気","",IF(ISERROR(VLOOKUP(D47&amp;F47,非_電気事業者!$R$9:$S$2000,2,FALSE)),"要記入",VLOOKUP(D47&amp;F47,非_電気事業者!$R$9:$S$2000,2,FALSE)*1000))</f>
        <v/>
      </c>
      <c r="AO47" s="466" t="str">
        <f>IF(AK47&lt;&gt;"熱","",非_熱供給事業者!$T$4)</f>
        <v/>
      </c>
      <c r="AP47" s="466" t="str">
        <f>IF(AK47&lt;&gt;"熱","",IF(ISERROR(VLOOKUP(D47&amp;F47,非_熱供給事業者!$S$8:$T$200,2,FALSE)),"要記入",VLOOKUP(D47&amp;F47,非_熱供給事業者!$S$8:$T$200,2,FALSE)))</f>
        <v/>
      </c>
      <c r="AQ47" s="466" t="str">
        <f>IF(AK47&lt;&gt;"都市ガス","",非_都市ガス事業者!$AB$4)</f>
        <v/>
      </c>
      <c r="AR47" s="466" t="str">
        <f>IF(AK47&lt;&gt;"都市ガス","",IF(ISERROR(VLOOKUP(D47&amp;F47,非_都市ガス事業者!$AA$8:$AB$200,2,FALSE)),"要記入",VLOOKUP(D47&amp;F47,非_都市ガス事業者!$AA$8:$AB$200,2,FALSE)))</f>
        <v/>
      </c>
      <c r="AS47" s="466" t="str">
        <f t="shared" si="1"/>
        <v/>
      </c>
      <c r="AT47" s="466" t="str">
        <f t="shared" si="10"/>
        <v/>
      </c>
      <c r="AU47" s="535" t="b">
        <f t="shared" si="11"/>
        <v>1</v>
      </c>
      <c r="AV47" s="466" t="str">
        <f>IF(Q47="","",VLOOKUP(Q47,非_単位補正換算!$B$3:$C$16,2,FALSE))</f>
        <v/>
      </c>
      <c r="AW47" s="466" t="str">
        <f>IF(AK47="","",IF(AK47&lt;&gt;"都市ガス",1,IF(G47="","",SUMIFS(非_単位補正換算!$D$52:$D$63,非_単位補正換算!$B$52:$B$63,"都市ガス"&amp;G47,非_単位補正換算!$C$52:$C$63,電気・熱_都市ガス!Q47))))</f>
        <v/>
      </c>
      <c r="AX47" s="527" t="str">
        <f t="shared" si="12"/>
        <v/>
      </c>
      <c r="AY47" s="466" t="str">
        <f t="shared" si="2"/>
        <v/>
      </c>
      <c r="AZ47" s="466" t="str">
        <f t="shared" si="3"/>
        <v/>
      </c>
      <c r="BA47" s="466" t="str">
        <f>IF(C47="","",VLOOKUP(C47,非_まとめ表行番号!$F$3:$H$12,2,FALSE))</f>
        <v/>
      </c>
      <c r="BB47" s="539" t="b">
        <f t="shared" si="13"/>
        <v>1</v>
      </c>
      <c r="BC47" s="637" t="str">
        <f>IF(AK47="","",IF(AK47&lt;&gt;"都市ガス",1,非_係数!$G$55))</f>
        <v/>
      </c>
      <c r="BD47" s="466" t="str">
        <f t="shared" si="14"/>
        <v/>
      </c>
      <c r="BE47" s="466" t="str">
        <f t="shared" si="4"/>
        <v/>
      </c>
      <c r="BF47" s="466" t="str">
        <f>IF(C47="","",VLOOKUP(C47,非_係数!$B$42:$K$55,9,FALSE))</f>
        <v/>
      </c>
      <c r="BG47" s="466" t="str">
        <f t="shared" si="15"/>
        <v/>
      </c>
      <c r="BH47" s="466" t="str">
        <f>IF(C47="","",VLOOKUP(C47,非_まとめ表行番号!$F$3:$H$12,3,FALSE))</f>
        <v/>
      </c>
      <c r="BI47" s="466" t="str">
        <f t="shared" si="16"/>
        <v/>
      </c>
      <c r="BK47" s="527" t="str">
        <f>IF(BA47="","",VLOOKUP(BA47,非_まとめ表行番号!$U$3:$V$56,2,FALSE))</f>
        <v/>
      </c>
      <c r="BL47" s="526" t="str">
        <f t="shared" si="17"/>
        <v/>
      </c>
      <c r="BM47" s="526" t="str">
        <f t="shared" si="18"/>
        <v/>
      </c>
      <c r="BN47" s="526" t="str">
        <f t="shared" si="19"/>
        <v/>
      </c>
      <c r="BO47" s="526" t="str">
        <f t="shared" si="20"/>
        <v/>
      </c>
      <c r="BP47" s="526" t="str">
        <f t="shared" si="21"/>
        <v/>
      </c>
      <c r="BQ47" s="526" t="str">
        <f t="shared" si="22"/>
        <v/>
      </c>
      <c r="BR47" s="526" t="str">
        <f t="shared" si="23"/>
        <v/>
      </c>
      <c r="BS47" s="635" t="str">
        <f t="shared" si="24"/>
        <v/>
      </c>
    </row>
    <row r="48" spans="1:71" ht="18.75" customHeight="1">
      <c r="A48" s="483"/>
      <c r="B48" s="406"/>
      <c r="C48" s="406"/>
      <c r="D48" s="406"/>
      <c r="E48" s="406"/>
      <c r="F48" s="499"/>
      <c r="G48" s="608"/>
      <c r="H48" s="609" t="str">
        <f>IF(AK48&lt;&gt;"都市ガス","",IF(ISERROR(VLOOKUP(D48,非_都市ガス事業者!$O$8:$P$200,2,FALSE)),"",VLOOKUP(D48,非_都市ガス事業者!$O$8:$P$200,2,FALSE)))</f>
        <v/>
      </c>
      <c r="I48" s="610" t="str">
        <f>IF(AK48&lt;&gt;"都市ガス","",非_都市ガス事業者!$P$4)</f>
        <v/>
      </c>
      <c r="J48" s="611" t="str">
        <f>IF(C48="","",IF(AK48&lt;&gt;"都市ガス",VLOOKUP(C48,非_係数!$B$42:$D$55,2,FALSE),""))</f>
        <v/>
      </c>
      <c r="K48" s="406"/>
      <c r="L48" s="486" t="str">
        <f t="shared" si="5"/>
        <v/>
      </c>
      <c r="M48" s="225" t="str">
        <f t="shared" si="6"/>
        <v/>
      </c>
      <c r="N48" s="406"/>
      <c r="O48" s="458"/>
      <c r="P48" s="406"/>
      <c r="Q48" s="406"/>
      <c r="R48" s="451"/>
      <c r="S48" s="451"/>
      <c r="T48" s="451"/>
      <c r="U48" s="451"/>
      <c r="V48" s="451"/>
      <c r="W48" s="451"/>
      <c r="X48" s="451"/>
      <c r="Y48" s="451"/>
      <c r="Z48" s="451"/>
      <c r="AA48" s="451"/>
      <c r="AB48" s="451"/>
      <c r="AC48" s="451"/>
      <c r="AD48" s="497"/>
      <c r="AE48" s="586" t="str">
        <f t="shared" si="41"/>
        <v/>
      </c>
      <c r="AF48" s="435" t="str">
        <f t="shared" si="7"/>
        <v/>
      </c>
      <c r="AG48" s="435" t="str">
        <f>IF(C48="","",VLOOKUP(C48,非_単位!$N$38:$O$53,2,FALSE))</f>
        <v/>
      </c>
      <c r="AH48" s="586" t="str">
        <f t="shared" si="8"/>
        <v/>
      </c>
      <c r="AI48" s="587" t="str">
        <f t="shared" si="9"/>
        <v/>
      </c>
      <c r="AK48" s="466" t="str">
        <f t="shared" si="0"/>
        <v/>
      </c>
      <c r="AL48" s="466" t="str">
        <f>IF(B48="","",IF(B48=非_燃料種類_選択リスト!$I$3,"一般送配電_種類",IF(B48=非_燃料種類_選択リスト!$I$4,"一般送配電以外_種類",IF(B48=非_燃料種類_選択リスト!$I$5,"熱_種類",IF(B48=非_燃料種類_選択リスト!$I$6,"都市ガス_種類","")))))</f>
        <v/>
      </c>
      <c r="AM48" s="466" t="str">
        <f>IF(AK48&lt;&gt;"電気","",非_電気事業者!$S$4*1000)</f>
        <v/>
      </c>
      <c r="AN48" s="466" t="str">
        <f>IF(AK48&lt;&gt;"電気","",IF(ISERROR(VLOOKUP(D48&amp;F48,非_電気事業者!$R$9:$S$2000,2,FALSE)),"要記入",VLOOKUP(D48&amp;F48,非_電気事業者!$R$9:$S$2000,2,FALSE)*1000))</f>
        <v/>
      </c>
      <c r="AO48" s="466" t="str">
        <f>IF(AK48&lt;&gt;"熱","",非_熱供給事業者!$T$4)</f>
        <v/>
      </c>
      <c r="AP48" s="466" t="str">
        <f>IF(AK48&lt;&gt;"熱","",IF(ISERROR(VLOOKUP(D48&amp;F48,非_熱供給事業者!$S$8:$T$200,2,FALSE)),"要記入",VLOOKUP(D48&amp;F48,非_熱供給事業者!$S$8:$T$200,2,FALSE)))</f>
        <v/>
      </c>
      <c r="AQ48" s="466" t="str">
        <f>IF(AK48&lt;&gt;"都市ガス","",非_都市ガス事業者!$AB$4)</f>
        <v/>
      </c>
      <c r="AR48" s="466" t="str">
        <f>IF(AK48&lt;&gt;"都市ガス","",IF(ISERROR(VLOOKUP(D48&amp;F48,非_都市ガス事業者!$AA$8:$AB$200,2,FALSE)),"要記入",VLOOKUP(D48&amp;F48,非_都市ガス事業者!$AA$8:$AB$200,2,FALSE)))</f>
        <v/>
      </c>
      <c r="AS48" s="466" t="str">
        <f t="shared" si="1"/>
        <v/>
      </c>
      <c r="AT48" s="466" t="str">
        <f t="shared" si="10"/>
        <v/>
      </c>
      <c r="AU48" s="535" t="b">
        <f t="shared" si="11"/>
        <v>1</v>
      </c>
      <c r="AV48" s="466" t="str">
        <f>IF(Q48="","",VLOOKUP(Q48,非_単位補正換算!$B$3:$C$16,2,FALSE))</f>
        <v/>
      </c>
      <c r="AW48" s="466" t="str">
        <f>IF(AK48="","",IF(AK48&lt;&gt;"都市ガス",1,IF(G48="","",SUMIFS(非_単位補正換算!$D$52:$D$63,非_単位補正換算!$B$52:$B$63,"都市ガス"&amp;G48,非_単位補正換算!$C$52:$C$63,電気・熱_都市ガス!Q48))))</f>
        <v/>
      </c>
      <c r="AX48" s="527" t="str">
        <f t="shared" si="12"/>
        <v/>
      </c>
      <c r="AY48" s="466" t="str">
        <f t="shared" si="2"/>
        <v/>
      </c>
      <c r="AZ48" s="466" t="str">
        <f t="shared" si="3"/>
        <v/>
      </c>
      <c r="BA48" s="466" t="str">
        <f>IF(C48="","",VLOOKUP(C48,非_まとめ表行番号!$F$3:$H$12,2,FALSE))</f>
        <v/>
      </c>
      <c r="BB48" s="539" t="b">
        <f t="shared" si="13"/>
        <v>1</v>
      </c>
      <c r="BC48" s="637" t="str">
        <f>IF(AK48="","",IF(AK48&lt;&gt;"都市ガス",1,非_係数!$G$55))</f>
        <v/>
      </c>
      <c r="BD48" s="466" t="str">
        <f t="shared" si="14"/>
        <v/>
      </c>
      <c r="BE48" s="466" t="str">
        <f t="shared" si="4"/>
        <v/>
      </c>
      <c r="BF48" s="466" t="str">
        <f>IF(C48="","",VLOOKUP(C48,非_係数!$B$42:$K$55,9,FALSE))</f>
        <v/>
      </c>
      <c r="BG48" s="466" t="str">
        <f t="shared" si="15"/>
        <v/>
      </c>
      <c r="BH48" s="466" t="str">
        <f>IF(C48="","",VLOOKUP(C48,非_まとめ表行番号!$F$3:$H$12,3,FALSE))</f>
        <v/>
      </c>
      <c r="BI48" s="466" t="str">
        <f t="shared" si="16"/>
        <v/>
      </c>
      <c r="BK48" s="527" t="str">
        <f>IF(BA48="","",VLOOKUP(BA48,非_まとめ表行番号!$U$3:$V$56,2,FALSE))</f>
        <v/>
      </c>
      <c r="BL48" s="526" t="str">
        <f t="shared" si="17"/>
        <v/>
      </c>
      <c r="BM48" s="526" t="str">
        <f t="shared" si="18"/>
        <v/>
      </c>
      <c r="BN48" s="526" t="str">
        <f t="shared" si="19"/>
        <v/>
      </c>
      <c r="BO48" s="526" t="str">
        <f t="shared" si="20"/>
        <v/>
      </c>
      <c r="BP48" s="526" t="str">
        <f t="shared" si="21"/>
        <v/>
      </c>
      <c r="BQ48" s="526" t="str">
        <f t="shared" si="22"/>
        <v/>
      </c>
      <c r="BR48" s="526" t="str">
        <f t="shared" si="23"/>
        <v/>
      </c>
      <c r="BS48" s="635" t="str">
        <f t="shared" si="24"/>
        <v/>
      </c>
    </row>
    <row r="49" spans="1:71" ht="18.75" customHeight="1">
      <c r="A49" s="483"/>
      <c r="B49" s="406"/>
      <c r="C49" s="406"/>
      <c r="D49" s="406"/>
      <c r="E49" s="406"/>
      <c r="F49" s="499"/>
      <c r="G49" s="608"/>
      <c r="H49" s="609" t="str">
        <f>IF(AK49&lt;&gt;"都市ガス","",IF(ISERROR(VLOOKUP(D49,非_都市ガス事業者!$O$8:$P$200,2,FALSE)),"",VLOOKUP(D49,非_都市ガス事業者!$O$8:$P$200,2,FALSE)))</f>
        <v/>
      </c>
      <c r="I49" s="610" t="str">
        <f>IF(AK49&lt;&gt;"都市ガス","",非_都市ガス事業者!$P$4)</f>
        <v/>
      </c>
      <c r="J49" s="611" t="str">
        <f>IF(C49="","",IF(AK49&lt;&gt;"都市ガス",VLOOKUP(C49,非_係数!$B$42:$D$55,2,FALSE),""))</f>
        <v/>
      </c>
      <c r="K49" s="406"/>
      <c r="L49" s="486" t="str">
        <f t="shared" si="5"/>
        <v/>
      </c>
      <c r="M49" s="225" t="str">
        <f t="shared" si="6"/>
        <v/>
      </c>
      <c r="N49" s="406"/>
      <c r="O49" s="458"/>
      <c r="P49" s="406"/>
      <c r="Q49" s="406"/>
      <c r="R49" s="451"/>
      <c r="S49" s="451"/>
      <c r="T49" s="451"/>
      <c r="U49" s="451"/>
      <c r="V49" s="451"/>
      <c r="W49" s="451"/>
      <c r="X49" s="451"/>
      <c r="Y49" s="451"/>
      <c r="Z49" s="451"/>
      <c r="AA49" s="451"/>
      <c r="AB49" s="451"/>
      <c r="AC49" s="451"/>
      <c r="AD49" s="497"/>
      <c r="AE49" s="586" t="str">
        <f t="shared" si="41"/>
        <v/>
      </c>
      <c r="AF49" s="435" t="str">
        <f t="shared" si="7"/>
        <v/>
      </c>
      <c r="AG49" s="435" t="str">
        <f>IF(C49="","",VLOOKUP(C49,非_単位!$N$38:$O$53,2,FALSE))</f>
        <v/>
      </c>
      <c r="AH49" s="586" t="str">
        <f t="shared" si="8"/>
        <v/>
      </c>
      <c r="AI49" s="587" t="str">
        <f t="shared" si="9"/>
        <v/>
      </c>
      <c r="AK49" s="466" t="str">
        <f t="shared" si="0"/>
        <v/>
      </c>
      <c r="AL49" s="466" t="str">
        <f>IF(B49="","",IF(B49=非_燃料種類_選択リスト!$I$3,"一般送配電_種類",IF(B49=非_燃料種類_選択リスト!$I$4,"一般送配電以外_種類",IF(B49=非_燃料種類_選択リスト!$I$5,"熱_種類",IF(B49=非_燃料種類_選択リスト!$I$6,"都市ガス_種類","")))))</f>
        <v/>
      </c>
      <c r="AM49" s="466" t="str">
        <f>IF(AK49&lt;&gt;"電気","",非_電気事業者!$S$4*1000)</f>
        <v/>
      </c>
      <c r="AN49" s="466" t="str">
        <f>IF(AK49&lt;&gt;"電気","",IF(ISERROR(VLOOKUP(D49&amp;F49,非_電気事業者!$R$9:$S$2000,2,FALSE)),"要記入",VLOOKUP(D49&amp;F49,非_電気事業者!$R$9:$S$2000,2,FALSE)*1000))</f>
        <v/>
      </c>
      <c r="AO49" s="466" t="str">
        <f>IF(AK49&lt;&gt;"熱","",非_熱供給事業者!$T$4)</f>
        <v/>
      </c>
      <c r="AP49" s="466" t="str">
        <f>IF(AK49&lt;&gt;"熱","",IF(ISERROR(VLOOKUP(D49&amp;F49,非_熱供給事業者!$S$8:$T$200,2,FALSE)),"要記入",VLOOKUP(D49&amp;F49,非_熱供給事業者!$S$8:$T$200,2,FALSE)))</f>
        <v/>
      </c>
      <c r="AQ49" s="466" t="str">
        <f>IF(AK49&lt;&gt;"都市ガス","",非_都市ガス事業者!$AB$4)</f>
        <v/>
      </c>
      <c r="AR49" s="466" t="str">
        <f>IF(AK49&lt;&gt;"都市ガス","",IF(ISERROR(VLOOKUP(D49&amp;F49,非_都市ガス事業者!$AA$8:$AB$200,2,FALSE)),"要記入",VLOOKUP(D49&amp;F49,非_都市ガス事業者!$AA$8:$AB$200,2,FALSE)))</f>
        <v/>
      </c>
      <c r="AS49" s="466" t="str">
        <f t="shared" si="1"/>
        <v/>
      </c>
      <c r="AT49" s="466" t="str">
        <f t="shared" si="10"/>
        <v/>
      </c>
      <c r="AU49" s="535" t="b">
        <f t="shared" si="11"/>
        <v>1</v>
      </c>
      <c r="AV49" s="466" t="str">
        <f>IF(Q49="","",VLOOKUP(Q49,非_単位補正換算!$B$3:$C$16,2,FALSE))</f>
        <v/>
      </c>
      <c r="AW49" s="466" t="str">
        <f>IF(AK49="","",IF(AK49&lt;&gt;"都市ガス",1,IF(G49="","",SUMIFS(非_単位補正換算!$D$52:$D$63,非_単位補正換算!$B$52:$B$63,"都市ガス"&amp;G49,非_単位補正換算!$C$52:$C$63,電気・熱_都市ガス!Q49))))</f>
        <v/>
      </c>
      <c r="AX49" s="527" t="str">
        <f t="shared" si="12"/>
        <v/>
      </c>
      <c r="AY49" s="466" t="str">
        <f t="shared" si="2"/>
        <v/>
      </c>
      <c r="AZ49" s="466" t="str">
        <f t="shared" si="3"/>
        <v/>
      </c>
      <c r="BA49" s="466" t="str">
        <f>IF(C49="","",VLOOKUP(C49,非_まとめ表行番号!$F$3:$H$12,2,FALSE))</f>
        <v/>
      </c>
      <c r="BB49" s="539" t="b">
        <f t="shared" si="13"/>
        <v>1</v>
      </c>
      <c r="BC49" s="637" t="str">
        <f>IF(AK49="","",IF(AK49&lt;&gt;"都市ガス",1,非_係数!$G$55))</f>
        <v/>
      </c>
      <c r="BD49" s="466" t="str">
        <f t="shared" si="14"/>
        <v/>
      </c>
      <c r="BE49" s="466" t="str">
        <f t="shared" si="4"/>
        <v/>
      </c>
      <c r="BF49" s="466" t="str">
        <f>IF(C49="","",VLOOKUP(C49,非_係数!$B$42:$K$55,9,FALSE))</f>
        <v/>
      </c>
      <c r="BG49" s="466" t="str">
        <f t="shared" si="15"/>
        <v/>
      </c>
      <c r="BH49" s="466" t="str">
        <f>IF(C49="","",VLOOKUP(C49,非_まとめ表行番号!$F$3:$H$12,3,FALSE))</f>
        <v/>
      </c>
      <c r="BI49" s="466" t="str">
        <f t="shared" si="16"/>
        <v/>
      </c>
      <c r="BK49" s="527" t="str">
        <f>IF(BA49="","",VLOOKUP(BA49,非_まとめ表行番号!$U$3:$V$56,2,FALSE))</f>
        <v/>
      </c>
      <c r="BL49" s="526" t="str">
        <f t="shared" si="17"/>
        <v/>
      </c>
      <c r="BM49" s="526" t="str">
        <f t="shared" si="18"/>
        <v/>
      </c>
      <c r="BN49" s="526" t="str">
        <f t="shared" si="19"/>
        <v/>
      </c>
      <c r="BO49" s="526" t="str">
        <f t="shared" si="20"/>
        <v/>
      </c>
      <c r="BP49" s="526" t="str">
        <f t="shared" si="21"/>
        <v/>
      </c>
      <c r="BQ49" s="526" t="str">
        <f t="shared" si="22"/>
        <v/>
      </c>
      <c r="BR49" s="526" t="str">
        <f t="shared" si="23"/>
        <v/>
      </c>
      <c r="BS49" s="635" t="str">
        <f t="shared" si="24"/>
        <v/>
      </c>
    </row>
    <row r="50" spans="1:71" ht="18.75" customHeight="1" thickBot="1">
      <c r="A50" s="484"/>
      <c r="B50" s="406"/>
      <c r="C50" s="406"/>
      <c r="D50" s="406"/>
      <c r="E50" s="406"/>
      <c r="F50" s="499"/>
      <c r="G50" s="608"/>
      <c r="H50" s="609" t="str">
        <f>IF(AK50&lt;&gt;"都市ガス","",IF(ISERROR(VLOOKUP(D50,非_都市ガス事業者!$O$8:$P$200,2,FALSE)),"",VLOOKUP(D50,非_都市ガス事業者!$O$8:$P$200,2,FALSE)))</f>
        <v/>
      </c>
      <c r="I50" s="610" t="str">
        <f>IF(AK50&lt;&gt;"都市ガス","",非_都市ガス事業者!$P$4)</f>
        <v/>
      </c>
      <c r="J50" s="611" t="str">
        <f>IF(C50="","",IF(AK50&lt;&gt;"都市ガス",VLOOKUP(C50,非_係数!$B$42:$D$55,2,FALSE),""))</f>
        <v/>
      </c>
      <c r="K50" s="406"/>
      <c r="L50" s="486" t="str">
        <f t="shared" si="5"/>
        <v/>
      </c>
      <c r="M50" s="226" t="str">
        <f t="shared" si="6"/>
        <v/>
      </c>
      <c r="N50" s="406"/>
      <c r="O50" s="594"/>
      <c r="P50" s="406"/>
      <c r="Q50" s="406"/>
      <c r="R50" s="452"/>
      <c r="S50" s="452"/>
      <c r="T50" s="452"/>
      <c r="U50" s="452"/>
      <c r="V50" s="452"/>
      <c r="W50" s="452"/>
      <c r="X50" s="452"/>
      <c r="Y50" s="452"/>
      <c r="Z50" s="452"/>
      <c r="AA50" s="452"/>
      <c r="AB50" s="452"/>
      <c r="AC50" s="452"/>
      <c r="AD50" s="497"/>
      <c r="AE50" s="586" t="str">
        <f t="shared" si="41"/>
        <v/>
      </c>
      <c r="AF50" s="436" t="str">
        <f t="shared" si="7"/>
        <v/>
      </c>
      <c r="AG50" s="436" t="str">
        <f>IF(C50="","",VLOOKUP(C50,非_単位!$N$38:$O$53,2,FALSE))</f>
        <v/>
      </c>
      <c r="AH50" s="588" t="str">
        <f t="shared" si="8"/>
        <v/>
      </c>
      <c r="AI50" s="589" t="str">
        <f t="shared" si="9"/>
        <v/>
      </c>
      <c r="AK50" s="466" t="str">
        <f t="shared" si="0"/>
        <v/>
      </c>
      <c r="AL50" s="466" t="str">
        <f>IF(B50="","",IF(B50=非_燃料種類_選択リスト!$I$3,"一般送配電_種類",IF(B50=非_燃料種類_選択リスト!$I$4,"一般送配電以外_種類",IF(B50=非_燃料種類_選択リスト!$I$5,"熱_種類",IF(B50=非_燃料種類_選択リスト!$I$6,"都市ガス_種類","")))))</f>
        <v/>
      </c>
      <c r="AM50" s="466" t="str">
        <f>IF(AK50&lt;&gt;"電気","",非_電気事業者!$S$4*1000)</f>
        <v/>
      </c>
      <c r="AN50" s="466" t="str">
        <f>IF(AK50&lt;&gt;"電気","",IF(ISERROR(VLOOKUP(D50&amp;F50,非_電気事業者!$R$9:$S$2000,2,FALSE)),"要記入",VLOOKUP(D50&amp;F50,非_電気事業者!$R$9:$S$2000,2,FALSE)*1000))</f>
        <v/>
      </c>
      <c r="AO50" s="466" t="str">
        <f>IF(AK50&lt;&gt;"熱","",非_熱供給事業者!$T$4)</f>
        <v/>
      </c>
      <c r="AP50" s="466" t="str">
        <f>IF(AK50&lt;&gt;"熱","",IF(ISERROR(VLOOKUP(D50&amp;F50,非_熱供給事業者!$S$8:$T$200,2,FALSE)),"要記入",VLOOKUP(D50&amp;F50,非_熱供給事業者!$S$8:$T$200,2,FALSE)))</f>
        <v/>
      </c>
      <c r="AQ50" s="466" t="str">
        <f>IF(AK50&lt;&gt;"都市ガス","",非_都市ガス事業者!$AB$4)</f>
        <v/>
      </c>
      <c r="AR50" s="466" t="str">
        <f>IF(AK50&lt;&gt;"都市ガス","",IF(ISERROR(VLOOKUP(D50&amp;F50,非_都市ガス事業者!$AA$8:$AB$200,2,FALSE)),"要記入",VLOOKUP(D50&amp;F50,非_都市ガス事業者!$AA$8:$AB$200,2,FALSE)))</f>
        <v/>
      </c>
      <c r="AS50" s="466" t="str">
        <f t="shared" si="1"/>
        <v/>
      </c>
      <c r="AT50" s="466" t="str">
        <f t="shared" si="10"/>
        <v/>
      </c>
      <c r="AU50" s="535" t="b">
        <f t="shared" si="11"/>
        <v>1</v>
      </c>
      <c r="AV50" s="466" t="str">
        <f>IF(Q50="","",VLOOKUP(Q50,非_単位補正換算!$B$3:$C$16,2,FALSE))</f>
        <v/>
      </c>
      <c r="AW50" s="466" t="str">
        <f>IF(AK50="","",IF(AK50&lt;&gt;"都市ガス",1,IF(G50="","",SUMIFS(非_単位補正換算!$D$52:$D$63,非_単位補正換算!$B$52:$B$63,"都市ガス"&amp;G50,非_単位補正換算!$C$52:$C$63,電気・熱_都市ガス!Q50))))</f>
        <v/>
      </c>
      <c r="AX50" s="527" t="str">
        <f t="shared" si="12"/>
        <v/>
      </c>
      <c r="AY50" s="466" t="str">
        <f t="shared" si="2"/>
        <v/>
      </c>
      <c r="AZ50" s="466" t="str">
        <f t="shared" si="3"/>
        <v/>
      </c>
      <c r="BA50" s="466" t="str">
        <f>IF(C50="","",VLOOKUP(C50,非_まとめ表行番号!$F$3:$H$12,2,FALSE))</f>
        <v/>
      </c>
      <c r="BB50" s="539" t="b">
        <f t="shared" si="13"/>
        <v>1</v>
      </c>
      <c r="BC50" s="637" t="str">
        <f>IF(AK50="","",IF(AK50&lt;&gt;"都市ガス",1,非_係数!$G$55))</f>
        <v/>
      </c>
      <c r="BD50" s="466" t="str">
        <f t="shared" si="14"/>
        <v/>
      </c>
      <c r="BE50" s="466" t="str">
        <f t="shared" si="4"/>
        <v/>
      </c>
      <c r="BF50" s="466" t="str">
        <f>IF(C50="","",VLOOKUP(C50,非_係数!$B$42:$K$55,9,FALSE))</f>
        <v/>
      </c>
      <c r="BG50" s="466" t="str">
        <f t="shared" si="15"/>
        <v/>
      </c>
      <c r="BH50" s="466" t="str">
        <f>IF(C50="","",VLOOKUP(C50,非_まとめ表行番号!$F$3:$H$12,3,FALSE))</f>
        <v/>
      </c>
      <c r="BI50" s="466" t="str">
        <f t="shared" si="16"/>
        <v/>
      </c>
      <c r="BK50" s="527" t="str">
        <f>IF(BA50="","",VLOOKUP(BA50,非_まとめ表行番号!$U$3:$V$56,2,FALSE))</f>
        <v/>
      </c>
      <c r="BL50" s="526" t="str">
        <f t="shared" si="17"/>
        <v/>
      </c>
      <c r="BM50" s="526" t="str">
        <f t="shared" si="18"/>
        <v/>
      </c>
      <c r="BN50" s="526" t="str">
        <f t="shared" si="19"/>
        <v/>
      </c>
      <c r="BO50" s="526" t="str">
        <f t="shared" si="20"/>
        <v/>
      </c>
      <c r="BP50" s="526" t="str">
        <f t="shared" si="21"/>
        <v/>
      </c>
      <c r="BQ50" s="526" t="str">
        <f t="shared" si="22"/>
        <v/>
      </c>
      <c r="BR50" s="526" t="str">
        <f t="shared" si="23"/>
        <v/>
      </c>
      <c r="BS50" s="635" t="str">
        <f t="shared" si="24"/>
        <v/>
      </c>
    </row>
    <row r="51" spans="1:71" ht="18" customHeight="1" thickTop="1" thickBot="1">
      <c r="A51" s="337" t="s">
        <v>2078</v>
      </c>
      <c r="B51" s="338"/>
      <c r="C51" s="338"/>
      <c r="D51" s="338"/>
      <c r="E51" s="338"/>
      <c r="F51" s="338"/>
      <c r="G51" s="337"/>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238"/>
      <c r="AG51" s="238"/>
      <c r="AH51" s="60"/>
      <c r="AI51" s="61"/>
      <c r="AL51" s="471"/>
    </row>
    <row r="52" spans="1:71" ht="18.75" customHeight="1" thickTop="1">
      <c r="A52" s="482"/>
      <c r="B52" s="406"/>
      <c r="C52" s="406"/>
      <c r="D52" s="406"/>
      <c r="E52" s="406"/>
      <c r="F52" s="499"/>
      <c r="G52" s="608"/>
      <c r="H52" s="609" t="str">
        <f>IF(AK52&lt;&gt;"都市ガス","",IF(ISERROR(VLOOKUP(D52,非_都市ガス事業者!$O$8:$P$200,2,FALSE)),"",VLOOKUP(D52,非_都市ガス事業者!$O$8:$P$200,2,FALSE)))</f>
        <v/>
      </c>
      <c r="I52" s="610" t="str">
        <f>IF(AK52&lt;&gt;"都市ガス","",非_都市ガス事業者!$P$4)</f>
        <v/>
      </c>
      <c r="J52" s="612" t="str">
        <f>IF(C52="","",IF(COUNTIFS(C52,"*自ら生成*")&gt;0,"要記入",IF(AK52&lt;&gt;"都市ガス",VLOOKUP(C52,非_係数!$B$42:$D$55,2,FALSE),"")))</f>
        <v/>
      </c>
      <c r="K52" s="406"/>
      <c r="L52" s="486" t="str">
        <f>AS52</f>
        <v/>
      </c>
      <c r="M52" s="224" t="str">
        <f>AT52</f>
        <v/>
      </c>
      <c r="N52" s="406"/>
      <c r="O52" s="457"/>
      <c r="P52" s="406"/>
      <c r="Q52" s="406"/>
      <c r="R52" s="450"/>
      <c r="S52" s="450"/>
      <c r="T52" s="450"/>
      <c r="U52" s="450"/>
      <c r="V52" s="450"/>
      <c r="W52" s="450"/>
      <c r="X52" s="450"/>
      <c r="Y52" s="450"/>
      <c r="Z52" s="450"/>
      <c r="AA52" s="450"/>
      <c r="AB52" s="450"/>
      <c r="AC52" s="450"/>
      <c r="AD52" s="497"/>
      <c r="AE52" s="586" t="str">
        <f t="shared" ref="AE52" si="65">IF(COUNT(R52:AC52)=0,"",IF(AD52="",SUM(R52:AC52),SUM(R52:AC52)*AD52))</f>
        <v/>
      </c>
      <c r="AF52" s="590" t="str">
        <f>IF(AX52="","",-1*AX52)</f>
        <v/>
      </c>
      <c r="AG52" s="432" t="str">
        <f>IF(C52="","",VLOOKUP(C52,非_単位!$N$38:$O$53,2,FALSE))</f>
        <v/>
      </c>
      <c r="AH52" s="584" t="str">
        <f>IF(AY52="","",-1*AY52)</f>
        <v/>
      </c>
      <c r="AI52" s="585" t="str">
        <f>IF(AZ52="","",-1*AZ52)</f>
        <v/>
      </c>
      <c r="AK52" s="466" t="str">
        <f t="shared" ref="AK52:AK80" si="66">IF(C52="","",IF(LEFT(C52,2)="電気","電気",IF(LEFT(C52,1)="熱","熱",IF(LEFT(C52,4)="都市ガス","都市ガス"))))</f>
        <v/>
      </c>
      <c r="AL52" s="466" t="str">
        <f>IF(B52="","",IF(B52=非_燃料種類_選択リスト!$I$13,"外部供給_種類","外部供給以外_種類"))</f>
        <v/>
      </c>
      <c r="AM52" s="466" t="str">
        <f>IF(AK52&lt;&gt;"電気","",非_電気事業者!$S$4*1000)</f>
        <v/>
      </c>
      <c r="AN52" s="466" t="str">
        <f>IF(AK52&lt;&gt;"電気","",IF(ISERROR(VLOOKUP(D52&amp;F52,非_電気事業者!$R$9:$S$2000,2,FALSE)),"要記入",VLOOKUP(D52&amp;F52,非_電気事業者!$R$9:$S$2000,2,FALSE)*1000))</f>
        <v/>
      </c>
      <c r="AO52" s="466" t="str">
        <f>IF(AK52&lt;&gt;"熱","",非_熱供給事業者!$T$4)</f>
        <v/>
      </c>
      <c r="AP52" s="466" t="str">
        <f>IF(AK52&lt;&gt;"熱","",IF(ISERROR(VLOOKUP(D52&amp;F52,非_熱供給事業者!$S$8:$T$200,2,FALSE)),"要記入",VLOOKUP(D52&amp;F52,非_熱供給事業者!$S$8:$T$200,2,FALSE)))</f>
        <v/>
      </c>
      <c r="AQ52" s="466" t="str">
        <f>IF(AK52&lt;&gt;"都市ガス","",非_都市ガス事業者!$AB$4)</f>
        <v/>
      </c>
      <c r="AR52" s="466" t="str">
        <f>IF(AK52&lt;&gt;"都市ガス","",IF(ISERROR(VLOOKUP(D52&amp;F52,非_都市ガス事業者!$AA$8:$AB$200,2,FALSE)),"要記入",VLOOKUP(D52&amp;F52,非_都市ガス事業者!$AA$8:$AB$200,2,FALSE)))</f>
        <v/>
      </c>
      <c r="AS52" s="466" t="str">
        <f t="shared" ref="AS52:AS80" si="67">IF(AK52="","",IF(AK52="電気",IF(K52="国代替値",AM52,IF(K52="国公表値",AN52,"要記入")),IF(AK52="熱",IF(K52="国代替値",AO52,IF(K52="国公表値",AP52,"要記入")),IF(AK52="都市ガス",IF(K52="国代替値",AQ52,IF(K52="国公表値",AR52,"要記入"))))))</f>
        <v/>
      </c>
      <c r="AT52" s="466" t="str">
        <f>IF(AK52="電気","t-CO2/千kWh",IF(AK52="熱","t-CO2/GJ",IF(AK52="都市ガス","t-CO2/千m3(SATP)","")))</f>
        <v/>
      </c>
      <c r="AU52" s="535" t="b">
        <f t="shared" si="11"/>
        <v>1</v>
      </c>
      <c r="AV52" s="466" t="str">
        <f>IF(Q52="","",VLOOKUP(Q52,非_単位補正換算!$B$3:$C$16,2,FALSE))</f>
        <v/>
      </c>
      <c r="AW52" s="466" t="str">
        <f>IF(AK52="","",IF(AK52&lt;&gt;"都市ガス",1,IF(G52="","",SUMIFS(非_単位補正換算!$D$52:$D$63,非_単位補正換算!$B$52:$B$63,"都市ガス"&amp;G52,非_単位補正換算!$C$52:$C$63,電気・熱_都市ガス!Q52))))</f>
        <v/>
      </c>
      <c r="AX52" s="527" t="str">
        <f>IF(AND(Q52&lt;&gt;"",AE52&lt;&gt;"",AV52&lt;&gt;"",AW52&lt;&gt;""),-1*AE52/AV52*AW52,"")</f>
        <v/>
      </c>
      <c r="AY52" s="466" t="str">
        <f>IF(AND(AK52&lt;&gt;"",AX52&lt;&gt;""),IF(COUNTIFS(C52,"*自ら生成*")&gt;0,AX52*J52,IF(AK52&lt;&gt;"都市ガス",AX52*J52,IF(I52&gt;0,AX52*I52,""))),"")</f>
        <v/>
      </c>
      <c r="AZ52" s="466" t="str">
        <f t="shared" ref="AZ52:AZ80" si="68">IF(AX52="","",IF(ISNUMBER(L52),AX52*L52,""))</f>
        <v/>
      </c>
      <c r="BA52" s="466" t="str">
        <f>IF(C52="","",VLOOKUP(C52,非_まとめ表行番号!$F$3:$H$12,2,FALSE))</f>
        <v/>
      </c>
      <c r="BB52" s="539" t="b">
        <f t="shared" si="13"/>
        <v>1</v>
      </c>
      <c r="BC52" s="637" t="str">
        <f>IF(AK52="","",IF(AK52&lt;&gt;"都市ガス",1,非_係数!$G$55))</f>
        <v/>
      </c>
      <c r="BD52" s="466" t="str">
        <f>IF(AX52="","",AX52*BC52)</f>
        <v/>
      </c>
      <c r="BE52" s="466" t="str">
        <f t="shared" ref="BE52:BE80" si="69">IF(AK52="都市ガス",IF(BD52="","",H52*BD52),"")</f>
        <v/>
      </c>
      <c r="BF52" s="466" t="str">
        <f>IF(C52="","",IF(COUNTIFS(C52,"*自ら生成*")&gt;0,L52,VLOOKUP(C52,非_係数!$B$42:$K$55,9,FALSE)))</f>
        <v/>
      </c>
      <c r="BG52" s="466" t="str">
        <f t="shared" si="15"/>
        <v/>
      </c>
      <c r="BH52" s="466" t="str">
        <f>IF(C52="","",VLOOKUP(C52,非_まとめ表行番号!$F$3:$H$12,3,FALSE))</f>
        <v/>
      </c>
      <c r="BI52" s="466" t="str">
        <f>IF(P52="無","乗率_除外する排出量","")</f>
        <v/>
      </c>
      <c r="BK52" s="527" t="str">
        <f>IF(BA52="","",VLOOKUP(BA52,非_まとめ表行番号!$U$3:$V$56,2,FALSE))</f>
        <v/>
      </c>
      <c r="BL52" s="526" t="str">
        <f t="shared" si="17"/>
        <v/>
      </c>
      <c r="BM52" s="526" t="str">
        <f t="shared" si="18"/>
        <v/>
      </c>
      <c r="BN52" s="526" t="str">
        <f>IF(H52&lt;&gt;"",H52,IF(J52&lt;&gt;"",J52,""))</f>
        <v/>
      </c>
      <c r="BO52" s="526" t="str">
        <f t="shared" si="20"/>
        <v/>
      </c>
      <c r="BP52" s="526" t="str">
        <f t="shared" si="21"/>
        <v/>
      </c>
      <c r="BQ52" s="526" t="str">
        <f t="shared" ref="BQ52" si="70">IF(L52="","",L52)</f>
        <v/>
      </c>
      <c r="BR52" s="527" t="str">
        <f t="shared" si="23"/>
        <v/>
      </c>
      <c r="BS52" s="527" t="str">
        <f>IF(AZ52="","",IF(AZ52&gt;0,1,-1))</f>
        <v/>
      </c>
    </row>
    <row r="53" spans="1:71" ht="18.75" customHeight="1">
      <c r="A53" s="483"/>
      <c r="B53" s="406"/>
      <c r="C53" s="406"/>
      <c r="D53" s="406"/>
      <c r="E53" s="406"/>
      <c r="F53" s="499"/>
      <c r="G53" s="608"/>
      <c r="H53" s="609" t="str">
        <f>IF(AK53&lt;&gt;"都市ガス","",IF(ISERROR(VLOOKUP(D53,非_都市ガス事業者!$O$8:$P$200,2,FALSE)),"",VLOOKUP(D53,非_都市ガス事業者!$O$8:$P$200,2,FALSE)))</f>
        <v/>
      </c>
      <c r="I53" s="610" t="str">
        <f>IF(AK53&lt;&gt;"都市ガス","",非_都市ガス事業者!$P$4)</f>
        <v/>
      </c>
      <c r="J53" s="612" t="str">
        <f>IF(C53="","",IF(COUNTIFS(C53,"*自ら生成*")&gt;0,"要記入",IF(AK53&lt;&gt;"都市ガス",VLOOKUP(C53,非_係数!$B$42:$D$55,2,FALSE),"")))</f>
        <v/>
      </c>
      <c r="K53" s="406"/>
      <c r="L53" s="560" t="str">
        <f t="shared" ref="L53:L80" si="71">AS53</f>
        <v/>
      </c>
      <c r="M53" s="225" t="str">
        <f t="shared" ref="M53:M80" si="72">AT53</f>
        <v/>
      </c>
      <c r="N53" s="406"/>
      <c r="O53" s="458"/>
      <c r="P53" s="406"/>
      <c r="Q53" s="406"/>
      <c r="R53" s="451"/>
      <c r="S53" s="451"/>
      <c r="T53" s="451"/>
      <c r="U53" s="451"/>
      <c r="V53" s="451"/>
      <c r="W53" s="451"/>
      <c r="X53" s="451"/>
      <c r="Y53" s="451"/>
      <c r="Z53" s="451"/>
      <c r="AA53" s="451"/>
      <c r="AB53" s="451"/>
      <c r="AC53" s="451"/>
      <c r="AD53" s="497"/>
      <c r="AE53" s="586" t="str">
        <f t="shared" ref="AE53" si="73">IF(COUNT(R53:AC53)=0,"",IF(AD53="",SUM(R53:AC53),SUM(R53:AC53)*AD53))</f>
        <v/>
      </c>
      <c r="AF53" s="590" t="str">
        <f t="shared" ref="AF53:AF80" si="74">IF(AX53="","",-1*AX53)</f>
        <v/>
      </c>
      <c r="AG53" s="432" t="str">
        <f>IF(C53="","",VLOOKUP(C53,非_単位!$N$38:$O$53,2,FALSE))</f>
        <v/>
      </c>
      <c r="AH53" s="586" t="str">
        <f t="shared" ref="AH53:AH80" si="75">IF(AY53="","",-1*AY53)</f>
        <v/>
      </c>
      <c r="AI53" s="587" t="str">
        <f t="shared" ref="AI53:AI80" si="76">IF(AZ53="","",-1*AZ53)</f>
        <v/>
      </c>
      <c r="AK53" s="466" t="str">
        <f t="shared" si="66"/>
        <v/>
      </c>
      <c r="AL53" s="466" t="str">
        <f>IF(B53="","",IF(B53=非_燃料種類_選択リスト!$I$13,"外部供給_種類","外部供給以外_種類"))</f>
        <v/>
      </c>
      <c r="AM53" s="466" t="str">
        <f>IF(AK53&lt;&gt;"電気","",非_電気事業者!$S$4*1000)</f>
        <v/>
      </c>
      <c r="AN53" s="466" t="str">
        <f>IF(AK53&lt;&gt;"電気","",IF(ISERROR(VLOOKUP(D53&amp;F53,非_電気事業者!$R$9:$S$2000,2,FALSE)),"要記入",VLOOKUP(D53&amp;F53,非_電気事業者!$R$9:$S$2000,2,FALSE)*1000))</f>
        <v/>
      </c>
      <c r="AO53" s="466" t="str">
        <f>IF(AK53&lt;&gt;"熱","",非_熱供給事業者!$T$4)</f>
        <v/>
      </c>
      <c r="AP53" s="466" t="str">
        <f>IF(AK53&lt;&gt;"熱","",IF(ISERROR(VLOOKUP(D53&amp;F53,非_熱供給事業者!$S$8:$T$200,2,FALSE)),"要記入",VLOOKUP(D53&amp;F53,非_熱供給事業者!$S$8:$T$200,2,FALSE)))</f>
        <v/>
      </c>
      <c r="AQ53" s="466" t="str">
        <f>IF(AK53&lt;&gt;"都市ガス","",非_都市ガス事業者!$AB$4)</f>
        <v/>
      </c>
      <c r="AR53" s="466" t="str">
        <f>IF(AK53&lt;&gt;"都市ガス","",IF(ISERROR(VLOOKUP(D53&amp;F53,非_都市ガス事業者!$AA$8:$AB$200,2,FALSE)),"要記入",VLOOKUP(D53&amp;F53,非_都市ガス事業者!$AA$8:$AB$200,2,FALSE)))</f>
        <v/>
      </c>
      <c r="AS53" s="466" t="str">
        <f t="shared" si="67"/>
        <v/>
      </c>
      <c r="AT53" s="466" t="str">
        <f t="shared" ref="AT53:AT80" si="77">IF(AK53="電気","t-CO2/千kWh",IF(AK53="熱","t-CO2/GJ",IF(AK53="都市ガス","t-CO2/千m3(SATP)","")))</f>
        <v/>
      </c>
      <c r="AU53" s="535" t="b">
        <f t="shared" si="11"/>
        <v>1</v>
      </c>
      <c r="AV53" s="466" t="str">
        <f>IF(Q53="","",VLOOKUP(Q53,非_単位補正換算!$B$3:$C$16,2,FALSE))</f>
        <v/>
      </c>
      <c r="AW53" s="466" t="str">
        <f>IF(AK53="","",IF(AK53&lt;&gt;"都市ガス",1,IF(G53="","",SUMIFS(非_単位補正換算!$D$52:$D$63,非_単位補正換算!$B$52:$B$63,"都市ガス"&amp;G53,非_単位補正換算!$C$52:$C$63,電気・熱_都市ガス!Q53))))</f>
        <v/>
      </c>
      <c r="AX53" s="527" t="str">
        <f t="shared" ref="AX53:AX80" si="78">IF(AND(Q53&lt;&gt;"",AE53&lt;&gt;"",AV53&lt;&gt;"",AW53&lt;&gt;""),-1*AE53/AV53*AW53,"")</f>
        <v/>
      </c>
      <c r="AY53" s="466" t="str">
        <f t="shared" ref="AY53:AY80" si="79">IF(AND(AK53&lt;&gt;"",AX53&lt;&gt;""),IF(COUNTIFS(C53,"*自ら生成*")&gt;0,AX53*J53,IF(AK53&lt;&gt;"都市ガス",AX53*J53,IF(I53&gt;0,AX53*I53,""))),"")</f>
        <v/>
      </c>
      <c r="AZ53" s="466" t="str">
        <f t="shared" si="68"/>
        <v/>
      </c>
      <c r="BA53" s="466" t="str">
        <f>IF(C53="","",VLOOKUP(C53,非_まとめ表行番号!$F$3:$H$12,2,FALSE))</f>
        <v/>
      </c>
      <c r="BB53" s="539" t="b">
        <f t="shared" si="13"/>
        <v>1</v>
      </c>
      <c r="BC53" s="637" t="str">
        <f>IF(AK53="","",IF(AK53&lt;&gt;"都市ガス",1,非_係数!$G$55))</f>
        <v/>
      </c>
      <c r="BD53" s="466" t="str">
        <f t="shared" ref="BD53:BD80" si="80">IF(AX53="","",AX53*BC53)</f>
        <v/>
      </c>
      <c r="BE53" s="466" t="str">
        <f t="shared" si="69"/>
        <v/>
      </c>
      <c r="BF53" s="466" t="str">
        <f>IF(C53="","",IF(COUNTIFS(C53,"*自ら生成*")&gt;0,L53,VLOOKUP(C53,非_係数!$B$42:$K$55,9,FALSE)))</f>
        <v/>
      </c>
      <c r="BG53" s="466" t="str">
        <f t="shared" si="15"/>
        <v/>
      </c>
      <c r="BH53" s="466" t="str">
        <f>IF(C53="","",VLOOKUP(C53,非_まとめ表行番号!$F$3:$H$12,3,FALSE))</f>
        <v/>
      </c>
      <c r="BI53" s="466" t="str">
        <f t="shared" ref="BI53:BI80" si="81">IF(P53="無","乗率_除外する排出量","")</f>
        <v/>
      </c>
      <c r="BK53" s="527" t="str">
        <f>IF(BA53="","",VLOOKUP(BA53,非_まとめ表行番号!$U$3:$V$56,2,FALSE))</f>
        <v/>
      </c>
      <c r="BL53" s="526" t="str">
        <f t="shared" si="17"/>
        <v/>
      </c>
      <c r="BM53" s="526" t="str">
        <f t="shared" si="18"/>
        <v/>
      </c>
      <c r="BN53" s="526" t="str">
        <f t="shared" ref="BN53:BN80" si="82">IF(H53&lt;&gt;"",H53,IF(J53&lt;&gt;"",J53,""))</f>
        <v/>
      </c>
      <c r="BO53" s="526" t="str">
        <f t="shared" si="20"/>
        <v/>
      </c>
      <c r="BP53" s="526" t="str">
        <f t="shared" si="21"/>
        <v/>
      </c>
      <c r="BQ53" s="526" t="str">
        <f t="shared" ref="BQ53:BQ80" si="83">IF(L53="","",L53)</f>
        <v/>
      </c>
      <c r="BR53" s="527" t="str">
        <f t="shared" si="23"/>
        <v/>
      </c>
      <c r="BS53" s="636" t="str">
        <f t="shared" ref="BS53:BS80" si="84">IF(AZ53="","",IF(AZ53&gt;0,1,-1))</f>
        <v/>
      </c>
    </row>
    <row r="54" spans="1:71" ht="18.75" customHeight="1">
      <c r="A54" s="483"/>
      <c r="B54" s="406"/>
      <c r="C54" s="406"/>
      <c r="D54" s="406"/>
      <c r="E54" s="406"/>
      <c r="F54" s="499"/>
      <c r="G54" s="608"/>
      <c r="H54" s="609" t="str">
        <f>IF(AK54&lt;&gt;"都市ガス","",IF(ISERROR(VLOOKUP(D54,非_都市ガス事業者!$O$8:$P$200,2,FALSE)),"",VLOOKUP(D54,非_都市ガス事業者!$O$8:$P$200,2,FALSE)))</f>
        <v/>
      </c>
      <c r="I54" s="610" t="str">
        <f>IF(AK54&lt;&gt;"都市ガス","",非_都市ガス事業者!$P$4)</f>
        <v/>
      </c>
      <c r="J54" s="612" t="str">
        <f>IF(C54="","",IF(COUNTIFS(C54,"*自ら生成*")&gt;0,"要記入",IF(AK54&lt;&gt;"都市ガス",VLOOKUP(C54,非_係数!$B$42:$D$55,2,FALSE),"")))</f>
        <v/>
      </c>
      <c r="K54" s="406"/>
      <c r="L54" s="560" t="str">
        <f t="shared" si="71"/>
        <v/>
      </c>
      <c r="M54" s="225" t="str">
        <f t="shared" si="72"/>
        <v/>
      </c>
      <c r="N54" s="406"/>
      <c r="O54" s="458"/>
      <c r="P54" s="406"/>
      <c r="Q54" s="406"/>
      <c r="R54" s="451"/>
      <c r="S54" s="451"/>
      <c r="T54" s="451"/>
      <c r="U54" s="451"/>
      <c r="V54" s="451"/>
      <c r="W54" s="451"/>
      <c r="X54" s="451"/>
      <c r="Y54" s="451"/>
      <c r="Z54" s="451"/>
      <c r="AA54" s="451"/>
      <c r="AB54" s="451"/>
      <c r="AC54" s="451"/>
      <c r="AD54" s="497"/>
      <c r="AE54" s="586" t="str">
        <f t="shared" ref="AE54:AE80" si="85">IF(COUNT(R54:AC54)=0,"",IF(AD54="",SUM(R54:AC54),SUM(R54:AC54)*AD54))</f>
        <v/>
      </c>
      <c r="AF54" s="590" t="str">
        <f t="shared" si="74"/>
        <v/>
      </c>
      <c r="AG54" s="432" t="str">
        <f>IF(C54="","",VLOOKUP(C54,非_単位!$N$38:$O$53,2,FALSE))</f>
        <v/>
      </c>
      <c r="AH54" s="586" t="str">
        <f t="shared" si="75"/>
        <v/>
      </c>
      <c r="AI54" s="587" t="str">
        <f t="shared" si="76"/>
        <v/>
      </c>
      <c r="AK54" s="466" t="str">
        <f t="shared" si="66"/>
        <v/>
      </c>
      <c r="AL54" s="466" t="str">
        <f>IF(B54="","",IF(B54=非_燃料種類_選択リスト!$I$13,"外部供給_種類","外部供給以外_種類"))</f>
        <v/>
      </c>
      <c r="AM54" s="466" t="str">
        <f>IF(AK54&lt;&gt;"電気","",非_電気事業者!$S$4*1000)</f>
        <v/>
      </c>
      <c r="AN54" s="466" t="str">
        <f>IF(AK54&lt;&gt;"電気","",IF(ISERROR(VLOOKUP(D54&amp;F54,非_電気事業者!$R$9:$S$2000,2,FALSE)),"要記入",VLOOKUP(D54&amp;F54,非_電気事業者!$R$9:$S$2000,2,FALSE)*1000))</f>
        <v/>
      </c>
      <c r="AO54" s="466" t="str">
        <f>IF(AK54&lt;&gt;"熱","",非_熱供給事業者!$T$4)</f>
        <v/>
      </c>
      <c r="AP54" s="466" t="str">
        <f>IF(AK54&lt;&gt;"熱","",IF(ISERROR(VLOOKUP(D54&amp;F54,非_熱供給事業者!$S$8:$T$200,2,FALSE)),"要記入",VLOOKUP(D54&amp;F54,非_熱供給事業者!$S$8:$T$200,2,FALSE)))</f>
        <v/>
      </c>
      <c r="AQ54" s="466" t="str">
        <f>IF(AK54&lt;&gt;"都市ガス","",非_都市ガス事業者!$AB$4)</f>
        <v/>
      </c>
      <c r="AR54" s="466" t="str">
        <f>IF(AK54&lt;&gt;"都市ガス","",IF(ISERROR(VLOOKUP(D54&amp;F54,非_都市ガス事業者!$AA$8:$AB$200,2,FALSE)),"要記入",VLOOKUP(D54&amp;F54,非_都市ガス事業者!$AA$8:$AB$200,2,FALSE)))</f>
        <v/>
      </c>
      <c r="AS54" s="466" t="str">
        <f t="shared" si="67"/>
        <v/>
      </c>
      <c r="AT54" s="466" t="str">
        <f t="shared" si="77"/>
        <v/>
      </c>
      <c r="AU54" s="535" t="b">
        <f t="shared" si="11"/>
        <v>1</v>
      </c>
      <c r="AV54" s="466" t="str">
        <f>IF(Q54="","",VLOOKUP(Q54,非_単位補正換算!$B$3:$C$16,2,FALSE))</f>
        <v/>
      </c>
      <c r="AW54" s="466" t="str">
        <f>IF(AK54="","",IF(AK54&lt;&gt;"都市ガス",1,IF(G54="","",SUMIFS(非_単位補正換算!$D$52:$D$63,非_単位補正換算!$B$52:$B$63,"都市ガス"&amp;G54,非_単位補正換算!$C$52:$C$63,電気・熱_都市ガス!Q54))))</f>
        <v/>
      </c>
      <c r="AX54" s="527" t="str">
        <f t="shared" si="78"/>
        <v/>
      </c>
      <c r="AY54" s="466" t="str">
        <f t="shared" si="79"/>
        <v/>
      </c>
      <c r="AZ54" s="466" t="str">
        <f t="shared" si="68"/>
        <v/>
      </c>
      <c r="BA54" s="466" t="str">
        <f>IF(C54="","",VLOOKUP(C54,非_まとめ表行番号!$F$3:$H$12,2,FALSE))</f>
        <v/>
      </c>
      <c r="BB54" s="539" t="b">
        <f t="shared" si="13"/>
        <v>1</v>
      </c>
      <c r="BC54" s="637" t="str">
        <f>IF(AK54="","",IF(AK54&lt;&gt;"都市ガス",1,非_係数!$G$55))</f>
        <v/>
      </c>
      <c r="BD54" s="466" t="str">
        <f t="shared" si="80"/>
        <v/>
      </c>
      <c r="BE54" s="466" t="str">
        <f t="shared" si="69"/>
        <v/>
      </c>
      <c r="BF54" s="466" t="str">
        <f>IF(C54="","",IF(COUNTIFS(C54,"*自ら生成*")&gt;0,L54,VLOOKUP(C54,非_係数!$B$42:$K$55,9,FALSE)))</f>
        <v/>
      </c>
      <c r="BG54" s="466" t="str">
        <f t="shared" si="15"/>
        <v/>
      </c>
      <c r="BH54" s="466" t="str">
        <f>IF(C54="","",VLOOKUP(C54,非_まとめ表行番号!$F$3:$H$12,3,FALSE))</f>
        <v/>
      </c>
      <c r="BI54" s="466" t="str">
        <f t="shared" si="81"/>
        <v/>
      </c>
      <c r="BK54" s="527" t="str">
        <f>IF(BA54="","",VLOOKUP(BA54,非_まとめ表行番号!$U$3:$V$56,2,FALSE))</f>
        <v/>
      </c>
      <c r="BL54" s="526" t="str">
        <f t="shared" si="17"/>
        <v/>
      </c>
      <c r="BM54" s="526" t="str">
        <f t="shared" si="18"/>
        <v/>
      </c>
      <c r="BN54" s="526" t="str">
        <f t="shared" si="82"/>
        <v/>
      </c>
      <c r="BO54" s="526" t="str">
        <f t="shared" si="20"/>
        <v/>
      </c>
      <c r="BP54" s="526" t="str">
        <f t="shared" si="21"/>
        <v/>
      </c>
      <c r="BQ54" s="526" t="str">
        <f t="shared" si="83"/>
        <v/>
      </c>
      <c r="BR54" s="527" t="str">
        <f t="shared" si="23"/>
        <v/>
      </c>
      <c r="BS54" s="636" t="str">
        <f t="shared" si="84"/>
        <v/>
      </c>
    </row>
    <row r="55" spans="1:71" ht="18.75" customHeight="1">
      <c r="A55" s="483"/>
      <c r="B55" s="406"/>
      <c r="C55" s="406"/>
      <c r="D55" s="406"/>
      <c r="E55" s="406"/>
      <c r="F55" s="499"/>
      <c r="G55" s="608"/>
      <c r="H55" s="609" t="str">
        <f>IF(AK55&lt;&gt;"都市ガス","",IF(ISERROR(VLOOKUP(D55,非_都市ガス事業者!$O$8:$P$200,2,FALSE)),"",VLOOKUP(D55,非_都市ガス事業者!$O$8:$P$200,2,FALSE)))</f>
        <v/>
      </c>
      <c r="I55" s="610" t="str">
        <f>IF(AK55&lt;&gt;"都市ガス","",非_都市ガス事業者!$P$4)</f>
        <v/>
      </c>
      <c r="J55" s="612" t="str">
        <f>IF(C55="","",IF(COUNTIFS(C55,"*自ら生成*")&gt;0,"要記入",IF(AK55&lt;&gt;"都市ガス",VLOOKUP(C55,非_係数!$B$42:$D$55,2,FALSE),"")))</f>
        <v/>
      </c>
      <c r="K55" s="406"/>
      <c r="L55" s="560" t="str">
        <f t="shared" si="71"/>
        <v/>
      </c>
      <c r="M55" s="225" t="str">
        <f t="shared" si="72"/>
        <v/>
      </c>
      <c r="N55" s="406"/>
      <c r="O55" s="458"/>
      <c r="P55" s="406"/>
      <c r="Q55" s="406"/>
      <c r="R55" s="451"/>
      <c r="S55" s="451"/>
      <c r="T55" s="451"/>
      <c r="U55" s="451"/>
      <c r="V55" s="451"/>
      <c r="W55" s="451"/>
      <c r="X55" s="451"/>
      <c r="Y55" s="451"/>
      <c r="Z55" s="451"/>
      <c r="AA55" s="451"/>
      <c r="AB55" s="451"/>
      <c r="AC55" s="451"/>
      <c r="AD55" s="497"/>
      <c r="AE55" s="586" t="str">
        <f t="shared" si="85"/>
        <v/>
      </c>
      <c r="AF55" s="590" t="str">
        <f t="shared" si="74"/>
        <v/>
      </c>
      <c r="AG55" s="432" t="str">
        <f>IF(C55="","",VLOOKUP(C55,非_単位!$N$38:$O$53,2,FALSE))</f>
        <v/>
      </c>
      <c r="AH55" s="586" t="str">
        <f t="shared" si="75"/>
        <v/>
      </c>
      <c r="AI55" s="587" t="str">
        <f t="shared" si="76"/>
        <v/>
      </c>
      <c r="AK55" s="466" t="str">
        <f t="shared" si="66"/>
        <v/>
      </c>
      <c r="AL55" s="466" t="str">
        <f>IF(B55="","",IF(B55=非_燃料種類_選択リスト!$I$13,"外部供給_種類","外部供給以外_種類"))</f>
        <v/>
      </c>
      <c r="AM55" s="466" t="str">
        <f>IF(AK55&lt;&gt;"電気","",非_電気事業者!$S$4*1000)</f>
        <v/>
      </c>
      <c r="AN55" s="466" t="str">
        <f>IF(AK55&lt;&gt;"電気","",IF(ISERROR(VLOOKUP(D55&amp;F55,非_電気事業者!$R$9:$S$2000,2,FALSE)),"要記入",VLOOKUP(D55&amp;F55,非_電気事業者!$R$9:$S$2000,2,FALSE)*1000))</f>
        <v/>
      </c>
      <c r="AO55" s="466" t="str">
        <f>IF(AK55&lt;&gt;"熱","",非_熱供給事業者!$T$4)</f>
        <v/>
      </c>
      <c r="AP55" s="466" t="str">
        <f>IF(AK55&lt;&gt;"熱","",IF(ISERROR(VLOOKUP(D55&amp;F55,非_熱供給事業者!$S$8:$T$200,2,FALSE)),"要記入",VLOOKUP(D55&amp;F55,非_熱供給事業者!$S$8:$T$200,2,FALSE)))</f>
        <v/>
      </c>
      <c r="AQ55" s="466" t="str">
        <f>IF(AK55&lt;&gt;"都市ガス","",非_都市ガス事業者!$AB$4)</f>
        <v/>
      </c>
      <c r="AR55" s="466" t="str">
        <f>IF(AK55&lt;&gt;"都市ガス","",IF(ISERROR(VLOOKUP(D55&amp;F55,非_都市ガス事業者!$AA$8:$AB$200,2,FALSE)),"要記入",VLOOKUP(D55&amp;F55,非_都市ガス事業者!$AA$8:$AB$200,2,FALSE)))</f>
        <v/>
      </c>
      <c r="AS55" s="466" t="str">
        <f t="shared" si="67"/>
        <v/>
      </c>
      <c r="AT55" s="466" t="str">
        <f t="shared" si="77"/>
        <v/>
      </c>
      <c r="AU55" s="535" t="b">
        <f t="shared" si="11"/>
        <v>1</v>
      </c>
      <c r="AV55" s="466" t="str">
        <f>IF(Q55="","",VLOOKUP(Q55,非_単位補正換算!$B$3:$C$16,2,FALSE))</f>
        <v/>
      </c>
      <c r="AW55" s="466" t="str">
        <f>IF(AK55="","",IF(AK55&lt;&gt;"都市ガス",1,IF(G55="","",SUMIFS(非_単位補正換算!$D$52:$D$63,非_単位補正換算!$B$52:$B$63,"都市ガス"&amp;G55,非_単位補正換算!$C$52:$C$63,電気・熱_都市ガス!Q55))))</f>
        <v/>
      </c>
      <c r="AX55" s="527" t="str">
        <f t="shared" si="78"/>
        <v/>
      </c>
      <c r="AY55" s="466" t="str">
        <f t="shared" si="79"/>
        <v/>
      </c>
      <c r="AZ55" s="466" t="str">
        <f t="shared" si="68"/>
        <v/>
      </c>
      <c r="BA55" s="466" t="str">
        <f>IF(C55="","",VLOOKUP(C55,非_まとめ表行番号!$F$3:$H$12,2,FALSE))</f>
        <v/>
      </c>
      <c r="BB55" s="539" t="b">
        <f t="shared" si="13"/>
        <v>1</v>
      </c>
      <c r="BC55" s="637" t="str">
        <f>IF(AK55="","",IF(AK55&lt;&gt;"都市ガス",1,非_係数!$G$55))</f>
        <v/>
      </c>
      <c r="BD55" s="466" t="str">
        <f t="shared" si="80"/>
        <v/>
      </c>
      <c r="BE55" s="466" t="str">
        <f t="shared" si="69"/>
        <v/>
      </c>
      <c r="BF55" s="466" t="str">
        <f>IF(C55="","",IF(COUNTIFS(C55,"*自ら生成*")&gt;0,L55,VLOOKUP(C55,非_係数!$B$42:$K$55,9,FALSE)))</f>
        <v/>
      </c>
      <c r="BG55" s="466" t="str">
        <f t="shared" si="15"/>
        <v/>
      </c>
      <c r="BH55" s="466" t="str">
        <f>IF(C55="","",VLOOKUP(C55,非_まとめ表行番号!$F$3:$H$12,3,FALSE))</f>
        <v/>
      </c>
      <c r="BI55" s="466" t="str">
        <f t="shared" si="81"/>
        <v/>
      </c>
      <c r="BK55" s="527" t="str">
        <f>IF(BA55="","",VLOOKUP(BA55,非_まとめ表行番号!$U$3:$V$56,2,FALSE))</f>
        <v/>
      </c>
      <c r="BL55" s="526" t="str">
        <f t="shared" si="17"/>
        <v/>
      </c>
      <c r="BM55" s="526" t="str">
        <f t="shared" si="18"/>
        <v/>
      </c>
      <c r="BN55" s="526" t="str">
        <f t="shared" si="82"/>
        <v/>
      </c>
      <c r="BO55" s="526" t="str">
        <f t="shared" si="20"/>
        <v/>
      </c>
      <c r="BP55" s="526" t="str">
        <f t="shared" si="21"/>
        <v/>
      </c>
      <c r="BQ55" s="526" t="str">
        <f t="shared" si="83"/>
        <v/>
      </c>
      <c r="BR55" s="527" t="str">
        <f t="shared" si="23"/>
        <v/>
      </c>
      <c r="BS55" s="636" t="str">
        <f t="shared" si="84"/>
        <v/>
      </c>
    </row>
    <row r="56" spans="1:71" ht="18.75" customHeight="1">
      <c r="A56" s="483"/>
      <c r="B56" s="406"/>
      <c r="C56" s="406"/>
      <c r="D56" s="406"/>
      <c r="E56" s="406"/>
      <c r="F56" s="499"/>
      <c r="G56" s="608"/>
      <c r="H56" s="609" t="str">
        <f>IF(AK56&lt;&gt;"都市ガス","",IF(ISERROR(VLOOKUP(D56,非_都市ガス事業者!$O$8:$P$200,2,FALSE)),"",VLOOKUP(D56,非_都市ガス事業者!$O$8:$P$200,2,FALSE)))</f>
        <v/>
      </c>
      <c r="I56" s="610" t="str">
        <f>IF(AK56&lt;&gt;"都市ガス","",非_都市ガス事業者!$P$4)</f>
        <v/>
      </c>
      <c r="J56" s="612" t="str">
        <f>IF(C56="","",IF(COUNTIFS(C56,"*自ら生成*")&gt;0,"要記入",IF(AK56&lt;&gt;"都市ガス",VLOOKUP(C56,非_係数!$B$42:$D$55,2,FALSE),"")))</f>
        <v/>
      </c>
      <c r="K56" s="406"/>
      <c r="L56" s="560" t="str">
        <f t="shared" si="71"/>
        <v/>
      </c>
      <c r="M56" s="225" t="str">
        <f t="shared" si="72"/>
        <v/>
      </c>
      <c r="N56" s="406"/>
      <c r="O56" s="458"/>
      <c r="P56" s="406"/>
      <c r="Q56" s="406"/>
      <c r="R56" s="451"/>
      <c r="S56" s="451"/>
      <c r="T56" s="451"/>
      <c r="U56" s="451"/>
      <c r="V56" s="451"/>
      <c r="W56" s="451"/>
      <c r="X56" s="451"/>
      <c r="Y56" s="451"/>
      <c r="Z56" s="451"/>
      <c r="AA56" s="451"/>
      <c r="AB56" s="451"/>
      <c r="AC56" s="451"/>
      <c r="AD56" s="497"/>
      <c r="AE56" s="586" t="str">
        <f t="shared" si="85"/>
        <v/>
      </c>
      <c r="AF56" s="590" t="str">
        <f t="shared" si="74"/>
        <v/>
      </c>
      <c r="AG56" s="432" t="str">
        <f>IF(C56="","",VLOOKUP(C56,非_単位!$N$38:$O$53,2,FALSE))</f>
        <v/>
      </c>
      <c r="AH56" s="586" t="str">
        <f t="shared" si="75"/>
        <v/>
      </c>
      <c r="AI56" s="587" t="str">
        <f t="shared" si="76"/>
        <v/>
      </c>
      <c r="AK56" s="466" t="str">
        <f t="shared" si="66"/>
        <v/>
      </c>
      <c r="AL56" s="466" t="str">
        <f>IF(B56="","",IF(B56=非_燃料種類_選択リスト!$I$13,"外部供給_種類","外部供給以外_種類"))</f>
        <v/>
      </c>
      <c r="AM56" s="466" t="str">
        <f>IF(AK56&lt;&gt;"電気","",非_電気事業者!$S$4*1000)</f>
        <v/>
      </c>
      <c r="AN56" s="466" t="str">
        <f>IF(AK56&lt;&gt;"電気","",IF(ISERROR(VLOOKUP(D56&amp;F56,非_電気事業者!$R$9:$S$2000,2,FALSE)),"要記入",VLOOKUP(D56&amp;F56,非_電気事業者!$R$9:$S$2000,2,FALSE)*1000))</f>
        <v/>
      </c>
      <c r="AO56" s="466" t="str">
        <f>IF(AK56&lt;&gt;"熱","",非_熱供給事業者!$T$4)</f>
        <v/>
      </c>
      <c r="AP56" s="466" t="str">
        <f>IF(AK56&lt;&gt;"熱","",IF(ISERROR(VLOOKUP(D56&amp;F56,非_熱供給事業者!$S$8:$T$200,2,FALSE)),"要記入",VLOOKUP(D56&amp;F56,非_熱供給事業者!$S$8:$T$200,2,FALSE)))</f>
        <v/>
      </c>
      <c r="AQ56" s="466" t="str">
        <f>IF(AK56&lt;&gt;"都市ガス","",非_都市ガス事業者!$AB$4)</f>
        <v/>
      </c>
      <c r="AR56" s="466" t="str">
        <f>IF(AK56&lt;&gt;"都市ガス","",IF(ISERROR(VLOOKUP(D56&amp;F56,非_都市ガス事業者!$AA$8:$AB$200,2,FALSE)),"要記入",VLOOKUP(D56&amp;F56,非_都市ガス事業者!$AA$8:$AB$200,2,FALSE)))</f>
        <v/>
      </c>
      <c r="AS56" s="466" t="str">
        <f t="shared" si="67"/>
        <v/>
      </c>
      <c r="AT56" s="466" t="str">
        <f t="shared" si="77"/>
        <v/>
      </c>
      <c r="AU56" s="535" t="b">
        <f t="shared" si="11"/>
        <v>1</v>
      </c>
      <c r="AV56" s="466" t="str">
        <f>IF(Q56="","",VLOOKUP(Q56,非_単位補正換算!$B$3:$C$16,2,FALSE))</f>
        <v/>
      </c>
      <c r="AW56" s="466" t="str">
        <f>IF(AK56="","",IF(AK56&lt;&gt;"都市ガス",1,IF(G56="","",SUMIFS(非_単位補正換算!$D$52:$D$63,非_単位補正換算!$B$52:$B$63,"都市ガス"&amp;G56,非_単位補正換算!$C$52:$C$63,電気・熱_都市ガス!Q56))))</f>
        <v/>
      </c>
      <c r="AX56" s="527" t="str">
        <f t="shared" si="78"/>
        <v/>
      </c>
      <c r="AY56" s="466" t="str">
        <f t="shared" si="79"/>
        <v/>
      </c>
      <c r="AZ56" s="466" t="str">
        <f t="shared" si="68"/>
        <v/>
      </c>
      <c r="BA56" s="466" t="str">
        <f>IF(C56="","",VLOOKUP(C56,非_まとめ表行番号!$F$3:$H$12,2,FALSE))</f>
        <v/>
      </c>
      <c r="BB56" s="539" t="b">
        <f t="shared" si="13"/>
        <v>1</v>
      </c>
      <c r="BC56" s="637" t="str">
        <f>IF(AK56="","",IF(AK56&lt;&gt;"都市ガス",1,非_係数!$G$55))</f>
        <v/>
      </c>
      <c r="BD56" s="466" t="str">
        <f t="shared" si="80"/>
        <v/>
      </c>
      <c r="BE56" s="466" t="str">
        <f t="shared" si="69"/>
        <v/>
      </c>
      <c r="BF56" s="466" t="str">
        <f>IF(C56="","",IF(COUNTIFS(C56,"*自ら生成*")&gt;0,L56,VLOOKUP(C56,非_係数!$B$42:$K$55,9,FALSE)))</f>
        <v/>
      </c>
      <c r="BG56" s="466" t="str">
        <f t="shared" si="15"/>
        <v/>
      </c>
      <c r="BH56" s="466" t="str">
        <f>IF(C56="","",VLOOKUP(C56,非_まとめ表行番号!$F$3:$H$12,3,FALSE))</f>
        <v/>
      </c>
      <c r="BI56" s="466" t="str">
        <f t="shared" si="81"/>
        <v/>
      </c>
      <c r="BK56" s="527" t="str">
        <f>IF(BA56="","",VLOOKUP(BA56,非_まとめ表行番号!$U$3:$V$56,2,FALSE))</f>
        <v/>
      </c>
      <c r="BL56" s="526" t="str">
        <f t="shared" si="17"/>
        <v/>
      </c>
      <c r="BM56" s="526" t="str">
        <f t="shared" si="18"/>
        <v/>
      </c>
      <c r="BN56" s="526" t="str">
        <f t="shared" si="82"/>
        <v/>
      </c>
      <c r="BO56" s="526" t="str">
        <f t="shared" si="20"/>
        <v/>
      </c>
      <c r="BP56" s="526" t="str">
        <f t="shared" si="21"/>
        <v/>
      </c>
      <c r="BQ56" s="526" t="str">
        <f t="shared" si="83"/>
        <v/>
      </c>
      <c r="BR56" s="527" t="str">
        <f t="shared" si="23"/>
        <v/>
      </c>
      <c r="BS56" s="636" t="str">
        <f t="shared" si="84"/>
        <v/>
      </c>
    </row>
    <row r="57" spans="1:71" ht="18.75" customHeight="1">
      <c r="A57" s="483"/>
      <c r="B57" s="406"/>
      <c r="C57" s="406"/>
      <c r="D57" s="406"/>
      <c r="E57" s="406"/>
      <c r="F57" s="499"/>
      <c r="G57" s="608"/>
      <c r="H57" s="609" t="str">
        <f>IF(AK57&lt;&gt;"都市ガス","",IF(ISERROR(VLOOKUP(D57,非_都市ガス事業者!$O$8:$P$200,2,FALSE)),"",VLOOKUP(D57,非_都市ガス事業者!$O$8:$P$200,2,FALSE)))</f>
        <v/>
      </c>
      <c r="I57" s="610" t="str">
        <f>IF(AK57&lt;&gt;"都市ガス","",非_都市ガス事業者!$P$4)</f>
        <v/>
      </c>
      <c r="J57" s="612" t="str">
        <f>IF(C57="","",IF(COUNTIFS(C57,"*自ら生成*")&gt;0,"要記入",IF(AK57&lt;&gt;"都市ガス",VLOOKUP(C57,非_係数!$B$42:$D$55,2,FALSE),"")))</f>
        <v/>
      </c>
      <c r="K57" s="406"/>
      <c r="L57" s="560" t="str">
        <f t="shared" si="71"/>
        <v/>
      </c>
      <c r="M57" s="225" t="str">
        <f t="shared" si="72"/>
        <v/>
      </c>
      <c r="N57" s="406"/>
      <c r="O57" s="458"/>
      <c r="P57" s="406"/>
      <c r="Q57" s="406"/>
      <c r="R57" s="451"/>
      <c r="S57" s="451"/>
      <c r="T57" s="451"/>
      <c r="U57" s="451"/>
      <c r="V57" s="451"/>
      <c r="W57" s="451"/>
      <c r="X57" s="451"/>
      <c r="Y57" s="451"/>
      <c r="Z57" s="451"/>
      <c r="AA57" s="451"/>
      <c r="AB57" s="451"/>
      <c r="AC57" s="451"/>
      <c r="AD57" s="497"/>
      <c r="AE57" s="586" t="str">
        <f t="shared" si="85"/>
        <v/>
      </c>
      <c r="AF57" s="590" t="str">
        <f t="shared" si="74"/>
        <v/>
      </c>
      <c r="AG57" s="432" t="str">
        <f>IF(C57="","",VLOOKUP(C57,非_単位!$N$38:$O$53,2,FALSE))</f>
        <v/>
      </c>
      <c r="AH57" s="586" t="str">
        <f t="shared" si="75"/>
        <v/>
      </c>
      <c r="AI57" s="587" t="str">
        <f t="shared" si="76"/>
        <v/>
      </c>
      <c r="AK57" s="466" t="str">
        <f t="shared" si="66"/>
        <v/>
      </c>
      <c r="AL57" s="466" t="str">
        <f>IF(B57="","",IF(B57=非_燃料種類_選択リスト!$I$13,"外部供給_種類","外部供給以外_種類"))</f>
        <v/>
      </c>
      <c r="AM57" s="466" t="str">
        <f>IF(AK57&lt;&gt;"電気","",非_電気事業者!$S$4*1000)</f>
        <v/>
      </c>
      <c r="AN57" s="466" t="str">
        <f>IF(AK57&lt;&gt;"電気","",IF(ISERROR(VLOOKUP(D57&amp;F57,非_電気事業者!$R$9:$S$2000,2,FALSE)),"要記入",VLOOKUP(D57&amp;F57,非_電気事業者!$R$9:$S$2000,2,FALSE)*1000))</f>
        <v/>
      </c>
      <c r="AO57" s="466" t="str">
        <f>IF(AK57&lt;&gt;"熱","",非_熱供給事業者!$T$4)</f>
        <v/>
      </c>
      <c r="AP57" s="466" t="str">
        <f>IF(AK57&lt;&gt;"熱","",IF(ISERROR(VLOOKUP(D57&amp;F57,非_熱供給事業者!$S$8:$T$200,2,FALSE)),"要記入",VLOOKUP(D57&amp;F57,非_熱供給事業者!$S$8:$T$200,2,FALSE)))</f>
        <v/>
      </c>
      <c r="AQ57" s="466" t="str">
        <f>IF(AK57&lt;&gt;"都市ガス","",非_都市ガス事業者!$AB$4)</f>
        <v/>
      </c>
      <c r="AR57" s="466" t="str">
        <f>IF(AK57&lt;&gt;"都市ガス","",IF(ISERROR(VLOOKUP(D57&amp;F57,非_都市ガス事業者!$AA$8:$AB$200,2,FALSE)),"要記入",VLOOKUP(D57&amp;F57,非_都市ガス事業者!$AA$8:$AB$200,2,FALSE)))</f>
        <v/>
      </c>
      <c r="AS57" s="466" t="str">
        <f t="shared" si="67"/>
        <v/>
      </c>
      <c r="AT57" s="466" t="str">
        <f t="shared" si="77"/>
        <v/>
      </c>
      <c r="AU57" s="535" t="b">
        <f t="shared" si="11"/>
        <v>1</v>
      </c>
      <c r="AV57" s="466" t="str">
        <f>IF(Q57="","",VLOOKUP(Q57,非_単位補正換算!$B$3:$C$16,2,FALSE))</f>
        <v/>
      </c>
      <c r="AW57" s="466" t="str">
        <f>IF(AK57="","",IF(AK57&lt;&gt;"都市ガス",1,IF(G57="","",SUMIFS(非_単位補正換算!$D$52:$D$63,非_単位補正換算!$B$52:$B$63,"都市ガス"&amp;G57,非_単位補正換算!$C$52:$C$63,電気・熱_都市ガス!Q57))))</f>
        <v/>
      </c>
      <c r="AX57" s="527" t="str">
        <f t="shared" si="78"/>
        <v/>
      </c>
      <c r="AY57" s="466" t="str">
        <f t="shared" si="79"/>
        <v/>
      </c>
      <c r="AZ57" s="466" t="str">
        <f t="shared" si="68"/>
        <v/>
      </c>
      <c r="BA57" s="466" t="str">
        <f>IF(C57="","",VLOOKUP(C57,非_まとめ表行番号!$F$3:$H$12,2,FALSE))</f>
        <v/>
      </c>
      <c r="BB57" s="539" t="b">
        <f t="shared" si="13"/>
        <v>1</v>
      </c>
      <c r="BC57" s="637" t="str">
        <f>IF(AK57="","",IF(AK57&lt;&gt;"都市ガス",1,非_係数!$G$55))</f>
        <v/>
      </c>
      <c r="BD57" s="466" t="str">
        <f t="shared" si="80"/>
        <v/>
      </c>
      <c r="BE57" s="466" t="str">
        <f t="shared" si="69"/>
        <v/>
      </c>
      <c r="BF57" s="466" t="str">
        <f>IF(C57="","",IF(COUNTIFS(C57,"*自ら生成*")&gt;0,L57,VLOOKUP(C57,非_係数!$B$42:$K$55,9,FALSE)))</f>
        <v/>
      </c>
      <c r="BG57" s="466" t="str">
        <f t="shared" si="15"/>
        <v/>
      </c>
      <c r="BH57" s="466" t="str">
        <f>IF(C57="","",VLOOKUP(C57,非_まとめ表行番号!$F$3:$H$12,3,FALSE))</f>
        <v/>
      </c>
      <c r="BI57" s="466" t="str">
        <f t="shared" si="81"/>
        <v/>
      </c>
      <c r="BK57" s="527" t="str">
        <f>IF(BA57="","",VLOOKUP(BA57,非_まとめ表行番号!$U$3:$V$56,2,FALSE))</f>
        <v/>
      </c>
      <c r="BL57" s="526" t="str">
        <f t="shared" si="17"/>
        <v/>
      </c>
      <c r="BM57" s="526" t="str">
        <f t="shared" si="18"/>
        <v/>
      </c>
      <c r="BN57" s="526" t="str">
        <f t="shared" si="82"/>
        <v/>
      </c>
      <c r="BO57" s="526" t="str">
        <f t="shared" si="20"/>
        <v/>
      </c>
      <c r="BP57" s="526" t="str">
        <f t="shared" si="21"/>
        <v/>
      </c>
      <c r="BQ57" s="526" t="str">
        <f t="shared" si="83"/>
        <v/>
      </c>
      <c r="BR57" s="527" t="str">
        <f t="shared" si="23"/>
        <v/>
      </c>
      <c r="BS57" s="636" t="str">
        <f t="shared" si="84"/>
        <v/>
      </c>
    </row>
    <row r="58" spans="1:71" ht="18.75" customHeight="1">
      <c r="A58" s="483"/>
      <c r="B58" s="406"/>
      <c r="C58" s="406"/>
      <c r="D58" s="406"/>
      <c r="E58" s="406"/>
      <c r="F58" s="499"/>
      <c r="G58" s="608"/>
      <c r="H58" s="609" t="str">
        <f>IF(AK58&lt;&gt;"都市ガス","",IF(ISERROR(VLOOKUP(D58,非_都市ガス事業者!$O$8:$P$200,2,FALSE)),"",VLOOKUP(D58,非_都市ガス事業者!$O$8:$P$200,2,FALSE)))</f>
        <v/>
      </c>
      <c r="I58" s="610" t="str">
        <f>IF(AK58&lt;&gt;"都市ガス","",非_都市ガス事業者!$P$4)</f>
        <v/>
      </c>
      <c r="J58" s="612" t="str">
        <f>IF(C58="","",IF(COUNTIFS(C58,"*自ら生成*")&gt;0,"要記入",IF(AK58&lt;&gt;"都市ガス",VLOOKUP(C58,非_係数!$B$42:$D$55,2,FALSE),"")))</f>
        <v/>
      </c>
      <c r="K58" s="406"/>
      <c r="L58" s="560" t="str">
        <f t="shared" si="71"/>
        <v/>
      </c>
      <c r="M58" s="225" t="str">
        <f t="shared" si="72"/>
        <v/>
      </c>
      <c r="N58" s="406"/>
      <c r="O58" s="458"/>
      <c r="P58" s="406"/>
      <c r="Q58" s="406"/>
      <c r="R58" s="451"/>
      <c r="S58" s="451"/>
      <c r="T58" s="451"/>
      <c r="U58" s="451"/>
      <c r="V58" s="451"/>
      <c r="W58" s="451"/>
      <c r="X58" s="451"/>
      <c r="Y58" s="451"/>
      <c r="Z58" s="451"/>
      <c r="AA58" s="451"/>
      <c r="AB58" s="451"/>
      <c r="AC58" s="451"/>
      <c r="AD58" s="497"/>
      <c r="AE58" s="586" t="str">
        <f t="shared" si="85"/>
        <v/>
      </c>
      <c r="AF58" s="590" t="str">
        <f t="shared" si="74"/>
        <v/>
      </c>
      <c r="AG58" s="432" t="str">
        <f>IF(C58="","",VLOOKUP(C58,非_単位!$N$38:$O$53,2,FALSE))</f>
        <v/>
      </c>
      <c r="AH58" s="586" t="str">
        <f t="shared" si="75"/>
        <v/>
      </c>
      <c r="AI58" s="587" t="str">
        <f t="shared" si="76"/>
        <v/>
      </c>
      <c r="AK58" s="466" t="str">
        <f t="shared" si="66"/>
        <v/>
      </c>
      <c r="AL58" s="466" t="str">
        <f>IF(B58="","",IF(B58=非_燃料種類_選択リスト!$I$13,"外部供給_種類","外部供給以外_種類"))</f>
        <v/>
      </c>
      <c r="AM58" s="466" t="str">
        <f>IF(AK58&lt;&gt;"電気","",非_電気事業者!$S$4*1000)</f>
        <v/>
      </c>
      <c r="AN58" s="466" t="str">
        <f>IF(AK58&lt;&gt;"電気","",IF(ISERROR(VLOOKUP(D58&amp;F58,非_電気事業者!$R$9:$S$2000,2,FALSE)),"要記入",VLOOKUP(D58&amp;F58,非_電気事業者!$R$9:$S$2000,2,FALSE)*1000))</f>
        <v/>
      </c>
      <c r="AO58" s="466" t="str">
        <f>IF(AK58&lt;&gt;"熱","",非_熱供給事業者!$T$4)</f>
        <v/>
      </c>
      <c r="AP58" s="466" t="str">
        <f>IF(AK58&lt;&gt;"熱","",IF(ISERROR(VLOOKUP(D58&amp;F58,非_熱供給事業者!$S$8:$T$200,2,FALSE)),"要記入",VLOOKUP(D58&amp;F58,非_熱供給事業者!$S$8:$T$200,2,FALSE)))</f>
        <v/>
      </c>
      <c r="AQ58" s="466" t="str">
        <f>IF(AK58&lt;&gt;"都市ガス","",非_都市ガス事業者!$AB$4)</f>
        <v/>
      </c>
      <c r="AR58" s="466" t="str">
        <f>IF(AK58&lt;&gt;"都市ガス","",IF(ISERROR(VLOOKUP(D58&amp;F58,非_都市ガス事業者!$AA$8:$AB$200,2,FALSE)),"要記入",VLOOKUP(D58&amp;F58,非_都市ガス事業者!$AA$8:$AB$200,2,FALSE)))</f>
        <v/>
      </c>
      <c r="AS58" s="466" t="str">
        <f t="shared" si="67"/>
        <v/>
      </c>
      <c r="AT58" s="466" t="str">
        <f t="shared" si="77"/>
        <v/>
      </c>
      <c r="AU58" s="535" t="b">
        <f t="shared" si="11"/>
        <v>1</v>
      </c>
      <c r="AV58" s="466" t="str">
        <f>IF(Q58="","",VLOOKUP(Q58,非_単位補正換算!$B$3:$C$16,2,FALSE))</f>
        <v/>
      </c>
      <c r="AW58" s="466" t="str">
        <f>IF(AK58="","",IF(AK58&lt;&gt;"都市ガス",1,IF(G58="","",SUMIFS(非_単位補正換算!$D$52:$D$63,非_単位補正換算!$B$52:$B$63,"都市ガス"&amp;G58,非_単位補正換算!$C$52:$C$63,電気・熱_都市ガス!Q58))))</f>
        <v/>
      </c>
      <c r="AX58" s="527" t="str">
        <f t="shared" si="78"/>
        <v/>
      </c>
      <c r="AY58" s="466" t="str">
        <f t="shared" si="79"/>
        <v/>
      </c>
      <c r="AZ58" s="466" t="str">
        <f t="shared" si="68"/>
        <v/>
      </c>
      <c r="BA58" s="466" t="str">
        <f>IF(C58="","",VLOOKUP(C58,非_まとめ表行番号!$F$3:$H$12,2,FALSE))</f>
        <v/>
      </c>
      <c r="BB58" s="539" t="b">
        <f t="shared" si="13"/>
        <v>1</v>
      </c>
      <c r="BC58" s="637" t="str">
        <f>IF(AK58="","",IF(AK58&lt;&gt;"都市ガス",1,非_係数!$G$55))</f>
        <v/>
      </c>
      <c r="BD58" s="466" t="str">
        <f t="shared" si="80"/>
        <v/>
      </c>
      <c r="BE58" s="466" t="str">
        <f t="shared" si="69"/>
        <v/>
      </c>
      <c r="BF58" s="466" t="str">
        <f>IF(C58="","",VLOOKUP(C58,非_係数!$B$42:$K$55,9,FALSE))</f>
        <v/>
      </c>
      <c r="BG58" s="466" t="str">
        <f t="shared" si="15"/>
        <v/>
      </c>
      <c r="BH58" s="466" t="str">
        <f>IF(C58="","",VLOOKUP(C58,非_まとめ表行番号!$F$3:$H$12,3,FALSE))</f>
        <v/>
      </c>
      <c r="BI58" s="466" t="str">
        <f t="shared" si="81"/>
        <v/>
      </c>
      <c r="BK58" s="527" t="str">
        <f>IF(BA58="","",VLOOKUP(BA58,非_まとめ表行番号!$U$3:$V$56,2,FALSE))</f>
        <v/>
      </c>
      <c r="BL58" s="526" t="str">
        <f t="shared" si="17"/>
        <v/>
      </c>
      <c r="BM58" s="526" t="str">
        <f t="shared" si="18"/>
        <v/>
      </c>
      <c r="BN58" s="526" t="str">
        <f t="shared" si="82"/>
        <v/>
      </c>
      <c r="BO58" s="526" t="str">
        <f t="shared" si="20"/>
        <v/>
      </c>
      <c r="BP58" s="526" t="str">
        <f t="shared" si="21"/>
        <v/>
      </c>
      <c r="BQ58" s="526" t="str">
        <f t="shared" si="83"/>
        <v/>
      </c>
      <c r="BR58" s="527" t="str">
        <f t="shared" si="23"/>
        <v/>
      </c>
      <c r="BS58" s="636" t="str">
        <f t="shared" si="84"/>
        <v/>
      </c>
    </row>
    <row r="59" spans="1:71" ht="18.75" customHeight="1">
      <c r="A59" s="483"/>
      <c r="B59" s="406"/>
      <c r="C59" s="406"/>
      <c r="D59" s="406"/>
      <c r="E59" s="406"/>
      <c r="F59" s="499"/>
      <c r="G59" s="608"/>
      <c r="H59" s="609" t="str">
        <f>IF(AK59&lt;&gt;"都市ガス","",IF(ISERROR(VLOOKUP(D59,非_都市ガス事業者!$O$8:$P$200,2,FALSE)),"",VLOOKUP(D59,非_都市ガス事業者!$O$8:$P$200,2,FALSE)))</f>
        <v/>
      </c>
      <c r="I59" s="610" t="str">
        <f>IF(AK59&lt;&gt;"都市ガス","",非_都市ガス事業者!$P$4)</f>
        <v/>
      </c>
      <c r="J59" s="612" t="str">
        <f>IF(C59="","",IF(COUNTIFS(C59,"*自ら生成*")&gt;0,"要記入",IF(AK59&lt;&gt;"都市ガス",VLOOKUP(C59,非_係数!$B$42:$D$55,2,FALSE),"")))</f>
        <v/>
      </c>
      <c r="K59" s="406"/>
      <c r="L59" s="560" t="str">
        <f t="shared" si="71"/>
        <v/>
      </c>
      <c r="M59" s="225" t="str">
        <f t="shared" si="72"/>
        <v/>
      </c>
      <c r="N59" s="406"/>
      <c r="O59" s="458"/>
      <c r="P59" s="406"/>
      <c r="Q59" s="406"/>
      <c r="R59" s="451"/>
      <c r="S59" s="451"/>
      <c r="T59" s="451"/>
      <c r="U59" s="451"/>
      <c r="V59" s="451"/>
      <c r="W59" s="451"/>
      <c r="X59" s="451"/>
      <c r="Y59" s="451"/>
      <c r="Z59" s="451"/>
      <c r="AA59" s="451"/>
      <c r="AB59" s="451"/>
      <c r="AC59" s="451"/>
      <c r="AD59" s="497"/>
      <c r="AE59" s="586" t="str">
        <f t="shared" si="85"/>
        <v/>
      </c>
      <c r="AF59" s="590" t="str">
        <f t="shared" si="74"/>
        <v/>
      </c>
      <c r="AG59" s="432" t="str">
        <f>IF(C59="","",VLOOKUP(C59,非_単位!$N$38:$O$53,2,FALSE))</f>
        <v/>
      </c>
      <c r="AH59" s="586" t="str">
        <f t="shared" si="75"/>
        <v/>
      </c>
      <c r="AI59" s="587" t="str">
        <f t="shared" si="76"/>
        <v/>
      </c>
      <c r="AK59" s="466" t="str">
        <f t="shared" si="66"/>
        <v/>
      </c>
      <c r="AL59" s="466" t="str">
        <f>IF(B59="","",IF(B59=非_燃料種類_選択リスト!$I$13,"外部供給_種類","外部供給以外_種類"))</f>
        <v/>
      </c>
      <c r="AM59" s="466" t="str">
        <f>IF(AK59&lt;&gt;"電気","",非_電気事業者!$S$4*1000)</f>
        <v/>
      </c>
      <c r="AN59" s="466" t="str">
        <f>IF(AK59&lt;&gt;"電気","",IF(ISERROR(VLOOKUP(D59&amp;F59,非_電気事業者!$R$9:$S$2000,2,FALSE)),"要記入",VLOOKUP(D59&amp;F59,非_電気事業者!$R$9:$S$2000,2,FALSE)*1000))</f>
        <v/>
      </c>
      <c r="AO59" s="466" t="str">
        <f>IF(AK59&lt;&gt;"熱","",非_熱供給事業者!$T$4)</f>
        <v/>
      </c>
      <c r="AP59" s="466" t="str">
        <f>IF(AK59&lt;&gt;"熱","",IF(ISERROR(VLOOKUP(D59&amp;F59,非_熱供給事業者!$S$8:$T$200,2,FALSE)),"要記入",VLOOKUP(D59&amp;F59,非_熱供給事業者!$S$8:$T$200,2,FALSE)))</f>
        <v/>
      </c>
      <c r="AQ59" s="466" t="str">
        <f>IF(AK59&lt;&gt;"都市ガス","",非_都市ガス事業者!$AB$4)</f>
        <v/>
      </c>
      <c r="AR59" s="466" t="str">
        <f>IF(AK59&lt;&gt;"都市ガス","",IF(ISERROR(VLOOKUP(D59&amp;F59,非_都市ガス事業者!$AA$8:$AB$200,2,FALSE)),"要記入",VLOOKUP(D59&amp;F59,非_都市ガス事業者!$AA$8:$AB$200,2,FALSE)))</f>
        <v/>
      </c>
      <c r="AS59" s="466" t="str">
        <f t="shared" si="67"/>
        <v/>
      </c>
      <c r="AT59" s="466" t="str">
        <f t="shared" si="77"/>
        <v/>
      </c>
      <c r="AU59" s="535" t="b">
        <f t="shared" si="11"/>
        <v>1</v>
      </c>
      <c r="AV59" s="466" t="str">
        <f>IF(Q59="","",VLOOKUP(Q59,非_単位補正換算!$B$3:$C$16,2,FALSE))</f>
        <v/>
      </c>
      <c r="AW59" s="466" t="str">
        <f>IF(AK59="","",IF(AK59&lt;&gt;"都市ガス",1,IF(G59="","",SUMIFS(非_単位補正換算!$D$52:$D$63,非_単位補正換算!$B$52:$B$63,"都市ガス"&amp;G59,非_単位補正換算!$C$52:$C$63,電気・熱_都市ガス!Q59))))</f>
        <v/>
      </c>
      <c r="AX59" s="527" t="str">
        <f t="shared" si="78"/>
        <v/>
      </c>
      <c r="AY59" s="466" t="str">
        <f t="shared" si="79"/>
        <v/>
      </c>
      <c r="AZ59" s="466" t="str">
        <f t="shared" si="68"/>
        <v/>
      </c>
      <c r="BA59" s="466" t="str">
        <f>IF(C59="","",VLOOKUP(C59,非_まとめ表行番号!$F$3:$H$12,2,FALSE))</f>
        <v/>
      </c>
      <c r="BB59" s="539" t="b">
        <f t="shared" si="13"/>
        <v>1</v>
      </c>
      <c r="BC59" s="637" t="str">
        <f>IF(AK59="","",IF(AK59&lt;&gt;"都市ガス",1,非_係数!$G$55))</f>
        <v/>
      </c>
      <c r="BD59" s="466" t="str">
        <f t="shared" si="80"/>
        <v/>
      </c>
      <c r="BE59" s="466" t="str">
        <f t="shared" si="69"/>
        <v/>
      </c>
      <c r="BF59" s="466" t="str">
        <f>IF(C59="","",VLOOKUP(C59,非_係数!$B$42:$K$55,9,FALSE))</f>
        <v/>
      </c>
      <c r="BG59" s="466" t="str">
        <f t="shared" si="15"/>
        <v/>
      </c>
      <c r="BH59" s="466" t="str">
        <f>IF(C59="","",VLOOKUP(C59,非_まとめ表行番号!$F$3:$H$12,3,FALSE))</f>
        <v/>
      </c>
      <c r="BI59" s="466" t="str">
        <f t="shared" si="81"/>
        <v/>
      </c>
      <c r="BK59" s="527" t="str">
        <f>IF(BA59="","",VLOOKUP(BA59,非_まとめ表行番号!$U$3:$V$56,2,FALSE))</f>
        <v/>
      </c>
      <c r="BL59" s="526" t="str">
        <f t="shared" si="17"/>
        <v/>
      </c>
      <c r="BM59" s="526" t="str">
        <f t="shared" si="18"/>
        <v/>
      </c>
      <c r="BN59" s="526" t="str">
        <f t="shared" si="82"/>
        <v/>
      </c>
      <c r="BO59" s="526" t="str">
        <f t="shared" si="20"/>
        <v/>
      </c>
      <c r="BP59" s="526" t="str">
        <f t="shared" si="21"/>
        <v/>
      </c>
      <c r="BQ59" s="526" t="str">
        <f t="shared" si="83"/>
        <v/>
      </c>
      <c r="BR59" s="527" t="str">
        <f t="shared" si="23"/>
        <v/>
      </c>
      <c r="BS59" s="636" t="str">
        <f t="shared" si="84"/>
        <v/>
      </c>
    </row>
    <row r="60" spans="1:71" ht="18.75" customHeight="1">
      <c r="A60" s="483"/>
      <c r="B60" s="406"/>
      <c r="C60" s="406"/>
      <c r="D60" s="406"/>
      <c r="E60" s="406"/>
      <c r="F60" s="499"/>
      <c r="G60" s="608"/>
      <c r="H60" s="609" t="str">
        <f>IF(AK60&lt;&gt;"都市ガス","",IF(ISERROR(VLOOKUP(D60,非_都市ガス事業者!$O$8:$P$200,2,FALSE)),"",VLOOKUP(D60,非_都市ガス事業者!$O$8:$P$200,2,FALSE)))</f>
        <v/>
      </c>
      <c r="I60" s="610" t="str">
        <f>IF(AK60&lt;&gt;"都市ガス","",非_都市ガス事業者!$P$4)</f>
        <v/>
      </c>
      <c r="J60" s="612" t="str">
        <f>IF(C60="","",IF(COUNTIFS(C60,"*自ら生成*")&gt;0,"要記入",IF(AK60&lt;&gt;"都市ガス",VLOOKUP(C60,非_係数!$B$42:$D$55,2,FALSE),"")))</f>
        <v/>
      </c>
      <c r="K60" s="406"/>
      <c r="L60" s="560" t="str">
        <f t="shared" si="71"/>
        <v/>
      </c>
      <c r="M60" s="225" t="str">
        <f t="shared" si="72"/>
        <v/>
      </c>
      <c r="N60" s="406"/>
      <c r="O60" s="458"/>
      <c r="P60" s="406"/>
      <c r="Q60" s="406"/>
      <c r="R60" s="451"/>
      <c r="S60" s="451"/>
      <c r="T60" s="451"/>
      <c r="U60" s="451"/>
      <c r="V60" s="451"/>
      <c r="W60" s="451"/>
      <c r="X60" s="451"/>
      <c r="Y60" s="451"/>
      <c r="Z60" s="451"/>
      <c r="AA60" s="451"/>
      <c r="AB60" s="451"/>
      <c r="AC60" s="451"/>
      <c r="AD60" s="497"/>
      <c r="AE60" s="586" t="str">
        <f t="shared" si="85"/>
        <v/>
      </c>
      <c r="AF60" s="590" t="str">
        <f t="shared" si="74"/>
        <v/>
      </c>
      <c r="AG60" s="432" t="str">
        <f>IF(C60="","",VLOOKUP(C60,非_単位!$N$38:$O$53,2,FALSE))</f>
        <v/>
      </c>
      <c r="AH60" s="586" t="str">
        <f t="shared" si="75"/>
        <v/>
      </c>
      <c r="AI60" s="587" t="str">
        <f t="shared" si="76"/>
        <v/>
      </c>
      <c r="AK60" s="466" t="str">
        <f t="shared" si="66"/>
        <v/>
      </c>
      <c r="AL60" s="466" t="str">
        <f>IF(B60="","",IF(B60=非_燃料種類_選択リスト!$I$13,"外部供給_種類","外部供給以外_種類"))</f>
        <v/>
      </c>
      <c r="AM60" s="466" t="str">
        <f>IF(AK60&lt;&gt;"電気","",非_電気事業者!$S$4*1000)</f>
        <v/>
      </c>
      <c r="AN60" s="466" t="str">
        <f>IF(AK60&lt;&gt;"電気","",IF(ISERROR(VLOOKUP(D60&amp;F60,非_電気事業者!$R$9:$S$2000,2,FALSE)),"要記入",VLOOKUP(D60&amp;F60,非_電気事業者!$R$9:$S$2000,2,FALSE)*1000))</f>
        <v/>
      </c>
      <c r="AO60" s="466" t="str">
        <f>IF(AK60&lt;&gt;"熱","",非_熱供給事業者!$T$4)</f>
        <v/>
      </c>
      <c r="AP60" s="466" t="str">
        <f>IF(AK60&lt;&gt;"熱","",IF(ISERROR(VLOOKUP(D60&amp;F60,非_熱供給事業者!$S$8:$T$200,2,FALSE)),"要記入",VLOOKUP(D60&amp;F60,非_熱供給事業者!$S$8:$T$200,2,FALSE)))</f>
        <v/>
      </c>
      <c r="AQ60" s="466" t="str">
        <f>IF(AK60&lt;&gt;"都市ガス","",非_都市ガス事業者!$AB$4)</f>
        <v/>
      </c>
      <c r="AR60" s="466" t="str">
        <f>IF(AK60&lt;&gt;"都市ガス","",IF(ISERROR(VLOOKUP(D60&amp;F60,非_都市ガス事業者!$AA$8:$AB$200,2,FALSE)),"要記入",VLOOKUP(D60&amp;F60,非_都市ガス事業者!$AA$8:$AB$200,2,FALSE)))</f>
        <v/>
      </c>
      <c r="AS60" s="466" t="str">
        <f t="shared" si="67"/>
        <v/>
      </c>
      <c r="AT60" s="466" t="str">
        <f t="shared" si="77"/>
        <v/>
      </c>
      <c r="AU60" s="535" t="b">
        <f t="shared" si="11"/>
        <v>1</v>
      </c>
      <c r="AV60" s="466" t="str">
        <f>IF(Q60="","",VLOOKUP(Q60,非_単位補正換算!$B$3:$C$16,2,FALSE))</f>
        <v/>
      </c>
      <c r="AW60" s="466" t="str">
        <f>IF(AK60="","",IF(AK60&lt;&gt;"都市ガス",1,IF(G60="","",SUMIFS(非_単位補正換算!$D$52:$D$63,非_単位補正換算!$B$52:$B$63,"都市ガス"&amp;G60,非_単位補正換算!$C$52:$C$63,電気・熱_都市ガス!Q60))))</f>
        <v/>
      </c>
      <c r="AX60" s="527" t="str">
        <f t="shared" si="78"/>
        <v/>
      </c>
      <c r="AY60" s="466" t="str">
        <f t="shared" si="79"/>
        <v/>
      </c>
      <c r="AZ60" s="466" t="str">
        <f t="shared" si="68"/>
        <v/>
      </c>
      <c r="BA60" s="466" t="str">
        <f>IF(C60="","",VLOOKUP(C60,非_まとめ表行番号!$F$3:$H$12,2,FALSE))</f>
        <v/>
      </c>
      <c r="BB60" s="539" t="b">
        <f t="shared" si="13"/>
        <v>1</v>
      </c>
      <c r="BC60" s="637" t="str">
        <f>IF(AK60="","",IF(AK60&lt;&gt;"都市ガス",1,非_係数!$G$55))</f>
        <v/>
      </c>
      <c r="BD60" s="466" t="str">
        <f t="shared" si="80"/>
        <v/>
      </c>
      <c r="BE60" s="466" t="str">
        <f t="shared" si="69"/>
        <v/>
      </c>
      <c r="BF60" s="466" t="str">
        <f>IF(C60="","",VLOOKUP(C60,非_係数!$B$42:$K$55,9,FALSE))</f>
        <v/>
      </c>
      <c r="BG60" s="466" t="str">
        <f t="shared" si="15"/>
        <v/>
      </c>
      <c r="BH60" s="466" t="str">
        <f>IF(C60="","",VLOOKUP(C60,非_まとめ表行番号!$F$3:$H$12,3,FALSE))</f>
        <v/>
      </c>
      <c r="BI60" s="466" t="str">
        <f t="shared" si="81"/>
        <v/>
      </c>
      <c r="BK60" s="527" t="str">
        <f>IF(BA60="","",VLOOKUP(BA60,非_まとめ表行番号!$U$3:$V$56,2,FALSE))</f>
        <v/>
      </c>
      <c r="BL60" s="526" t="str">
        <f t="shared" si="17"/>
        <v/>
      </c>
      <c r="BM60" s="526" t="str">
        <f t="shared" si="18"/>
        <v/>
      </c>
      <c r="BN60" s="526" t="str">
        <f t="shared" si="82"/>
        <v/>
      </c>
      <c r="BO60" s="526" t="str">
        <f t="shared" si="20"/>
        <v/>
      </c>
      <c r="BP60" s="526" t="str">
        <f t="shared" si="21"/>
        <v/>
      </c>
      <c r="BQ60" s="526" t="str">
        <f t="shared" si="83"/>
        <v/>
      </c>
      <c r="BR60" s="527" t="str">
        <f t="shared" si="23"/>
        <v/>
      </c>
      <c r="BS60" s="636" t="str">
        <f t="shared" si="84"/>
        <v/>
      </c>
    </row>
    <row r="61" spans="1:71" ht="18.75" customHeight="1">
      <c r="A61" s="483"/>
      <c r="B61" s="406"/>
      <c r="C61" s="406"/>
      <c r="D61" s="406"/>
      <c r="E61" s="406"/>
      <c r="F61" s="499"/>
      <c r="G61" s="608"/>
      <c r="H61" s="609" t="str">
        <f>IF(AK61&lt;&gt;"都市ガス","",IF(ISERROR(VLOOKUP(D61,非_都市ガス事業者!$O$8:$P$200,2,FALSE)),"",VLOOKUP(D61,非_都市ガス事業者!$O$8:$P$200,2,FALSE)))</f>
        <v/>
      </c>
      <c r="I61" s="610" t="str">
        <f>IF(AK61&lt;&gt;"都市ガス","",非_都市ガス事業者!$P$4)</f>
        <v/>
      </c>
      <c r="J61" s="612" t="str">
        <f>IF(C61="","",IF(COUNTIFS(C61,"*自ら生成*")&gt;0,"要記入",IF(AK61&lt;&gt;"都市ガス",VLOOKUP(C61,非_係数!$B$42:$D$55,2,FALSE),"")))</f>
        <v/>
      </c>
      <c r="K61" s="406"/>
      <c r="L61" s="560" t="str">
        <f t="shared" si="71"/>
        <v/>
      </c>
      <c r="M61" s="225" t="str">
        <f t="shared" si="72"/>
        <v/>
      </c>
      <c r="N61" s="406"/>
      <c r="O61" s="458"/>
      <c r="P61" s="406"/>
      <c r="Q61" s="406"/>
      <c r="R61" s="451"/>
      <c r="S61" s="451"/>
      <c r="T61" s="451"/>
      <c r="U61" s="451"/>
      <c r="V61" s="451"/>
      <c r="W61" s="451"/>
      <c r="X61" s="451"/>
      <c r="Y61" s="451"/>
      <c r="Z61" s="451"/>
      <c r="AA61" s="451"/>
      <c r="AB61" s="451"/>
      <c r="AC61" s="451"/>
      <c r="AD61" s="497"/>
      <c r="AE61" s="586" t="str">
        <f t="shared" si="85"/>
        <v/>
      </c>
      <c r="AF61" s="590" t="str">
        <f t="shared" si="74"/>
        <v/>
      </c>
      <c r="AG61" s="432" t="str">
        <f>IF(C61="","",VLOOKUP(C61,非_単位!$N$38:$O$53,2,FALSE))</f>
        <v/>
      </c>
      <c r="AH61" s="586" t="str">
        <f t="shared" si="75"/>
        <v/>
      </c>
      <c r="AI61" s="587" t="str">
        <f t="shared" si="76"/>
        <v/>
      </c>
      <c r="AK61" s="466" t="str">
        <f t="shared" si="66"/>
        <v/>
      </c>
      <c r="AL61" s="466" t="str">
        <f>IF(B61="","",IF(B61=非_燃料種類_選択リスト!$I$13,"外部供給_種類","外部供給以外_種類"))</f>
        <v/>
      </c>
      <c r="AM61" s="466" t="str">
        <f>IF(AK61&lt;&gt;"電気","",非_電気事業者!$S$4*1000)</f>
        <v/>
      </c>
      <c r="AN61" s="466" t="str">
        <f>IF(AK61&lt;&gt;"電気","",IF(ISERROR(VLOOKUP(D61&amp;F61,非_電気事業者!$R$9:$S$2000,2,FALSE)),"要記入",VLOOKUP(D61&amp;F61,非_電気事業者!$R$9:$S$2000,2,FALSE)*1000))</f>
        <v/>
      </c>
      <c r="AO61" s="466" t="str">
        <f>IF(AK61&lt;&gt;"熱","",非_熱供給事業者!$T$4)</f>
        <v/>
      </c>
      <c r="AP61" s="466" t="str">
        <f>IF(AK61&lt;&gt;"熱","",IF(ISERROR(VLOOKUP(D61&amp;F61,非_熱供給事業者!$S$8:$T$200,2,FALSE)),"要記入",VLOOKUP(D61&amp;F61,非_熱供給事業者!$S$8:$T$200,2,FALSE)))</f>
        <v/>
      </c>
      <c r="AQ61" s="466" t="str">
        <f>IF(AK61&lt;&gt;"都市ガス","",非_都市ガス事業者!$AB$4)</f>
        <v/>
      </c>
      <c r="AR61" s="466" t="str">
        <f>IF(AK61&lt;&gt;"都市ガス","",IF(ISERROR(VLOOKUP(D61&amp;F61,非_都市ガス事業者!$AA$8:$AB$200,2,FALSE)),"要記入",VLOOKUP(D61&amp;F61,非_都市ガス事業者!$AA$8:$AB$200,2,FALSE)))</f>
        <v/>
      </c>
      <c r="AS61" s="466" t="str">
        <f t="shared" si="67"/>
        <v/>
      </c>
      <c r="AT61" s="466" t="str">
        <f t="shared" si="77"/>
        <v/>
      </c>
      <c r="AU61" s="535" t="b">
        <f t="shared" si="11"/>
        <v>1</v>
      </c>
      <c r="AV61" s="466" t="str">
        <f>IF(Q61="","",VLOOKUP(Q61,非_単位補正換算!$B$3:$C$16,2,FALSE))</f>
        <v/>
      </c>
      <c r="AW61" s="466" t="str">
        <f>IF(AK61="","",IF(AK61&lt;&gt;"都市ガス",1,IF(G61="","",SUMIFS(非_単位補正換算!$D$52:$D$63,非_単位補正換算!$B$52:$B$63,"都市ガス"&amp;G61,非_単位補正換算!$C$52:$C$63,電気・熱_都市ガス!Q61))))</f>
        <v/>
      </c>
      <c r="AX61" s="527" t="str">
        <f t="shared" si="78"/>
        <v/>
      </c>
      <c r="AY61" s="466" t="str">
        <f t="shared" si="79"/>
        <v/>
      </c>
      <c r="AZ61" s="466" t="str">
        <f t="shared" si="68"/>
        <v/>
      </c>
      <c r="BA61" s="466" t="str">
        <f>IF(C61="","",VLOOKUP(C61,非_まとめ表行番号!$F$3:$H$12,2,FALSE))</f>
        <v/>
      </c>
      <c r="BB61" s="539" t="b">
        <f t="shared" si="13"/>
        <v>1</v>
      </c>
      <c r="BC61" s="637" t="str">
        <f>IF(AK61="","",IF(AK61&lt;&gt;"都市ガス",1,非_係数!$G$55))</f>
        <v/>
      </c>
      <c r="BD61" s="466" t="str">
        <f t="shared" si="80"/>
        <v/>
      </c>
      <c r="BE61" s="466" t="str">
        <f t="shared" si="69"/>
        <v/>
      </c>
      <c r="BF61" s="466" t="str">
        <f>IF(C61="","",VLOOKUP(C61,非_係数!$B$42:$K$55,9,FALSE))</f>
        <v/>
      </c>
      <c r="BG61" s="466" t="str">
        <f t="shared" si="15"/>
        <v/>
      </c>
      <c r="BH61" s="466" t="str">
        <f>IF(C61="","",VLOOKUP(C61,非_まとめ表行番号!$F$3:$H$12,3,FALSE))</f>
        <v/>
      </c>
      <c r="BI61" s="466" t="str">
        <f t="shared" si="81"/>
        <v/>
      </c>
      <c r="BK61" s="527" t="str">
        <f>IF(BA61="","",VLOOKUP(BA61,非_まとめ表行番号!$U$3:$V$56,2,FALSE))</f>
        <v/>
      </c>
      <c r="BL61" s="526" t="str">
        <f t="shared" si="17"/>
        <v/>
      </c>
      <c r="BM61" s="526" t="str">
        <f t="shared" si="18"/>
        <v/>
      </c>
      <c r="BN61" s="526" t="str">
        <f t="shared" si="82"/>
        <v/>
      </c>
      <c r="BO61" s="526" t="str">
        <f t="shared" si="20"/>
        <v/>
      </c>
      <c r="BP61" s="526" t="str">
        <f t="shared" si="21"/>
        <v/>
      </c>
      <c r="BQ61" s="526" t="str">
        <f t="shared" si="83"/>
        <v/>
      </c>
      <c r="BR61" s="527" t="str">
        <f t="shared" si="23"/>
        <v/>
      </c>
      <c r="BS61" s="636" t="str">
        <f t="shared" si="84"/>
        <v/>
      </c>
    </row>
    <row r="62" spans="1:71" ht="18.75" customHeight="1">
      <c r="A62" s="483"/>
      <c r="B62" s="406"/>
      <c r="C62" s="406"/>
      <c r="D62" s="406"/>
      <c r="E62" s="406"/>
      <c r="F62" s="499"/>
      <c r="G62" s="608"/>
      <c r="H62" s="609" t="str">
        <f>IF(AK62&lt;&gt;"都市ガス","",IF(ISERROR(VLOOKUP(D62,非_都市ガス事業者!$O$8:$P$200,2,FALSE)),"",VLOOKUP(D62,非_都市ガス事業者!$O$8:$P$200,2,FALSE)))</f>
        <v/>
      </c>
      <c r="I62" s="610" t="str">
        <f>IF(AK62&lt;&gt;"都市ガス","",非_都市ガス事業者!$P$4)</f>
        <v/>
      </c>
      <c r="J62" s="612" t="str">
        <f>IF(C62="","",IF(COUNTIFS(C62,"*自ら生成*")&gt;0,"要記入",IF(AK62&lt;&gt;"都市ガス",VLOOKUP(C62,非_係数!$B$42:$D$55,2,FALSE),"")))</f>
        <v/>
      </c>
      <c r="K62" s="406"/>
      <c r="L62" s="560" t="str">
        <f t="shared" si="71"/>
        <v/>
      </c>
      <c r="M62" s="225" t="str">
        <f t="shared" si="72"/>
        <v/>
      </c>
      <c r="N62" s="406"/>
      <c r="O62" s="458"/>
      <c r="P62" s="406"/>
      <c r="Q62" s="406"/>
      <c r="R62" s="451"/>
      <c r="S62" s="451"/>
      <c r="T62" s="451"/>
      <c r="U62" s="451"/>
      <c r="V62" s="451"/>
      <c r="W62" s="451"/>
      <c r="X62" s="451"/>
      <c r="Y62" s="451"/>
      <c r="Z62" s="451"/>
      <c r="AA62" s="451"/>
      <c r="AB62" s="451"/>
      <c r="AC62" s="451"/>
      <c r="AD62" s="497"/>
      <c r="AE62" s="586" t="str">
        <f t="shared" si="85"/>
        <v/>
      </c>
      <c r="AF62" s="590" t="str">
        <f t="shared" si="74"/>
        <v/>
      </c>
      <c r="AG62" s="432" t="str">
        <f>IF(C62="","",VLOOKUP(C62,非_単位!$N$38:$O$53,2,FALSE))</f>
        <v/>
      </c>
      <c r="AH62" s="586" t="str">
        <f t="shared" si="75"/>
        <v/>
      </c>
      <c r="AI62" s="587" t="str">
        <f t="shared" si="76"/>
        <v/>
      </c>
      <c r="AK62" s="466" t="str">
        <f t="shared" si="66"/>
        <v/>
      </c>
      <c r="AL62" s="466" t="str">
        <f>IF(B62="","",IF(B62=非_燃料種類_選択リスト!$I$13,"外部供給_種類","外部供給以外_種類"))</f>
        <v/>
      </c>
      <c r="AM62" s="466" t="str">
        <f>IF(AK62&lt;&gt;"電気","",非_電気事業者!$S$4*1000)</f>
        <v/>
      </c>
      <c r="AN62" s="466" t="str">
        <f>IF(AK62&lt;&gt;"電気","",IF(ISERROR(VLOOKUP(D62&amp;F62,非_電気事業者!$R$9:$S$2000,2,FALSE)),"要記入",VLOOKUP(D62&amp;F62,非_電気事業者!$R$9:$S$2000,2,FALSE)*1000))</f>
        <v/>
      </c>
      <c r="AO62" s="466" t="str">
        <f>IF(AK62&lt;&gt;"熱","",非_熱供給事業者!$T$4)</f>
        <v/>
      </c>
      <c r="AP62" s="466" t="str">
        <f>IF(AK62&lt;&gt;"熱","",IF(ISERROR(VLOOKUP(D62&amp;F62,非_熱供給事業者!$S$8:$T$200,2,FALSE)),"要記入",VLOOKUP(D62&amp;F62,非_熱供給事業者!$S$8:$T$200,2,FALSE)))</f>
        <v/>
      </c>
      <c r="AQ62" s="466" t="str">
        <f>IF(AK62&lt;&gt;"都市ガス","",非_都市ガス事業者!$AB$4)</f>
        <v/>
      </c>
      <c r="AR62" s="466" t="str">
        <f>IF(AK62&lt;&gt;"都市ガス","",IF(ISERROR(VLOOKUP(D62&amp;F62,非_都市ガス事業者!$AA$8:$AB$200,2,FALSE)),"要記入",VLOOKUP(D62&amp;F62,非_都市ガス事業者!$AA$8:$AB$200,2,FALSE)))</f>
        <v/>
      </c>
      <c r="AS62" s="466" t="str">
        <f t="shared" si="67"/>
        <v/>
      </c>
      <c r="AT62" s="466" t="str">
        <f t="shared" si="77"/>
        <v/>
      </c>
      <c r="AU62" s="535" t="b">
        <f t="shared" si="11"/>
        <v>1</v>
      </c>
      <c r="AV62" s="466" t="str">
        <f>IF(Q62="","",VLOOKUP(Q62,非_単位補正換算!$B$3:$C$16,2,FALSE))</f>
        <v/>
      </c>
      <c r="AW62" s="466" t="str">
        <f>IF(AK62="","",IF(AK62&lt;&gt;"都市ガス",1,IF(G62="","",SUMIFS(非_単位補正換算!$D$52:$D$63,非_単位補正換算!$B$52:$B$63,"都市ガス"&amp;G62,非_単位補正換算!$C$52:$C$63,電気・熱_都市ガス!Q62))))</f>
        <v/>
      </c>
      <c r="AX62" s="527" t="str">
        <f t="shared" si="78"/>
        <v/>
      </c>
      <c r="AY62" s="466" t="str">
        <f t="shared" si="79"/>
        <v/>
      </c>
      <c r="AZ62" s="466" t="str">
        <f t="shared" si="68"/>
        <v/>
      </c>
      <c r="BA62" s="466" t="str">
        <f>IF(C62="","",VLOOKUP(C62,非_まとめ表行番号!$F$3:$H$12,2,FALSE))</f>
        <v/>
      </c>
      <c r="BB62" s="539" t="b">
        <f t="shared" si="13"/>
        <v>1</v>
      </c>
      <c r="BC62" s="637" t="str">
        <f>IF(AK62="","",IF(AK62&lt;&gt;"都市ガス",1,非_係数!$G$55))</f>
        <v/>
      </c>
      <c r="BD62" s="466" t="str">
        <f t="shared" si="80"/>
        <v/>
      </c>
      <c r="BE62" s="466" t="str">
        <f t="shared" si="69"/>
        <v/>
      </c>
      <c r="BF62" s="466" t="str">
        <f>IF(C62="","",VLOOKUP(C62,非_係数!$B$42:$K$55,9,FALSE))</f>
        <v/>
      </c>
      <c r="BG62" s="466" t="str">
        <f t="shared" si="15"/>
        <v/>
      </c>
      <c r="BH62" s="466" t="str">
        <f>IF(C62="","",VLOOKUP(C62,非_まとめ表行番号!$F$3:$H$12,3,FALSE))</f>
        <v/>
      </c>
      <c r="BI62" s="466" t="str">
        <f t="shared" si="81"/>
        <v/>
      </c>
      <c r="BK62" s="527" t="str">
        <f>IF(BA62="","",VLOOKUP(BA62,非_まとめ表行番号!$U$3:$V$56,2,FALSE))</f>
        <v/>
      </c>
      <c r="BL62" s="526" t="str">
        <f t="shared" si="17"/>
        <v/>
      </c>
      <c r="BM62" s="526" t="str">
        <f t="shared" si="18"/>
        <v/>
      </c>
      <c r="BN62" s="526" t="str">
        <f t="shared" si="82"/>
        <v/>
      </c>
      <c r="BO62" s="526" t="str">
        <f t="shared" si="20"/>
        <v/>
      </c>
      <c r="BP62" s="526" t="str">
        <f t="shared" si="21"/>
        <v/>
      </c>
      <c r="BQ62" s="526" t="str">
        <f t="shared" si="83"/>
        <v/>
      </c>
      <c r="BR62" s="527" t="str">
        <f t="shared" si="23"/>
        <v/>
      </c>
      <c r="BS62" s="636" t="str">
        <f t="shared" si="84"/>
        <v/>
      </c>
    </row>
    <row r="63" spans="1:71" ht="18.75" customHeight="1">
      <c r="A63" s="483"/>
      <c r="B63" s="406"/>
      <c r="C63" s="406"/>
      <c r="D63" s="406"/>
      <c r="E63" s="406"/>
      <c r="F63" s="499"/>
      <c r="G63" s="608"/>
      <c r="H63" s="609" t="str">
        <f>IF(AK63&lt;&gt;"都市ガス","",IF(ISERROR(VLOOKUP(D63,非_都市ガス事業者!$O$8:$P$200,2,FALSE)),"",VLOOKUP(D63,非_都市ガス事業者!$O$8:$P$200,2,FALSE)))</f>
        <v/>
      </c>
      <c r="I63" s="610" t="str">
        <f>IF(AK63&lt;&gt;"都市ガス","",非_都市ガス事業者!$P$4)</f>
        <v/>
      </c>
      <c r="J63" s="612" t="str">
        <f>IF(C63="","",IF(COUNTIFS(C63,"*自ら生成*")&gt;0,"要記入",IF(AK63&lt;&gt;"都市ガス",VLOOKUP(C63,非_係数!$B$42:$D$55,2,FALSE),"")))</f>
        <v/>
      </c>
      <c r="K63" s="406"/>
      <c r="L63" s="560" t="str">
        <f t="shared" si="71"/>
        <v/>
      </c>
      <c r="M63" s="225" t="str">
        <f t="shared" si="72"/>
        <v/>
      </c>
      <c r="N63" s="406"/>
      <c r="O63" s="458"/>
      <c r="P63" s="406"/>
      <c r="Q63" s="406"/>
      <c r="R63" s="451"/>
      <c r="S63" s="451"/>
      <c r="T63" s="451"/>
      <c r="U63" s="451"/>
      <c r="V63" s="451"/>
      <c r="W63" s="451"/>
      <c r="X63" s="451"/>
      <c r="Y63" s="451"/>
      <c r="Z63" s="451"/>
      <c r="AA63" s="451"/>
      <c r="AB63" s="451"/>
      <c r="AC63" s="451"/>
      <c r="AD63" s="497"/>
      <c r="AE63" s="586" t="str">
        <f t="shared" si="85"/>
        <v/>
      </c>
      <c r="AF63" s="590" t="str">
        <f t="shared" si="74"/>
        <v/>
      </c>
      <c r="AG63" s="432" t="str">
        <f>IF(C63="","",VLOOKUP(C63,非_単位!$N$38:$O$53,2,FALSE))</f>
        <v/>
      </c>
      <c r="AH63" s="586" t="str">
        <f t="shared" si="75"/>
        <v/>
      </c>
      <c r="AI63" s="587" t="str">
        <f t="shared" si="76"/>
        <v/>
      </c>
      <c r="AK63" s="466" t="str">
        <f t="shared" si="66"/>
        <v/>
      </c>
      <c r="AL63" s="466" t="str">
        <f>IF(B63="","",IF(B63=非_燃料種類_選択リスト!$I$13,"外部供給_種類","外部供給以外_種類"))</f>
        <v/>
      </c>
      <c r="AM63" s="466" t="str">
        <f>IF(AK63&lt;&gt;"電気","",非_電気事業者!$S$4*1000)</f>
        <v/>
      </c>
      <c r="AN63" s="466" t="str">
        <f>IF(AK63&lt;&gt;"電気","",IF(ISERROR(VLOOKUP(D63&amp;F63,非_電気事業者!$R$9:$S$2000,2,FALSE)),"要記入",VLOOKUP(D63&amp;F63,非_電気事業者!$R$9:$S$2000,2,FALSE)*1000))</f>
        <v/>
      </c>
      <c r="AO63" s="466" t="str">
        <f>IF(AK63&lt;&gt;"熱","",非_熱供給事業者!$T$4)</f>
        <v/>
      </c>
      <c r="AP63" s="466" t="str">
        <f>IF(AK63&lt;&gt;"熱","",IF(ISERROR(VLOOKUP(D63&amp;F63,非_熱供給事業者!$S$8:$T$200,2,FALSE)),"要記入",VLOOKUP(D63&amp;F63,非_熱供給事業者!$S$8:$T$200,2,FALSE)))</f>
        <v/>
      </c>
      <c r="AQ63" s="466" t="str">
        <f>IF(AK63&lt;&gt;"都市ガス","",非_都市ガス事業者!$AB$4)</f>
        <v/>
      </c>
      <c r="AR63" s="466" t="str">
        <f>IF(AK63&lt;&gt;"都市ガス","",IF(ISERROR(VLOOKUP(D63&amp;F63,非_都市ガス事業者!$AA$8:$AB$200,2,FALSE)),"要記入",VLOOKUP(D63&amp;F63,非_都市ガス事業者!$AA$8:$AB$200,2,FALSE)))</f>
        <v/>
      </c>
      <c r="AS63" s="466" t="str">
        <f t="shared" si="67"/>
        <v/>
      </c>
      <c r="AT63" s="466" t="str">
        <f t="shared" si="77"/>
        <v/>
      </c>
      <c r="AU63" s="535" t="b">
        <f t="shared" si="11"/>
        <v>1</v>
      </c>
      <c r="AV63" s="466" t="str">
        <f>IF(Q63="","",VLOOKUP(Q63,非_単位補正換算!$B$3:$C$16,2,FALSE))</f>
        <v/>
      </c>
      <c r="AW63" s="466" t="str">
        <f>IF(AK63="","",IF(AK63&lt;&gt;"都市ガス",1,IF(G63="","",SUMIFS(非_単位補正換算!$D$52:$D$63,非_単位補正換算!$B$52:$B$63,"都市ガス"&amp;G63,非_単位補正換算!$C$52:$C$63,電気・熱_都市ガス!Q63))))</f>
        <v/>
      </c>
      <c r="AX63" s="527" t="str">
        <f t="shared" si="78"/>
        <v/>
      </c>
      <c r="AY63" s="466" t="str">
        <f t="shared" si="79"/>
        <v/>
      </c>
      <c r="AZ63" s="466" t="str">
        <f t="shared" si="68"/>
        <v/>
      </c>
      <c r="BA63" s="466" t="str">
        <f>IF(C63="","",VLOOKUP(C63,非_まとめ表行番号!$F$3:$H$12,2,FALSE))</f>
        <v/>
      </c>
      <c r="BB63" s="539" t="b">
        <f t="shared" si="13"/>
        <v>1</v>
      </c>
      <c r="BC63" s="637" t="str">
        <f>IF(AK63="","",IF(AK63&lt;&gt;"都市ガス",1,非_係数!$G$55))</f>
        <v/>
      </c>
      <c r="BD63" s="466" t="str">
        <f t="shared" si="80"/>
        <v/>
      </c>
      <c r="BE63" s="466" t="str">
        <f t="shared" si="69"/>
        <v/>
      </c>
      <c r="BF63" s="466" t="str">
        <f>IF(C63="","",VLOOKUP(C63,非_係数!$B$42:$K$55,9,FALSE))</f>
        <v/>
      </c>
      <c r="BG63" s="466" t="str">
        <f t="shared" si="15"/>
        <v/>
      </c>
      <c r="BH63" s="466" t="str">
        <f>IF(C63="","",VLOOKUP(C63,非_まとめ表行番号!$F$3:$H$12,3,FALSE))</f>
        <v/>
      </c>
      <c r="BI63" s="466" t="str">
        <f t="shared" si="81"/>
        <v/>
      </c>
      <c r="BK63" s="527" t="str">
        <f>IF(BA63="","",VLOOKUP(BA63,非_まとめ表行番号!$U$3:$V$56,2,FALSE))</f>
        <v/>
      </c>
      <c r="BL63" s="526" t="str">
        <f t="shared" si="17"/>
        <v/>
      </c>
      <c r="BM63" s="526" t="str">
        <f t="shared" si="18"/>
        <v/>
      </c>
      <c r="BN63" s="526" t="str">
        <f t="shared" si="82"/>
        <v/>
      </c>
      <c r="BO63" s="526" t="str">
        <f t="shared" si="20"/>
        <v/>
      </c>
      <c r="BP63" s="526" t="str">
        <f t="shared" si="21"/>
        <v/>
      </c>
      <c r="BQ63" s="526" t="str">
        <f t="shared" si="83"/>
        <v/>
      </c>
      <c r="BR63" s="527" t="str">
        <f t="shared" si="23"/>
        <v/>
      </c>
      <c r="BS63" s="636" t="str">
        <f t="shared" si="84"/>
        <v/>
      </c>
    </row>
    <row r="64" spans="1:71" ht="18.75" customHeight="1">
      <c r="A64" s="483"/>
      <c r="B64" s="406"/>
      <c r="C64" s="406"/>
      <c r="D64" s="406"/>
      <c r="E64" s="406"/>
      <c r="F64" s="499"/>
      <c r="G64" s="608"/>
      <c r="H64" s="609" t="str">
        <f>IF(AK64&lt;&gt;"都市ガス","",IF(ISERROR(VLOOKUP(D64,非_都市ガス事業者!$O$8:$P$200,2,FALSE)),"",VLOOKUP(D64,非_都市ガス事業者!$O$8:$P$200,2,FALSE)))</f>
        <v/>
      </c>
      <c r="I64" s="610" t="str">
        <f>IF(AK64&lt;&gt;"都市ガス","",非_都市ガス事業者!$P$4)</f>
        <v/>
      </c>
      <c r="J64" s="612" t="str">
        <f>IF(C64="","",IF(COUNTIFS(C64,"*自ら生成*")&gt;0,"要記入",IF(AK64&lt;&gt;"都市ガス",VLOOKUP(C64,非_係数!$B$42:$D$55,2,FALSE),"")))</f>
        <v/>
      </c>
      <c r="K64" s="406"/>
      <c r="L64" s="560" t="str">
        <f t="shared" ref="L64:L68" si="86">AS64</f>
        <v/>
      </c>
      <c r="M64" s="225" t="str">
        <f t="shared" ref="M64:M68" si="87">AT64</f>
        <v/>
      </c>
      <c r="N64" s="406"/>
      <c r="O64" s="458"/>
      <c r="P64" s="406"/>
      <c r="Q64" s="406"/>
      <c r="R64" s="451"/>
      <c r="S64" s="451"/>
      <c r="T64" s="451"/>
      <c r="U64" s="451"/>
      <c r="V64" s="451"/>
      <c r="W64" s="451"/>
      <c r="X64" s="451"/>
      <c r="Y64" s="451"/>
      <c r="Z64" s="451"/>
      <c r="AA64" s="451"/>
      <c r="AB64" s="451"/>
      <c r="AC64" s="451"/>
      <c r="AD64" s="497"/>
      <c r="AE64" s="586" t="str">
        <f t="shared" si="85"/>
        <v/>
      </c>
      <c r="AF64" s="590" t="str">
        <f t="shared" ref="AF64:AF68" si="88">IF(AX64="","",-1*AX64)</f>
        <v/>
      </c>
      <c r="AG64" s="432" t="str">
        <f>IF(C64="","",VLOOKUP(C64,非_単位!$N$38:$O$53,2,FALSE))</f>
        <v/>
      </c>
      <c r="AH64" s="586" t="str">
        <f t="shared" ref="AH64:AH68" si="89">IF(AY64="","",-1*AY64)</f>
        <v/>
      </c>
      <c r="AI64" s="587" t="str">
        <f t="shared" ref="AI64:AI68" si="90">IF(AZ64="","",-1*AZ64)</f>
        <v/>
      </c>
      <c r="AK64" s="466" t="str">
        <f t="shared" si="66"/>
        <v/>
      </c>
      <c r="AL64" s="466" t="str">
        <f>IF(B64="","",IF(B64=非_燃料種類_選択リスト!$I$13,"外部供給_種類","外部供給以外_種類"))</f>
        <v/>
      </c>
      <c r="AM64" s="466" t="str">
        <f>IF(AK64&lt;&gt;"電気","",非_電気事業者!$S$4*1000)</f>
        <v/>
      </c>
      <c r="AN64" s="466" t="str">
        <f>IF(AK64&lt;&gt;"電気","",IF(ISERROR(VLOOKUP(D64&amp;F64,非_電気事業者!$R$9:$S$2000,2,FALSE)),"要記入",VLOOKUP(D64&amp;F64,非_電気事業者!$R$9:$S$2000,2,FALSE)*1000))</f>
        <v/>
      </c>
      <c r="AO64" s="466" t="str">
        <f>IF(AK64&lt;&gt;"熱","",非_熱供給事業者!$T$4)</f>
        <v/>
      </c>
      <c r="AP64" s="466" t="str">
        <f>IF(AK64&lt;&gt;"熱","",IF(ISERROR(VLOOKUP(D64&amp;F64,非_熱供給事業者!$S$8:$T$200,2,FALSE)),"要記入",VLOOKUP(D64&amp;F64,非_熱供給事業者!$S$8:$T$200,2,FALSE)))</f>
        <v/>
      </c>
      <c r="AQ64" s="466" t="str">
        <f>IF(AK64&lt;&gt;"都市ガス","",非_都市ガス事業者!$AB$4)</f>
        <v/>
      </c>
      <c r="AR64" s="466" t="str">
        <f>IF(AK64&lt;&gt;"都市ガス","",IF(ISERROR(VLOOKUP(D64&amp;F64,非_都市ガス事業者!$AA$8:$AB$200,2,FALSE)),"要記入",VLOOKUP(D64&amp;F64,非_都市ガス事業者!$AA$8:$AB$200,2,FALSE)))</f>
        <v/>
      </c>
      <c r="AS64" s="466" t="str">
        <f t="shared" si="67"/>
        <v/>
      </c>
      <c r="AT64" s="466" t="str">
        <f t="shared" si="77"/>
        <v/>
      </c>
      <c r="AU64" s="535" t="b">
        <f t="shared" si="11"/>
        <v>1</v>
      </c>
      <c r="AV64" s="466" t="str">
        <f>IF(Q64="","",VLOOKUP(Q64,非_単位補正換算!$B$3:$C$16,2,FALSE))</f>
        <v/>
      </c>
      <c r="AW64" s="466" t="str">
        <f>IF(AK64="","",IF(AK64&lt;&gt;"都市ガス",1,IF(G64="","",SUMIFS(非_単位補正換算!$D$52:$D$63,非_単位補正換算!$B$52:$B$63,"都市ガス"&amp;G64,非_単位補正換算!$C$52:$C$63,電気・熱_都市ガス!Q64))))</f>
        <v/>
      </c>
      <c r="AX64" s="527" t="str">
        <f t="shared" si="78"/>
        <v/>
      </c>
      <c r="AY64" s="466" t="str">
        <f t="shared" si="79"/>
        <v/>
      </c>
      <c r="AZ64" s="466" t="str">
        <f t="shared" si="68"/>
        <v/>
      </c>
      <c r="BA64" s="466" t="str">
        <f>IF(C64="","",VLOOKUP(C64,非_まとめ表行番号!$F$3:$H$12,2,FALSE))</f>
        <v/>
      </c>
      <c r="BB64" s="539" t="b">
        <f t="shared" si="13"/>
        <v>1</v>
      </c>
      <c r="BC64" s="637" t="str">
        <f>IF(AK64="","",IF(AK64&lt;&gt;"都市ガス",1,非_係数!$G$55))</f>
        <v/>
      </c>
      <c r="BD64" s="466" t="str">
        <f t="shared" si="80"/>
        <v/>
      </c>
      <c r="BE64" s="466" t="str">
        <f t="shared" si="69"/>
        <v/>
      </c>
      <c r="BF64" s="466" t="str">
        <f>IF(C64="","",VLOOKUP(C64,非_係数!$B$42:$K$55,9,FALSE))</f>
        <v/>
      </c>
      <c r="BG64" s="466" t="str">
        <f t="shared" si="15"/>
        <v/>
      </c>
      <c r="BH64" s="466" t="str">
        <f>IF(C64="","",VLOOKUP(C64,非_まとめ表行番号!$F$3:$H$12,3,FALSE))</f>
        <v/>
      </c>
      <c r="BI64" s="466" t="str">
        <f t="shared" si="81"/>
        <v/>
      </c>
      <c r="BK64" s="527" t="str">
        <f>IF(BA64="","",VLOOKUP(BA64,非_まとめ表行番号!$U$3:$V$56,2,FALSE))</f>
        <v/>
      </c>
      <c r="BL64" s="526" t="str">
        <f t="shared" si="17"/>
        <v/>
      </c>
      <c r="BM64" s="526" t="str">
        <f t="shared" si="18"/>
        <v/>
      </c>
      <c r="BN64" s="526" t="str">
        <f t="shared" si="82"/>
        <v/>
      </c>
      <c r="BO64" s="526" t="str">
        <f t="shared" si="20"/>
        <v/>
      </c>
      <c r="BP64" s="526" t="str">
        <f t="shared" si="21"/>
        <v/>
      </c>
      <c r="BQ64" s="526" t="str">
        <f t="shared" si="83"/>
        <v/>
      </c>
      <c r="BR64" s="527" t="str">
        <f t="shared" si="23"/>
        <v/>
      </c>
      <c r="BS64" s="636" t="str">
        <f t="shared" si="84"/>
        <v/>
      </c>
    </row>
    <row r="65" spans="1:71" ht="18.75" customHeight="1">
      <c r="A65" s="483"/>
      <c r="B65" s="406"/>
      <c r="C65" s="406"/>
      <c r="D65" s="406"/>
      <c r="E65" s="406"/>
      <c r="F65" s="499"/>
      <c r="G65" s="608"/>
      <c r="H65" s="609" t="str">
        <f>IF(AK65&lt;&gt;"都市ガス","",IF(ISERROR(VLOOKUP(D65,非_都市ガス事業者!$O$8:$P$200,2,FALSE)),"",VLOOKUP(D65,非_都市ガス事業者!$O$8:$P$200,2,FALSE)))</f>
        <v/>
      </c>
      <c r="I65" s="610" t="str">
        <f>IF(AK65&lt;&gt;"都市ガス","",非_都市ガス事業者!$P$4)</f>
        <v/>
      </c>
      <c r="J65" s="612" t="str">
        <f>IF(C65="","",IF(COUNTIFS(C65,"*自ら生成*")&gt;0,"要記入",IF(AK65&lt;&gt;"都市ガス",VLOOKUP(C65,非_係数!$B$42:$D$55,2,FALSE),"")))</f>
        <v/>
      </c>
      <c r="K65" s="406"/>
      <c r="L65" s="560" t="str">
        <f t="shared" si="86"/>
        <v/>
      </c>
      <c r="M65" s="225" t="str">
        <f t="shared" si="87"/>
        <v/>
      </c>
      <c r="N65" s="406"/>
      <c r="O65" s="458"/>
      <c r="P65" s="406"/>
      <c r="Q65" s="406"/>
      <c r="R65" s="451"/>
      <c r="S65" s="451"/>
      <c r="T65" s="451"/>
      <c r="U65" s="451"/>
      <c r="V65" s="451"/>
      <c r="W65" s="451"/>
      <c r="X65" s="451"/>
      <c r="Y65" s="451"/>
      <c r="Z65" s="451"/>
      <c r="AA65" s="451"/>
      <c r="AB65" s="451"/>
      <c r="AC65" s="451"/>
      <c r="AD65" s="497"/>
      <c r="AE65" s="586" t="str">
        <f t="shared" si="85"/>
        <v/>
      </c>
      <c r="AF65" s="590" t="str">
        <f t="shared" si="88"/>
        <v/>
      </c>
      <c r="AG65" s="432" t="str">
        <f>IF(C65="","",VLOOKUP(C65,非_単位!$N$38:$O$53,2,FALSE))</f>
        <v/>
      </c>
      <c r="AH65" s="586" t="str">
        <f t="shared" si="89"/>
        <v/>
      </c>
      <c r="AI65" s="587" t="str">
        <f t="shared" si="90"/>
        <v/>
      </c>
      <c r="AK65" s="466" t="str">
        <f t="shared" si="66"/>
        <v/>
      </c>
      <c r="AL65" s="466" t="str">
        <f>IF(B65="","",IF(B65=非_燃料種類_選択リスト!$I$13,"外部供給_種類","外部供給以外_種類"))</f>
        <v/>
      </c>
      <c r="AM65" s="466" t="str">
        <f>IF(AK65&lt;&gt;"電気","",非_電気事業者!$S$4*1000)</f>
        <v/>
      </c>
      <c r="AN65" s="466" t="str">
        <f>IF(AK65&lt;&gt;"電気","",IF(ISERROR(VLOOKUP(D65&amp;F65,非_電気事業者!$R$9:$S$2000,2,FALSE)),"要記入",VLOOKUP(D65&amp;F65,非_電気事業者!$R$9:$S$2000,2,FALSE)*1000))</f>
        <v/>
      </c>
      <c r="AO65" s="466" t="str">
        <f>IF(AK65&lt;&gt;"熱","",非_熱供給事業者!$T$4)</f>
        <v/>
      </c>
      <c r="AP65" s="466" t="str">
        <f>IF(AK65&lt;&gt;"熱","",IF(ISERROR(VLOOKUP(D65&amp;F65,非_熱供給事業者!$S$8:$T$200,2,FALSE)),"要記入",VLOOKUP(D65&amp;F65,非_熱供給事業者!$S$8:$T$200,2,FALSE)))</f>
        <v/>
      </c>
      <c r="AQ65" s="466" t="str">
        <f>IF(AK65&lt;&gt;"都市ガス","",非_都市ガス事業者!$AB$4)</f>
        <v/>
      </c>
      <c r="AR65" s="466" t="str">
        <f>IF(AK65&lt;&gt;"都市ガス","",IF(ISERROR(VLOOKUP(D65&amp;F65,非_都市ガス事業者!$AA$8:$AB$200,2,FALSE)),"要記入",VLOOKUP(D65&amp;F65,非_都市ガス事業者!$AA$8:$AB$200,2,FALSE)))</f>
        <v/>
      </c>
      <c r="AS65" s="466" t="str">
        <f t="shared" si="67"/>
        <v/>
      </c>
      <c r="AT65" s="466" t="str">
        <f t="shared" si="77"/>
        <v/>
      </c>
      <c r="AU65" s="535" t="b">
        <f t="shared" si="11"/>
        <v>1</v>
      </c>
      <c r="AV65" s="466" t="str">
        <f>IF(Q65="","",VLOOKUP(Q65,非_単位補正換算!$B$3:$C$16,2,FALSE))</f>
        <v/>
      </c>
      <c r="AW65" s="466" t="str">
        <f>IF(AK65="","",IF(AK65&lt;&gt;"都市ガス",1,IF(G65="","",SUMIFS(非_単位補正換算!$D$52:$D$63,非_単位補正換算!$B$52:$B$63,"都市ガス"&amp;G65,非_単位補正換算!$C$52:$C$63,電気・熱_都市ガス!Q65))))</f>
        <v/>
      </c>
      <c r="AX65" s="527" t="str">
        <f t="shared" si="78"/>
        <v/>
      </c>
      <c r="AY65" s="466" t="str">
        <f t="shared" si="79"/>
        <v/>
      </c>
      <c r="AZ65" s="466" t="str">
        <f t="shared" si="68"/>
        <v/>
      </c>
      <c r="BA65" s="466" t="str">
        <f>IF(C65="","",VLOOKUP(C65,非_まとめ表行番号!$F$3:$H$12,2,FALSE))</f>
        <v/>
      </c>
      <c r="BB65" s="539" t="b">
        <f t="shared" si="13"/>
        <v>1</v>
      </c>
      <c r="BC65" s="637" t="str">
        <f>IF(AK65="","",IF(AK65&lt;&gt;"都市ガス",1,非_係数!$G$55))</f>
        <v/>
      </c>
      <c r="BD65" s="466" t="str">
        <f t="shared" si="80"/>
        <v/>
      </c>
      <c r="BE65" s="466" t="str">
        <f t="shared" si="69"/>
        <v/>
      </c>
      <c r="BF65" s="466" t="str">
        <f>IF(C65="","",VLOOKUP(C65,非_係数!$B$42:$K$55,9,FALSE))</f>
        <v/>
      </c>
      <c r="BG65" s="466" t="str">
        <f t="shared" si="15"/>
        <v/>
      </c>
      <c r="BH65" s="466" t="str">
        <f>IF(C65="","",VLOOKUP(C65,非_まとめ表行番号!$F$3:$H$12,3,FALSE))</f>
        <v/>
      </c>
      <c r="BI65" s="466" t="str">
        <f t="shared" si="81"/>
        <v/>
      </c>
      <c r="BK65" s="527" t="str">
        <f>IF(BA65="","",VLOOKUP(BA65,非_まとめ表行番号!$U$3:$V$56,2,FALSE))</f>
        <v/>
      </c>
      <c r="BL65" s="526" t="str">
        <f t="shared" si="17"/>
        <v/>
      </c>
      <c r="BM65" s="526" t="str">
        <f t="shared" si="18"/>
        <v/>
      </c>
      <c r="BN65" s="526" t="str">
        <f t="shared" si="82"/>
        <v/>
      </c>
      <c r="BO65" s="526" t="str">
        <f t="shared" si="20"/>
        <v/>
      </c>
      <c r="BP65" s="526" t="str">
        <f t="shared" si="21"/>
        <v/>
      </c>
      <c r="BQ65" s="526" t="str">
        <f t="shared" si="83"/>
        <v/>
      </c>
      <c r="BR65" s="527" t="str">
        <f t="shared" si="23"/>
        <v/>
      </c>
      <c r="BS65" s="636" t="str">
        <f t="shared" si="84"/>
        <v/>
      </c>
    </row>
    <row r="66" spans="1:71" ht="18.75" customHeight="1">
      <c r="A66" s="483"/>
      <c r="B66" s="406"/>
      <c r="C66" s="406"/>
      <c r="D66" s="406"/>
      <c r="E66" s="406"/>
      <c r="F66" s="499"/>
      <c r="G66" s="608"/>
      <c r="H66" s="609" t="str">
        <f>IF(AK66&lt;&gt;"都市ガス","",IF(ISERROR(VLOOKUP(D66,非_都市ガス事業者!$O$8:$P$200,2,FALSE)),"",VLOOKUP(D66,非_都市ガス事業者!$O$8:$P$200,2,FALSE)))</f>
        <v/>
      </c>
      <c r="I66" s="610" t="str">
        <f>IF(AK66&lt;&gt;"都市ガス","",非_都市ガス事業者!$P$4)</f>
        <v/>
      </c>
      <c r="J66" s="612" t="str">
        <f>IF(C66="","",IF(COUNTIFS(C66,"*自ら生成*")&gt;0,"要記入",IF(AK66&lt;&gt;"都市ガス",VLOOKUP(C66,非_係数!$B$42:$D$55,2,FALSE),"")))</f>
        <v/>
      </c>
      <c r="K66" s="406"/>
      <c r="L66" s="560" t="str">
        <f t="shared" si="86"/>
        <v/>
      </c>
      <c r="M66" s="225" t="str">
        <f t="shared" si="87"/>
        <v/>
      </c>
      <c r="N66" s="406"/>
      <c r="O66" s="458"/>
      <c r="P66" s="406"/>
      <c r="Q66" s="406"/>
      <c r="R66" s="451"/>
      <c r="S66" s="451"/>
      <c r="T66" s="451"/>
      <c r="U66" s="451"/>
      <c r="V66" s="451"/>
      <c r="W66" s="451"/>
      <c r="X66" s="451"/>
      <c r="Y66" s="451"/>
      <c r="Z66" s="451"/>
      <c r="AA66" s="451"/>
      <c r="AB66" s="451"/>
      <c r="AC66" s="451"/>
      <c r="AD66" s="497"/>
      <c r="AE66" s="586" t="str">
        <f t="shared" si="85"/>
        <v/>
      </c>
      <c r="AF66" s="590" t="str">
        <f t="shared" si="88"/>
        <v/>
      </c>
      <c r="AG66" s="432" t="str">
        <f>IF(C66="","",VLOOKUP(C66,非_単位!$N$38:$O$53,2,FALSE))</f>
        <v/>
      </c>
      <c r="AH66" s="586" t="str">
        <f t="shared" si="89"/>
        <v/>
      </c>
      <c r="AI66" s="587" t="str">
        <f t="shared" si="90"/>
        <v/>
      </c>
      <c r="AK66" s="466" t="str">
        <f t="shared" si="66"/>
        <v/>
      </c>
      <c r="AL66" s="466" t="str">
        <f>IF(B66="","",IF(B66=非_燃料種類_選択リスト!$I$13,"外部供給_種類","外部供給以外_種類"))</f>
        <v/>
      </c>
      <c r="AM66" s="466" t="str">
        <f>IF(AK66&lt;&gt;"電気","",非_電気事業者!$S$4*1000)</f>
        <v/>
      </c>
      <c r="AN66" s="466" t="str">
        <f>IF(AK66&lt;&gt;"電気","",IF(ISERROR(VLOOKUP(D66&amp;F66,非_電気事業者!$R$9:$S$2000,2,FALSE)),"要記入",VLOOKUP(D66&amp;F66,非_電気事業者!$R$9:$S$2000,2,FALSE)*1000))</f>
        <v/>
      </c>
      <c r="AO66" s="466" t="str">
        <f>IF(AK66&lt;&gt;"熱","",非_熱供給事業者!$T$4)</f>
        <v/>
      </c>
      <c r="AP66" s="466" t="str">
        <f>IF(AK66&lt;&gt;"熱","",IF(ISERROR(VLOOKUP(D66&amp;F66,非_熱供給事業者!$S$8:$T$200,2,FALSE)),"要記入",VLOOKUP(D66&amp;F66,非_熱供給事業者!$S$8:$T$200,2,FALSE)))</f>
        <v/>
      </c>
      <c r="AQ66" s="466" t="str">
        <f>IF(AK66&lt;&gt;"都市ガス","",非_都市ガス事業者!$AB$4)</f>
        <v/>
      </c>
      <c r="AR66" s="466" t="str">
        <f>IF(AK66&lt;&gt;"都市ガス","",IF(ISERROR(VLOOKUP(D66&amp;F66,非_都市ガス事業者!$AA$8:$AB$200,2,FALSE)),"要記入",VLOOKUP(D66&amp;F66,非_都市ガス事業者!$AA$8:$AB$200,2,FALSE)))</f>
        <v/>
      </c>
      <c r="AS66" s="466" t="str">
        <f t="shared" si="67"/>
        <v/>
      </c>
      <c r="AT66" s="466" t="str">
        <f t="shared" si="77"/>
        <v/>
      </c>
      <c r="AU66" s="535" t="b">
        <f t="shared" si="11"/>
        <v>1</v>
      </c>
      <c r="AV66" s="466" t="str">
        <f>IF(Q66="","",VLOOKUP(Q66,非_単位補正換算!$B$3:$C$16,2,FALSE))</f>
        <v/>
      </c>
      <c r="AW66" s="466" t="str">
        <f>IF(AK66="","",IF(AK66&lt;&gt;"都市ガス",1,IF(G66="","",SUMIFS(非_単位補正換算!$D$52:$D$63,非_単位補正換算!$B$52:$B$63,"都市ガス"&amp;G66,非_単位補正換算!$C$52:$C$63,電気・熱_都市ガス!Q66))))</f>
        <v/>
      </c>
      <c r="AX66" s="527" t="str">
        <f t="shared" si="78"/>
        <v/>
      </c>
      <c r="AY66" s="466" t="str">
        <f t="shared" si="79"/>
        <v/>
      </c>
      <c r="AZ66" s="466" t="str">
        <f t="shared" si="68"/>
        <v/>
      </c>
      <c r="BA66" s="466" t="str">
        <f>IF(C66="","",VLOOKUP(C66,非_まとめ表行番号!$F$3:$H$12,2,FALSE))</f>
        <v/>
      </c>
      <c r="BB66" s="539" t="b">
        <f t="shared" si="13"/>
        <v>1</v>
      </c>
      <c r="BC66" s="637" t="str">
        <f>IF(AK66="","",IF(AK66&lt;&gt;"都市ガス",1,非_係数!$G$55))</f>
        <v/>
      </c>
      <c r="BD66" s="466" t="str">
        <f t="shared" si="80"/>
        <v/>
      </c>
      <c r="BE66" s="466" t="str">
        <f t="shared" si="69"/>
        <v/>
      </c>
      <c r="BF66" s="466" t="str">
        <f>IF(C66="","",VLOOKUP(C66,非_係数!$B$42:$K$55,9,FALSE))</f>
        <v/>
      </c>
      <c r="BG66" s="466" t="str">
        <f t="shared" si="15"/>
        <v/>
      </c>
      <c r="BH66" s="466" t="str">
        <f>IF(C66="","",VLOOKUP(C66,非_まとめ表行番号!$F$3:$H$12,3,FALSE))</f>
        <v/>
      </c>
      <c r="BI66" s="466" t="str">
        <f t="shared" si="81"/>
        <v/>
      </c>
      <c r="BK66" s="527" t="str">
        <f>IF(BA66="","",VLOOKUP(BA66,非_まとめ表行番号!$U$3:$V$56,2,FALSE))</f>
        <v/>
      </c>
      <c r="BL66" s="526" t="str">
        <f t="shared" si="17"/>
        <v/>
      </c>
      <c r="BM66" s="526" t="str">
        <f t="shared" si="18"/>
        <v/>
      </c>
      <c r="BN66" s="526" t="str">
        <f t="shared" si="82"/>
        <v/>
      </c>
      <c r="BO66" s="526" t="str">
        <f t="shared" si="20"/>
        <v/>
      </c>
      <c r="BP66" s="526" t="str">
        <f t="shared" si="21"/>
        <v/>
      </c>
      <c r="BQ66" s="526" t="str">
        <f t="shared" si="83"/>
        <v/>
      </c>
      <c r="BR66" s="527" t="str">
        <f t="shared" si="23"/>
        <v/>
      </c>
      <c r="BS66" s="636" t="str">
        <f t="shared" si="84"/>
        <v/>
      </c>
    </row>
    <row r="67" spans="1:71" ht="18.75" customHeight="1">
      <c r="A67" s="483"/>
      <c r="B67" s="406"/>
      <c r="C67" s="406"/>
      <c r="D67" s="406"/>
      <c r="E67" s="406"/>
      <c r="F67" s="499"/>
      <c r="G67" s="608"/>
      <c r="H67" s="609" t="str">
        <f>IF(AK67&lt;&gt;"都市ガス","",IF(ISERROR(VLOOKUP(D67,非_都市ガス事業者!$O$8:$P$200,2,FALSE)),"",VLOOKUP(D67,非_都市ガス事業者!$O$8:$P$200,2,FALSE)))</f>
        <v/>
      </c>
      <c r="I67" s="610" t="str">
        <f>IF(AK67&lt;&gt;"都市ガス","",非_都市ガス事業者!$P$4)</f>
        <v/>
      </c>
      <c r="J67" s="612" t="str">
        <f>IF(C67="","",IF(COUNTIFS(C67,"*自ら生成*")&gt;0,"要記入",IF(AK67&lt;&gt;"都市ガス",VLOOKUP(C67,非_係数!$B$42:$D$55,2,FALSE),"")))</f>
        <v/>
      </c>
      <c r="K67" s="406"/>
      <c r="L67" s="560" t="str">
        <f t="shared" si="86"/>
        <v/>
      </c>
      <c r="M67" s="225" t="str">
        <f t="shared" si="87"/>
        <v/>
      </c>
      <c r="N67" s="406"/>
      <c r="O67" s="458"/>
      <c r="P67" s="406"/>
      <c r="Q67" s="406"/>
      <c r="R67" s="451"/>
      <c r="S67" s="451"/>
      <c r="T67" s="451"/>
      <c r="U67" s="451"/>
      <c r="V67" s="451"/>
      <c r="W67" s="451"/>
      <c r="X67" s="451"/>
      <c r="Y67" s="451"/>
      <c r="Z67" s="451"/>
      <c r="AA67" s="451"/>
      <c r="AB67" s="451"/>
      <c r="AC67" s="451"/>
      <c r="AD67" s="497"/>
      <c r="AE67" s="586" t="str">
        <f t="shared" si="85"/>
        <v/>
      </c>
      <c r="AF67" s="590" t="str">
        <f t="shared" si="88"/>
        <v/>
      </c>
      <c r="AG67" s="432" t="str">
        <f>IF(C67="","",VLOOKUP(C67,非_単位!$N$38:$O$53,2,FALSE))</f>
        <v/>
      </c>
      <c r="AH67" s="586" t="str">
        <f t="shared" si="89"/>
        <v/>
      </c>
      <c r="AI67" s="587" t="str">
        <f t="shared" si="90"/>
        <v/>
      </c>
      <c r="AK67" s="466" t="str">
        <f t="shared" si="66"/>
        <v/>
      </c>
      <c r="AL67" s="466" t="str">
        <f>IF(B67="","",IF(B67=非_燃料種類_選択リスト!$I$13,"外部供給_種類","外部供給以外_種類"))</f>
        <v/>
      </c>
      <c r="AM67" s="466" t="str">
        <f>IF(AK67&lt;&gt;"電気","",非_電気事業者!$S$4*1000)</f>
        <v/>
      </c>
      <c r="AN67" s="466" t="str">
        <f>IF(AK67&lt;&gt;"電気","",IF(ISERROR(VLOOKUP(D67&amp;F67,非_電気事業者!$R$9:$S$2000,2,FALSE)),"要記入",VLOOKUP(D67&amp;F67,非_電気事業者!$R$9:$S$2000,2,FALSE)*1000))</f>
        <v/>
      </c>
      <c r="AO67" s="466" t="str">
        <f>IF(AK67&lt;&gt;"熱","",非_熱供給事業者!$T$4)</f>
        <v/>
      </c>
      <c r="AP67" s="466" t="str">
        <f>IF(AK67&lt;&gt;"熱","",IF(ISERROR(VLOOKUP(D67&amp;F67,非_熱供給事業者!$S$8:$T$200,2,FALSE)),"要記入",VLOOKUP(D67&amp;F67,非_熱供給事業者!$S$8:$T$200,2,FALSE)))</f>
        <v/>
      </c>
      <c r="AQ67" s="466" t="str">
        <f>IF(AK67&lt;&gt;"都市ガス","",非_都市ガス事業者!$AB$4)</f>
        <v/>
      </c>
      <c r="AR67" s="466" t="str">
        <f>IF(AK67&lt;&gt;"都市ガス","",IF(ISERROR(VLOOKUP(D67&amp;F67,非_都市ガス事業者!$AA$8:$AB$200,2,FALSE)),"要記入",VLOOKUP(D67&amp;F67,非_都市ガス事業者!$AA$8:$AB$200,2,FALSE)))</f>
        <v/>
      </c>
      <c r="AS67" s="466" t="str">
        <f t="shared" si="67"/>
        <v/>
      </c>
      <c r="AT67" s="466" t="str">
        <f t="shared" si="77"/>
        <v/>
      </c>
      <c r="AU67" s="535" t="b">
        <f t="shared" si="11"/>
        <v>1</v>
      </c>
      <c r="AV67" s="466" t="str">
        <f>IF(Q67="","",VLOOKUP(Q67,非_単位補正換算!$B$3:$C$16,2,FALSE))</f>
        <v/>
      </c>
      <c r="AW67" s="466" t="str">
        <f>IF(AK67="","",IF(AK67&lt;&gt;"都市ガス",1,IF(G67="","",SUMIFS(非_単位補正換算!$D$52:$D$63,非_単位補正換算!$B$52:$B$63,"都市ガス"&amp;G67,非_単位補正換算!$C$52:$C$63,電気・熱_都市ガス!Q67))))</f>
        <v/>
      </c>
      <c r="AX67" s="527" t="str">
        <f t="shared" si="78"/>
        <v/>
      </c>
      <c r="AY67" s="466" t="str">
        <f t="shared" si="79"/>
        <v/>
      </c>
      <c r="AZ67" s="466" t="str">
        <f t="shared" si="68"/>
        <v/>
      </c>
      <c r="BA67" s="466" t="str">
        <f>IF(C67="","",VLOOKUP(C67,非_まとめ表行番号!$F$3:$H$12,2,FALSE))</f>
        <v/>
      </c>
      <c r="BB67" s="539" t="b">
        <f t="shared" si="13"/>
        <v>1</v>
      </c>
      <c r="BC67" s="637" t="str">
        <f>IF(AK67="","",IF(AK67&lt;&gt;"都市ガス",1,非_係数!$G$55))</f>
        <v/>
      </c>
      <c r="BD67" s="466" t="str">
        <f t="shared" si="80"/>
        <v/>
      </c>
      <c r="BE67" s="466" t="str">
        <f t="shared" si="69"/>
        <v/>
      </c>
      <c r="BF67" s="466" t="str">
        <f>IF(C67="","",VLOOKUP(C67,非_係数!$B$42:$K$55,9,FALSE))</f>
        <v/>
      </c>
      <c r="BG67" s="466" t="str">
        <f t="shared" si="15"/>
        <v/>
      </c>
      <c r="BH67" s="466" t="str">
        <f>IF(C67="","",VLOOKUP(C67,非_まとめ表行番号!$F$3:$H$12,3,FALSE))</f>
        <v/>
      </c>
      <c r="BI67" s="466" t="str">
        <f t="shared" si="81"/>
        <v/>
      </c>
      <c r="BK67" s="527" t="str">
        <f>IF(BA67="","",VLOOKUP(BA67,非_まとめ表行番号!$U$3:$V$56,2,FALSE))</f>
        <v/>
      </c>
      <c r="BL67" s="526" t="str">
        <f t="shared" si="17"/>
        <v/>
      </c>
      <c r="BM67" s="526" t="str">
        <f t="shared" si="18"/>
        <v/>
      </c>
      <c r="BN67" s="526" t="str">
        <f t="shared" si="82"/>
        <v/>
      </c>
      <c r="BO67" s="526" t="str">
        <f t="shared" si="20"/>
        <v/>
      </c>
      <c r="BP67" s="526" t="str">
        <f t="shared" si="21"/>
        <v/>
      </c>
      <c r="BQ67" s="526" t="str">
        <f t="shared" si="83"/>
        <v/>
      </c>
      <c r="BR67" s="527" t="str">
        <f t="shared" si="23"/>
        <v/>
      </c>
      <c r="BS67" s="636" t="str">
        <f t="shared" si="84"/>
        <v/>
      </c>
    </row>
    <row r="68" spans="1:71" ht="18.75" customHeight="1">
      <c r="A68" s="483"/>
      <c r="B68" s="406"/>
      <c r="C68" s="406"/>
      <c r="D68" s="406"/>
      <c r="E68" s="406"/>
      <c r="F68" s="499"/>
      <c r="G68" s="608"/>
      <c r="H68" s="609" t="str">
        <f>IF(AK68&lt;&gt;"都市ガス","",IF(ISERROR(VLOOKUP(D68,非_都市ガス事業者!$O$8:$P$200,2,FALSE)),"",VLOOKUP(D68,非_都市ガス事業者!$O$8:$P$200,2,FALSE)))</f>
        <v/>
      </c>
      <c r="I68" s="610" t="str">
        <f>IF(AK68&lt;&gt;"都市ガス","",非_都市ガス事業者!$P$4)</f>
        <v/>
      </c>
      <c r="J68" s="612" t="str">
        <f>IF(C68="","",IF(COUNTIFS(C68,"*自ら生成*")&gt;0,"要記入",IF(AK68&lt;&gt;"都市ガス",VLOOKUP(C68,非_係数!$B$42:$D$55,2,FALSE),"")))</f>
        <v/>
      </c>
      <c r="K68" s="406"/>
      <c r="L68" s="560" t="str">
        <f t="shared" si="86"/>
        <v/>
      </c>
      <c r="M68" s="225" t="str">
        <f t="shared" si="87"/>
        <v/>
      </c>
      <c r="N68" s="406"/>
      <c r="O68" s="458"/>
      <c r="P68" s="406"/>
      <c r="Q68" s="406"/>
      <c r="R68" s="451"/>
      <c r="S68" s="451"/>
      <c r="T68" s="451"/>
      <c r="U68" s="451"/>
      <c r="V68" s="451"/>
      <c r="W68" s="451"/>
      <c r="X68" s="451"/>
      <c r="Y68" s="451"/>
      <c r="Z68" s="451"/>
      <c r="AA68" s="451"/>
      <c r="AB68" s="451"/>
      <c r="AC68" s="451"/>
      <c r="AD68" s="497"/>
      <c r="AE68" s="586" t="str">
        <f t="shared" si="85"/>
        <v/>
      </c>
      <c r="AF68" s="590" t="str">
        <f t="shared" si="88"/>
        <v/>
      </c>
      <c r="AG68" s="432" t="str">
        <f>IF(C68="","",VLOOKUP(C68,非_単位!$N$38:$O$53,2,FALSE))</f>
        <v/>
      </c>
      <c r="AH68" s="586" t="str">
        <f t="shared" si="89"/>
        <v/>
      </c>
      <c r="AI68" s="587" t="str">
        <f t="shared" si="90"/>
        <v/>
      </c>
      <c r="AK68" s="466" t="str">
        <f t="shared" si="66"/>
        <v/>
      </c>
      <c r="AL68" s="466" t="str">
        <f>IF(B68="","",IF(B68=非_燃料種類_選択リスト!$I$13,"外部供給_種類","外部供給以外_種類"))</f>
        <v/>
      </c>
      <c r="AM68" s="466" t="str">
        <f>IF(AK68&lt;&gt;"電気","",非_電気事業者!$S$4*1000)</f>
        <v/>
      </c>
      <c r="AN68" s="466" t="str">
        <f>IF(AK68&lt;&gt;"電気","",IF(ISERROR(VLOOKUP(D68&amp;F68,非_電気事業者!$R$9:$S$2000,2,FALSE)),"要記入",VLOOKUP(D68&amp;F68,非_電気事業者!$R$9:$S$2000,2,FALSE)*1000))</f>
        <v/>
      </c>
      <c r="AO68" s="466" t="str">
        <f>IF(AK68&lt;&gt;"熱","",非_熱供給事業者!$T$4)</f>
        <v/>
      </c>
      <c r="AP68" s="466" t="str">
        <f>IF(AK68&lt;&gt;"熱","",IF(ISERROR(VLOOKUP(D68&amp;F68,非_熱供給事業者!$S$8:$T$200,2,FALSE)),"要記入",VLOOKUP(D68&amp;F68,非_熱供給事業者!$S$8:$T$200,2,FALSE)))</f>
        <v/>
      </c>
      <c r="AQ68" s="466" t="str">
        <f>IF(AK68&lt;&gt;"都市ガス","",非_都市ガス事業者!$AB$4)</f>
        <v/>
      </c>
      <c r="AR68" s="466" t="str">
        <f>IF(AK68&lt;&gt;"都市ガス","",IF(ISERROR(VLOOKUP(D68&amp;F68,非_都市ガス事業者!$AA$8:$AB$200,2,FALSE)),"要記入",VLOOKUP(D68&amp;F68,非_都市ガス事業者!$AA$8:$AB$200,2,FALSE)))</f>
        <v/>
      </c>
      <c r="AS68" s="466" t="str">
        <f t="shared" si="67"/>
        <v/>
      </c>
      <c r="AT68" s="466" t="str">
        <f t="shared" si="77"/>
        <v/>
      </c>
      <c r="AU68" s="535" t="b">
        <f t="shared" si="11"/>
        <v>1</v>
      </c>
      <c r="AV68" s="466" t="str">
        <f>IF(Q68="","",VLOOKUP(Q68,非_単位補正換算!$B$3:$C$16,2,FALSE))</f>
        <v/>
      </c>
      <c r="AW68" s="466" t="str">
        <f>IF(AK68="","",IF(AK68&lt;&gt;"都市ガス",1,IF(G68="","",SUMIFS(非_単位補正換算!$D$52:$D$63,非_単位補正換算!$B$52:$B$63,"都市ガス"&amp;G68,非_単位補正換算!$C$52:$C$63,電気・熱_都市ガス!Q68))))</f>
        <v/>
      </c>
      <c r="AX68" s="527" t="str">
        <f t="shared" si="78"/>
        <v/>
      </c>
      <c r="AY68" s="466" t="str">
        <f t="shared" si="79"/>
        <v/>
      </c>
      <c r="AZ68" s="466" t="str">
        <f t="shared" si="68"/>
        <v/>
      </c>
      <c r="BA68" s="466" t="str">
        <f>IF(C68="","",VLOOKUP(C68,非_まとめ表行番号!$F$3:$H$12,2,FALSE))</f>
        <v/>
      </c>
      <c r="BB68" s="539" t="b">
        <f t="shared" si="13"/>
        <v>1</v>
      </c>
      <c r="BC68" s="637" t="str">
        <f>IF(AK68="","",IF(AK68&lt;&gt;"都市ガス",1,非_係数!$G$55))</f>
        <v/>
      </c>
      <c r="BD68" s="466" t="str">
        <f t="shared" si="80"/>
        <v/>
      </c>
      <c r="BE68" s="466" t="str">
        <f t="shared" si="69"/>
        <v/>
      </c>
      <c r="BF68" s="466" t="str">
        <f>IF(C68="","",VLOOKUP(C68,非_係数!$B$42:$K$55,9,FALSE))</f>
        <v/>
      </c>
      <c r="BG68" s="466" t="str">
        <f t="shared" si="15"/>
        <v/>
      </c>
      <c r="BH68" s="466" t="str">
        <f>IF(C68="","",VLOOKUP(C68,非_まとめ表行番号!$F$3:$H$12,3,FALSE))</f>
        <v/>
      </c>
      <c r="BI68" s="466" t="str">
        <f t="shared" si="81"/>
        <v/>
      </c>
      <c r="BK68" s="527" t="str">
        <f>IF(BA68="","",VLOOKUP(BA68,非_まとめ表行番号!$U$3:$V$56,2,FALSE))</f>
        <v/>
      </c>
      <c r="BL68" s="526" t="str">
        <f t="shared" si="17"/>
        <v/>
      </c>
      <c r="BM68" s="526" t="str">
        <f t="shared" si="18"/>
        <v/>
      </c>
      <c r="BN68" s="526" t="str">
        <f t="shared" si="82"/>
        <v/>
      </c>
      <c r="BO68" s="526" t="str">
        <f t="shared" si="20"/>
        <v/>
      </c>
      <c r="BP68" s="526" t="str">
        <f t="shared" si="21"/>
        <v/>
      </c>
      <c r="BQ68" s="526" t="str">
        <f t="shared" si="83"/>
        <v/>
      </c>
      <c r="BR68" s="527" t="str">
        <f t="shared" si="23"/>
        <v/>
      </c>
      <c r="BS68" s="636" t="str">
        <f t="shared" si="84"/>
        <v/>
      </c>
    </row>
    <row r="69" spans="1:71" ht="18.75" customHeight="1">
      <c r="A69" s="483"/>
      <c r="B69" s="406"/>
      <c r="C69" s="406"/>
      <c r="D69" s="406"/>
      <c r="E69" s="406"/>
      <c r="F69" s="499"/>
      <c r="G69" s="608"/>
      <c r="H69" s="609" t="str">
        <f>IF(AK69&lt;&gt;"都市ガス","",IF(ISERROR(VLOOKUP(D69,非_都市ガス事業者!$O$8:$P$200,2,FALSE)),"",VLOOKUP(D69,非_都市ガス事業者!$O$8:$P$200,2,FALSE)))</f>
        <v/>
      </c>
      <c r="I69" s="610" t="str">
        <f>IF(AK69&lt;&gt;"都市ガス","",非_都市ガス事業者!$P$4)</f>
        <v/>
      </c>
      <c r="J69" s="612" t="str">
        <f>IF(C69="","",IF(COUNTIFS(C69,"*自ら生成*")&gt;0,"要記入",IF(AK69&lt;&gt;"都市ガス",VLOOKUP(C69,非_係数!$B$42:$D$55,2,FALSE),"")))</f>
        <v/>
      </c>
      <c r="K69" s="406"/>
      <c r="L69" s="560" t="str">
        <f t="shared" si="71"/>
        <v/>
      </c>
      <c r="M69" s="225" t="str">
        <f t="shared" si="72"/>
        <v/>
      </c>
      <c r="N69" s="406"/>
      <c r="O69" s="458"/>
      <c r="P69" s="406"/>
      <c r="Q69" s="406"/>
      <c r="R69" s="451"/>
      <c r="S69" s="451"/>
      <c r="T69" s="451"/>
      <c r="U69" s="451"/>
      <c r="V69" s="451"/>
      <c r="W69" s="451"/>
      <c r="X69" s="451"/>
      <c r="Y69" s="451"/>
      <c r="Z69" s="451"/>
      <c r="AA69" s="451"/>
      <c r="AB69" s="451"/>
      <c r="AC69" s="451"/>
      <c r="AD69" s="497"/>
      <c r="AE69" s="586" t="str">
        <f t="shared" si="85"/>
        <v/>
      </c>
      <c r="AF69" s="590" t="str">
        <f t="shared" si="74"/>
        <v/>
      </c>
      <c r="AG69" s="432" t="str">
        <f>IF(C69="","",VLOOKUP(C69,非_単位!$N$38:$O$53,2,FALSE))</f>
        <v/>
      </c>
      <c r="AH69" s="586" t="str">
        <f t="shared" si="75"/>
        <v/>
      </c>
      <c r="AI69" s="587" t="str">
        <f t="shared" si="76"/>
        <v/>
      </c>
      <c r="AK69" s="466" t="str">
        <f t="shared" si="66"/>
        <v/>
      </c>
      <c r="AL69" s="466" t="str">
        <f>IF(B69="","",IF(B69=非_燃料種類_選択リスト!$I$13,"外部供給_種類","外部供給以外_種類"))</f>
        <v/>
      </c>
      <c r="AM69" s="466" t="str">
        <f>IF(AK69&lt;&gt;"電気","",非_電気事業者!$S$4*1000)</f>
        <v/>
      </c>
      <c r="AN69" s="466" t="str">
        <f>IF(AK69&lt;&gt;"電気","",IF(ISERROR(VLOOKUP(D69&amp;F69,非_電気事業者!$R$9:$S$2000,2,FALSE)),"要記入",VLOOKUP(D69&amp;F69,非_電気事業者!$R$9:$S$2000,2,FALSE)*1000))</f>
        <v/>
      </c>
      <c r="AO69" s="466" t="str">
        <f>IF(AK69&lt;&gt;"熱","",非_熱供給事業者!$T$4)</f>
        <v/>
      </c>
      <c r="AP69" s="466" t="str">
        <f>IF(AK69&lt;&gt;"熱","",IF(ISERROR(VLOOKUP(D69&amp;F69,非_熱供給事業者!$S$8:$T$200,2,FALSE)),"要記入",VLOOKUP(D69&amp;F69,非_熱供給事業者!$S$8:$T$200,2,FALSE)))</f>
        <v/>
      </c>
      <c r="AQ69" s="466" t="str">
        <f>IF(AK69&lt;&gt;"都市ガス","",非_都市ガス事業者!$AB$4)</f>
        <v/>
      </c>
      <c r="AR69" s="466" t="str">
        <f>IF(AK69&lt;&gt;"都市ガス","",IF(ISERROR(VLOOKUP(D69&amp;F69,非_都市ガス事業者!$AA$8:$AB$200,2,FALSE)),"要記入",VLOOKUP(D69&amp;F69,非_都市ガス事業者!$AA$8:$AB$200,2,FALSE)))</f>
        <v/>
      </c>
      <c r="AS69" s="466" t="str">
        <f t="shared" si="67"/>
        <v/>
      </c>
      <c r="AT69" s="466" t="str">
        <f t="shared" si="77"/>
        <v/>
      </c>
      <c r="AU69" s="535" t="b">
        <f t="shared" si="11"/>
        <v>1</v>
      </c>
      <c r="AV69" s="466" t="str">
        <f>IF(Q69="","",VLOOKUP(Q69,非_単位補正換算!$B$3:$C$16,2,FALSE))</f>
        <v/>
      </c>
      <c r="AW69" s="466" t="str">
        <f>IF(AK69="","",IF(AK69&lt;&gt;"都市ガス",1,IF(G69="","",SUMIFS(非_単位補正換算!$D$52:$D$63,非_単位補正換算!$B$52:$B$63,"都市ガス"&amp;G69,非_単位補正換算!$C$52:$C$63,電気・熱_都市ガス!Q69))))</f>
        <v/>
      </c>
      <c r="AX69" s="527" t="str">
        <f t="shared" si="78"/>
        <v/>
      </c>
      <c r="AY69" s="466" t="str">
        <f t="shared" si="79"/>
        <v/>
      </c>
      <c r="AZ69" s="466" t="str">
        <f t="shared" si="68"/>
        <v/>
      </c>
      <c r="BA69" s="466" t="str">
        <f>IF(C69="","",VLOOKUP(C69,非_まとめ表行番号!$F$3:$H$12,2,FALSE))</f>
        <v/>
      </c>
      <c r="BB69" s="539" t="b">
        <f t="shared" si="13"/>
        <v>1</v>
      </c>
      <c r="BC69" s="637" t="str">
        <f>IF(AK69="","",IF(AK69&lt;&gt;"都市ガス",1,非_係数!$G$55))</f>
        <v/>
      </c>
      <c r="BD69" s="466" t="str">
        <f t="shared" si="80"/>
        <v/>
      </c>
      <c r="BE69" s="466" t="str">
        <f t="shared" si="69"/>
        <v/>
      </c>
      <c r="BF69" s="466" t="str">
        <f>IF(C69="","",VLOOKUP(C69,非_係数!$B$42:$K$55,9,FALSE))</f>
        <v/>
      </c>
      <c r="BG69" s="466" t="str">
        <f t="shared" si="15"/>
        <v/>
      </c>
      <c r="BH69" s="466" t="str">
        <f>IF(C69="","",VLOOKUP(C69,非_まとめ表行番号!$F$3:$H$12,3,FALSE))</f>
        <v/>
      </c>
      <c r="BI69" s="466" t="str">
        <f t="shared" si="81"/>
        <v/>
      </c>
      <c r="BK69" s="527" t="str">
        <f>IF(BA69="","",VLOOKUP(BA69,非_まとめ表行番号!$U$3:$V$56,2,FALSE))</f>
        <v/>
      </c>
      <c r="BL69" s="526" t="str">
        <f t="shared" si="17"/>
        <v/>
      </c>
      <c r="BM69" s="526" t="str">
        <f t="shared" si="18"/>
        <v/>
      </c>
      <c r="BN69" s="526" t="str">
        <f t="shared" si="82"/>
        <v/>
      </c>
      <c r="BO69" s="526" t="str">
        <f t="shared" si="20"/>
        <v/>
      </c>
      <c r="BP69" s="526" t="str">
        <f t="shared" si="21"/>
        <v/>
      </c>
      <c r="BQ69" s="526" t="str">
        <f t="shared" si="83"/>
        <v/>
      </c>
      <c r="BR69" s="527" t="str">
        <f t="shared" si="23"/>
        <v/>
      </c>
      <c r="BS69" s="636" t="str">
        <f t="shared" si="84"/>
        <v/>
      </c>
    </row>
    <row r="70" spans="1:71" ht="18.75" customHeight="1">
      <c r="A70" s="483"/>
      <c r="B70" s="406"/>
      <c r="C70" s="406"/>
      <c r="D70" s="406"/>
      <c r="E70" s="406"/>
      <c r="F70" s="499"/>
      <c r="G70" s="608"/>
      <c r="H70" s="609" t="str">
        <f>IF(AK70&lt;&gt;"都市ガス","",IF(ISERROR(VLOOKUP(D70,非_都市ガス事業者!$O$8:$P$200,2,FALSE)),"",VLOOKUP(D70,非_都市ガス事業者!$O$8:$P$200,2,FALSE)))</f>
        <v/>
      </c>
      <c r="I70" s="610" t="str">
        <f>IF(AK70&lt;&gt;"都市ガス","",非_都市ガス事業者!$P$4)</f>
        <v/>
      </c>
      <c r="J70" s="612" t="str">
        <f>IF(C70="","",IF(COUNTIFS(C70,"*自ら生成*")&gt;0,"要記入",IF(AK70&lt;&gt;"都市ガス",VLOOKUP(C70,非_係数!$B$42:$D$55,2,FALSE),"")))</f>
        <v/>
      </c>
      <c r="K70" s="406"/>
      <c r="L70" s="560" t="str">
        <f t="shared" si="71"/>
        <v/>
      </c>
      <c r="M70" s="225" t="str">
        <f t="shared" si="72"/>
        <v/>
      </c>
      <c r="N70" s="406"/>
      <c r="O70" s="458"/>
      <c r="P70" s="406"/>
      <c r="Q70" s="406"/>
      <c r="R70" s="451"/>
      <c r="S70" s="451"/>
      <c r="T70" s="451"/>
      <c r="U70" s="451"/>
      <c r="V70" s="451"/>
      <c r="W70" s="451"/>
      <c r="X70" s="451"/>
      <c r="Y70" s="451"/>
      <c r="Z70" s="451"/>
      <c r="AA70" s="451"/>
      <c r="AB70" s="451"/>
      <c r="AC70" s="451"/>
      <c r="AD70" s="497"/>
      <c r="AE70" s="586" t="str">
        <f t="shared" si="85"/>
        <v/>
      </c>
      <c r="AF70" s="590" t="str">
        <f t="shared" si="74"/>
        <v/>
      </c>
      <c r="AG70" s="432" t="str">
        <f>IF(C70="","",VLOOKUP(C70,非_単位!$N$38:$O$53,2,FALSE))</f>
        <v/>
      </c>
      <c r="AH70" s="586" t="str">
        <f t="shared" si="75"/>
        <v/>
      </c>
      <c r="AI70" s="587" t="str">
        <f t="shared" si="76"/>
        <v/>
      </c>
      <c r="AK70" s="466" t="str">
        <f t="shared" si="66"/>
        <v/>
      </c>
      <c r="AL70" s="466" t="str">
        <f>IF(B70="","",IF(B70=非_燃料種類_選択リスト!$I$13,"外部供給_種類","外部供給以外_種類"))</f>
        <v/>
      </c>
      <c r="AM70" s="466" t="str">
        <f>IF(AK70&lt;&gt;"電気","",非_電気事業者!$S$4*1000)</f>
        <v/>
      </c>
      <c r="AN70" s="466" t="str">
        <f>IF(AK70&lt;&gt;"電気","",IF(ISERROR(VLOOKUP(D70&amp;F70,非_電気事業者!$R$9:$S$2000,2,FALSE)),"要記入",VLOOKUP(D70&amp;F70,非_電気事業者!$R$9:$S$2000,2,FALSE)*1000))</f>
        <v/>
      </c>
      <c r="AO70" s="466" t="str">
        <f>IF(AK70&lt;&gt;"熱","",非_熱供給事業者!$T$4)</f>
        <v/>
      </c>
      <c r="AP70" s="466" t="str">
        <f>IF(AK70&lt;&gt;"熱","",IF(ISERROR(VLOOKUP(D70&amp;F70,非_熱供給事業者!$S$8:$T$200,2,FALSE)),"要記入",VLOOKUP(D70&amp;F70,非_熱供給事業者!$S$8:$T$200,2,FALSE)))</f>
        <v/>
      </c>
      <c r="AQ70" s="466" t="str">
        <f>IF(AK70&lt;&gt;"都市ガス","",非_都市ガス事業者!$AB$4)</f>
        <v/>
      </c>
      <c r="AR70" s="466" t="str">
        <f>IF(AK70&lt;&gt;"都市ガス","",IF(ISERROR(VLOOKUP(D70&amp;F70,非_都市ガス事業者!$AA$8:$AB$200,2,FALSE)),"要記入",VLOOKUP(D70&amp;F70,非_都市ガス事業者!$AA$8:$AB$200,2,FALSE)))</f>
        <v/>
      </c>
      <c r="AS70" s="466" t="str">
        <f t="shared" si="67"/>
        <v/>
      </c>
      <c r="AT70" s="466" t="str">
        <f t="shared" si="77"/>
        <v/>
      </c>
      <c r="AU70" s="535" t="b">
        <f t="shared" si="11"/>
        <v>1</v>
      </c>
      <c r="AV70" s="466" t="str">
        <f>IF(Q70="","",VLOOKUP(Q70,非_単位補正換算!$B$3:$C$16,2,FALSE))</f>
        <v/>
      </c>
      <c r="AW70" s="466" t="str">
        <f>IF(AK70="","",IF(AK70&lt;&gt;"都市ガス",1,IF(G70="","",SUMIFS(非_単位補正換算!$D$52:$D$63,非_単位補正換算!$B$52:$B$63,"都市ガス"&amp;G70,非_単位補正換算!$C$52:$C$63,電気・熱_都市ガス!Q70))))</f>
        <v/>
      </c>
      <c r="AX70" s="527" t="str">
        <f t="shared" si="78"/>
        <v/>
      </c>
      <c r="AY70" s="466" t="str">
        <f t="shared" si="79"/>
        <v/>
      </c>
      <c r="AZ70" s="466" t="str">
        <f t="shared" si="68"/>
        <v/>
      </c>
      <c r="BA70" s="466" t="str">
        <f>IF(C70="","",VLOOKUP(C70,非_まとめ表行番号!$F$3:$H$12,2,FALSE))</f>
        <v/>
      </c>
      <c r="BB70" s="539" t="b">
        <f t="shared" si="13"/>
        <v>1</v>
      </c>
      <c r="BC70" s="637" t="str">
        <f>IF(AK70="","",IF(AK70&lt;&gt;"都市ガス",1,非_係数!$G$55))</f>
        <v/>
      </c>
      <c r="BD70" s="466" t="str">
        <f t="shared" si="80"/>
        <v/>
      </c>
      <c r="BE70" s="466" t="str">
        <f t="shared" si="69"/>
        <v/>
      </c>
      <c r="BF70" s="466" t="str">
        <f>IF(C70="","",VLOOKUP(C70,非_係数!$B$42:$K$55,9,FALSE))</f>
        <v/>
      </c>
      <c r="BG70" s="466" t="str">
        <f t="shared" si="15"/>
        <v/>
      </c>
      <c r="BH70" s="466" t="str">
        <f>IF(C70="","",VLOOKUP(C70,非_まとめ表行番号!$F$3:$H$12,3,FALSE))</f>
        <v/>
      </c>
      <c r="BI70" s="466" t="str">
        <f t="shared" si="81"/>
        <v/>
      </c>
      <c r="BK70" s="527" t="str">
        <f>IF(BA70="","",VLOOKUP(BA70,非_まとめ表行番号!$U$3:$V$56,2,FALSE))</f>
        <v/>
      </c>
      <c r="BL70" s="526" t="str">
        <f t="shared" si="17"/>
        <v/>
      </c>
      <c r="BM70" s="526" t="str">
        <f t="shared" si="18"/>
        <v/>
      </c>
      <c r="BN70" s="526" t="str">
        <f t="shared" si="82"/>
        <v/>
      </c>
      <c r="BO70" s="526" t="str">
        <f t="shared" si="20"/>
        <v/>
      </c>
      <c r="BP70" s="526" t="str">
        <f t="shared" si="21"/>
        <v/>
      </c>
      <c r="BQ70" s="526" t="str">
        <f t="shared" si="83"/>
        <v/>
      </c>
      <c r="BR70" s="527" t="str">
        <f t="shared" si="23"/>
        <v/>
      </c>
      <c r="BS70" s="636" t="str">
        <f t="shared" si="84"/>
        <v/>
      </c>
    </row>
    <row r="71" spans="1:71" ht="18.75" customHeight="1">
      <c r="A71" s="483"/>
      <c r="B71" s="406"/>
      <c r="C71" s="406"/>
      <c r="D71" s="406"/>
      <c r="E71" s="406"/>
      <c r="F71" s="499"/>
      <c r="G71" s="608"/>
      <c r="H71" s="609" t="str">
        <f>IF(AK71&lt;&gt;"都市ガス","",IF(ISERROR(VLOOKUP(D71,非_都市ガス事業者!$O$8:$P$200,2,FALSE)),"",VLOOKUP(D71,非_都市ガス事業者!$O$8:$P$200,2,FALSE)))</f>
        <v/>
      </c>
      <c r="I71" s="610" t="str">
        <f>IF(AK71&lt;&gt;"都市ガス","",非_都市ガス事業者!$P$4)</f>
        <v/>
      </c>
      <c r="J71" s="612" t="str">
        <f>IF(C71="","",IF(COUNTIFS(C71,"*自ら生成*")&gt;0,"要記入",IF(AK71&lt;&gt;"都市ガス",VLOOKUP(C71,非_係数!$B$42:$D$55,2,FALSE),"")))</f>
        <v/>
      </c>
      <c r="K71" s="406"/>
      <c r="L71" s="560" t="str">
        <f t="shared" si="71"/>
        <v/>
      </c>
      <c r="M71" s="225" t="str">
        <f t="shared" si="72"/>
        <v/>
      </c>
      <c r="N71" s="406"/>
      <c r="O71" s="458"/>
      <c r="P71" s="406"/>
      <c r="Q71" s="406"/>
      <c r="R71" s="451"/>
      <c r="S71" s="451"/>
      <c r="T71" s="451"/>
      <c r="U71" s="451"/>
      <c r="V71" s="451"/>
      <c r="W71" s="451"/>
      <c r="X71" s="451"/>
      <c r="Y71" s="451"/>
      <c r="Z71" s="451"/>
      <c r="AA71" s="451"/>
      <c r="AB71" s="451"/>
      <c r="AC71" s="451"/>
      <c r="AD71" s="497"/>
      <c r="AE71" s="586" t="str">
        <f t="shared" si="85"/>
        <v/>
      </c>
      <c r="AF71" s="590" t="str">
        <f t="shared" si="74"/>
        <v/>
      </c>
      <c r="AG71" s="432" t="str">
        <f>IF(C71="","",VLOOKUP(C71,非_単位!$N$38:$O$53,2,FALSE))</f>
        <v/>
      </c>
      <c r="AH71" s="586" t="str">
        <f t="shared" si="75"/>
        <v/>
      </c>
      <c r="AI71" s="587" t="str">
        <f t="shared" si="76"/>
        <v/>
      </c>
      <c r="AK71" s="466" t="str">
        <f t="shared" si="66"/>
        <v/>
      </c>
      <c r="AL71" s="466" t="str">
        <f>IF(B71="","",IF(B71=非_燃料種類_選択リスト!$I$13,"外部供給_種類","外部供給以外_種類"))</f>
        <v/>
      </c>
      <c r="AM71" s="466" t="str">
        <f>IF(AK71&lt;&gt;"電気","",非_電気事業者!$S$4*1000)</f>
        <v/>
      </c>
      <c r="AN71" s="466" t="str">
        <f>IF(AK71&lt;&gt;"電気","",IF(ISERROR(VLOOKUP(D71&amp;F71,非_電気事業者!$R$9:$S$2000,2,FALSE)),"要記入",VLOOKUP(D71&amp;F71,非_電気事業者!$R$9:$S$2000,2,FALSE)*1000))</f>
        <v/>
      </c>
      <c r="AO71" s="466" t="str">
        <f>IF(AK71&lt;&gt;"熱","",非_熱供給事業者!$T$4)</f>
        <v/>
      </c>
      <c r="AP71" s="466" t="str">
        <f>IF(AK71&lt;&gt;"熱","",IF(ISERROR(VLOOKUP(D71&amp;F71,非_熱供給事業者!$S$8:$T$200,2,FALSE)),"要記入",VLOOKUP(D71&amp;F71,非_熱供給事業者!$S$8:$T$200,2,FALSE)))</f>
        <v/>
      </c>
      <c r="AQ71" s="466" t="str">
        <f>IF(AK71&lt;&gt;"都市ガス","",非_都市ガス事業者!$AB$4)</f>
        <v/>
      </c>
      <c r="AR71" s="466" t="str">
        <f>IF(AK71&lt;&gt;"都市ガス","",IF(ISERROR(VLOOKUP(D71&amp;F71,非_都市ガス事業者!$AA$8:$AB$200,2,FALSE)),"要記入",VLOOKUP(D71&amp;F71,非_都市ガス事業者!$AA$8:$AB$200,2,FALSE)))</f>
        <v/>
      </c>
      <c r="AS71" s="466" t="str">
        <f t="shared" si="67"/>
        <v/>
      </c>
      <c r="AT71" s="466" t="str">
        <f t="shared" si="77"/>
        <v/>
      </c>
      <c r="AU71" s="535" t="b">
        <f t="shared" si="11"/>
        <v>1</v>
      </c>
      <c r="AV71" s="466" t="str">
        <f>IF(Q71="","",VLOOKUP(Q71,非_単位補正換算!$B$3:$C$16,2,FALSE))</f>
        <v/>
      </c>
      <c r="AW71" s="466" t="str">
        <f>IF(AK71="","",IF(AK71&lt;&gt;"都市ガス",1,IF(G71="","",SUMIFS(非_単位補正換算!$D$52:$D$63,非_単位補正換算!$B$52:$B$63,"都市ガス"&amp;G71,非_単位補正換算!$C$52:$C$63,電気・熱_都市ガス!Q71))))</f>
        <v/>
      </c>
      <c r="AX71" s="527" t="str">
        <f t="shared" si="78"/>
        <v/>
      </c>
      <c r="AY71" s="466" t="str">
        <f t="shared" si="79"/>
        <v/>
      </c>
      <c r="AZ71" s="466" t="str">
        <f t="shared" si="68"/>
        <v/>
      </c>
      <c r="BA71" s="466" t="str">
        <f>IF(C71="","",VLOOKUP(C71,非_まとめ表行番号!$F$3:$H$12,2,FALSE))</f>
        <v/>
      </c>
      <c r="BB71" s="539" t="b">
        <f t="shared" si="13"/>
        <v>1</v>
      </c>
      <c r="BC71" s="637" t="str">
        <f>IF(AK71="","",IF(AK71&lt;&gt;"都市ガス",1,非_係数!$G$55))</f>
        <v/>
      </c>
      <c r="BD71" s="466" t="str">
        <f t="shared" si="80"/>
        <v/>
      </c>
      <c r="BE71" s="466" t="str">
        <f t="shared" si="69"/>
        <v/>
      </c>
      <c r="BF71" s="466" t="str">
        <f>IF(C71="","",VLOOKUP(C71,非_係数!$B$42:$K$55,9,FALSE))</f>
        <v/>
      </c>
      <c r="BG71" s="466" t="str">
        <f t="shared" si="15"/>
        <v/>
      </c>
      <c r="BH71" s="466" t="str">
        <f>IF(C71="","",VLOOKUP(C71,非_まとめ表行番号!$F$3:$H$12,3,FALSE))</f>
        <v/>
      </c>
      <c r="BI71" s="466" t="str">
        <f t="shared" si="81"/>
        <v/>
      </c>
      <c r="BK71" s="527" t="str">
        <f>IF(BA71="","",VLOOKUP(BA71,非_まとめ表行番号!$U$3:$V$56,2,FALSE))</f>
        <v/>
      </c>
      <c r="BL71" s="526" t="str">
        <f t="shared" si="17"/>
        <v/>
      </c>
      <c r="BM71" s="526" t="str">
        <f t="shared" si="18"/>
        <v/>
      </c>
      <c r="BN71" s="526" t="str">
        <f t="shared" si="82"/>
        <v/>
      </c>
      <c r="BO71" s="526" t="str">
        <f t="shared" si="20"/>
        <v/>
      </c>
      <c r="BP71" s="526" t="str">
        <f t="shared" si="21"/>
        <v/>
      </c>
      <c r="BQ71" s="526" t="str">
        <f t="shared" si="83"/>
        <v/>
      </c>
      <c r="BR71" s="527" t="str">
        <f t="shared" si="23"/>
        <v/>
      </c>
      <c r="BS71" s="636" t="str">
        <f t="shared" si="84"/>
        <v/>
      </c>
    </row>
    <row r="72" spans="1:71" ht="18.75" customHeight="1">
      <c r="A72" s="483"/>
      <c r="B72" s="406"/>
      <c r="C72" s="406"/>
      <c r="D72" s="406"/>
      <c r="E72" s="406"/>
      <c r="F72" s="499"/>
      <c r="G72" s="608"/>
      <c r="H72" s="609" t="str">
        <f>IF(AK72&lt;&gt;"都市ガス","",IF(ISERROR(VLOOKUP(D72,非_都市ガス事業者!$O$8:$P$200,2,FALSE)),"",VLOOKUP(D72,非_都市ガス事業者!$O$8:$P$200,2,FALSE)))</f>
        <v/>
      </c>
      <c r="I72" s="610" t="str">
        <f>IF(AK72&lt;&gt;"都市ガス","",非_都市ガス事業者!$P$4)</f>
        <v/>
      </c>
      <c r="J72" s="612" t="str">
        <f>IF(C72="","",IF(COUNTIFS(C72,"*自ら生成*")&gt;0,"要記入",IF(AK72&lt;&gt;"都市ガス",VLOOKUP(C72,非_係数!$B$42:$D$55,2,FALSE),"")))</f>
        <v/>
      </c>
      <c r="K72" s="406"/>
      <c r="L72" s="560" t="str">
        <f t="shared" ref="L72:L76" si="91">AS72</f>
        <v/>
      </c>
      <c r="M72" s="225" t="str">
        <f t="shared" ref="M72:M76" si="92">AT72</f>
        <v/>
      </c>
      <c r="N72" s="406"/>
      <c r="O72" s="458"/>
      <c r="P72" s="406"/>
      <c r="Q72" s="406"/>
      <c r="R72" s="451"/>
      <c r="S72" s="451"/>
      <c r="T72" s="451"/>
      <c r="U72" s="451"/>
      <c r="V72" s="451"/>
      <c r="W72" s="451"/>
      <c r="X72" s="451"/>
      <c r="Y72" s="451"/>
      <c r="Z72" s="451"/>
      <c r="AA72" s="451"/>
      <c r="AB72" s="451"/>
      <c r="AC72" s="451"/>
      <c r="AD72" s="497"/>
      <c r="AE72" s="586" t="str">
        <f t="shared" si="85"/>
        <v/>
      </c>
      <c r="AF72" s="590" t="str">
        <f t="shared" ref="AF72:AF76" si="93">IF(AX72="","",-1*AX72)</f>
        <v/>
      </c>
      <c r="AG72" s="432" t="str">
        <f>IF(C72="","",VLOOKUP(C72,非_単位!$N$38:$O$53,2,FALSE))</f>
        <v/>
      </c>
      <c r="AH72" s="586" t="str">
        <f t="shared" ref="AH72:AH76" si="94">IF(AY72="","",-1*AY72)</f>
        <v/>
      </c>
      <c r="AI72" s="587" t="str">
        <f t="shared" ref="AI72:AI76" si="95">IF(AZ72="","",-1*AZ72)</f>
        <v/>
      </c>
      <c r="AK72" s="466" t="str">
        <f t="shared" ref="AK72:AK76" si="96">IF(C72="","",IF(LEFT(C72,2)="電気","電気",IF(LEFT(C72,1)="熱","熱",IF(LEFT(C72,4)="都市ガス","都市ガス"))))</f>
        <v/>
      </c>
      <c r="AL72" s="466" t="str">
        <f>IF(B72="","",IF(B72=非_燃料種類_選択リスト!$I$13,"外部供給_種類","外部供給以外_種類"))</f>
        <v/>
      </c>
      <c r="AM72" s="466" t="str">
        <f>IF(AK72&lt;&gt;"電気","",非_電気事業者!$S$4*1000)</f>
        <v/>
      </c>
      <c r="AN72" s="466" t="str">
        <f>IF(AK72&lt;&gt;"電気","",IF(ISERROR(VLOOKUP(D72&amp;F72,非_電気事業者!$R$9:$S$2000,2,FALSE)),"要記入",VLOOKUP(D72&amp;F72,非_電気事業者!$R$9:$S$2000,2,FALSE)*1000))</f>
        <v/>
      </c>
      <c r="AO72" s="466" t="str">
        <f>IF(AK72&lt;&gt;"熱","",非_熱供給事業者!$T$4)</f>
        <v/>
      </c>
      <c r="AP72" s="466" t="str">
        <f>IF(AK72&lt;&gt;"熱","",IF(ISERROR(VLOOKUP(D72&amp;F72,非_熱供給事業者!$S$8:$T$200,2,FALSE)),"要記入",VLOOKUP(D72&amp;F72,非_熱供給事業者!$S$8:$T$200,2,FALSE)))</f>
        <v/>
      </c>
      <c r="AQ72" s="466" t="str">
        <f>IF(AK72&lt;&gt;"都市ガス","",非_都市ガス事業者!$AB$4)</f>
        <v/>
      </c>
      <c r="AR72" s="466" t="str">
        <f>IF(AK72&lt;&gt;"都市ガス","",IF(ISERROR(VLOOKUP(D72&amp;F72,非_都市ガス事業者!$AA$8:$AB$200,2,FALSE)),"要記入",VLOOKUP(D72&amp;F72,非_都市ガス事業者!$AA$8:$AB$200,2,FALSE)))</f>
        <v/>
      </c>
      <c r="AS72" s="466" t="str">
        <f t="shared" ref="AS72:AS76" si="97">IF(AK72="","",IF(AK72="電気",IF(K72="国代替値",AM72,IF(K72="国公表値",AN72,"要記入")),IF(AK72="熱",IF(K72="国代替値",AO72,IF(K72="国公表値",AP72,"要記入")),IF(AK72="都市ガス",IF(K72="国代替値",AQ72,IF(K72="国公表値",AR72,"要記入"))))))</f>
        <v/>
      </c>
      <c r="AT72" s="466" t="str">
        <f t="shared" ref="AT72:AT76" si="98">IF(AK72="電気","t-CO2/千kWh",IF(AK72="熱","t-CO2/GJ",IF(AK72="都市ガス","t-CO2/千m3(SATP)","")))</f>
        <v/>
      </c>
      <c r="AU72" s="535" t="b">
        <f t="shared" ref="AU72:AU80" si="99">_xlfn.ISFORMULA(L72)</f>
        <v>1</v>
      </c>
      <c r="AV72" s="466" t="str">
        <f>IF(Q72="","",VLOOKUP(Q72,非_単位補正換算!$B$3:$C$16,2,FALSE))</f>
        <v/>
      </c>
      <c r="AW72" s="466" t="str">
        <f>IF(AK72="","",IF(AK72&lt;&gt;"都市ガス",1,IF(G72="","",SUMIFS(非_単位補正換算!$D$52:$D$63,非_単位補正換算!$B$52:$B$63,"都市ガス"&amp;G72,非_単位補正換算!$C$52:$C$63,電気・熱_都市ガス!Q72))))</f>
        <v/>
      </c>
      <c r="AX72" s="527" t="str">
        <f t="shared" si="78"/>
        <v/>
      </c>
      <c r="AY72" s="466" t="str">
        <f t="shared" si="79"/>
        <v/>
      </c>
      <c r="AZ72" s="466" t="str">
        <f t="shared" ref="AZ72:AZ76" si="100">IF(AX72="","",IF(ISNUMBER(L72),AX72*L72,""))</f>
        <v/>
      </c>
      <c r="BA72" s="466" t="str">
        <f>IF(C72="","",VLOOKUP(C72,非_まとめ表行番号!$F$3:$H$12,2,FALSE))</f>
        <v/>
      </c>
      <c r="BB72" s="539" t="b">
        <f t="shared" ref="BB72:BB80" si="101">_xlfn.ISFORMULA(I72)</f>
        <v>1</v>
      </c>
      <c r="BC72" s="637" t="str">
        <f>IF(AK72="","",IF(AK72&lt;&gt;"都市ガス",1,非_係数!$G$55))</f>
        <v/>
      </c>
      <c r="BD72" s="466" t="str">
        <f t="shared" ref="BD72:BD76" si="102">IF(AX72="","",AX72*BC72)</f>
        <v/>
      </c>
      <c r="BE72" s="466" t="str">
        <f t="shared" ref="BE72:BE76" si="103">IF(AK72="都市ガス",IF(BD72="","",H72*BD72),"")</f>
        <v/>
      </c>
      <c r="BF72" s="466" t="str">
        <f>IF(C72="","",VLOOKUP(C72,非_係数!$B$42:$K$55,9,FALSE))</f>
        <v/>
      </c>
      <c r="BG72" s="466" t="str">
        <f t="shared" ref="BG72:BG76" si="104">IF(AND(BD72&lt;&gt;"",BF72&lt;&gt;""),IF(AK72&lt;&gt;"都市ガス",BD72*BF72,BE72*BF72*44/12),"")</f>
        <v/>
      </c>
      <c r="BH72" s="466" t="str">
        <f>IF(C72="","",VLOOKUP(C72,非_まとめ表行番号!$F$3:$H$12,3,FALSE))</f>
        <v/>
      </c>
      <c r="BI72" s="466" t="str">
        <f t="shared" si="81"/>
        <v/>
      </c>
      <c r="BK72" s="527" t="str">
        <f>IF(BA72="","",VLOOKUP(BA72,非_まとめ表行番号!$U$3:$V$56,2,FALSE))</f>
        <v/>
      </c>
      <c r="BL72" s="526" t="str">
        <f t="shared" ref="BL72:BL80" si="105">IF(D72="","",D72)</f>
        <v/>
      </c>
      <c r="BM72" s="526" t="str">
        <f t="shared" ref="BM72:BM80" si="106">IF(F72="","",F72)</f>
        <v/>
      </c>
      <c r="BN72" s="526" t="str">
        <f t="shared" si="82"/>
        <v/>
      </c>
      <c r="BO72" s="526" t="str">
        <f t="shared" ref="BO72:BO80" si="107">IF(I72="","",I72)</f>
        <v/>
      </c>
      <c r="BP72" s="526" t="str">
        <f t="shared" ref="BP72:BP80" si="108">IF(K72="","",K72)</f>
        <v/>
      </c>
      <c r="BQ72" s="526" t="str">
        <f t="shared" si="83"/>
        <v/>
      </c>
      <c r="BR72" s="527" t="str">
        <f t="shared" ref="BR72:BR80" si="109">IF(AF72="","",AF72)</f>
        <v/>
      </c>
      <c r="BS72" s="636" t="str">
        <f t="shared" si="84"/>
        <v/>
      </c>
    </row>
    <row r="73" spans="1:71" ht="18.75" customHeight="1">
      <c r="A73" s="483"/>
      <c r="B73" s="406"/>
      <c r="C73" s="406"/>
      <c r="D73" s="406"/>
      <c r="E73" s="406"/>
      <c r="F73" s="499"/>
      <c r="G73" s="608"/>
      <c r="H73" s="609" t="str">
        <f>IF(AK73&lt;&gt;"都市ガス","",IF(ISERROR(VLOOKUP(D73,非_都市ガス事業者!$O$8:$P$200,2,FALSE)),"",VLOOKUP(D73,非_都市ガス事業者!$O$8:$P$200,2,FALSE)))</f>
        <v/>
      </c>
      <c r="I73" s="610" t="str">
        <f>IF(AK73&lt;&gt;"都市ガス","",非_都市ガス事業者!$P$4)</f>
        <v/>
      </c>
      <c r="J73" s="612" t="str">
        <f>IF(C73="","",IF(COUNTIFS(C73,"*自ら生成*")&gt;0,"要記入",IF(AK73&lt;&gt;"都市ガス",VLOOKUP(C73,非_係数!$B$42:$D$55,2,FALSE),"")))</f>
        <v/>
      </c>
      <c r="K73" s="406"/>
      <c r="L73" s="560" t="str">
        <f t="shared" si="91"/>
        <v/>
      </c>
      <c r="M73" s="225" t="str">
        <f t="shared" si="92"/>
        <v/>
      </c>
      <c r="N73" s="406"/>
      <c r="O73" s="458"/>
      <c r="P73" s="406"/>
      <c r="Q73" s="406"/>
      <c r="R73" s="451"/>
      <c r="S73" s="451"/>
      <c r="T73" s="451"/>
      <c r="U73" s="451"/>
      <c r="V73" s="451"/>
      <c r="W73" s="451"/>
      <c r="X73" s="451"/>
      <c r="Y73" s="451"/>
      <c r="Z73" s="451"/>
      <c r="AA73" s="451"/>
      <c r="AB73" s="451"/>
      <c r="AC73" s="451"/>
      <c r="AD73" s="497"/>
      <c r="AE73" s="586" t="str">
        <f t="shared" si="85"/>
        <v/>
      </c>
      <c r="AF73" s="590" t="str">
        <f t="shared" si="93"/>
        <v/>
      </c>
      <c r="AG73" s="432" t="str">
        <f>IF(C73="","",VLOOKUP(C73,非_単位!$N$38:$O$53,2,FALSE))</f>
        <v/>
      </c>
      <c r="AH73" s="586" t="str">
        <f t="shared" si="94"/>
        <v/>
      </c>
      <c r="AI73" s="587" t="str">
        <f t="shared" si="95"/>
        <v/>
      </c>
      <c r="AK73" s="466" t="str">
        <f t="shared" si="96"/>
        <v/>
      </c>
      <c r="AL73" s="466" t="str">
        <f>IF(B73="","",IF(B73=非_燃料種類_選択リスト!$I$13,"外部供給_種類","外部供給以外_種類"))</f>
        <v/>
      </c>
      <c r="AM73" s="466" t="str">
        <f>IF(AK73&lt;&gt;"電気","",非_電気事業者!$S$4*1000)</f>
        <v/>
      </c>
      <c r="AN73" s="466" t="str">
        <f>IF(AK73&lt;&gt;"電気","",IF(ISERROR(VLOOKUP(D73&amp;F73,非_電気事業者!$R$9:$S$2000,2,FALSE)),"要記入",VLOOKUP(D73&amp;F73,非_電気事業者!$R$9:$S$2000,2,FALSE)*1000))</f>
        <v/>
      </c>
      <c r="AO73" s="466" t="str">
        <f>IF(AK73&lt;&gt;"熱","",非_熱供給事業者!$T$4)</f>
        <v/>
      </c>
      <c r="AP73" s="466" t="str">
        <f>IF(AK73&lt;&gt;"熱","",IF(ISERROR(VLOOKUP(D73&amp;F73,非_熱供給事業者!$S$8:$T$200,2,FALSE)),"要記入",VLOOKUP(D73&amp;F73,非_熱供給事業者!$S$8:$T$200,2,FALSE)))</f>
        <v/>
      </c>
      <c r="AQ73" s="466" t="str">
        <f>IF(AK73&lt;&gt;"都市ガス","",非_都市ガス事業者!$AB$4)</f>
        <v/>
      </c>
      <c r="AR73" s="466" t="str">
        <f>IF(AK73&lt;&gt;"都市ガス","",IF(ISERROR(VLOOKUP(D73&amp;F73,非_都市ガス事業者!$AA$8:$AB$200,2,FALSE)),"要記入",VLOOKUP(D73&amp;F73,非_都市ガス事業者!$AA$8:$AB$200,2,FALSE)))</f>
        <v/>
      </c>
      <c r="AS73" s="466" t="str">
        <f t="shared" si="97"/>
        <v/>
      </c>
      <c r="AT73" s="466" t="str">
        <f t="shared" si="98"/>
        <v/>
      </c>
      <c r="AU73" s="535" t="b">
        <f t="shared" si="99"/>
        <v>1</v>
      </c>
      <c r="AV73" s="466" t="str">
        <f>IF(Q73="","",VLOOKUP(Q73,非_単位補正換算!$B$3:$C$16,2,FALSE))</f>
        <v/>
      </c>
      <c r="AW73" s="466" t="str">
        <f>IF(AK73="","",IF(AK73&lt;&gt;"都市ガス",1,IF(G73="","",SUMIFS(非_単位補正換算!$D$52:$D$63,非_単位補正換算!$B$52:$B$63,"都市ガス"&amp;G73,非_単位補正換算!$C$52:$C$63,電気・熱_都市ガス!Q73))))</f>
        <v/>
      </c>
      <c r="AX73" s="527" t="str">
        <f t="shared" si="78"/>
        <v/>
      </c>
      <c r="AY73" s="466" t="str">
        <f t="shared" si="79"/>
        <v/>
      </c>
      <c r="AZ73" s="466" t="str">
        <f t="shared" si="100"/>
        <v/>
      </c>
      <c r="BA73" s="466" t="str">
        <f>IF(C73="","",VLOOKUP(C73,非_まとめ表行番号!$F$3:$H$12,2,FALSE))</f>
        <v/>
      </c>
      <c r="BB73" s="539" t="b">
        <f t="shared" si="101"/>
        <v>1</v>
      </c>
      <c r="BC73" s="637" t="str">
        <f>IF(AK73="","",IF(AK73&lt;&gt;"都市ガス",1,非_係数!$G$55))</f>
        <v/>
      </c>
      <c r="BD73" s="466" t="str">
        <f t="shared" si="102"/>
        <v/>
      </c>
      <c r="BE73" s="466" t="str">
        <f t="shared" si="103"/>
        <v/>
      </c>
      <c r="BF73" s="466" t="str">
        <f>IF(C73="","",VLOOKUP(C73,非_係数!$B$42:$K$55,9,FALSE))</f>
        <v/>
      </c>
      <c r="BG73" s="466" t="str">
        <f t="shared" si="104"/>
        <v/>
      </c>
      <c r="BH73" s="466" t="str">
        <f>IF(C73="","",VLOOKUP(C73,非_まとめ表行番号!$F$3:$H$12,3,FALSE))</f>
        <v/>
      </c>
      <c r="BI73" s="466" t="str">
        <f t="shared" si="81"/>
        <v/>
      </c>
      <c r="BK73" s="527" t="str">
        <f>IF(BA73="","",VLOOKUP(BA73,非_まとめ表行番号!$U$3:$V$56,2,FALSE))</f>
        <v/>
      </c>
      <c r="BL73" s="526" t="str">
        <f t="shared" si="105"/>
        <v/>
      </c>
      <c r="BM73" s="526" t="str">
        <f t="shared" si="106"/>
        <v/>
      </c>
      <c r="BN73" s="526" t="str">
        <f t="shared" si="82"/>
        <v/>
      </c>
      <c r="BO73" s="526" t="str">
        <f t="shared" si="107"/>
        <v/>
      </c>
      <c r="BP73" s="526" t="str">
        <f t="shared" si="108"/>
        <v/>
      </c>
      <c r="BQ73" s="526" t="str">
        <f t="shared" si="83"/>
        <v/>
      </c>
      <c r="BR73" s="527" t="str">
        <f t="shared" si="109"/>
        <v/>
      </c>
      <c r="BS73" s="636" t="str">
        <f t="shared" si="84"/>
        <v/>
      </c>
    </row>
    <row r="74" spans="1:71" ht="18.75" customHeight="1">
      <c r="A74" s="483"/>
      <c r="B74" s="406"/>
      <c r="C74" s="406"/>
      <c r="D74" s="406"/>
      <c r="E74" s="406"/>
      <c r="F74" s="499"/>
      <c r="G74" s="608"/>
      <c r="H74" s="609" t="str">
        <f>IF(AK74&lt;&gt;"都市ガス","",IF(ISERROR(VLOOKUP(D74,非_都市ガス事業者!$O$8:$P$200,2,FALSE)),"",VLOOKUP(D74,非_都市ガス事業者!$O$8:$P$200,2,FALSE)))</f>
        <v/>
      </c>
      <c r="I74" s="610" t="str">
        <f>IF(AK74&lt;&gt;"都市ガス","",非_都市ガス事業者!$P$4)</f>
        <v/>
      </c>
      <c r="J74" s="612" t="str">
        <f>IF(C74="","",IF(COUNTIFS(C74,"*自ら生成*")&gt;0,"要記入",IF(AK74&lt;&gt;"都市ガス",VLOOKUP(C74,非_係数!$B$42:$D$55,2,FALSE),"")))</f>
        <v/>
      </c>
      <c r="K74" s="406"/>
      <c r="L74" s="560" t="str">
        <f t="shared" si="91"/>
        <v/>
      </c>
      <c r="M74" s="225" t="str">
        <f t="shared" si="92"/>
        <v/>
      </c>
      <c r="N74" s="406"/>
      <c r="O74" s="458"/>
      <c r="P74" s="406"/>
      <c r="Q74" s="406"/>
      <c r="R74" s="451"/>
      <c r="S74" s="451"/>
      <c r="T74" s="451"/>
      <c r="U74" s="451"/>
      <c r="V74" s="451"/>
      <c r="W74" s="451"/>
      <c r="X74" s="451"/>
      <c r="Y74" s="451"/>
      <c r="Z74" s="451"/>
      <c r="AA74" s="451"/>
      <c r="AB74" s="451"/>
      <c r="AC74" s="451"/>
      <c r="AD74" s="497"/>
      <c r="AE74" s="586" t="str">
        <f t="shared" si="85"/>
        <v/>
      </c>
      <c r="AF74" s="590" t="str">
        <f t="shared" si="93"/>
        <v/>
      </c>
      <c r="AG74" s="432" t="str">
        <f>IF(C74="","",VLOOKUP(C74,非_単位!$N$38:$O$53,2,FALSE))</f>
        <v/>
      </c>
      <c r="AH74" s="586" t="str">
        <f t="shared" si="94"/>
        <v/>
      </c>
      <c r="AI74" s="587" t="str">
        <f t="shared" si="95"/>
        <v/>
      </c>
      <c r="AK74" s="466" t="str">
        <f t="shared" si="96"/>
        <v/>
      </c>
      <c r="AL74" s="466" t="str">
        <f>IF(B74="","",IF(B74=非_燃料種類_選択リスト!$I$13,"外部供給_種類","外部供給以外_種類"))</f>
        <v/>
      </c>
      <c r="AM74" s="466" t="str">
        <f>IF(AK74&lt;&gt;"電気","",非_電気事業者!$S$4*1000)</f>
        <v/>
      </c>
      <c r="AN74" s="466" t="str">
        <f>IF(AK74&lt;&gt;"電気","",IF(ISERROR(VLOOKUP(D74&amp;F74,非_電気事業者!$R$9:$S$2000,2,FALSE)),"要記入",VLOOKUP(D74&amp;F74,非_電気事業者!$R$9:$S$2000,2,FALSE)*1000))</f>
        <v/>
      </c>
      <c r="AO74" s="466" t="str">
        <f>IF(AK74&lt;&gt;"熱","",非_熱供給事業者!$T$4)</f>
        <v/>
      </c>
      <c r="AP74" s="466" t="str">
        <f>IF(AK74&lt;&gt;"熱","",IF(ISERROR(VLOOKUP(D74&amp;F74,非_熱供給事業者!$S$8:$T$200,2,FALSE)),"要記入",VLOOKUP(D74&amp;F74,非_熱供給事業者!$S$8:$T$200,2,FALSE)))</f>
        <v/>
      </c>
      <c r="AQ74" s="466" t="str">
        <f>IF(AK74&lt;&gt;"都市ガス","",非_都市ガス事業者!$AB$4)</f>
        <v/>
      </c>
      <c r="AR74" s="466" t="str">
        <f>IF(AK74&lt;&gt;"都市ガス","",IF(ISERROR(VLOOKUP(D74&amp;F74,非_都市ガス事業者!$AA$8:$AB$200,2,FALSE)),"要記入",VLOOKUP(D74&amp;F74,非_都市ガス事業者!$AA$8:$AB$200,2,FALSE)))</f>
        <v/>
      </c>
      <c r="AS74" s="466" t="str">
        <f t="shared" si="97"/>
        <v/>
      </c>
      <c r="AT74" s="466" t="str">
        <f t="shared" si="98"/>
        <v/>
      </c>
      <c r="AU74" s="535" t="b">
        <f t="shared" si="99"/>
        <v>1</v>
      </c>
      <c r="AV74" s="466" t="str">
        <f>IF(Q74="","",VLOOKUP(Q74,非_単位補正換算!$B$3:$C$16,2,FALSE))</f>
        <v/>
      </c>
      <c r="AW74" s="466" t="str">
        <f>IF(AK74="","",IF(AK74&lt;&gt;"都市ガス",1,IF(G74="","",SUMIFS(非_単位補正換算!$D$52:$D$63,非_単位補正換算!$B$52:$B$63,"都市ガス"&amp;G74,非_単位補正換算!$C$52:$C$63,電気・熱_都市ガス!Q74))))</f>
        <v/>
      </c>
      <c r="AX74" s="527" t="str">
        <f t="shared" si="78"/>
        <v/>
      </c>
      <c r="AY74" s="466" t="str">
        <f t="shared" si="79"/>
        <v/>
      </c>
      <c r="AZ74" s="466" t="str">
        <f t="shared" si="100"/>
        <v/>
      </c>
      <c r="BA74" s="466" t="str">
        <f>IF(C74="","",VLOOKUP(C74,非_まとめ表行番号!$F$3:$H$12,2,FALSE))</f>
        <v/>
      </c>
      <c r="BB74" s="539" t="b">
        <f t="shared" si="101"/>
        <v>1</v>
      </c>
      <c r="BC74" s="637" t="str">
        <f>IF(AK74="","",IF(AK74&lt;&gt;"都市ガス",1,非_係数!$G$55))</f>
        <v/>
      </c>
      <c r="BD74" s="466" t="str">
        <f t="shared" si="102"/>
        <v/>
      </c>
      <c r="BE74" s="466" t="str">
        <f t="shared" si="103"/>
        <v/>
      </c>
      <c r="BF74" s="466" t="str">
        <f>IF(C74="","",VLOOKUP(C74,非_係数!$B$42:$K$55,9,FALSE))</f>
        <v/>
      </c>
      <c r="BG74" s="466" t="str">
        <f t="shared" si="104"/>
        <v/>
      </c>
      <c r="BH74" s="466" t="str">
        <f>IF(C74="","",VLOOKUP(C74,非_まとめ表行番号!$F$3:$H$12,3,FALSE))</f>
        <v/>
      </c>
      <c r="BI74" s="466" t="str">
        <f t="shared" si="81"/>
        <v/>
      </c>
      <c r="BK74" s="527" t="str">
        <f>IF(BA74="","",VLOOKUP(BA74,非_まとめ表行番号!$U$3:$V$56,2,FALSE))</f>
        <v/>
      </c>
      <c r="BL74" s="526" t="str">
        <f t="shared" si="105"/>
        <v/>
      </c>
      <c r="BM74" s="526" t="str">
        <f t="shared" si="106"/>
        <v/>
      </c>
      <c r="BN74" s="526" t="str">
        <f t="shared" si="82"/>
        <v/>
      </c>
      <c r="BO74" s="526" t="str">
        <f t="shared" si="107"/>
        <v/>
      </c>
      <c r="BP74" s="526" t="str">
        <f t="shared" si="108"/>
        <v/>
      </c>
      <c r="BQ74" s="526" t="str">
        <f t="shared" si="83"/>
        <v/>
      </c>
      <c r="BR74" s="527" t="str">
        <f t="shared" si="109"/>
        <v/>
      </c>
      <c r="BS74" s="636" t="str">
        <f t="shared" si="84"/>
        <v/>
      </c>
    </row>
    <row r="75" spans="1:71" ht="18.75" customHeight="1">
      <c r="A75" s="483"/>
      <c r="B75" s="406"/>
      <c r="C75" s="406"/>
      <c r="D75" s="406"/>
      <c r="E75" s="406"/>
      <c r="F75" s="499"/>
      <c r="G75" s="608"/>
      <c r="H75" s="609" t="str">
        <f>IF(AK75&lt;&gt;"都市ガス","",IF(ISERROR(VLOOKUP(D75,非_都市ガス事業者!$O$8:$P$200,2,FALSE)),"",VLOOKUP(D75,非_都市ガス事業者!$O$8:$P$200,2,FALSE)))</f>
        <v/>
      </c>
      <c r="I75" s="610" t="str">
        <f>IF(AK75&lt;&gt;"都市ガス","",非_都市ガス事業者!$P$4)</f>
        <v/>
      </c>
      <c r="J75" s="612" t="str">
        <f>IF(C75="","",IF(COUNTIFS(C75,"*自ら生成*")&gt;0,"要記入",IF(AK75&lt;&gt;"都市ガス",VLOOKUP(C75,非_係数!$B$42:$D$55,2,FALSE),"")))</f>
        <v/>
      </c>
      <c r="K75" s="406"/>
      <c r="L75" s="560" t="str">
        <f t="shared" si="91"/>
        <v/>
      </c>
      <c r="M75" s="225" t="str">
        <f t="shared" si="92"/>
        <v/>
      </c>
      <c r="N75" s="406"/>
      <c r="O75" s="458"/>
      <c r="P75" s="406"/>
      <c r="Q75" s="406"/>
      <c r="R75" s="451"/>
      <c r="S75" s="451"/>
      <c r="T75" s="451"/>
      <c r="U75" s="451"/>
      <c r="V75" s="451"/>
      <c r="W75" s="451"/>
      <c r="X75" s="451"/>
      <c r="Y75" s="451"/>
      <c r="Z75" s="451"/>
      <c r="AA75" s="451"/>
      <c r="AB75" s="451"/>
      <c r="AC75" s="451"/>
      <c r="AD75" s="497"/>
      <c r="AE75" s="586" t="str">
        <f t="shared" si="85"/>
        <v/>
      </c>
      <c r="AF75" s="590" t="str">
        <f t="shared" si="93"/>
        <v/>
      </c>
      <c r="AG75" s="432" t="str">
        <f>IF(C75="","",VLOOKUP(C75,非_単位!$N$38:$O$53,2,FALSE))</f>
        <v/>
      </c>
      <c r="AH75" s="586" t="str">
        <f t="shared" si="94"/>
        <v/>
      </c>
      <c r="AI75" s="587" t="str">
        <f t="shared" si="95"/>
        <v/>
      </c>
      <c r="AK75" s="466" t="str">
        <f t="shared" si="96"/>
        <v/>
      </c>
      <c r="AL75" s="466" t="str">
        <f>IF(B75="","",IF(B75=非_燃料種類_選択リスト!$I$13,"外部供給_種類","外部供給以外_種類"))</f>
        <v/>
      </c>
      <c r="AM75" s="466" t="str">
        <f>IF(AK75&lt;&gt;"電気","",非_電気事業者!$S$4*1000)</f>
        <v/>
      </c>
      <c r="AN75" s="466" t="str">
        <f>IF(AK75&lt;&gt;"電気","",IF(ISERROR(VLOOKUP(D75&amp;F75,非_電気事業者!$R$9:$S$2000,2,FALSE)),"要記入",VLOOKUP(D75&amp;F75,非_電気事業者!$R$9:$S$2000,2,FALSE)*1000))</f>
        <v/>
      </c>
      <c r="AO75" s="466" t="str">
        <f>IF(AK75&lt;&gt;"熱","",非_熱供給事業者!$T$4)</f>
        <v/>
      </c>
      <c r="AP75" s="466" t="str">
        <f>IF(AK75&lt;&gt;"熱","",IF(ISERROR(VLOOKUP(D75&amp;F75,非_熱供給事業者!$S$8:$T$200,2,FALSE)),"要記入",VLOOKUP(D75&amp;F75,非_熱供給事業者!$S$8:$T$200,2,FALSE)))</f>
        <v/>
      </c>
      <c r="AQ75" s="466" t="str">
        <f>IF(AK75&lt;&gt;"都市ガス","",非_都市ガス事業者!$AB$4)</f>
        <v/>
      </c>
      <c r="AR75" s="466" t="str">
        <f>IF(AK75&lt;&gt;"都市ガス","",IF(ISERROR(VLOOKUP(D75&amp;F75,非_都市ガス事業者!$AA$8:$AB$200,2,FALSE)),"要記入",VLOOKUP(D75&amp;F75,非_都市ガス事業者!$AA$8:$AB$200,2,FALSE)))</f>
        <v/>
      </c>
      <c r="AS75" s="466" t="str">
        <f t="shared" si="97"/>
        <v/>
      </c>
      <c r="AT75" s="466" t="str">
        <f t="shared" si="98"/>
        <v/>
      </c>
      <c r="AU75" s="535" t="b">
        <f t="shared" si="99"/>
        <v>1</v>
      </c>
      <c r="AV75" s="466" t="str">
        <f>IF(Q75="","",VLOOKUP(Q75,非_単位補正換算!$B$3:$C$16,2,FALSE))</f>
        <v/>
      </c>
      <c r="AW75" s="466" t="str">
        <f>IF(AK75="","",IF(AK75&lt;&gt;"都市ガス",1,IF(G75="","",SUMIFS(非_単位補正換算!$D$52:$D$63,非_単位補正換算!$B$52:$B$63,"都市ガス"&amp;G75,非_単位補正換算!$C$52:$C$63,電気・熱_都市ガス!Q75))))</f>
        <v/>
      </c>
      <c r="AX75" s="527" t="str">
        <f t="shared" si="78"/>
        <v/>
      </c>
      <c r="AY75" s="466" t="str">
        <f t="shared" si="79"/>
        <v/>
      </c>
      <c r="AZ75" s="466" t="str">
        <f t="shared" si="100"/>
        <v/>
      </c>
      <c r="BA75" s="466" t="str">
        <f>IF(C75="","",VLOOKUP(C75,非_まとめ表行番号!$F$3:$H$12,2,FALSE))</f>
        <v/>
      </c>
      <c r="BB75" s="539" t="b">
        <f t="shared" si="101"/>
        <v>1</v>
      </c>
      <c r="BC75" s="637" t="str">
        <f>IF(AK75="","",IF(AK75&lt;&gt;"都市ガス",1,非_係数!$G$55))</f>
        <v/>
      </c>
      <c r="BD75" s="466" t="str">
        <f t="shared" si="102"/>
        <v/>
      </c>
      <c r="BE75" s="466" t="str">
        <f t="shared" si="103"/>
        <v/>
      </c>
      <c r="BF75" s="466" t="str">
        <f>IF(C75="","",VLOOKUP(C75,非_係数!$B$42:$K$55,9,FALSE))</f>
        <v/>
      </c>
      <c r="BG75" s="466" t="str">
        <f t="shared" si="104"/>
        <v/>
      </c>
      <c r="BH75" s="466" t="str">
        <f>IF(C75="","",VLOOKUP(C75,非_まとめ表行番号!$F$3:$H$12,3,FALSE))</f>
        <v/>
      </c>
      <c r="BI75" s="466" t="str">
        <f t="shared" si="81"/>
        <v/>
      </c>
      <c r="BK75" s="527" t="str">
        <f>IF(BA75="","",VLOOKUP(BA75,非_まとめ表行番号!$U$3:$V$56,2,FALSE))</f>
        <v/>
      </c>
      <c r="BL75" s="526" t="str">
        <f t="shared" si="105"/>
        <v/>
      </c>
      <c r="BM75" s="526" t="str">
        <f t="shared" si="106"/>
        <v/>
      </c>
      <c r="BN75" s="526" t="str">
        <f t="shared" si="82"/>
        <v/>
      </c>
      <c r="BO75" s="526" t="str">
        <f t="shared" si="107"/>
        <v/>
      </c>
      <c r="BP75" s="526" t="str">
        <f t="shared" si="108"/>
        <v/>
      </c>
      <c r="BQ75" s="526" t="str">
        <f t="shared" si="83"/>
        <v/>
      </c>
      <c r="BR75" s="527" t="str">
        <f t="shared" si="109"/>
        <v/>
      </c>
      <c r="BS75" s="636" t="str">
        <f t="shared" si="84"/>
        <v/>
      </c>
    </row>
    <row r="76" spans="1:71" ht="18.75" customHeight="1">
      <c r="A76" s="483"/>
      <c r="B76" s="406"/>
      <c r="C76" s="406"/>
      <c r="D76" s="406"/>
      <c r="E76" s="406"/>
      <c r="F76" s="499"/>
      <c r="G76" s="608"/>
      <c r="H76" s="609" t="str">
        <f>IF(AK76&lt;&gt;"都市ガス","",IF(ISERROR(VLOOKUP(D76,非_都市ガス事業者!$O$8:$P$200,2,FALSE)),"",VLOOKUP(D76,非_都市ガス事業者!$O$8:$P$200,2,FALSE)))</f>
        <v/>
      </c>
      <c r="I76" s="610" t="str">
        <f>IF(AK76&lt;&gt;"都市ガス","",非_都市ガス事業者!$P$4)</f>
        <v/>
      </c>
      <c r="J76" s="612" t="str">
        <f>IF(C76="","",IF(COUNTIFS(C76,"*自ら生成*")&gt;0,"要記入",IF(AK76&lt;&gt;"都市ガス",VLOOKUP(C76,非_係数!$B$42:$D$55,2,FALSE),"")))</f>
        <v/>
      </c>
      <c r="K76" s="406"/>
      <c r="L76" s="560" t="str">
        <f t="shared" si="91"/>
        <v/>
      </c>
      <c r="M76" s="225" t="str">
        <f t="shared" si="92"/>
        <v/>
      </c>
      <c r="N76" s="406"/>
      <c r="O76" s="458"/>
      <c r="P76" s="406"/>
      <c r="Q76" s="406"/>
      <c r="R76" s="451"/>
      <c r="S76" s="451"/>
      <c r="T76" s="451"/>
      <c r="U76" s="451"/>
      <c r="V76" s="451"/>
      <c r="W76" s="451"/>
      <c r="X76" s="451"/>
      <c r="Y76" s="451"/>
      <c r="Z76" s="451"/>
      <c r="AA76" s="451"/>
      <c r="AB76" s="451"/>
      <c r="AC76" s="451"/>
      <c r="AD76" s="497"/>
      <c r="AE76" s="586" t="str">
        <f t="shared" si="85"/>
        <v/>
      </c>
      <c r="AF76" s="590" t="str">
        <f t="shared" si="93"/>
        <v/>
      </c>
      <c r="AG76" s="432" t="str">
        <f>IF(C76="","",VLOOKUP(C76,非_単位!$N$38:$O$53,2,FALSE))</f>
        <v/>
      </c>
      <c r="AH76" s="586" t="str">
        <f t="shared" si="94"/>
        <v/>
      </c>
      <c r="AI76" s="587" t="str">
        <f t="shared" si="95"/>
        <v/>
      </c>
      <c r="AK76" s="466" t="str">
        <f t="shared" si="96"/>
        <v/>
      </c>
      <c r="AL76" s="466" t="str">
        <f>IF(B76="","",IF(B76=非_燃料種類_選択リスト!$I$13,"外部供給_種類","外部供給以外_種類"))</f>
        <v/>
      </c>
      <c r="AM76" s="466" t="str">
        <f>IF(AK76&lt;&gt;"電気","",非_電気事業者!$S$4*1000)</f>
        <v/>
      </c>
      <c r="AN76" s="466" t="str">
        <f>IF(AK76&lt;&gt;"電気","",IF(ISERROR(VLOOKUP(D76&amp;F76,非_電気事業者!$R$9:$S$2000,2,FALSE)),"要記入",VLOOKUP(D76&amp;F76,非_電気事業者!$R$9:$S$2000,2,FALSE)*1000))</f>
        <v/>
      </c>
      <c r="AO76" s="466" t="str">
        <f>IF(AK76&lt;&gt;"熱","",非_熱供給事業者!$T$4)</f>
        <v/>
      </c>
      <c r="AP76" s="466" t="str">
        <f>IF(AK76&lt;&gt;"熱","",IF(ISERROR(VLOOKUP(D76&amp;F76,非_熱供給事業者!$S$8:$T$200,2,FALSE)),"要記入",VLOOKUP(D76&amp;F76,非_熱供給事業者!$S$8:$T$200,2,FALSE)))</f>
        <v/>
      </c>
      <c r="AQ76" s="466" t="str">
        <f>IF(AK76&lt;&gt;"都市ガス","",非_都市ガス事業者!$AB$4)</f>
        <v/>
      </c>
      <c r="AR76" s="466" t="str">
        <f>IF(AK76&lt;&gt;"都市ガス","",IF(ISERROR(VLOOKUP(D76&amp;F76,非_都市ガス事業者!$AA$8:$AB$200,2,FALSE)),"要記入",VLOOKUP(D76&amp;F76,非_都市ガス事業者!$AA$8:$AB$200,2,FALSE)))</f>
        <v/>
      </c>
      <c r="AS76" s="466" t="str">
        <f t="shared" si="97"/>
        <v/>
      </c>
      <c r="AT76" s="466" t="str">
        <f t="shared" si="98"/>
        <v/>
      </c>
      <c r="AU76" s="535" t="b">
        <f t="shared" si="99"/>
        <v>1</v>
      </c>
      <c r="AV76" s="466" t="str">
        <f>IF(Q76="","",VLOOKUP(Q76,非_単位補正換算!$B$3:$C$16,2,FALSE))</f>
        <v/>
      </c>
      <c r="AW76" s="466" t="str">
        <f>IF(AK76="","",IF(AK76&lt;&gt;"都市ガス",1,IF(G76="","",SUMIFS(非_単位補正換算!$D$52:$D$63,非_単位補正換算!$B$52:$B$63,"都市ガス"&amp;G76,非_単位補正換算!$C$52:$C$63,電気・熱_都市ガス!Q76))))</f>
        <v/>
      </c>
      <c r="AX76" s="527" t="str">
        <f t="shared" si="78"/>
        <v/>
      </c>
      <c r="AY76" s="466" t="str">
        <f t="shared" si="79"/>
        <v/>
      </c>
      <c r="AZ76" s="466" t="str">
        <f t="shared" si="100"/>
        <v/>
      </c>
      <c r="BA76" s="466" t="str">
        <f>IF(C76="","",VLOOKUP(C76,非_まとめ表行番号!$F$3:$H$12,2,FALSE))</f>
        <v/>
      </c>
      <c r="BB76" s="539" t="b">
        <f t="shared" si="101"/>
        <v>1</v>
      </c>
      <c r="BC76" s="637" t="str">
        <f>IF(AK76="","",IF(AK76&lt;&gt;"都市ガス",1,非_係数!$G$55))</f>
        <v/>
      </c>
      <c r="BD76" s="466" t="str">
        <f t="shared" si="102"/>
        <v/>
      </c>
      <c r="BE76" s="466" t="str">
        <f t="shared" si="103"/>
        <v/>
      </c>
      <c r="BF76" s="466" t="str">
        <f>IF(C76="","",VLOOKUP(C76,非_係数!$B$42:$K$55,9,FALSE))</f>
        <v/>
      </c>
      <c r="BG76" s="466" t="str">
        <f t="shared" si="104"/>
        <v/>
      </c>
      <c r="BH76" s="466" t="str">
        <f>IF(C76="","",VLOOKUP(C76,非_まとめ表行番号!$F$3:$H$12,3,FALSE))</f>
        <v/>
      </c>
      <c r="BI76" s="466" t="str">
        <f t="shared" si="81"/>
        <v/>
      </c>
      <c r="BK76" s="527" t="str">
        <f>IF(BA76="","",VLOOKUP(BA76,非_まとめ表行番号!$U$3:$V$56,2,FALSE))</f>
        <v/>
      </c>
      <c r="BL76" s="526" t="str">
        <f t="shared" si="105"/>
        <v/>
      </c>
      <c r="BM76" s="526" t="str">
        <f t="shared" si="106"/>
        <v/>
      </c>
      <c r="BN76" s="526" t="str">
        <f t="shared" si="82"/>
        <v/>
      </c>
      <c r="BO76" s="526" t="str">
        <f t="shared" si="107"/>
        <v/>
      </c>
      <c r="BP76" s="526" t="str">
        <f t="shared" si="108"/>
        <v/>
      </c>
      <c r="BQ76" s="526" t="str">
        <f t="shared" si="83"/>
        <v/>
      </c>
      <c r="BR76" s="527" t="str">
        <f t="shared" si="109"/>
        <v/>
      </c>
      <c r="BS76" s="636" t="str">
        <f t="shared" si="84"/>
        <v/>
      </c>
    </row>
    <row r="77" spans="1:71" ht="18.75" customHeight="1">
      <c r="A77" s="483"/>
      <c r="B77" s="406"/>
      <c r="C77" s="406"/>
      <c r="D77" s="406"/>
      <c r="E77" s="406"/>
      <c r="F77" s="499"/>
      <c r="G77" s="608"/>
      <c r="H77" s="609" t="str">
        <f>IF(AK77&lt;&gt;"都市ガス","",IF(ISERROR(VLOOKUP(D77,非_都市ガス事業者!$O$8:$P$200,2,FALSE)),"",VLOOKUP(D77,非_都市ガス事業者!$O$8:$P$200,2,FALSE)))</f>
        <v/>
      </c>
      <c r="I77" s="610" t="str">
        <f>IF(AK77&lt;&gt;"都市ガス","",非_都市ガス事業者!$P$4)</f>
        <v/>
      </c>
      <c r="J77" s="612" t="str">
        <f>IF(C77="","",IF(COUNTIFS(C77,"*自ら生成*")&gt;0,"要記入",IF(AK77&lt;&gt;"都市ガス",VLOOKUP(C77,非_係数!$B$42:$D$55,2,FALSE),"")))</f>
        <v/>
      </c>
      <c r="K77" s="406"/>
      <c r="L77" s="560" t="str">
        <f t="shared" si="71"/>
        <v/>
      </c>
      <c r="M77" s="225" t="str">
        <f t="shared" si="72"/>
        <v/>
      </c>
      <c r="N77" s="406"/>
      <c r="O77" s="458"/>
      <c r="P77" s="406"/>
      <c r="Q77" s="406"/>
      <c r="R77" s="451"/>
      <c r="S77" s="451"/>
      <c r="T77" s="451"/>
      <c r="U77" s="451"/>
      <c r="V77" s="451"/>
      <c r="W77" s="451"/>
      <c r="X77" s="451"/>
      <c r="Y77" s="451"/>
      <c r="Z77" s="451"/>
      <c r="AA77" s="451"/>
      <c r="AB77" s="451"/>
      <c r="AC77" s="451"/>
      <c r="AD77" s="497"/>
      <c r="AE77" s="586" t="str">
        <f t="shared" si="85"/>
        <v/>
      </c>
      <c r="AF77" s="590" t="str">
        <f t="shared" si="74"/>
        <v/>
      </c>
      <c r="AG77" s="432" t="str">
        <f>IF(C77="","",VLOOKUP(C77,非_単位!$N$38:$O$53,2,FALSE))</f>
        <v/>
      </c>
      <c r="AH77" s="586" t="str">
        <f t="shared" si="75"/>
        <v/>
      </c>
      <c r="AI77" s="587" t="str">
        <f t="shared" si="76"/>
        <v/>
      </c>
      <c r="AK77" s="466" t="str">
        <f t="shared" si="66"/>
        <v/>
      </c>
      <c r="AL77" s="466" t="str">
        <f>IF(B77="","",IF(B77=非_燃料種類_選択リスト!$I$13,"外部供給_種類","外部供給以外_種類"))</f>
        <v/>
      </c>
      <c r="AM77" s="466" t="str">
        <f>IF(AK77&lt;&gt;"電気","",非_電気事業者!$S$4*1000)</f>
        <v/>
      </c>
      <c r="AN77" s="466" t="str">
        <f>IF(AK77&lt;&gt;"電気","",IF(ISERROR(VLOOKUP(D77&amp;F77,非_電気事業者!$R$9:$S$2000,2,FALSE)),"要記入",VLOOKUP(D77&amp;F77,非_電気事業者!$R$9:$S$2000,2,FALSE)*1000))</f>
        <v/>
      </c>
      <c r="AO77" s="466" t="str">
        <f>IF(AK77&lt;&gt;"熱","",非_熱供給事業者!$T$4)</f>
        <v/>
      </c>
      <c r="AP77" s="466" t="str">
        <f>IF(AK77&lt;&gt;"熱","",IF(ISERROR(VLOOKUP(D77&amp;F77,非_熱供給事業者!$S$8:$T$200,2,FALSE)),"要記入",VLOOKUP(D77&amp;F77,非_熱供給事業者!$S$8:$T$200,2,FALSE)))</f>
        <v/>
      </c>
      <c r="AQ77" s="466" t="str">
        <f>IF(AK77&lt;&gt;"都市ガス","",非_都市ガス事業者!$AB$4)</f>
        <v/>
      </c>
      <c r="AR77" s="466" t="str">
        <f>IF(AK77&lt;&gt;"都市ガス","",IF(ISERROR(VLOOKUP(D77&amp;F77,非_都市ガス事業者!$AA$8:$AB$200,2,FALSE)),"要記入",VLOOKUP(D77&amp;F77,非_都市ガス事業者!$AA$8:$AB$200,2,FALSE)))</f>
        <v/>
      </c>
      <c r="AS77" s="466" t="str">
        <f t="shared" si="67"/>
        <v/>
      </c>
      <c r="AT77" s="466" t="str">
        <f t="shared" si="77"/>
        <v/>
      </c>
      <c r="AU77" s="535" t="b">
        <f t="shared" si="99"/>
        <v>1</v>
      </c>
      <c r="AV77" s="466" t="str">
        <f>IF(Q77="","",VLOOKUP(Q77,非_単位補正換算!$B$3:$C$16,2,FALSE))</f>
        <v/>
      </c>
      <c r="AW77" s="466" t="str">
        <f>IF(AK77="","",IF(AK77&lt;&gt;"都市ガス",1,IF(G77="","",SUMIFS(非_単位補正換算!$D$52:$D$63,非_単位補正換算!$B$52:$B$63,"都市ガス"&amp;G77,非_単位補正換算!$C$52:$C$63,電気・熱_都市ガス!Q77))))</f>
        <v/>
      </c>
      <c r="AX77" s="527" t="str">
        <f t="shared" si="78"/>
        <v/>
      </c>
      <c r="AY77" s="466" t="str">
        <f t="shared" si="79"/>
        <v/>
      </c>
      <c r="AZ77" s="466" t="str">
        <f t="shared" si="68"/>
        <v/>
      </c>
      <c r="BA77" s="466" t="str">
        <f>IF(C77="","",VLOOKUP(C77,非_まとめ表行番号!$F$3:$H$12,2,FALSE))</f>
        <v/>
      </c>
      <c r="BB77" s="539" t="b">
        <f t="shared" si="101"/>
        <v>1</v>
      </c>
      <c r="BC77" s="637" t="str">
        <f>IF(AK77="","",IF(AK77&lt;&gt;"都市ガス",1,非_係数!$G$55))</f>
        <v/>
      </c>
      <c r="BD77" s="466" t="str">
        <f t="shared" si="80"/>
        <v/>
      </c>
      <c r="BE77" s="466" t="str">
        <f t="shared" si="69"/>
        <v/>
      </c>
      <c r="BF77" s="466" t="str">
        <f>IF(C77="","",VLOOKUP(C77,非_係数!$B$42:$K$55,9,FALSE))</f>
        <v/>
      </c>
      <c r="BG77" s="466" t="str">
        <f t="shared" si="15"/>
        <v/>
      </c>
      <c r="BH77" s="466" t="str">
        <f>IF(C77="","",VLOOKUP(C77,非_まとめ表行番号!$F$3:$H$12,3,FALSE))</f>
        <v/>
      </c>
      <c r="BI77" s="466" t="str">
        <f t="shared" si="81"/>
        <v/>
      </c>
      <c r="BK77" s="527" t="str">
        <f>IF(BA77="","",VLOOKUP(BA77,非_まとめ表行番号!$U$3:$V$56,2,FALSE))</f>
        <v/>
      </c>
      <c r="BL77" s="526" t="str">
        <f t="shared" si="105"/>
        <v/>
      </c>
      <c r="BM77" s="526" t="str">
        <f t="shared" si="106"/>
        <v/>
      </c>
      <c r="BN77" s="526" t="str">
        <f t="shared" si="82"/>
        <v/>
      </c>
      <c r="BO77" s="526" t="str">
        <f t="shared" si="107"/>
        <v/>
      </c>
      <c r="BP77" s="526" t="str">
        <f t="shared" si="108"/>
        <v/>
      </c>
      <c r="BQ77" s="526" t="str">
        <f t="shared" si="83"/>
        <v/>
      </c>
      <c r="BR77" s="527" t="str">
        <f t="shared" si="109"/>
        <v/>
      </c>
      <c r="BS77" s="636" t="str">
        <f t="shared" si="84"/>
        <v/>
      </c>
    </row>
    <row r="78" spans="1:71" ht="18.75" customHeight="1">
      <c r="A78" s="483"/>
      <c r="B78" s="406"/>
      <c r="C78" s="406"/>
      <c r="D78" s="406"/>
      <c r="E78" s="406"/>
      <c r="F78" s="499"/>
      <c r="G78" s="608"/>
      <c r="H78" s="609" t="str">
        <f>IF(AK78&lt;&gt;"都市ガス","",IF(ISERROR(VLOOKUP(D78,非_都市ガス事業者!$O$8:$P$200,2,FALSE)),"",VLOOKUP(D78,非_都市ガス事業者!$O$8:$P$200,2,FALSE)))</f>
        <v/>
      </c>
      <c r="I78" s="610" t="str">
        <f>IF(AK78&lt;&gt;"都市ガス","",非_都市ガス事業者!$P$4)</f>
        <v/>
      </c>
      <c r="J78" s="612" t="str">
        <f>IF(C78="","",IF(COUNTIFS(C78,"*自ら生成*")&gt;0,"要記入",IF(AK78&lt;&gt;"都市ガス",VLOOKUP(C78,非_係数!$B$42:$D$55,2,FALSE),"")))</f>
        <v/>
      </c>
      <c r="K78" s="406"/>
      <c r="L78" s="560" t="str">
        <f t="shared" si="71"/>
        <v/>
      </c>
      <c r="M78" s="225" t="str">
        <f t="shared" si="72"/>
        <v/>
      </c>
      <c r="N78" s="406"/>
      <c r="O78" s="458"/>
      <c r="P78" s="406"/>
      <c r="Q78" s="406"/>
      <c r="R78" s="451"/>
      <c r="S78" s="451"/>
      <c r="T78" s="451"/>
      <c r="U78" s="451"/>
      <c r="V78" s="451"/>
      <c r="W78" s="451"/>
      <c r="X78" s="451"/>
      <c r="Y78" s="451"/>
      <c r="Z78" s="451"/>
      <c r="AA78" s="451"/>
      <c r="AB78" s="451"/>
      <c r="AC78" s="451"/>
      <c r="AD78" s="497"/>
      <c r="AE78" s="586" t="str">
        <f t="shared" si="85"/>
        <v/>
      </c>
      <c r="AF78" s="590" t="str">
        <f t="shared" si="74"/>
        <v/>
      </c>
      <c r="AG78" s="432" t="str">
        <f>IF(C78="","",VLOOKUP(C78,非_単位!$N$38:$O$53,2,FALSE))</f>
        <v/>
      </c>
      <c r="AH78" s="586" t="str">
        <f t="shared" si="75"/>
        <v/>
      </c>
      <c r="AI78" s="587" t="str">
        <f t="shared" si="76"/>
        <v/>
      </c>
      <c r="AK78" s="466" t="str">
        <f t="shared" si="66"/>
        <v/>
      </c>
      <c r="AL78" s="466" t="str">
        <f>IF(B78="","",IF(B78=非_燃料種類_選択リスト!$I$13,"外部供給_種類","外部供給以外_種類"))</f>
        <v/>
      </c>
      <c r="AM78" s="466" t="str">
        <f>IF(AK78&lt;&gt;"電気","",非_電気事業者!$S$4*1000)</f>
        <v/>
      </c>
      <c r="AN78" s="466" t="str">
        <f>IF(AK78&lt;&gt;"電気","",IF(ISERROR(VLOOKUP(D78&amp;F78,非_電気事業者!$R$9:$S$2000,2,FALSE)),"要記入",VLOOKUP(D78&amp;F78,非_電気事業者!$R$9:$S$2000,2,FALSE)*1000))</f>
        <v/>
      </c>
      <c r="AO78" s="466" t="str">
        <f>IF(AK78&lt;&gt;"熱","",非_熱供給事業者!$T$4)</f>
        <v/>
      </c>
      <c r="AP78" s="466" t="str">
        <f>IF(AK78&lt;&gt;"熱","",IF(ISERROR(VLOOKUP(D78&amp;F78,非_熱供給事業者!$S$8:$T$200,2,FALSE)),"要記入",VLOOKUP(D78&amp;F78,非_熱供給事業者!$S$8:$T$200,2,FALSE)))</f>
        <v/>
      </c>
      <c r="AQ78" s="466" t="str">
        <f>IF(AK78&lt;&gt;"都市ガス","",非_都市ガス事業者!$AB$4)</f>
        <v/>
      </c>
      <c r="AR78" s="466" t="str">
        <f>IF(AK78&lt;&gt;"都市ガス","",IF(ISERROR(VLOOKUP(D78&amp;F78,非_都市ガス事業者!$AA$8:$AB$200,2,FALSE)),"要記入",VLOOKUP(D78&amp;F78,非_都市ガス事業者!$AA$8:$AB$200,2,FALSE)))</f>
        <v/>
      </c>
      <c r="AS78" s="466" t="str">
        <f t="shared" si="67"/>
        <v/>
      </c>
      <c r="AT78" s="466" t="str">
        <f t="shared" si="77"/>
        <v/>
      </c>
      <c r="AU78" s="535" t="b">
        <f t="shared" si="99"/>
        <v>1</v>
      </c>
      <c r="AV78" s="466" t="str">
        <f>IF(Q78="","",VLOOKUP(Q78,非_単位補正換算!$B$3:$C$16,2,FALSE))</f>
        <v/>
      </c>
      <c r="AW78" s="466" t="str">
        <f>IF(AK78="","",IF(AK78&lt;&gt;"都市ガス",1,IF(G78="","",SUMIFS(非_単位補正換算!$D$52:$D$63,非_単位補正換算!$B$52:$B$63,"都市ガス"&amp;G78,非_単位補正換算!$C$52:$C$63,電気・熱_都市ガス!Q78))))</f>
        <v/>
      </c>
      <c r="AX78" s="527" t="str">
        <f t="shared" si="78"/>
        <v/>
      </c>
      <c r="AY78" s="466" t="str">
        <f t="shared" si="79"/>
        <v/>
      </c>
      <c r="AZ78" s="466" t="str">
        <f t="shared" si="68"/>
        <v/>
      </c>
      <c r="BA78" s="466" t="str">
        <f>IF(C78="","",VLOOKUP(C78,非_まとめ表行番号!$F$3:$H$12,2,FALSE))</f>
        <v/>
      </c>
      <c r="BB78" s="539" t="b">
        <f t="shared" si="101"/>
        <v>1</v>
      </c>
      <c r="BC78" s="637" t="str">
        <f>IF(AK78="","",IF(AK78&lt;&gt;"都市ガス",1,非_係数!$G$55))</f>
        <v/>
      </c>
      <c r="BD78" s="466" t="str">
        <f t="shared" si="80"/>
        <v/>
      </c>
      <c r="BE78" s="466" t="str">
        <f t="shared" si="69"/>
        <v/>
      </c>
      <c r="BF78" s="466" t="str">
        <f>IF(C78="","",VLOOKUP(C78,非_係数!$B$42:$K$55,9,FALSE))</f>
        <v/>
      </c>
      <c r="BG78" s="466" t="str">
        <f t="shared" si="15"/>
        <v/>
      </c>
      <c r="BH78" s="466" t="str">
        <f>IF(C78="","",VLOOKUP(C78,非_まとめ表行番号!$F$3:$H$12,3,FALSE))</f>
        <v/>
      </c>
      <c r="BI78" s="466" t="str">
        <f t="shared" si="81"/>
        <v/>
      </c>
      <c r="BK78" s="527" t="str">
        <f>IF(BA78="","",VLOOKUP(BA78,非_まとめ表行番号!$U$3:$V$56,2,FALSE))</f>
        <v/>
      </c>
      <c r="BL78" s="526" t="str">
        <f t="shared" si="105"/>
        <v/>
      </c>
      <c r="BM78" s="526" t="str">
        <f t="shared" si="106"/>
        <v/>
      </c>
      <c r="BN78" s="526" t="str">
        <f t="shared" si="82"/>
        <v/>
      </c>
      <c r="BO78" s="526" t="str">
        <f t="shared" si="107"/>
        <v/>
      </c>
      <c r="BP78" s="526" t="str">
        <f t="shared" si="108"/>
        <v/>
      </c>
      <c r="BQ78" s="526" t="str">
        <f t="shared" si="83"/>
        <v/>
      </c>
      <c r="BR78" s="527" t="str">
        <f t="shared" si="109"/>
        <v/>
      </c>
      <c r="BS78" s="636" t="str">
        <f t="shared" si="84"/>
        <v/>
      </c>
    </row>
    <row r="79" spans="1:71" ht="18.75" customHeight="1">
      <c r="A79" s="483"/>
      <c r="B79" s="406"/>
      <c r="C79" s="406"/>
      <c r="D79" s="406"/>
      <c r="E79" s="406"/>
      <c r="F79" s="499"/>
      <c r="G79" s="608"/>
      <c r="H79" s="609" t="str">
        <f>IF(AK79&lt;&gt;"都市ガス","",IF(ISERROR(VLOOKUP(D79,非_都市ガス事業者!$O$8:$P$200,2,FALSE)),"",VLOOKUP(D79,非_都市ガス事業者!$O$8:$P$200,2,FALSE)))</f>
        <v/>
      </c>
      <c r="I79" s="610" t="str">
        <f>IF(AK79&lt;&gt;"都市ガス","",非_都市ガス事業者!$P$4)</f>
        <v/>
      </c>
      <c r="J79" s="612" t="str">
        <f>IF(C79="","",IF(COUNTIFS(C79,"*自ら生成*")&gt;0,"要記入",IF(AK79&lt;&gt;"都市ガス",VLOOKUP(C79,非_係数!$B$42:$D$55,2,FALSE),"")))</f>
        <v/>
      </c>
      <c r="K79" s="406"/>
      <c r="L79" s="560" t="str">
        <f t="shared" si="71"/>
        <v/>
      </c>
      <c r="M79" s="225" t="str">
        <f t="shared" si="72"/>
        <v/>
      </c>
      <c r="N79" s="406"/>
      <c r="O79" s="458"/>
      <c r="P79" s="406"/>
      <c r="Q79" s="406"/>
      <c r="R79" s="451"/>
      <c r="S79" s="451"/>
      <c r="T79" s="451"/>
      <c r="U79" s="451"/>
      <c r="V79" s="451"/>
      <c r="W79" s="451"/>
      <c r="X79" s="451"/>
      <c r="Y79" s="451"/>
      <c r="Z79" s="451"/>
      <c r="AA79" s="451"/>
      <c r="AB79" s="451"/>
      <c r="AC79" s="451"/>
      <c r="AD79" s="497"/>
      <c r="AE79" s="586" t="str">
        <f t="shared" si="85"/>
        <v/>
      </c>
      <c r="AF79" s="590" t="str">
        <f t="shared" si="74"/>
        <v/>
      </c>
      <c r="AG79" s="432" t="str">
        <f>IF(C79="","",VLOOKUP(C79,非_単位!$N$38:$O$53,2,FALSE))</f>
        <v/>
      </c>
      <c r="AH79" s="586" t="str">
        <f t="shared" si="75"/>
        <v/>
      </c>
      <c r="AI79" s="587" t="str">
        <f t="shared" si="76"/>
        <v/>
      </c>
      <c r="AK79" s="466" t="str">
        <f t="shared" si="66"/>
        <v/>
      </c>
      <c r="AL79" s="466" t="str">
        <f>IF(B79="","",IF(B79=非_燃料種類_選択リスト!$I$13,"外部供給_種類","外部供給以外_種類"))</f>
        <v/>
      </c>
      <c r="AM79" s="466" t="str">
        <f>IF(AK79&lt;&gt;"電気","",非_電気事業者!$S$4*1000)</f>
        <v/>
      </c>
      <c r="AN79" s="466" t="str">
        <f>IF(AK79&lt;&gt;"電気","",IF(ISERROR(VLOOKUP(D79&amp;F79,非_電気事業者!$R$9:$S$2000,2,FALSE)),"要記入",VLOOKUP(D79&amp;F79,非_電気事業者!$R$9:$S$2000,2,FALSE)*1000))</f>
        <v/>
      </c>
      <c r="AO79" s="466" t="str">
        <f>IF(AK79&lt;&gt;"熱","",非_熱供給事業者!$T$4)</f>
        <v/>
      </c>
      <c r="AP79" s="466" t="str">
        <f>IF(AK79&lt;&gt;"熱","",IF(ISERROR(VLOOKUP(D79&amp;F79,非_熱供給事業者!$S$8:$T$200,2,FALSE)),"要記入",VLOOKUP(D79&amp;F79,非_熱供給事業者!$S$8:$T$200,2,FALSE)))</f>
        <v/>
      </c>
      <c r="AQ79" s="466" t="str">
        <f>IF(AK79&lt;&gt;"都市ガス","",非_都市ガス事業者!$AB$4)</f>
        <v/>
      </c>
      <c r="AR79" s="466" t="str">
        <f>IF(AK79&lt;&gt;"都市ガス","",IF(ISERROR(VLOOKUP(D79&amp;F79,非_都市ガス事業者!$AA$8:$AB$200,2,FALSE)),"要記入",VLOOKUP(D79&amp;F79,非_都市ガス事業者!$AA$8:$AB$200,2,FALSE)))</f>
        <v/>
      </c>
      <c r="AS79" s="466" t="str">
        <f t="shared" si="67"/>
        <v/>
      </c>
      <c r="AT79" s="466" t="str">
        <f t="shared" si="77"/>
        <v/>
      </c>
      <c r="AU79" s="535" t="b">
        <f t="shared" si="99"/>
        <v>1</v>
      </c>
      <c r="AV79" s="466" t="str">
        <f>IF(Q79="","",VLOOKUP(Q79,非_単位補正換算!$B$3:$C$16,2,FALSE))</f>
        <v/>
      </c>
      <c r="AW79" s="466" t="str">
        <f>IF(AK79="","",IF(AK79&lt;&gt;"都市ガス",1,IF(G79="","",SUMIFS(非_単位補正換算!$D$52:$D$63,非_単位補正換算!$B$52:$B$63,"都市ガス"&amp;G79,非_単位補正換算!$C$52:$C$63,電気・熱_都市ガス!Q79))))</f>
        <v/>
      </c>
      <c r="AX79" s="527" t="str">
        <f t="shared" si="78"/>
        <v/>
      </c>
      <c r="AY79" s="466" t="str">
        <f t="shared" si="79"/>
        <v/>
      </c>
      <c r="AZ79" s="466" t="str">
        <f t="shared" si="68"/>
        <v/>
      </c>
      <c r="BA79" s="466" t="str">
        <f>IF(C79="","",VLOOKUP(C79,非_まとめ表行番号!$F$3:$H$12,2,FALSE))</f>
        <v/>
      </c>
      <c r="BB79" s="539" t="b">
        <f t="shared" si="101"/>
        <v>1</v>
      </c>
      <c r="BC79" s="637" t="str">
        <f>IF(AK79="","",IF(AK79&lt;&gt;"都市ガス",1,非_係数!$G$55))</f>
        <v/>
      </c>
      <c r="BD79" s="466" t="str">
        <f t="shared" si="80"/>
        <v/>
      </c>
      <c r="BE79" s="466" t="str">
        <f t="shared" si="69"/>
        <v/>
      </c>
      <c r="BF79" s="466" t="str">
        <f>IF(C79="","",VLOOKUP(C79,非_係数!$B$42:$K$55,9,FALSE))</f>
        <v/>
      </c>
      <c r="BG79" s="466" t="str">
        <f t="shared" si="15"/>
        <v/>
      </c>
      <c r="BH79" s="466" t="str">
        <f>IF(C79="","",VLOOKUP(C79,非_まとめ表行番号!$F$3:$H$12,3,FALSE))</f>
        <v/>
      </c>
      <c r="BI79" s="466" t="str">
        <f t="shared" si="81"/>
        <v/>
      </c>
      <c r="BK79" s="527" t="str">
        <f>IF(BA79="","",VLOOKUP(BA79,非_まとめ表行番号!$U$3:$V$56,2,FALSE))</f>
        <v/>
      </c>
      <c r="BL79" s="526" t="str">
        <f t="shared" si="105"/>
        <v/>
      </c>
      <c r="BM79" s="526" t="str">
        <f t="shared" si="106"/>
        <v/>
      </c>
      <c r="BN79" s="526" t="str">
        <f t="shared" si="82"/>
        <v/>
      </c>
      <c r="BO79" s="526" t="str">
        <f t="shared" si="107"/>
        <v/>
      </c>
      <c r="BP79" s="526" t="str">
        <f t="shared" si="108"/>
        <v/>
      </c>
      <c r="BQ79" s="526" t="str">
        <f t="shared" si="83"/>
        <v/>
      </c>
      <c r="BR79" s="527" t="str">
        <f t="shared" si="109"/>
        <v/>
      </c>
      <c r="BS79" s="636" t="str">
        <f t="shared" si="84"/>
        <v/>
      </c>
    </row>
    <row r="80" spans="1:71" ht="18.75" customHeight="1" thickBot="1">
      <c r="A80" s="485"/>
      <c r="B80" s="411"/>
      <c r="C80" s="411"/>
      <c r="D80" s="411"/>
      <c r="E80" s="411"/>
      <c r="F80" s="500"/>
      <c r="G80" s="613"/>
      <c r="H80" s="614" t="str">
        <f>IF(AK80&lt;&gt;"都市ガス","",IF(ISERROR(VLOOKUP(D80,非_都市ガス事業者!$O$8:$P$200,2,FALSE)),"",VLOOKUP(D80,非_都市ガス事業者!$O$8:$P$200,2,FALSE)))</f>
        <v/>
      </c>
      <c r="I80" s="615" t="str">
        <f>IF(AK80&lt;&gt;"都市ガス","",非_都市ガス事業者!$P$4)</f>
        <v/>
      </c>
      <c r="J80" s="616" t="str">
        <f>IF(C80="","",IF(COUNTIFS(C80,"*自ら生成*")&gt;0,"要記入",IF(AK80&lt;&gt;"都市ガス",VLOOKUP(C80,非_係数!$B$42:$D$55,2,FALSE),"")))</f>
        <v/>
      </c>
      <c r="K80" s="411"/>
      <c r="L80" s="561" t="str">
        <f t="shared" si="71"/>
        <v/>
      </c>
      <c r="M80" s="443" t="str">
        <f t="shared" si="72"/>
        <v/>
      </c>
      <c r="N80" s="411"/>
      <c r="O80" s="459"/>
      <c r="P80" s="411"/>
      <c r="Q80" s="449"/>
      <c r="R80" s="453"/>
      <c r="S80" s="453"/>
      <c r="T80" s="453"/>
      <c r="U80" s="453"/>
      <c r="V80" s="453"/>
      <c r="W80" s="453"/>
      <c r="X80" s="453"/>
      <c r="Y80" s="453"/>
      <c r="Z80" s="453"/>
      <c r="AA80" s="453"/>
      <c r="AB80" s="453"/>
      <c r="AC80" s="453"/>
      <c r="AD80" s="502"/>
      <c r="AE80" s="591" t="str">
        <f t="shared" si="85"/>
        <v/>
      </c>
      <c r="AF80" s="592" t="str">
        <f t="shared" si="74"/>
        <v/>
      </c>
      <c r="AG80" s="444" t="str">
        <f>IF(C80="","",VLOOKUP(C80,非_単位!$N$38:$O$53,2,FALSE))</f>
        <v/>
      </c>
      <c r="AH80" s="591" t="str">
        <f t="shared" si="75"/>
        <v/>
      </c>
      <c r="AI80" s="593" t="str">
        <f t="shared" si="76"/>
        <v/>
      </c>
      <c r="AK80" s="466" t="str">
        <f t="shared" si="66"/>
        <v/>
      </c>
      <c r="AL80" s="466" t="str">
        <f>IF(B80="","",IF(B80=非_燃料種類_選択リスト!$I$13,"外部供給_種類","外部供給以外_種類"))</f>
        <v/>
      </c>
      <c r="AM80" s="466" t="str">
        <f>IF(AK80&lt;&gt;"電気","",非_電気事業者!$S$4*1000)</f>
        <v/>
      </c>
      <c r="AN80" s="466" t="str">
        <f>IF(AK80&lt;&gt;"電気","",IF(ISERROR(VLOOKUP(D80&amp;F80,非_電気事業者!$R$9:$S$2000,2,FALSE)),"要記入",VLOOKUP(D80&amp;F80,非_電気事業者!$R$9:$S$2000,2,FALSE)*1000))</f>
        <v/>
      </c>
      <c r="AO80" s="466" t="str">
        <f>IF(AK80&lt;&gt;"熱","",非_熱供給事業者!$T$4)</f>
        <v/>
      </c>
      <c r="AP80" s="466" t="str">
        <f>IF(AK80&lt;&gt;"熱","",IF(ISERROR(VLOOKUP(D80&amp;F80,非_熱供給事業者!$S$8:$T$200,2,FALSE)),"要記入",VLOOKUP(D80&amp;F80,非_熱供給事業者!$S$8:$T$200,2,FALSE)))</f>
        <v/>
      </c>
      <c r="AQ80" s="466" t="str">
        <f>IF(AK80&lt;&gt;"都市ガス","",非_都市ガス事業者!$AB$4)</f>
        <v/>
      </c>
      <c r="AR80" s="466" t="str">
        <f>IF(AK80&lt;&gt;"都市ガス","",IF(ISERROR(VLOOKUP(D80&amp;F80,非_都市ガス事業者!$AA$8:$AB$200,2,FALSE)),"要記入",VLOOKUP(D80&amp;F80,非_都市ガス事業者!$AA$8:$AB$200,2,FALSE)))</f>
        <v/>
      </c>
      <c r="AS80" s="466" t="str">
        <f t="shared" si="67"/>
        <v/>
      </c>
      <c r="AT80" s="466" t="str">
        <f t="shared" si="77"/>
        <v/>
      </c>
      <c r="AU80" s="535" t="b">
        <f t="shared" si="99"/>
        <v>1</v>
      </c>
      <c r="AV80" s="466" t="str">
        <f>IF(Q80="","",VLOOKUP(Q80,非_単位補正換算!$B$3:$C$16,2,FALSE))</f>
        <v/>
      </c>
      <c r="AW80" s="466" t="str">
        <f>IF(AK80="","",IF(AK80&lt;&gt;"都市ガス",1,IF(G80="","",SUMIFS(非_単位補正換算!$D$52:$D$63,非_単位補正換算!$B$52:$B$63,"都市ガス"&amp;G80,非_単位補正換算!$C$52:$C$63,電気・熱_都市ガス!Q80))))</f>
        <v/>
      </c>
      <c r="AX80" s="527" t="str">
        <f t="shared" si="78"/>
        <v/>
      </c>
      <c r="AY80" s="466" t="str">
        <f t="shared" si="79"/>
        <v/>
      </c>
      <c r="AZ80" s="466" t="str">
        <f t="shared" si="68"/>
        <v/>
      </c>
      <c r="BA80" s="466" t="str">
        <f>IF(C80="","",VLOOKUP(C80,非_まとめ表行番号!$F$3:$H$12,2,FALSE))</f>
        <v/>
      </c>
      <c r="BB80" s="539" t="b">
        <f t="shared" si="101"/>
        <v>1</v>
      </c>
      <c r="BC80" s="637" t="str">
        <f>IF(AK80="","",IF(AK80&lt;&gt;"都市ガス",1,非_係数!$G$55))</f>
        <v/>
      </c>
      <c r="BD80" s="466" t="str">
        <f t="shared" si="80"/>
        <v/>
      </c>
      <c r="BE80" s="466" t="str">
        <f t="shared" si="69"/>
        <v/>
      </c>
      <c r="BF80" s="466" t="str">
        <f>IF(C80="","",VLOOKUP(C80,非_係数!$B$42:$K$55,9,FALSE))</f>
        <v/>
      </c>
      <c r="BG80" s="466" t="str">
        <f t="shared" si="15"/>
        <v/>
      </c>
      <c r="BH80" s="466" t="str">
        <f>IF(C80="","",VLOOKUP(C80,非_まとめ表行番号!$F$3:$H$12,3,FALSE))</f>
        <v/>
      </c>
      <c r="BI80" s="466" t="str">
        <f t="shared" si="81"/>
        <v/>
      </c>
      <c r="BK80" s="527" t="str">
        <f>IF(BA80="","",VLOOKUP(BA80,非_まとめ表行番号!$U$3:$V$56,2,FALSE))</f>
        <v/>
      </c>
      <c r="BL80" s="526" t="str">
        <f t="shared" si="105"/>
        <v/>
      </c>
      <c r="BM80" s="526" t="str">
        <f t="shared" si="106"/>
        <v/>
      </c>
      <c r="BN80" s="526" t="str">
        <f t="shared" si="82"/>
        <v/>
      </c>
      <c r="BO80" s="526" t="str">
        <f t="shared" si="107"/>
        <v/>
      </c>
      <c r="BP80" s="526" t="str">
        <f t="shared" si="108"/>
        <v/>
      </c>
      <c r="BQ80" s="526" t="str">
        <f t="shared" si="83"/>
        <v/>
      </c>
      <c r="BR80" s="527" t="str">
        <f t="shared" si="109"/>
        <v/>
      </c>
      <c r="BS80" s="636" t="str">
        <f t="shared" si="84"/>
        <v/>
      </c>
    </row>
  </sheetData>
  <sheetProtection algorithmName="SHA-512" hashValue="9A5YmCA4lfPFs149oLaCmyuYCpTo8RiDaWJCI4gIOhOQEPSZePnwlUddYK6NOgzbGAzmPbN0N9KnI3eaQa/8nA==" saltValue="zl1rDUQMZYMuuP/BvL6RQA==" spinCount="100000" sheet="1" objects="1" scenarios="1"/>
  <mergeCells count="49">
    <mergeCell ref="AU4:AU5"/>
    <mergeCell ref="BP4:BP5"/>
    <mergeCell ref="BQ4:BQ5"/>
    <mergeCell ref="BR4:BR5"/>
    <mergeCell ref="BS4:BS5"/>
    <mergeCell ref="BK4:BK5"/>
    <mergeCell ref="BL4:BL5"/>
    <mergeCell ref="BM4:BM5"/>
    <mergeCell ref="BN4:BN5"/>
    <mergeCell ref="BO4:BO5"/>
    <mergeCell ref="BI4:BI5"/>
    <mergeCell ref="AV4:AV5"/>
    <mergeCell ref="AW4:AW5"/>
    <mergeCell ref="AX4:AX5"/>
    <mergeCell ref="AY4:AY5"/>
    <mergeCell ref="AZ4:AZ5"/>
    <mergeCell ref="A2:E2"/>
    <mergeCell ref="AH2:AI2"/>
    <mergeCell ref="G4:I4"/>
    <mergeCell ref="K4:M4"/>
    <mergeCell ref="L5:M5"/>
    <mergeCell ref="A4:A5"/>
    <mergeCell ref="B4:B5"/>
    <mergeCell ref="C4:C5"/>
    <mergeCell ref="O4:P4"/>
    <mergeCell ref="N4:N5"/>
    <mergeCell ref="D4:F4"/>
    <mergeCell ref="AF4:AG5"/>
    <mergeCell ref="Q4:Q5"/>
    <mergeCell ref="AE4:AE5"/>
    <mergeCell ref="AH4:AH5"/>
    <mergeCell ref="BA4:BA5"/>
    <mergeCell ref="BH4:BH5"/>
    <mergeCell ref="BC4:BC5"/>
    <mergeCell ref="BD4:BD5"/>
    <mergeCell ref="BE4:BE5"/>
    <mergeCell ref="BF4:BF5"/>
    <mergeCell ref="BG4:BG5"/>
    <mergeCell ref="BB4:BB5"/>
    <mergeCell ref="AT4:AT5"/>
    <mergeCell ref="AD1:AE1"/>
    <mergeCell ref="AI4:AI5"/>
    <mergeCell ref="AO4:AP4"/>
    <mergeCell ref="AQ4:AR4"/>
    <mergeCell ref="AS4:AS5"/>
    <mergeCell ref="AH1:AI1"/>
    <mergeCell ref="AM4:AN4"/>
    <mergeCell ref="AL4:AL5"/>
    <mergeCell ref="AK4:AK5"/>
  </mergeCells>
  <phoneticPr fontId="5"/>
  <conditionalFormatting sqref="D52:F80">
    <cfRule type="expression" dxfId="36" priority="10">
      <formula>COUNTIFS($C52,"*自ら生成した*")&gt;0</formula>
    </cfRule>
  </conditionalFormatting>
  <conditionalFormatting sqref="G7:I50 G52:I80">
    <cfRule type="expression" dxfId="35" priority="14">
      <formula>$AK7&lt;&gt;"都市ガス"</formula>
    </cfRule>
  </conditionalFormatting>
  <conditionalFormatting sqref="J7:J50">
    <cfRule type="expression" dxfId="34" priority="12">
      <formula>OR($AK7="電気",$AK7="熱")</formula>
    </cfRule>
  </conditionalFormatting>
  <conditionalFormatting sqref="J52:J80">
    <cfRule type="expression" dxfId="33" priority="1">
      <formula>_xlfn.ISFORMULA(J52)=FALSE</formula>
    </cfRule>
    <cfRule type="cellIs" dxfId="32" priority="5" operator="equal">
      <formula>"要記入"</formula>
    </cfRule>
    <cfRule type="expression" dxfId="31" priority="6">
      <formula>COUNTIFS($C52,"*自ら生成した*")&gt;0</formula>
    </cfRule>
    <cfRule type="expression" dxfId="30" priority="110">
      <formula>AND(OR($AK52="電気", $AK52="熱"),COUNTIFS($C52,"*自ら生成した*")=0)</formula>
    </cfRule>
  </conditionalFormatting>
  <conditionalFormatting sqref="L7:L50">
    <cfRule type="cellIs" dxfId="29" priority="7" operator="equal">
      <formula>"要記入"</formula>
    </cfRule>
  </conditionalFormatting>
  <conditionalFormatting sqref="L52:L80">
    <cfRule type="cellIs" dxfId="28" priority="79" operator="equal">
      <formula>"要記入"</formula>
    </cfRule>
  </conditionalFormatting>
  <conditionalFormatting sqref="O7:P50 O52:P80">
    <cfRule type="expression" dxfId="27" priority="9">
      <formula>$N7&lt;&gt;"計量器の実測値"</formula>
    </cfRule>
  </conditionalFormatting>
  <conditionalFormatting sqref="L7:L50 L52:L80">
    <cfRule type="expression" dxfId="26" priority="4">
      <formula>$AU7=FALSE</formula>
    </cfRule>
  </conditionalFormatting>
  <conditionalFormatting sqref="AD7:AD50 AD52:AD80">
    <cfRule type="expression" dxfId="25" priority="3">
      <formula>OR($P7="有",$P7="")</formula>
    </cfRule>
  </conditionalFormatting>
  <conditionalFormatting sqref="I7:I50 I52:I80">
    <cfRule type="expression" dxfId="24" priority="2">
      <formula>$BB7=FALSE</formula>
    </cfRule>
  </conditionalFormatting>
  <dataValidations count="17">
    <dataValidation type="list" allowBlank="1" showInputMessage="1" showErrorMessage="1" sqref="C52:C80 C7:C50" xr:uid="{00000000-0002-0000-0500-000000000000}">
      <formula1>INDIRECT(AL7)</formula1>
    </dataValidation>
    <dataValidation type="list" allowBlank="1" showInputMessage="1" showErrorMessage="1" sqref="E52:E80 E7:E50" xr:uid="{00000000-0002-0000-0500-000001000000}">
      <formula1>電気熱ガス_契約メニュー有無_選択</formula1>
    </dataValidation>
    <dataValidation type="list" allowBlank="1" showInputMessage="1" showErrorMessage="1" sqref="G52:G80 G7:G50" xr:uid="{00000000-0002-0000-0500-000002000000}">
      <formula1>都市ガス_メーター種_選択</formula1>
    </dataValidation>
    <dataValidation type="list" allowBlank="1" showInputMessage="1" showErrorMessage="1" sqref="P52" xr:uid="{00000000-0002-0000-0500-000003000000}">
      <formula1>INDIRECT("計量器_検定有無_選択")</formula1>
    </dataValidation>
    <dataValidation type="list" allowBlank="1" showInputMessage="1" showErrorMessage="1" sqref="N52:N80 N7:N50" xr:uid="{00000000-0002-0000-0500-000004000000}">
      <formula1>使用量把握方法_選択</formula1>
    </dataValidation>
    <dataValidation type="list" allowBlank="1" sqref="D52:D80" xr:uid="{00000000-0002-0000-0500-000005000000}">
      <formula1>IF(AK52="都市ガス",都市ガス_供給事業者_選択,  IF(AK52="電気",電気_供給事業者_選択,  IF(AK52="熱",熱_供給事業者_選択,選択肢なし)))</formula1>
    </dataValidation>
    <dataValidation type="list" allowBlank="1" showInputMessage="1" showErrorMessage="1" sqref="F52:F80 F7:F50" xr:uid="{00000000-0002-0000-0500-000006000000}">
      <formula1>IF(AK7="都市ガス",INDIRECT("都市ガス_メニュー_選択"),IF(AK7="電気",INDIRECT("電気_メニュー_選択"),IF(AK7="熱",INDIRECT("熱_メニュー_選択"))))</formula1>
    </dataValidation>
    <dataValidation imeMode="disabled" allowBlank="1" showInputMessage="1" showErrorMessage="1" sqref="R52:AC80 R7:AC50" xr:uid="{00000000-0002-0000-0500-000007000000}"/>
    <dataValidation type="list" allowBlank="1" showInputMessage="1" showErrorMessage="1" sqref="P53:P80 P7:P50" xr:uid="{00000000-0002-0000-0500-000008000000}">
      <formula1>計量器_検定有無_選択</formula1>
    </dataValidation>
    <dataValidation type="decimal" operator="greaterThanOrEqual" allowBlank="1" showInputMessage="1" showErrorMessage="1" sqref="L7:L50 L52:L80" xr:uid="{00000000-0002-0000-0500-000009000000}">
      <formula1>0</formula1>
    </dataValidation>
    <dataValidation type="list" allowBlank="1" showInputMessage="1" showErrorMessage="1" sqref="Q52:Q80 Q7:Q50" xr:uid="{00000000-0002-0000-0500-00000A000000}">
      <formula1>INDIRECT(SUBSTITUTE(C7,"、","_")&amp;"_単位")</formula1>
    </dataValidation>
    <dataValidation type="list" allowBlank="1" showInputMessage="1" showErrorMessage="1" sqref="K52:K80" xr:uid="{00000000-0002-0000-0500-00000B000000}">
      <formula1>INDIRECT(IF(C52="","",IF(C52="都市ガス","都市ガス_係数根拠_選択",IF(COUNTIF(C52,"*自ら生成*")&gt;0,"自己電気熱_係数根拠_選択","電気熱_係数根拠_選択"))))</formula1>
    </dataValidation>
    <dataValidation type="list" allowBlank="1" showInputMessage="1" showErrorMessage="1" sqref="B52:B80" xr:uid="{00000000-0002-0000-0500-00000C000000}">
      <formula1>電気熱ガス_排出活動②</formula1>
    </dataValidation>
    <dataValidation type="list" allowBlank="1" showInputMessage="1" showErrorMessage="1" sqref="K7:K50" xr:uid="{00000000-0002-0000-0500-00000D000000}">
      <formula1>INDIRECT(IF(C7="","",IF(C7="都市ガス","都市ガス_係数根拠_選択","電気熱_係数根拠_選択")))</formula1>
    </dataValidation>
    <dataValidation type="list" allowBlank="1" showInputMessage="1" showErrorMessage="1" sqref="B7:B50" xr:uid="{00000000-0002-0000-0500-00000E000000}">
      <formula1>電気熱ガス_排出活動①</formula1>
    </dataValidation>
    <dataValidation type="list" imeMode="disabled" allowBlank="1" showInputMessage="1" showErrorMessage="1" sqref="AD7:AD50 AD52:AD80" xr:uid="{00000000-0002-0000-0500-00000F000000}">
      <formula1>INDIRECT(BI7)</formula1>
    </dataValidation>
    <dataValidation type="list" allowBlank="1" showInputMessage="1" showErrorMessage="1" sqref="D7:D50" xr:uid="{D754D8A3-DF88-48F0-9688-4E062962121D}">
      <formula1>IF(AK7="都市ガス",都市ガス_供給事業者_選択,  IF(AK7="電気",電気_供給事業者_選択,  IF(AK7="熱",熱_供給事業者_選択,選択肢なし)))</formula1>
    </dataValidation>
  </dataValidations>
  <pageMargins left="0.59055118110236227" right="0.39370078740157483" top="0.59055118110236227" bottom="0.59055118110236227" header="0.31496062992125984" footer="0.31496062992125984"/>
  <pageSetup paperSize="9" scale="3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S78"/>
  <sheetViews>
    <sheetView showGridLines="0" zoomScale="70" zoomScaleNormal="70" zoomScaleSheetLayoutView="70" workbookViewId="0">
      <pane ySplit="6" topLeftCell="A7" activePane="bottomLeft" state="frozen"/>
      <selection pane="bottomLeft"/>
    </sheetView>
  </sheetViews>
  <sheetFormatPr defaultColWidth="9" defaultRowHeight="18" outlineLevelCol="1"/>
  <cols>
    <col min="1" max="1" width="10.625" style="88" customWidth="1"/>
    <col min="2" max="2" width="26" style="88" customWidth="1"/>
    <col min="3" max="3" width="18.625" style="88" customWidth="1"/>
    <col min="4" max="4" width="16.5" style="88" customWidth="1"/>
    <col min="5" max="5" width="19.125" style="88" customWidth="1"/>
    <col min="6" max="6" width="15.5" style="88" customWidth="1"/>
    <col min="7" max="7" width="13" style="88" customWidth="1"/>
    <col min="8" max="8" width="16.5" style="88" customWidth="1"/>
    <col min="9" max="9" width="13.25" style="88" customWidth="1"/>
    <col min="10" max="10" width="15.5" style="88" customWidth="1"/>
    <col min="11" max="12" width="10.625" style="88" customWidth="1"/>
    <col min="13" max="13" width="5.375" style="88" customWidth="1"/>
    <col min="14" max="14" width="8.625" style="88" customWidth="1"/>
    <col min="15" max="26" width="9" style="88"/>
    <col min="27" max="28" width="12" style="88" customWidth="1"/>
    <col min="29" max="29" width="12" style="88" hidden="1" customWidth="1" outlineLevel="1"/>
    <col min="30" max="30" width="6.625" style="88" hidden="1" customWidth="1" outlineLevel="1"/>
    <col min="31" max="31" width="9" style="88" collapsed="1"/>
    <col min="32" max="32" width="13.75" style="473" customWidth="1"/>
    <col min="33" max="33" width="9" style="88"/>
    <col min="34" max="38" width="14" style="88" hidden="1" customWidth="1" outlineLevel="1"/>
    <col min="39" max="39" width="20.25" style="88" hidden="1" customWidth="1" outlineLevel="1"/>
    <col min="40" max="40" width="14" style="88" hidden="1" customWidth="1" outlineLevel="1"/>
    <col min="41" max="41" width="16.875" style="88" hidden="1" customWidth="1" outlineLevel="1"/>
    <col min="42" max="42" width="15.75" style="88" hidden="1" customWidth="1" outlineLevel="1"/>
    <col min="43" max="43" width="23.5" style="88" hidden="1" customWidth="1" outlineLevel="1"/>
    <col min="44" max="45" width="9" style="88" hidden="1" customWidth="1" outlineLevel="1"/>
    <col min="46" max="46" width="14.75" style="88" hidden="1" customWidth="1" outlineLevel="1"/>
    <col min="47" max="48" width="9" style="88" hidden="1" customWidth="1" outlineLevel="1"/>
    <col min="49" max="49" width="11.625" style="88" hidden="1" customWidth="1" outlineLevel="1"/>
    <col min="50" max="52" width="9" style="88" hidden="1" customWidth="1" outlineLevel="1"/>
    <col min="53" max="53" width="16.75" style="88" hidden="1" customWidth="1" outlineLevel="1"/>
    <col min="54" max="55" width="21.5" style="88" hidden="1" customWidth="1" outlineLevel="1"/>
    <col min="56" max="58" width="9" style="88" hidden="1" customWidth="1" outlineLevel="1"/>
    <col min="59" max="59" width="9" style="528" hidden="1" customWidth="1" outlineLevel="1"/>
    <col min="60" max="60" width="9.875" style="88" hidden="1" customWidth="1" outlineLevel="1"/>
    <col min="61" max="61" width="34.875" style="88" hidden="1" customWidth="1" outlineLevel="1"/>
    <col min="62" max="62" width="27.375" style="88" hidden="1" customWidth="1" outlineLevel="1"/>
    <col min="63" max="63" width="21" style="88" hidden="1" customWidth="1" outlineLevel="1"/>
    <col min="64" max="64" width="10.125" style="88" hidden="1" customWidth="1" outlineLevel="1"/>
    <col min="65" max="65" width="21.125" style="88" hidden="1" customWidth="1" outlineLevel="1"/>
    <col min="66" max="66" width="10.625" style="88" hidden="1" customWidth="1" outlineLevel="1"/>
    <col min="67" max="67" width="16.375" style="88" hidden="1" customWidth="1" outlineLevel="1"/>
    <col min="68" max="70" width="9" style="88" hidden="1" customWidth="1" outlineLevel="1"/>
    <col min="71" max="71" width="9" style="88" collapsed="1"/>
    <col min="72" max="16384" width="9" style="88"/>
  </cols>
  <sheetData>
    <row r="1" spans="1:70">
      <c r="A1" s="3" t="s">
        <v>310</v>
      </c>
      <c r="B1" s="3"/>
      <c r="C1" s="3"/>
      <c r="D1" s="52"/>
      <c r="E1" s="52"/>
      <c r="F1" s="52"/>
      <c r="G1" s="52"/>
      <c r="H1" s="52"/>
      <c r="I1" s="52"/>
      <c r="J1" s="52"/>
      <c r="K1" s="52"/>
      <c r="L1" s="52"/>
      <c r="M1" s="52"/>
      <c r="N1" s="52"/>
      <c r="O1" s="52"/>
      <c r="P1" s="52"/>
      <c r="Q1" s="52"/>
      <c r="R1" s="52"/>
      <c r="S1" s="52"/>
      <c r="T1" s="52"/>
      <c r="U1" s="52"/>
      <c r="V1" s="52"/>
      <c r="W1" s="52"/>
      <c r="X1" s="52"/>
      <c r="Y1" s="52"/>
      <c r="Z1" s="2"/>
      <c r="AA1" s="809" t="s">
        <v>0</v>
      </c>
      <c r="AB1" s="810"/>
      <c r="AC1" s="343" t="s">
        <v>865</v>
      </c>
      <c r="AD1" s="343" t="s">
        <v>865</v>
      </c>
      <c r="AE1" s="813" t="str">
        <f>IF(事業所概要_算定体制!D13="","",事業所概要_算定体制!D13)</f>
        <v/>
      </c>
      <c r="AF1" s="814"/>
    </row>
    <row r="2" spans="1:70" ht="18.75" customHeight="1">
      <c r="A2" s="788" t="s">
        <v>1004</v>
      </c>
      <c r="B2" s="788"/>
      <c r="C2" s="788"/>
      <c r="D2" s="788"/>
      <c r="E2" s="788"/>
      <c r="F2" s="788"/>
      <c r="G2" s="52"/>
      <c r="H2" s="52"/>
      <c r="I2" s="52"/>
      <c r="J2" s="52"/>
      <c r="K2" s="52"/>
      <c r="L2" s="52"/>
      <c r="M2" s="52"/>
      <c r="N2" s="52"/>
      <c r="O2" s="52"/>
      <c r="P2" s="52"/>
      <c r="Q2" s="52"/>
      <c r="R2" s="52"/>
      <c r="S2" s="52"/>
      <c r="T2" s="52"/>
      <c r="U2" s="52"/>
      <c r="V2" s="52"/>
      <c r="W2" s="52"/>
      <c r="X2" s="52"/>
      <c r="Y2" s="52"/>
      <c r="Z2" s="2"/>
      <c r="AA2" s="2"/>
      <c r="AB2" s="2"/>
      <c r="AC2" s="344"/>
      <c r="AD2" s="344"/>
      <c r="AE2" s="817" t="str">
        <f>CONCATENATE(事業所概要_算定体制!$B$3,事業所概要_算定体制!$C$3,"年度")</f>
        <v>令和７年度</v>
      </c>
      <c r="AF2" s="817"/>
    </row>
    <row r="3" spans="1:70" ht="18.75" thickBot="1">
      <c r="A3" s="3"/>
      <c r="B3" s="3"/>
      <c r="C3" s="3"/>
      <c r="D3" s="52"/>
      <c r="E3" s="52"/>
      <c r="F3" s="52"/>
      <c r="G3" s="52"/>
      <c r="H3" s="52"/>
      <c r="I3" s="52"/>
      <c r="J3" s="52"/>
      <c r="K3" s="52"/>
      <c r="L3" s="52"/>
      <c r="M3" s="52"/>
      <c r="N3" s="52"/>
      <c r="O3" s="52"/>
      <c r="P3" s="52"/>
      <c r="Q3" s="52"/>
      <c r="R3" s="52"/>
      <c r="S3" s="52"/>
      <c r="T3" s="52"/>
      <c r="U3" s="52"/>
      <c r="V3" s="52"/>
      <c r="W3" s="52"/>
      <c r="X3" s="52"/>
      <c r="Y3" s="52"/>
      <c r="Z3" s="52"/>
      <c r="AA3" s="52"/>
      <c r="AB3" s="52"/>
      <c r="AC3" s="126"/>
      <c r="AD3" s="126"/>
      <c r="AE3" s="52"/>
      <c r="AF3" s="423"/>
    </row>
    <row r="4" spans="1:70" ht="17.25" customHeight="1">
      <c r="A4" s="789" t="s">
        <v>217</v>
      </c>
      <c r="B4" s="758" t="s">
        <v>83</v>
      </c>
      <c r="C4" s="768" t="s">
        <v>891</v>
      </c>
      <c r="D4" s="850" t="s">
        <v>235</v>
      </c>
      <c r="E4" s="852"/>
      <c r="F4" s="853"/>
      <c r="G4" s="850" t="s">
        <v>237</v>
      </c>
      <c r="H4" s="786" t="s">
        <v>897</v>
      </c>
      <c r="I4" s="786" t="s">
        <v>227</v>
      </c>
      <c r="J4" s="787"/>
      <c r="K4" s="795" t="s">
        <v>221</v>
      </c>
      <c r="L4" s="786" t="s">
        <v>218</v>
      </c>
      <c r="M4" s="787"/>
      <c r="N4" s="795" t="s">
        <v>222</v>
      </c>
      <c r="O4" s="53" t="s">
        <v>88</v>
      </c>
      <c r="P4" s="53"/>
      <c r="Q4" s="53"/>
      <c r="R4" s="53"/>
      <c r="S4" s="53"/>
      <c r="T4" s="53"/>
      <c r="U4" s="53"/>
      <c r="V4" s="53"/>
      <c r="W4" s="53"/>
      <c r="X4" s="53"/>
      <c r="Y4" s="53"/>
      <c r="Z4" s="53"/>
      <c r="AA4" s="503"/>
      <c r="AB4" s="844" t="s">
        <v>909</v>
      </c>
      <c r="AC4" s="840" t="s">
        <v>836</v>
      </c>
      <c r="AD4" s="841"/>
      <c r="AE4" s="795" t="s">
        <v>233</v>
      </c>
      <c r="AF4" s="838" t="s">
        <v>234</v>
      </c>
      <c r="AH4" s="815" t="s">
        <v>659</v>
      </c>
      <c r="AI4" s="785" t="s">
        <v>637</v>
      </c>
      <c r="AJ4" s="785" t="s">
        <v>892</v>
      </c>
      <c r="AK4" s="785" t="s">
        <v>893</v>
      </c>
      <c r="AL4" s="854" t="s">
        <v>921</v>
      </c>
      <c r="AM4" s="785" t="s">
        <v>902</v>
      </c>
      <c r="AN4" s="785" t="s">
        <v>906</v>
      </c>
      <c r="AO4" s="815" t="s">
        <v>936</v>
      </c>
      <c r="AP4" s="785" t="s">
        <v>924</v>
      </c>
      <c r="AQ4" s="784" t="s">
        <v>896</v>
      </c>
      <c r="AR4" s="466" t="s">
        <v>907</v>
      </c>
      <c r="AS4" s="784" t="s">
        <v>628</v>
      </c>
      <c r="AT4" s="785" t="s">
        <v>910</v>
      </c>
      <c r="AU4" s="807" t="s">
        <v>233</v>
      </c>
      <c r="AV4" s="857" t="s">
        <v>912</v>
      </c>
      <c r="AW4" s="807" t="s">
        <v>911</v>
      </c>
      <c r="AX4" s="856" t="s">
        <v>1028</v>
      </c>
      <c r="AY4" s="472"/>
    </row>
    <row r="5" spans="1:70" ht="36.75" customHeight="1" thickBot="1">
      <c r="A5" s="846"/>
      <c r="B5" s="847"/>
      <c r="C5" s="837"/>
      <c r="D5" s="492" t="s">
        <v>235</v>
      </c>
      <c r="E5" s="492" t="s">
        <v>236</v>
      </c>
      <c r="F5" s="340" t="s">
        <v>977</v>
      </c>
      <c r="G5" s="851"/>
      <c r="H5" s="848"/>
      <c r="I5" s="491" t="s">
        <v>228</v>
      </c>
      <c r="J5" s="492" t="s">
        <v>230</v>
      </c>
      <c r="K5" s="849"/>
      <c r="L5" s="492" t="s">
        <v>219</v>
      </c>
      <c r="M5" s="492" t="s">
        <v>220</v>
      </c>
      <c r="N5" s="849"/>
      <c r="O5" s="59" t="s">
        <v>71</v>
      </c>
      <c r="P5" s="59" t="s">
        <v>72</v>
      </c>
      <c r="Q5" s="59" t="s">
        <v>73</v>
      </c>
      <c r="R5" s="59" t="s">
        <v>74</v>
      </c>
      <c r="S5" s="59" t="s">
        <v>75</v>
      </c>
      <c r="T5" s="59" t="s">
        <v>76</v>
      </c>
      <c r="U5" s="59" t="s">
        <v>77</v>
      </c>
      <c r="V5" s="59" t="s">
        <v>78</v>
      </c>
      <c r="W5" s="59" t="s">
        <v>79</v>
      </c>
      <c r="X5" s="59" t="s">
        <v>80</v>
      </c>
      <c r="Y5" s="59" t="s">
        <v>81</v>
      </c>
      <c r="Z5" s="59" t="s">
        <v>82</v>
      </c>
      <c r="AA5" s="537" t="s">
        <v>1030</v>
      </c>
      <c r="AB5" s="845"/>
      <c r="AC5" s="842"/>
      <c r="AD5" s="843"/>
      <c r="AE5" s="800"/>
      <c r="AF5" s="839"/>
      <c r="AH5" s="816"/>
      <c r="AI5" s="784"/>
      <c r="AJ5" s="784"/>
      <c r="AK5" s="784"/>
      <c r="AL5" s="855"/>
      <c r="AM5" s="784"/>
      <c r="AN5" s="784"/>
      <c r="AO5" s="816"/>
      <c r="AP5" s="784"/>
      <c r="AQ5" s="784"/>
      <c r="AR5" s="466" t="s">
        <v>908</v>
      </c>
      <c r="AS5" s="784"/>
      <c r="AT5" s="784"/>
      <c r="AU5" s="808"/>
      <c r="AV5" s="858"/>
      <c r="AW5" s="808"/>
      <c r="AX5" s="856"/>
      <c r="AY5" s="466" t="s">
        <v>945</v>
      </c>
      <c r="AZ5" s="466" t="s">
        <v>946</v>
      </c>
      <c r="BA5" s="466" t="s">
        <v>947</v>
      </c>
      <c r="BB5" s="466" t="s">
        <v>948</v>
      </c>
      <c r="BC5" s="470" t="s">
        <v>976</v>
      </c>
      <c r="BD5" s="470" t="s">
        <v>963</v>
      </c>
      <c r="BE5" s="470" t="s">
        <v>964</v>
      </c>
      <c r="BF5" s="470" t="s">
        <v>1008</v>
      </c>
      <c r="BG5" s="530"/>
      <c r="BH5" s="527" t="s">
        <v>1012</v>
      </c>
      <c r="BI5" s="527" t="s">
        <v>1023</v>
      </c>
      <c r="BJ5" s="527" t="s">
        <v>1025</v>
      </c>
      <c r="BK5" s="527" t="s">
        <v>1015</v>
      </c>
      <c r="BL5" s="527" t="s">
        <v>1017</v>
      </c>
      <c r="BM5" s="527" t="s">
        <v>1018</v>
      </c>
      <c r="BN5" s="527" t="s">
        <v>1019</v>
      </c>
      <c r="BO5" s="527" t="s">
        <v>1020</v>
      </c>
      <c r="BQ5" s="639" t="s">
        <v>2083</v>
      </c>
      <c r="BR5" s="639" t="s">
        <v>2084</v>
      </c>
    </row>
    <row r="6" spans="1:70" ht="17.25" customHeight="1" thickTop="1" thickBot="1">
      <c r="A6" s="337" t="s">
        <v>914</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45"/>
      <c r="AD6" s="345"/>
      <c r="AE6" s="60"/>
      <c r="AF6" s="424"/>
    </row>
    <row r="7" spans="1:70" ht="18.75" customHeight="1" thickTop="1">
      <c r="A7" s="482"/>
      <c r="B7" s="406"/>
      <c r="C7" s="406"/>
      <c r="D7" s="406"/>
      <c r="E7" s="407"/>
      <c r="F7" s="407"/>
      <c r="G7" s="406"/>
      <c r="H7" s="617" t="str">
        <f>AQ7</f>
        <v/>
      </c>
      <c r="I7" s="406"/>
      <c r="J7" s="457" t="str">
        <f t="shared" ref="J7:J36" si="0">IF(I7="","",IF(I7="目標設定ガスの算定対象外",0,IF(I7="国代替値",AR7,"要記入")))</f>
        <v/>
      </c>
      <c r="K7" s="406"/>
      <c r="L7" s="457"/>
      <c r="M7" s="406"/>
      <c r="N7" s="406"/>
      <c r="O7" s="454"/>
      <c r="P7" s="454"/>
      <c r="Q7" s="454"/>
      <c r="R7" s="454"/>
      <c r="S7" s="454"/>
      <c r="T7" s="454"/>
      <c r="U7" s="454"/>
      <c r="V7" s="454"/>
      <c r="W7" s="454"/>
      <c r="X7" s="454"/>
      <c r="Y7" s="454"/>
      <c r="Z7" s="454"/>
      <c r="AA7" s="504"/>
      <c r="AB7" s="595" t="str">
        <f>IF(COUNT(O7:Z7)=0,"",IF(AA7="",SUM(O7:Z7),SUM(O7:Z7)*AA7))</f>
        <v/>
      </c>
      <c r="AC7" s="596" t="str">
        <f>AT7</f>
        <v/>
      </c>
      <c r="AD7" s="597" t="str">
        <f>IF(C7="","",VLOOKUP(C7,非_単位!$N$38:$O$53,2,FALSE))</f>
        <v/>
      </c>
      <c r="AE7" s="598" t="str">
        <f>AU7</f>
        <v/>
      </c>
      <c r="AF7" s="585" t="str">
        <f>AW7</f>
        <v/>
      </c>
      <c r="AH7" s="466" t="str">
        <f t="shared" ref="AH7:AH36" si="1">IF(B7="","",IF(B7="電気の使用_一般送配電事業者の電線路以外","電気",IF(B7="熱の使用","熱","")))</f>
        <v/>
      </c>
      <c r="AI7" s="466" t="str">
        <f>IF(AH7="電気","再エネ_事業所内_電気_種類",IF(AH7="熱","再エネ_事業所内_熱_種類",""))</f>
        <v/>
      </c>
      <c r="AJ7" s="466" t="str">
        <f t="shared" ref="AJ7:AJ36" si="2">IF(C7="","","再エネ_種類_選択")</f>
        <v/>
      </c>
      <c r="AK7" s="466" t="str">
        <f t="shared" ref="AK7:AK36" si="3">IF(D7="バイオマス","バイオマス_種類_選択","")</f>
        <v/>
      </c>
      <c r="AL7" s="466" t="str">
        <f t="shared" ref="AL7:AL36" si="4">IF(D7="バイオマス","バイオマス燃料_持続可能性_選択","")</f>
        <v/>
      </c>
      <c r="AM7" s="466" t="str">
        <f t="shared" ref="AM7:AM36" si="5">IF(C7="","",IF(AND(AL7&lt;&gt;"",F7="無"),"環境価値_バイオマス持続可能性無_選択","環境価値_選択"))</f>
        <v/>
      </c>
      <c r="AN7" s="466" t="str">
        <f t="shared" ref="AN7:AN36" si="6">IF(C7="","",IF(G7="","",IF(F7="無","再エネ_係数根拠_持続可能性無",IF(G7="有","再エネ_係数根拠_環境価値有","再エネ_係数根拠_環境価値無"))))</f>
        <v/>
      </c>
      <c r="AO7" s="466" t="str">
        <f>IF(AH7="","","自家消費")</f>
        <v/>
      </c>
      <c r="AP7" s="466" t="str">
        <f t="shared" ref="AP7:AP36" si="7">IF(AH7&lt;&gt;"熱","",IF(OR(D7="太陽光",D7="地熱",D7="温泉熱",D7="雪氷熱"),"対象",""))</f>
        <v/>
      </c>
      <c r="AQ7" s="466" t="str">
        <f>IF(C7="","",IF(AP7="対象","熱量計読取",VLOOKUP(C7,非_係数!$B$42:$D$55,2,FALSE)))</f>
        <v/>
      </c>
      <c r="AR7" s="466" t="str">
        <f>IF(AH7="電気",非_電気事業者!$S$4*1000,IF(AH7="熱",非_熱供給事業者!$T$4,""))</f>
        <v/>
      </c>
      <c r="AS7" s="466" t="str">
        <f>IF(N7="","",VLOOKUP(N7,非_単位補正換算!$B$3:$C$16,2,FALSE))</f>
        <v/>
      </c>
      <c r="AT7" s="466" t="str">
        <f>IF(N7="","",IF(AB7="","",AB7/AS7))</f>
        <v/>
      </c>
      <c r="AU7" s="466" t="str">
        <f t="shared" ref="AU7:AU36" si="8">IF(AT7="","",IF(AP7="対象",AT7,IF(H7="","",AT7*H7)))</f>
        <v/>
      </c>
      <c r="AV7" s="466">
        <v>1</v>
      </c>
      <c r="AW7" s="466" t="str">
        <f t="shared" ref="AW7:AW36" si="9">IF(AT7="","",IF(ISNUMBER(J7),AT7*J7*1,""))</f>
        <v/>
      </c>
      <c r="AX7" s="535" t="b">
        <f>_xlfn.ISFORMULA(J7)</f>
        <v>1</v>
      </c>
      <c r="AY7" s="466" t="str">
        <f>AH7</f>
        <v/>
      </c>
      <c r="AZ7" s="466" t="str">
        <f t="shared" ref="AZ7:AZ36" si="10">IF(G7="","",G7)</f>
        <v/>
      </c>
      <c r="BA7" s="466" t="str">
        <f t="shared" ref="BA7:BA38" si="11">AO7&amp;IF(C7="電気_仮想電力購入契約","_仮想電力購入契約","")</f>
        <v/>
      </c>
      <c r="BB7" s="466" t="str">
        <f t="shared" ref="BB7:BB36" si="12">IF(F7="","",F7)</f>
        <v/>
      </c>
      <c r="BC7" s="466" t="str">
        <f t="shared" ref="BC7:BC36" si="13">IF(D7="","",IF(LEFT(D7,2)="任意","任意","義務"))</f>
        <v/>
      </c>
      <c r="BD7" s="466" t="str">
        <f>IF(BC7&lt;&gt;"義務","",SUMIFS(非_まとめ表行番号!$N$3:$N$20,非_まとめ表行番号!$J$3:$J$20,AY7,非_まとめ表行番号!$K$3:$K$20,AZ7,非_まとめ表行番号!$L$3:$L$20,BA7,非_まとめ表行番号!$M$3:$M$20,BB7))</f>
        <v/>
      </c>
      <c r="BE7" s="466" t="str">
        <f>IF(BC7&lt;&gt;"義務","",SUMIFS(非_まとめ表行番号!$O$3:$O$20,非_まとめ表行番号!$J$3:$J$20,AY7,非_まとめ表行番号!$K$3:$K$20,AZ7,非_まとめ表行番号!$L$3:$L$20,BA7,非_まとめ表行番号!$M$3:$M$20,BB7))</f>
        <v/>
      </c>
      <c r="BF7" s="466" t="str">
        <f>IF(M7="無","乗率_排出量","")</f>
        <v/>
      </c>
      <c r="BG7" s="529"/>
      <c r="BH7" s="525" t="str">
        <f>IF(BD7="","",VLOOKUP(BD7,非_まとめ表行番号!$U$3:$V$56,2,FALSE))</f>
        <v/>
      </c>
      <c r="BI7" s="527" t="str">
        <f>IF(D7="","",VLOOKUP(D7,非_燃料種類_選択リスト!$X$2:$Y$14,2,FALSE))</f>
        <v/>
      </c>
      <c r="BJ7" s="527" t="str">
        <f>IF(E7="","",VLOOKUP(E7,非_燃料種類_選択リスト!$X$18:$Y$24,2,FALSE))</f>
        <v/>
      </c>
      <c r="BK7" s="527" t="str">
        <f>IF(BH7=46,0,IF(H7="","",IF(H7="熱量計読取",1,H7)))</f>
        <v/>
      </c>
      <c r="BL7" s="527" t="str">
        <f>IF(I7="","",I7)</f>
        <v/>
      </c>
      <c r="BM7" s="527" t="str">
        <f>IF(J7="","",J7)</f>
        <v/>
      </c>
      <c r="BN7" s="527" t="str">
        <f>IF(AC7="","",AC7)</f>
        <v/>
      </c>
      <c r="BO7" s="527" t="str">
        <f>IF(AW7="","",IF(AW7&gt;=0,1,IF(AW7&lt;0,-1,"")))</f>
        <v/>
      </c>
      <c r="BQ7" s="639" t="str">
        <f>IF(AND(B7="",C7=""),"",IF(AZ7="有",0,VLOOKUP(C7,非_係数!$B$42:$J$55,9,FALSE)))</f>
        <v/>
      </c>
      <c r="BR7" s="639" t="str">
        <f>IF(AT7="","",IF(ISNUMBER(BQ7),AT7*BQ7,""))</f>
        <v/>
      </c>
    </row>
    <row r="8" spans="1:70" ht="18.75" customHeight="1">
      <c r="A8" s="483"/>
      <c r="B8" s="406"/>
      <c r="C8" s="406"/>
      <c r="D8" s="406"/>
      <c r="E8" s="407"/>
      <c r="F8" s="407"/>
      <c r="G8" s="406"/>
      <c r="H8" s="617" t="str">
        <f t="shared" ref="H8:H36" si="14">AQ8</f>
        <v/>
      </c>
      <c r="I8" s="406"/>
      <c r="J8" s="457" t="str">
        <f t="shared" si="0"/>
        <v/>
      </c>
      <c r="K8" s="406"/>
      <c r="L8" s="458"/>
      <c r="M8" s="406"/>
      <c r="N8" s="406"/>
      <c r="O8" s="455"/>
      <c r="P8" s="455"/>
      <c r="Q8" s="455"/>
      <c r="R8" s="455"/>
      <c r="S8" s="455"/>
      <c r="T8" s="455"/>
      <c r="U8" s="455"/>
      <c r="V8" s="455"/>
      <c r="W8" s="455"/>
      <c r="X8" s="455"/>
      <c r="Y8" s="455"/>
      <c r="Z8" s="455"/>
      <c r="AA8" s="504"/>
      <c r="AB8" s="595" t="str">
        <f>IF(COUNT(O8:Z8)=0,"",IF(AA8="",SUM(O8:Z8),SUM(O8:Z8)*AA8))</f>
        <v/>
      </c>
      <c r="AC8" s="596" t="str">
        <f t="shared" ref="AC8:AC9" si="15">AT8</f>
        <v/>
      </c>
      <c r="AD8" s="597" t="str">
        <f>IF(C8="","",VLOOKUP(C8,非_単位!$N$38:$O$53,2,FALSE))</f>
        <v/>
      </c>
      <c r="AE8" s="598" t="str">
        <f t="shared" ref="AE8:AE9" si="16">AU8</f>
        <v/>
      </c>
      <c r="AF8" s="585" t="str">
        <f t="shared" ref="AF8:AF9" si="17">AW8</f>
        <v/>
      </c>
      <c r="AH8" s="466" t="str">
        <f t="shared" si="1"/>
        <v/>
      </c>
      <c r="AI8" s="466" t="str">
        <f>IF(AH8="電気","再エネ_事業所内_電気_種類",IF(AH8="熱","再エネ_事業所内_熱_種類",""))</f>
        <v/>
      </c>
      <c r="AJ8" s="466" t="str">
        <f t="shared" si="2"/>
        <v/>
      </c>
      <c r="AK8" s="466" t="str">
        <f t="shared" si="3"/>
        <v/>
      </c>
      <c r="AL8" s="466" t="str">
        <f t="shared" si="4"/>
        <v/>
      </c>
      <c r="AM8" s="466" t="str">
        <f t="shared" si="5"/>
        <v/>
      </c>
      <c r="AN8" s="466" t="str">
        <f t="shared" si="6"/>
        <v/>
      </c>
      <c r="AO8" s="466" t="str">
        <f t="shared" ref="AO8:AO36" si="18">IF(AH8="","","自家消費")</f>
        <v/>
      </c>
      <c r="AP8" s="466" t="str">
        <f t="shared" si="7"/>
        <v/>
      </c>
      <c r="AQ8" s="466" t="str">
        <f>IF(C8="","",IF(AP8="対象","熱量計読取",VLOOKUP(C8,非_係数!$B$42:$D$55,2,FALSE)))</f>
        <v/>
      </c>
      <c r="AR8" s="466" t="str">
        <f>IF(AH8="電気",非_電気事業者!$S$4*1000,IF(AH8="熱",非_熱供給事業者!$T$4,""))</f>
        <v/>
      </c>
      <c r="AS8" s="466" t="str">
        <f>IF(N8="","",VLOOKUP(N8,非_単位補正換算!$B$3:$C$16,2,FALSE))</f>
        <v/>
      </c>
      <c r="AT8" s="466" t="str">
        <f t="shared" ref="AT8:AT36" si="19">IF(N8="","",IF(AB8="","",AB8/AS8))</f>
        <v/>
      </c>
      <c r="AU8" s="466" t="str">
        <f t="shared" si="8"/>
        <v/>
      </c>
      <c r="AV8" s="466">
        <v>1</v>
      </c>
      <c r="AW8" s="466" t="str">
        <f t="shared" si="9"/>
        <v/>
      </c>
      <c r="AX8" s="535" t="b">
        <f t="shared" ref="AX8:AX71" si="20">_xlfn.ISFORMULA(J8)</f>
        <v>1</v>
      </c>
      <c r="AY8" s="466" t="str">
        <f t="shared" ref="AY8:AY36" si="21">AH8</f>
        <v/>
      </c>
      <c r="AZ8" s="466" t="str">
        <f t="shared" si="10"/>
        <v/>
      </c>
      <c r="BA8" s="466" t="str">
        <f t="shared" si="11"/>
        <v/>
      </c>
      <c r="BB8" s="466" t="str">
        <f t="shared" si="12"/>
        <v/>
      </c>
      <c r="BC8" s="466" t="str">
        <f t="shared" si="13"/>
        <v/>
      </c>
      <c r="BD8" s="466" t="str">
        <f>IF(BC8&lt;&gt;"義務","",SUMIFS(非_まとめ表行番号!$N$3:$N$20,非_まとめ表行番号!$J$3:$J$20,AY8,非_まとめ表行番号!$K$3:$K$20,AZ8,非_まとめ表行番号!$L$3:$L$20,BA8,非_まとめ表行番号!$M$3:$M$20,BB8))</f>
        <v/>
      </c>
      <c r="BE8" s="466" t="str">
        <f>IF(BC8&lt;&gt;"義務","",SUMIFS(非_まとめ表行番号!$O$3:$O$20,非_まとめ表行番号!$J$3:$J$20,AY8,非_まとめ表行番号!$K$3:$K$20,AZ8,非_まとめ表行番号!$L$3:$L$20,BA8,非_まとめ表行番号!$M$3:$M$20,BB8))</f>
        <v/>
      </c>
      <c r="BF8" s="466" t="str">
        <f t="shared" ref="BF8:BF36" si="22">IF(M8="無","乗率_排出量","")</f>
        <v/>
      </c>
      <c r="BG8" s="529"/>
      <c r="BH8" s="525" t="str">
        <f>IF(BD8="","",VLOOKUP(BD8,非_まとめ表行番号!$U$3:$V$56,2,FALSE))</f>
        <v/>
      </c>
      <c r="BI8" s="527" t="str">
        <f>IF(D8="","",VLOOKUP(D8,非_燃料種類_選択リスト!$X$2:$Y$14,2,FALSE))</f>
        <v/>
      </c>
      <c r="BJ8" s="527" t="str">
        <f>IF(E8="","",VLOOKUP(E8,非_燃料種類_選択リスト!$X$18:$Y$24,2,FALSE))</f>
        <v/>
      </c>
      <c r="BK8" s="539" t="str">
        <f t="shared" ref="BK8:BK36" si="23">IF(BH8=46,0,IF(H8="","",IF(H8="熱量計読取",1,H8)))</f>
        <v/>
      </c>
      <c r="BL8" s="527" t="str">
        <f t="shared" ref="BL8:BL36" si="24">IF(I8="","",I8)</f>
        <v/>
      </c>
      <c r="BM8" s="527" t="str">
        <f t="shared" ref="BM8:BM36" si="25">IF(J8="","",J8)</f>
        <v/>
      </c>
      <c r="BN8" s="527" t="str">
        <f t="shared" ref="BN8:BN36" si="26">IF(AC8="","",AC8)</f>
        <v/>
      </c>
      <c r="BO8" s="527" t="str">
        <f t="shared" ref="BO8:BO36" si="27">IF(AW8="","",IF(AW8&gt;=0,1,IF(AW8&lt;0,-1,"")))</f>
        <v/>
      </c>
      <c r="BQ8" s="639" t="str">
        <f>IF(AND(B8="",C8=""),"",IF(AZ8="有",0,VLOOKUP(C8,非_係数!$B$42:$J$55,9,FALSE)))</f>
        <v/>
      </c>
      <c r="BR8" s="639" t="str">
        <f t="shared" ref="BR8:BR71" si="28">IF(AT8="","",IF(ISNUMBER(BQ8),AT8*BQ8,""))</f>
        <v/>
      </c>
    </row>
    <row r="9" spans="1:70" ht="18.75" customHeight="1">
      <c r="A9" s="483"/>
      <c r="B9" s="406"/>
      <c r="C9" s="406"/>
      <c r="D9" s="406"/>
      <c r="E9" s="407"/>
      <c r="F9" s="407"/>
      <c r="G9" s="406"/>
      <c r="H9" s="617" t="str">
        <f t="shared" si="14"/>
        <v/>
      </c>
      <c r="I9" s="406"/>
      <c r="J9" s="457" t="str">
        <f t="shared" si="0"/>
        <v/>
      </c>
      <c r="K9" s="406"/>
      <c r="L9" s="458"/>
      <c r="M9" s="406"/>
      <c r="N9" s="406"/>
      <c r="O9" s="455"/>
      <c r="P9" s="455"/>
      <c r="Q9" s="455"/>
      <c r="R9" s="455"/>
      <c r="S9" s="455"/>
      <c r="T9" s="455"/>
      <c r="U9" s="455"/>
      <c r="V9" s="455"/>
      <c r="W9" s="455"/>
      <c r="X9" s="455"/>
      <c r="Y9" s="455"/>
      <c r="Z9" s="455"/>
      <c r="AA9" s="504"/>
      <c r="AB9" s="595" t="str">
        <f t="shared" ref="AB9:AB36" si="29">IF(COUNT(O9:Z9)=0,"",IF(AA9="",SUM(O9:Z9),SUM(O9:Z9)*AA9))</f>
        <v/>
      </c>
      <c r="AC9" s="596" t="str">
        <f t="shared" si="15"/>
        <v/>
      </c>
      <c r="AD9" s="597" t="str">
        <f>IF(C9="","",VLOOKUP(C9,非_単位!$N$38:$O$53,2,FALSE))</f>
        <v/>
      </c>
      <c r="AE9" s="598" t="str">
        <f t="shared" si="16"/>
        <v/>
      </c>
      <c r="AF9" s="585" t="str">
        <f t="shared" si="17"/>
        <v/>
      </c>
      <c r="AH9" s="466" t="str">
        <f t="shared" si="1"/>
        <v/>
      </c>
      <c r="AI9" s="466" t="str">
        <f t="shared" ref="AI9:AI36" si="30">IF(AH9="電気","再エネ_事業所内_電気_種類",IF(AH9="熱","再エネ_事業所内_熱_種類",""))</f>
        <v/>
      </c>
      <c r="AJ9" s="466" t="str">
        <f t="shared" si="2"/>
        <v/>
      </c>
      <c r="AK9" s="466" t="str">
        <f t="shared" si="3"/>
        <v/>
      </c>
      <c r="AL9" s="466" t="str">
        <f t="shared" si="4"/>
        <v/>
      </c>
      <c r="AM9" s="466" t="str">
        <f t="shared" si="5"/>
        <v/>
      </c>
      <c r="AN9" s="466" t="str">
        <f t="shared" si="6"/>
        <v/>
      </c>
      <c r="AO9" s="466" t="str">
        <f t="shared" si="18"/>
        <v/>
      </c>
      <c r="AP9" s="466" t="str">
        <f t="shared" si="7"/>
        <v/>
      </c>
      <c r="AQ9" s="466" t="str">
        <f>IF(C9="","",IF(AP9="対象","熱量計読取",VLOOKUP(C9,非_係数!$B$42:$D$55,2,FALSE)))</f>
        <v/>
      </c>
      <c r="AR9" s="466" t="str">
        <f>IF(AH9="電気",非_電気事業者!$S$4*1000,IF(AH9="熱",非_熱供給事業者!$T$4,""))</f>
        <v/>
      </c>
      <c r="AS9" s="466" t="str">
        <f>IF(N9="","",VLOOKUP(N9,非_単位補正換算!$B$3:$C$16,2,FALSE))</f>
        <v/>
      </c>
      <c r="AT9" s="466" t="str">
        <f t="shared" si="19"/>
        <v/>
      </c>
      <c r="AU9" s="466" t="str">
        <f t="shared" si="8"/>
        <v/>
      </c>
      <c r="AV9" s="466">
        <v>1</v>
      </c>
      <c r="AW9" s="466" t="str">
        <f t="shared" si="9"/>
        <v/>
      </c>
      <c r="AX9" s="535" t="b">
        <f t="shared" si="20"/>
        <v>1</v>
      </c>
      <c r="AY9" s="466" t="str">
        <f t="shared" si="21"/>
        <v/>
      </c>
      <c r="AZ9" s="466" t="str">
        <f t="shared" si="10"/>
        <v/>
      </c>
      <c r="BA9" s="466" t="str">
        <f t="shared" si="11"/>
        <v/>
      </c>
      <c r="BB9" s="466" t="str">
        <f t="shared" si="12"/>
        <v/>
      </c>
      <c r="BC9" s="466" t="str">
        <f t="shared" si="13"/>
        <v/>
      </c>
      <c r="BD9" s="466" t="str">
        <f>IF(BC9&lt;&gt;"義務","",SUMIFS(非_まとめ表行番号!$N$3:$N$20,非_まとめ表行番号!$J$3:$J$20,AY9,非_まとめ表行番号!$K$3:$K$20,AZ9,非_まとめ表行番号!$L$3:$L$20,BA9,非_まとめ表行番号!$M$3:$M$20,BB9))</f>
        <v/>
      </c>
      <c r="BE9" s="466" t="str">
        <f>IF(BC9&lt;&gt;"義務","",SUMIFS(非_まとめ表行番号!$O$3:$O$20,非_まとめ表行番号!$J$3:$J$20,AY9,非_まとめ表行番号!$K$3:$K$20,AZ9,非_まとめ表行番号!$L$3:$L$20,BA9,非_まとめ表行番号!$M$3:$M$20,BB9))</f>
        <v/>
      </c>
      <c r="BF9" s="466" t="str">
        <f t="shared" si="22"/>
        <v/>
      </c>
      <c r="BG9" s="529"/>
      <c r="BH9" s="525" t="str">
        <f>IF(BD9="","",VLOOKUP(BD9,非_まとめ表行番号!$U$3:$V$56,2,FALSE))</f>
        <v/>
      </c>
      <c r="BI9" s="527" t="str">
        <f>IF(D9="","",VLOOKUP(D9,非_燃料種類_選択リスト!$X$2:$Y$14,2,FALSE))</f>
        <v/>
      </c>
      <c r="BJ9" s="527" t="str">
        <f>IF(E9="","",VLOOKUP(E9,非_燃料種類_選択リスト!$X$18:$Y$24,2,FALSE))</f>
        <v/>
      </c>
      <c r="BK9" s="539" t="str">
        <f t="shared" si="23"/>
        <v/>
      </c>
      <c r="BL9" s="527" t="str">
        <f t="shared" si="24"/>
        <v/>
      </c>
      <c r="BM9" s="527" t="str">
        <f t="shared" si="25"/>
        <v/>
      </c>
      <c r="BN9" s="527" t="str">
        <f t="shared" si="26"/>
        <v/>
      </c>
      <c r="BO9" s="527" t="str">
        <f t="shared" si="27"/>
        <v/>
      </c>
      <c r="BQ9" s="639" t="str">
        <f>IF(AND(B9="",C9=""),"",IF(AZ9="有",0,VLOOKUP(C9,非_係数!$B$42:$J$55,9,FALSE)))</f>
        <v/>
      </c>
      <c r="BR9" s="639" t="str">
        <f t="shared" si="28"/>
        <v/>
      </c>
    </row>
    <row r="10" spans="1:70" ht="18.75" customHeight="1">
      <c r="A10" s="483"/>
      <c r="B10" s="406"/>
      <c r="C10" s="406"/>
      <c r="D10" s="406"/>
      <c r="E10" s="407"/>
      <c r="F10" s="407"/>
      <c r="G10" s="406"/>
      <c r="H10" s="617" t="str">
        <f t="shared" si="14"/>
        <v/>
      </c>
      <c r="I10" s="406"/>
      <c r="J10" s="457" t="str">
        <f t="shared" si="0"/>
        <v/>
      </c>
      <c r="K10" s="406"/>
      <c r="L10" s="458"/>
      <c r="M10" s="406"/>
      <c r="N10" s="406"/>
      <c r="O10" s="455"/>
      <c r="P10" s="455"/>
      <c r="Q10" s="455"/>
      <c r="R10" s="455"/>
      <c r="S10" s="455"/>
      <c r="T10" s="455"/>
      <c r="U10" s="455"/>
      <c r="V10" s="455"/>
      <c r="W10" s="455"/>
      <c r="X10" s="455"/>
      <c r="Y10" s="455"/>
      <c r="Z10" s="455"/>
      <c r="AA10" s="504"/>
      <c r="AB10" s="595" t="str">
        <f t="shared" si="29"/>
        <v/>
      </c>
      <c r="AC10" s="596" t="str">
        <f t="shared" ref="AC10:AC11" si="31">AT10</f>
        <v/>
      </c>
      <c r="AD10" s="597" t="str">
        <f>IF(C10="","",VLOOKUP(C10,非_単位!$N$38:$O$53,2,FALSE))</f>
        <v/>
      </c>
      <c r="AE10" s="598" t="str">
        <f t="shared" ref="AE10:AE11" si="32">AU10</f>
        <v/>
      </c>
      <c r="AF10" s="585" t="str">
        <f t="shared" ref="AF10:AF11" si="33">AW10</f>
        <v/>
      </c>
      <c r="AH10" s="466" t="str">
        <f t="shared" si="1"/>
        <v/>
      </c>
      <c r="AI10" s="466" t="str">
        <f t="shared" si="30"/>
        <v/>
      </c>
      <c r="AJ10" s="466" t="str">
        <f t="shared" si="2"/>
        <v/>
      </c>
      <c r="AK10" s="466" t="str">
        <f t="shared" si="3"/>
        <v/>
      </c>
      <c r="AL10" s="466" t="str">
        <f t="shared" si="4"/>
        <v/>
      </c>
      <c r="AM10" s="466" t="str">
        <f t="shared" si="5"/>
        <v/>
      </c>
      <c r="AN10" s="466" t="str">
        <f t="shared" si="6"/>
        <v/>
      </c>
      <c r="AO10" s="466" t="str">
        <f t="shared" si="18"/>
        <v/>
      </c>
      <c r="AP10" s="466" t="str">
        <f t="shared" si="7"/>
        <v/>
      </c>
      <c r="AQ10" s="466" t="str">
        <f>IF(C10="","",IF(AP10="対象","熱量計読取",VLOOKUP(C10,非_係数!$B$42:$D$55,2,FALSE)))</f>
        <v/>
      </c>
      <c r="AR10" s="466" t="str">
        <f>IF(AH10="電気",非_電気事業者!$S$4*1000,IF(AH10="熱",非_熱供給事業者!$T$4,""))</f>
        <v/>
      </c>
      <c r="AS10" s="466" t="str">
        <f>IF(N10="","",VLOOKUP(N10,非_単位補正換算!$B$3:$C$16,2,FALSE))</f>
        <v/>
      </c>
      <c r="AT10" s="466" t="str">
        <f t="shared" si="19"/>
        <v/>
      </c>
      <c r="AU10" s="466" t="str">
        <f t="shared" si="8"/>
        <v/>
      </c>
      <c r="AV10" s="466">
        <v>1</v>
      </c>
      <c r="AW10" s="466" t="str">
        <f t="shared" si="9"/>
        <v/>
      </c>
      <c r="AX10" s="535" t="b">
        <f t="shared" si="20"/>
        <v>1</v>
      </c>
      <c r="AY10" s="466" t="str">
        <f t="shared" si="21"/>
        <v/>
      </c>
      <c r="AZ10" s="466" t="str">
        <f t="shared" si="10"/>
        <v/>
      </c>
      <c r="BA10" s="466" t="str">
        <f t="shared" si="11"/>
        <v/>
      </c>
      <c r="BB10" s="466" t="str">
        <f t="shared" si="12"/>
        <v/>
      </c>
      <c r="BC10" s="466" t="str">
        <f t="shared" si="13"/>
        <v/>
      </c>
      <c r="BD10" s="466" t="str">
        <f>IF(BC10&lt;&gt;"義務","",SUMIFS(非_まとめ表行番号!$N$3:$N$20,非_まとめ表行番号!$J$3:$J$20,AY10,非_まとめ表行番号!$K$3:$K$20,AZ10,非_まとめ表行番号!$L$3:$L$20,BA10,非_まとめ表行番号!$M$3:$M$20,BB10))</f>
        <v/>
      </c>
      <c r="BE10" s="466" t="str">
        <f>IF(BC10&lt;&gt;"義務","",SUMIFS(非_まとめ表行番号!$O$3:$O$20,非_まとめ表行番号!$J$3:$J$20,AY10,非_まとめ表行番号!$K$3:$K$20,AZ10,非_まとめ表行番号!$L$3:$L$20,BA10,非_まとめ表行番号!$M$3:$M$20,BB10))</f>
        <v/>
      </c>
      <c r="BF10" s="466" t="str">
        <f t="shared" si="22"/>
        <v/>
      </c>
      <c r="BG10" s="529"/>
      <c r="BH10" s="525" t="str">
        <f>IF(BD10="","",VLOOKUP(BD10,非_まとめ表行番号!$U$3:$V$56,2,FALSE))</f>
        <v/>
      </c>
      <c r="BI10" s="527" t="str">
        <f>IF(D10="","",VLOOKUP(D10,非_燃料種類_選択リスト!$X$2:$Y$14,2,FALSE))</f>
        <v/>
      </c>
      <c r="BJ10" s="527" t="str">
        <f>IF(E10="","",VLOOKUP(E10,非_燃料種類_選択リスト!$X$18:$Y$24,2,FALSE))</f>
        <v/>
      </c>
      <c r="BK10" s="539" t="str">
        <f t="shared" si="23"/>
        <v/>
      </c>
      <c r="BL10" s="527" t="str">
        <f t="shared" si="24"/>
        <v/>
      </c>
      <c r="BM10" s="527" t="str">
        <f t="shared" si="25"/>
        <v/>
      </c>
      <c r="BN10" s="527" t="str">
        <f t="shared" si="26"/>
        <v/>
      </c>
      <c r="BO10" s="527" t="str">
        <f t="shared" si="27"/>
        <v/>
      </c>
      <c r="BQ10" s="639" t="str">
        <f>IF(AND(B10="",C10=""),"",IF(AZ10="有",0,VLOOKUP(C10,非_係数!$B$42:$J$55,9,FALSE)))</f>
        <v/>
      </c>
      <c r="BR10" s="639" t="str">
        <f t="shared" si="28"/>
        <v/>
      </c>
    </row>
    <row r="11" spans="1:70" ht="18.75" customHeight="1">
      <c r="A11" s="483"/>
      <c r="B11" s="406"/>
      <c r="C11" s="406"/>
      <c r="D11" s="406"/>
      <c r="E11" s="407"/>
      <c r="F11" s="407"/>
      <c r="G11" s="406"/>
      <c r="H11" s="617" t="str">
        <f t="shared" si="14"/>
        <v/>
      </c>
      <c r="I11" s="406"/>
      <c r="J11" s="457" t="str">
        <f t="shared" si="0"/>
        <v/>
      </c>
      <c r="K11" s="406"/>
      <c r="L11" s="458"/>
      <c r="M11" s="406"/>
      <c r="N11" s="406"/>
      <c r="O11" s="455"/>
      <c r="P11" s="455"/>
      <c r="Q11" s="455"/>
      <c r="R11" s="455"/>
      <c r="S11" s="455"/>
      <c r="T11" s="455"/>
      <c r="U11" s="455"/>
      <c r="V11" s="455"/>
      <c r="W11" s="455"/>
      <c r="X11" s="455"/>
      <c r="Y11" s="455"/>
      <c r="Z11" s="455"/>
      <c r="AA11" s="504"/>
      <c r="AB11" s="595" t="str">
        <f t="shared" si="29"/>
        <v/>
      </c>
      <c r="AC11" s="596" t="str">
        <f t="shared" si="31"/>
        <v/>
      </c>
      <c r="AD11" s="597" t="str">
        <f>IF(C11="","",VLOOKUP(C11,非_単位!$N$38:$O$53,2,FALSE))</f>
        <v/>
      </c>
      <c r="AE11" s="598" t="str">
        <f t="shared" si="32"/>
        <v/>
      </c>
      <c r="AF11" s="585" t="str">
        <f t="shared" si="33"/>
        <v/>
      </c>
      <c r="AH11" s="466" t="str">
        <f t="shared" si="1"/>
        <v/>
      </c>
      <c r="AI11" s="466" t="str">
        <f t="shared" si="30"/>
        <v/>
      </c>
      <c r="AJ11" s="466" t="str">
        <f t="shared" si="2"/>
        <v/>
      </c>
      <c r="AK11" s="466" t="str">
        <f t="shared" si="3"/>
        <v/>
      </c>
      <c r="AL11" s="466" t="str">
        <f t="shared" si="4"/>
        <v/>
      </c>
      <c r="AM11" s="466" t="str">
        <f t="shared" si="5"/>
        <v/>
      </c>
      <c r="AN11" s="466" t="str">
        <f t="shared" si="6"/>
        <v/>
      </c>
      <c r="AO11" s="466" t="str">
        <f t="shared" si="18"/>
        <v/>
      </c>
      <c r="AP11" s="466" t="str">
        <f t="shared" si="7"/>
        <v/>
      </c>
      <c r="AQ11" s="466" t="str">
        <f>IF(C11="","",IF(AP11="対象","熱量計読取",VLOOKUP(C11,非_係数!$B$42:$D$55,2,FALSE)))</f>
        <v/>
      </c>
      <c r="AR11" s="466" t="str">
        <f>IF(AH11="電気",非_電気事業者!$S$4*1000,IF(AH11="熱",非_熱供給事業者!$T$4,""))</f>
        <v/>
      </c>
      <c r="AS11" s="466" t="str">
        <f>IF(N11="","",VLOOKUP(N11,非_単位補正換算!$B$3:$C$16,2,FALSE))</f>
        <v/>
      </c>
      <c r="AT11" s="466" t="str">
        <f t="shared" si="19"/>
        <v/>
      </c>
      <c r="AU11" s="466" t="str">
        <f t="shared" si="8"/>
        <v/>
      </c>
      <c r="AV11" s="466">
        <v>1</v>
      </c>
      <c r="AW11" s="466" t="str">
        <f t="shared" si="9"/>
        <v/>
      </c>
      <c r="AX11" s="535" t="b">
        <f t="shared" si="20"/>
        <v>1</v>
      </c>
      <c r="AY11" s="466" t="str">
        <f t="shared" si="21"/>
        <v/>
      </c>
      <c r="AZ11" s="466" t="str">
        <f t="shared" si="10"/>
        <v/>
      </c>
      <c r="BA11" s="466" t="str">
        <f t="shared" si="11"/>
        <v/>
      </c>
      <c r="BB11" s="466" t="str">
        <f t="shared" si="12"/>
        <v/>
      </c>
      <c r="BC11" s="466" t="str">
        <f t="shared" si="13"/>
        <v/>
      </c>
      <c r="BD11" s="466" t="str">
        <f>IF(BC11&lt;&gt;"義務","",SUMIFS(非_まとめ表行番号!$N$3:$N$20,非_まとめ表行番号!$J$3:$J$20,AY11,非_まとめ表行番号!$K$3:$K$20,AZ11,非_まとめ表行番号!$L$3:$L$20,BA11,非_まとめ表行番号!$M$3:$M$20,BB11))</f>
        <v/>
      </c>
      <c r="BE11" s="466" t="str">
        <f>IF(BC11&lt;&gt;"義務","",SUMIFS(非_まとめ表行番号!$O$3:$O$20,非_まとめ表行番号!$J$3:$J$20,AY11,非_まとめ表行番号!$K$3:$K$20,AZ11,非_まとめ表行番号!$L$3:$L$20,BA11,非_まとめ表行番号!$M$3:$M$20,BB11))</f>
        <v/>
      </c>
      <c r="BF11" s="466" t="str">
        <f t="shared" si="22"/>
        <v/>
      </c>
      <c r="BG11" s="529"/>
      <c r="BH11" s="525" t="str">
        <f>IF(BD11="","",VLOOKUP(BD11,非_まとめ表行番号!$U$3:$V$56,2,FALSE))</f>
        <v/>
      </c>
      <c r="BI11" s="527" t="str">
        <f>IF(D11="","",VLOOKUP(D11,非_燃料種類_選択リスト!$X$2:$Y$14,2,FALSE))</f>
        <v/>
      </c>
      <c r="BJ11" s="527" t="str">
        <f>IF(E11="","",VLOOKUP(E11,非_燃料種類_選択リスト!$X$18:$Y$24,2,FALSE))</f>
        <v/>
      </c>
      <c r="BK11" s="539" t="str">
        <f t="shared" si="23"/>
        <v/>
      </c>
      <c r="BL11" s="527" t="str">
        <f t="shared" si="24"/>
        <v/>
      </c>
      <c r="BM11" s="527" t="str">
        <f t="shared" si="25"/>
        <v/>
      </c>
      <c r="BN11" s="527" t="str">
        <f t="shared" si="26"/>
        <v/>
      </c>
      <c r="BO11" s="527" t="str">
        <f t="shared" si="27"/>
        <v/>
      </c>
      <c r="BQ11" s="639" t="str">
        <f>IF(AND(B11="",C11=""),"",IF(AZ11="有",0,VLOOKUP(C11,非_係数!$B$42:$J$55,9,FALSE)))</f>
        <v/>
      </c>
      <c r="BR11" s="639" t="str">
        <f t="shared" si="28"/>
        <v/>
      </c>
    </row>
    <row r="12" spans="1:70" ht="18.75" customHeight="1">
      <c r="A12" s="483"/>
      <c r="B12" s="406"/>
      <c r="C12" s="406"/>
      <c r="D12" s="406"/>
      <c r="E12" s="407"/>
      <c r="F12" s="407"/>
      <c r="G12" s="406"/>
      <c r="H12" s="617" t="str">
        <f t="shared" si="14"/>
        <v/>
      </c>
      <c r="I12" s="406"/>
      <c r="J12" s="457" t="str">
        <f t="shared" si="0"/>
        <v/>
      </c>
      <c r="K12" s="406"/>
      <c r="L12" s="458"/>
      <c r="M12" s="406"/>
      <c r="N12" s="406"/>
      <c r="O12" s="455"/>
      <c r="P12" s="455"/>
      <c r="Q12" s="455"/>
      <c r="R12" s="455"/>
      <c r="S12" s="455"/>
      <c r="T12" s="455"/>
      <c r="U12" s="455"/>
      <c r="V12" s="455"/>
      <c r="W12" s="455"/>
      <c r="X12" s="455"/>
      <c r="Y12" s="455"/>
      <c r="Z12" s="455"/>
      <c r="AA12" s="504"/>
      <c r="AB12" s="595" t="str">
        <f t="shared" si="29"/>
        <v/>
      </c>
      <c r="AC12" s="596" t="str">
        <f t="shared" ref="AC12:AC36" si="34">AT12</f>
        <v/>
      </c>
      <c r="AD12" s="597" t="str">
        <f>IF(C12="","",VLOOKUP(C12,非_単位!$N$38:$O$53,2,FALSE))</f>
        <v/>
      </c>
      <c r="AE12" s="598" t="str">
        <f t="shared" ref="AE12:AE36" si="35">AU12</f>
        <v/>
      </c>
      <c r="AF12" s="585" t="str">
        <f t="shared" ref="AF12:AF36" si="36">AW12</f>
        <v/>
      </c>
      <c r="AH12" s="466" t="str">
        <f t="shared" si="1"/>
        <v/>
      </c>
      <c r="AI12" s="466" t="str">
        <f t="shared" si="30"/>
        <v/>
      </c>
      <c r="AJ12" s="466" t="str">
        <f t="shared" si="2"/>
        <v/>
      </c>
      <c r="AK12" s="466" t="str">
        <f t="shared" si="3"/>
        <v/>
      </c>
      <c r="AL12" s="466" t="str">
        <f t="shared" si="4"/>
        <v/>
      </c>
      <c r="AM12" s="466" t="str">
        <f t="shared" si="5"/>
        <v/>
      </c>
      <c r="AN12" s="466" t="str">
        <f t="shared" si="6"/>
        <v/>
      </c>
      <c r="AO12" s="466" t="str">
        <f t="shared" si="18"/>
        <v/>
      </c>
      <c r="AP12" s="466" t="str">
        <f t="shared" si="7"/>
        <v/>
      </c>
      <c r="AQ12" s="466" t="str">
        <f>IF(C12="","",IF(AP12="対象","熱量計読取",VLOOKUP(C12,非_係数!$B$42:$D$55,2,FALSE)))</f>
        <v/>
      </c>
      <c r="AR12" s="466" t="str">
        <f>IF(AH12="電気",非_電気事業者!$S$4*1000,IF(AH12="熱",非_熱供給事業者!$T$4,""))</f>
        <v/>
      </c>
      <c r="AS12" s="466" t="str">
        <f>IF(N12="","",VLOOKUP(N12,非_単位補正換算!$B$3:$C$16,2,FALSE))</f>
        <v/>
      </c>
      <c r="AT12" s="466" t="str">
        <f t="shared" si="19"/>
        <v/>
      </c>
      <c r="AU12" s="466" t="str">
        <f t="shared" si="8"/>
        <v/>
      </c>
      <c r="AV12" s="466">
        <v>1</v>
      </c>
      <c r="AW12" s="466" t="str">
        <f t="shared" si="9"/>
        <v/>
      </c>
      <c r="AX12" s="535" t="b">
        <f t="shared" si="20"/>
        <v>1</v>
      </c>
      <c r="AY12" s="466" t="str">
        <f t="shared" si="21"/>
        <v/>
      </c>
      <c r="AZ12" s="466" t="str">
        <f t="shared" si="10"/>
        <v/>
      </c>
      <c r="BA12" s="466" t="str">
        <f t="shared" si="11"/>
        <v/>
      </c>
      <c r="BB12" s="466" t="str">
        <f t="shared" si="12"/>
        <v/>
      </c>
      <c r="BC12" s="466" t="str">
        <f t="shared" si="13"/>
        <v/>
      </c>
      <c r="BD12" s="466" t="str">
        <f>IF(BC12&lt;&gt;"義務","",SUMIFS(非_まとめ表行番号!$N$3:$N$20,非_まとめ表行番号!$J$3:$J$20,AY12,非_まとめ表行番号!$K$3:$K$20,AZ12,非_まとめ表行番号!$L$3:$L$20,BA12,非_まとめ表行番号!$M$3:$M$20,BB12))</f>
        <v/>
      </c>
      <c r="BE12" s="466" t="str">
        <f>IF(BC12&lt;&gt;"義務","",SUMIFS(非_まとめ表行番号!$O$3:$O$20,非_まとめ表行番号!$J$3:$J$20,AY12,非_まとめ表行番号!$K$3:$K$20,AZ12,非_まとめ表行番号!$L$3:$L$20,BA12,非_まとめ表行番号!$M$3:$M$20,BB12))</f>
        <v/>
      </c>
      <c r="BF12" s="466" t="str">
        <f t="shared" si="22"/>
        <v/>
      </c>
      <c r="BG12" s="529"/>
      <c r="BH12" s="525" t="str">
        <f>IF(BD12="","",VLOOKUP(BD12,非_まとめ表行番号!$U$3:$V$56,2,FALSE))</f>
        <v/>
      </c>
      <c r="BI12" s="527" t="str">
        <f>IF(D12="","",VLOOKUP(D12,非_燃料種類_選択リスト!$X$2:$Y$14,2,FALSE))</f>
        <v/>
      </c>
      <c r="BJ12" s="527" t="str">
        <f>IF(E12="","",VLOOKUP(E12,非_燃料種類_選択リスト!$X$18:$Y$24,2,FALSE))</f>
        <v/>
      </c>
      <c r="BK12" s="539" t="str">
        <f t="shared" si="23"/>
        <v/>
      </c>
      <c r="BL12" s="527" t="str">
        <f t="shared" si="24"/>
        <v/>
      </c>
      <c r="BM12" s="527" t="str">
        <f t="shared" si="25"/>
        <v/>
      </c>
      <c r="BN12" s="527" t="str">
        <f t="shared" si="26"/>
        <v/>
      </c>
      <c r="BO12" s="527" t="str">
        <f t="shared" si="27"/>
        <v/>
      </c>
      <c r="BQ12" s="639" t="str">
        <f>IF(AND(B12="",C12=""),"",IF(AZ12="有",0,VLOOKUP(C12,非_係数!$B$42:$J$55,9,FALSE)))</f>
        <v/>
      </c>
      <c r="BR12" s="639" t="str">
        <f t="shared" si="28"/>
        <v/>
      </c>
    </row>
    <row r="13" spans="1:70" ht="18.75" customHeight="1">
      <c r="A13" s="483"/>
      <c r="B13" s="406"/>
      <c r="C13" s="406"/>
      <c r="D13" s="406"/>
      <c r="E13" s="407"/>
      <c r="F13" s="407"/>
      <c r="G13" s="406"/>
      <c r="H13" s="617" t="str">
        <f t="shared" si="14"/>
        <v/>
      </c>
      <c r="I13" s="406"/>
      <c r="J13" s="457" t="str">
        <f t="shared" si="0"/>
        <v/>
      </c>
      <c r="K13" s="406"/>
      <c r="L13" s="458"/>
      <c r="M13" s="406"/>
      <c r="N13" s="406"/>
      <c r="O13" s="455"/>
      <c r="P13" s="455"/>
      <c r="Q13" s="455"/>
      <c r="R13" s="455"/>
      <c r="S13" s="455"/>
      <c r="T13" s="455"/>
      <c r="U13" s="455"/>
      <c r="V13" s="455"/>
      <c r="W13" s="455"/>
      <c r="X13" s="455"/>
      <c r="Y13" s="455"/>
      <c r="Z13" s="455"/>
      <c r="AA13" s="504"/>
      <c r="AB13" s="595" t="str">
        <f t="shared" si="29"/>
        <v/>
      </c>
      <c r="AC13" s="596" t="str">
        <f t="shared" si="34"/>
        <v/>
      </c>
      <c r="AD13" s="597" t="str">
        <f>IF(C13="","",VLOOKUP(C13,非_単位!$N$38:$O$53,2,FALSE))</f>
        <v/>
      </c>
      <c r="AE13" s="598" t="str">
        <f t="shared" si="35"/>
        <v/>
      </c>
      <c r="AF13" s="585" t="str">
        <f t="shared" si="36"/>
        <v/>
      </c>
      <c r="AH13" s="466" t="str">
        <f t="shared" si="1"/>
        <v/>
      </c>
      <c r="AI13" s="466" t="str">
        <f t="shared" si="30"/>
        <v/>
      </c>
      <c r="AJ13" s="466" t="str">
        <f t="shared" si="2"/>
        <v/>
      </c>
      <c r="AK13" s="466" t="str">
        <f t="shared" si="3"/>
        <v/>
      </c>
      <c r="AL13" s="466" t="str">
        <f t="shared" si="4"/>
        <v/>
      </c>
      <c r="AM13" s="466" t="str">
        <f t="shared" si="5"/>
        <v/>
      </c>
      <c r="AN13" s="466" t="str">
        <f t="shared" si="6"/>
        <v/>
      </c>
      <c r="AO13" s="466" t="str">
        <f t="shared" si="18"/>
        <v/>
      </c>
      <c r="AP13" s="466" t="str">
        <f t="shared" si="7"/>
        <v/>
      </c>
      <c r="AQ13" s="466" t="str">
        <f>IF(C13="","",IF(AP13="対象","熱量計読取",VLOOKUP(C13,非_係数!$B$42:$D$55,2,FALSE)))</f>
        <v/>
      </c>
      <c r="AR13" s="466" t="str">
        <f>IF(AH13="電気",非_電気事業者!$S$4*1000,IF(AH13="熱",非_熱供給事業者!$T$4,""))</f>
        <v/>
      </c>
      <c r="AS13" s="466" t="str">
        <f>IF(N13="","",VLOOKUP(N13,非_単位補正換算!$B$3:$C$16,2,FALSE))</f>
        <v/>
      </c>
      <c r="AT13" s="466" t="str">
        <f t="shared" si="19"/>
        <v/>
      </c>
      <c r="AU13" s="466" t="str">
        <f t="shared" si="8"/>
        <v/>
      </c>
      <c r="AV13" s="466">
        <v>1</v>
      </c>
      <c r="AW13" s="466" t="str">
        <f t="shared" si="9"/>
        <v/>
      </c>
      <c r="AX13" s="535" t="b">
        <f t="shared" si="20"/>
        <v>1</v>
      </c>
      <c r="AY13" s="466" t="str">
        <f t="shared" si="21"/>
        <v/>
      </c>
      <c r="AZ13" s="466" t="str">
        <f t="shared" si="10"/>
        <v/>
      </c>
      <c r="BA13" s="466" t="str">
        <f t="shared" si="11"/>
        <v/>
      </c>
      <c r="BB13" s="466" t="str">
        <f t="shared" si="12"/>
        <v/>
      </c>
      <c r="BC13" s="466" t="str">
        <f t="shared" si="13"/>
        <v/>
      </c>
      <c r="BD13" s="466" t="str">
        <f>IF(BC13&lt;&gt;"義務","",SUMIFS(非_まとめ表行番号!$N$3:$N$20,非_まとめ表行番号!$J$3:$J$20,AY13,非_まとめ表行番号!$K$3:$K$20,AZ13,非_まとめ表行番号!$L$3:$L$20,BA13,非_まとめ表行番号!$M$3:$M$20,BB13))</f>
        <v/>
      </c>
      <c r="BE13" s="466" t="str">
        <f>IF(BC13&lt;&gt;"義務","",SUMIFS(非_まとめ表行番号!$O$3:$O$20,非_まとめ表行番号!$J$3:$J$20,AY13,非_まとめ表行番号!$K$3:$K$20,AZ13,非_まとめ表行番号!$L$3:$L$20,BA13,非_まとめ表行番号!$M$3:$M$20,BB13))</f>
        <v/>
      </c>
      <c r="BF13" s="466" t="str">
        <f t="shared" si="22"/>
        <v/>
      </c>
      <c r="BG13" s="529"/>
      <c r="BH13" s="525" t="str">
        <f>IF(BD13="","",VLOOKUP(BD13,非_まとめ表行番号!$U$3:$V$56,2,FALSE))</f>
        <v/>
      </c>
      <c r="BI13" s="527" t="str">
        <f>IF(D13="","",VLOOKUP(D13,非_燃料種類_選択リスト!$X$2:$Y$14,2,FALSE))</f>
        <v/>
      </c>
      <c r="BJ13" s="527" t="str">
        <f>IF(E13="","",VLOOKUP(E13,非_燃料種類_選択リスト!$X$18:$Y$24,2,FALSE))</f>
        <v/>
      </c>
      <c r="BK13" s="539" t="str">
        <f t="shared" si="23"/>
        <v/>
      </c>
      <c r="BL13" s="527" t="str">
        <f t="shared" si="24"/>
        <v/>
      </c>
      <c r="BM13" s="527" t="str">
        <f t="shared" si="25"/>
        <v/>
      </c>
      <c r="BN13" s="527" t="str">
        <f t="shared" si="26"/>
        <v/>
      </c>
      <c r="BO13" s="527" t="str">
        <f t="shared" si="27"/>
        <v/>
      </c>
      <c r="BQ13" s="639" t="str">
        <f>IF(AND(B13="",C13=""),"",IF(AZ13="有",0,VLOOKUP(C13,非_係数!$B$42:$J$55,9,FALSE)))</f>
        <v/>
      </c>
      <c r="BR13" s="639" t="str">
        <f t="shared" si="28"/>
        <v/>
      </c>
    </row>
    <row r="14" spans="1:70" ht="18.75" customHeight="1">
      <c r="A14" s="483"/>
      <c r="B14" s="406"/>
      <c r="C14" s="406"/>
      <c r="D14" s="406"/>
      <c r="E14" s="407"/>
      <c r="F14" s="407"/>
      <c r="G14" s="406"/>
      <c r="H14" s="617" t="str">
        <f t="shared" ref="H14:H18" si="37">AQ14</f>
        <v/>
      </c>
      <c r="I14" s="406"/>
      <c r="J14" s="457" t="str">
        <f t="shared" si="0"/>
        <v/>
      </c>
      <c r="K14" s="406"/>
      <c r="L14" s="458"/>
      <c r="M14" s="406"/>
      <c r="N14" s="406"/>
      <c r="O14" s="455"/>
      <c r="P14" s="455"/>
      <c r="Q14" s="455"/>
      <c r="R14" s="455"/>
      <c r="S14" s="455"/>
      <c r="T14" s="455"/>
      <c r="U14" s="455"/>
      <c r="V14" s="455"/>
      <c r="W14" s="455"/>
      <c r="X14" s="455"/>
      <c r="Y14" s="455"/>
      <c r="Z14" s="455"/>
      <c r="AA14" s="504"/>
      <c r="AB14" s="595" t="str">
        <f t="shared" si="29"/>
        <v/>
      </c>
      <c r="AC14" s="596" t="str">
        <f t="shared" ref="AC14:AC18" si="38">AT14</f>
        <v/>
      </c>
      <c r="AD14" s="597" t="str">
        <f>IF(C14="","",VLOOKUP(C14,非_単位!$N$38:$O$53,2,FALSE))</f>
        <v/>
      </c>
      <c r="AE14" s="598" t="str">
        <f t="shared" ref="AE14:AE18" si="39">AU14</f>
        <v/>
      </c>
      <c r="AF14" s="585" t="str">
        <f t="shared" ref="AF14:AF18" si="40">AW14</f>
        <v/>
      </c>
      <c r="AH14" s="466" t="str">
        <f t="shared" si="1"/>
        <v/>
      </c>
      <c r="AI14" s="466" t="str">
        <f t="shared" ref="AI14:AI18" si="41">IF(AH14="電気","再エネ_事業所内_電気_種類",IF(AH14="熱","再エネ_事業所内_熱_種類",""))</f>
        <v/>
      </c>
      <c r="AJ14" s="466" t="str">
        <f t="shared" si="2"/>
        <v/>
      </c>
      <c r="AK14" s="466" t="str">
        <f t="shared" si="3"/>
        <v/>
      </c>
      <c r="AL14" s="466" t="str">
        <f t="shared" si="4"/>
        <v/>
      </c>
      <c r="AM14" s="466" t="str">
        <f t="shared" si="5"/>
        <v/>
      </c>
      <c r="AN14" s="466" t="str">
        <f t="shared" si="6"/>
        <v/>
      </c>
      <c r="AO14" s="466" t="str">
        <f t="shared" ref="AO14:AO18" si="42">IF(AH14="","","自家消費")</f>
        <v/>
      </c>
      <c r="AP14" s="466" t="str">
        <f t="shared" si="7"/>
        <v/>
      </c>
      <c r="AQ14" s="466" t="str">
        <f>IF(C14="","",IF(AP14="対象","熱量計読取",VLOOKUP(C14,非_係数!$B$42:$D$55,2,FALSE)))</f>
        <v/>
      </c>
      <c r="AR14" s="466" t="str">
        <f>IF(AH14="電気",非_電気事業者!$S$4*1000,IF(AH14="熱",非_熱供給事業者!$T$4,""))</f>
        <v/>
      </c>
      <c r="AS14" s="466" t="str">
        <f>IF(N14="","",VLOOKUP(N14,非_単位補正換算!$B$3:$C$16,2,FALSE))</f>
        <v/>
      </c>
      <c r="AT14" s="466" t="str">
        <f t="shared" ref="AT14:AT18" si="43">IF(N14="","",IF(AB14="","",AB14/AS14))</f>
        <v/>
      </c>
      <c r="AU14" s="466" t="str">
        <f t="shared" si="8"/>
        <v/>
      </c>
      <c r="AV14" s="466">
        <v>1</v>
      </c>
      <c r="AW14" s="466" t="str">
        <f t="shared" si="9"/>
        <v/>
      </c>
      <c r="AX14" s="535" t="b">
        <f t="shared" si="20"/>
        <v>1</v>
      </c>
      <c r="AY14" s="466" t="str">
        <f t="shared" ref="AY14:AY18" si="44">AH14</f>
        <v/>
      </c>
      <c r="AZ14" s="466" t="str">
        <f t="shared" si="10"/>
        <v/>
      </c>
      <c r="BA14" s="466" t="str">
        <f t="shared" si="11"/>
        <v/>
      </c>
      <c r="BB14" s="466" t="str">
        <f t="shared" si="12"/>
        <v/>
      </c>
      <c r="BC14" s="466" t="str">
        <f t="shared" si="13"/>
        <v/>
      </c>
      <c r="BD14" s="466" t="str">
        <f>IF(BC14&lt;&gt;"義務","",SUMIFS(非_まとめ表行番号!$N$3:$N$20,非_まとめ表行番号!$J$3:$J$20,AY14,非_まとめ表行番号!$K$3:$K$20,AZ14,非_まとめ表行番号!$L$3:$L$20,BA14,非_まとめ表行番号!$M$3:$M$20,BB14))</f>
        <v/>
      </c>
      <c r="BE14" s="466" t="str">
        <f>IF(BC14&lt;&gt;"義務","",SUMIFS(非_まとめ表行番号!$O$3:$O$20,非_まとめ表行番号!$J$3:$J$20,AY14,非_まとめ表行番号!$K$3:$K$20,AZ14,非_まとめ表行番号!$L$3:$L$20,BA14,非_まとめ表行番号!$M$3:$M$20,BB14))</f>
        <v/>
      </c>
      <c r="BF14" s="466" t="str">
        <f t="shared" si="22"/>
        <v/>
      </c>
      <c r="BG14" s="529"/>
      <c r="BH14" s="525" t="str">
        <f>IF(BD14="","",VLOOKUP(BD14,非_まとめ表行番号!$U$3:$V$56,2,FALSE))</f>
        <v/>
      </c>
      <c r="BI14" s="527" t="str">
        <f>IF(D14="","",VLOOKUP(D14,非_燃料種類_選択リスト!$X$2:$Y$14,2,FALSE))</f>
        <v/>
      </c>
      <c r="BJ14" s="527" t="str">
        <f>IF(E14="","",VLOOKUP(E14,非_燃料種類_選択リスト!$X$18:$Y$24,2,FALSE))</f>
        <v/>
      </c>
      <c r="BK14" s="539" t="str">
        <f t="shared" si="23"/>
        <v/>
      </c>
      <c r="BL14" s="527" t="str">
        <f t="shared" si="24"/>
        <v/>
      </c>
      <c r="BM14" s="527" t="str">
        <f t="shared" si="25"/>
        <v/>
      </c>
      <c r="BN14" s="527" t="str">
        <f t="shared" si="26"/>
        <v/>
      </c>
      <c r="BO14" s="527" t="str">
        <f t="shared" si="27"/>
        <v/>
      </c>
      <c r="BQ14" s="639" t="str">
        <f>IF(AND(B14="",C14=""),"",IF(AZ14="有",0,VLOOKUP(C14,非_係数!$B$42:$J$55,9,FALSE)))</f>
        <v/>
      </c>
      <c r="BR14" s="639" t="str">
        <f t="shared" si="28"/>
        <v/>
      </c>
    </row>
    <row r="15" spans="1:70" ht="18.75" customHeight="1">
      <c r="A15" s="483"/>
      <c r="B15" s="406"/>
      <c r="C15" s="406"/>
      <c r="D15" s="406"/>
      <c r="E15" s="407"/>
      <c r="F15" s="407"/>
      <c r="G15" s="406"/>
      <c r="H15" s="617" t="str">
        <f t="shared" si="37"/>
        <v/>
      </c>
      <c r="I15" s="406"/>
      <c r="J15" s="457" t="str">
        <f t="shared" si="0"/>
        <v/>
      </c>
      <c r="K15" s="406"/>
      <c r="L15" s="458"/>
      <c r="M15" s="406"/>
      <c r="N15" s="406"/>
      <c r="O15" s="455"/>
      <c r="P15" s="455"/>
      <c r="Q15" s="455"/>
      <c r="R15" s="455"/>
      <c r="S15" s="455"/>
      <c r="T15" s="455"/>
      <c r="U15" s="455"/>
      <c r="V15" s="455"/>
      <c r="W15" s="455"/>
      <c r="X15" s="455"/>
      <c r="Y15" s="455"/>
      <c r="Z15" s="455"/>
      <c r="AA15" s="504"/>
      <c r="AB15" s="595" t="str">
        <f t="shared" si="29"/>
        <v/>
      </c>
      <c r="AC15" s="596" t="str">
        <f t="shared" si="38"/>
        <v/>
      </c>
      <c r="AD15" s="597" t="str">
        <f>IF(C15="","",VLOOKUP(C15,非_単位!$N$38:$O$53,2,FALSE))</f>
        <v/>
      </c>
      <c r="AE15" s="598" t="str">
        <f t="shared" si="39"/>
        <v/>
      </c>
      <c r="AF15" s="585" t="str">
        <f t="shared" si="40"/>
        <v/>
      </c>
      <c r="AH15" s="466" t="str">
        <f t="shared" si="1"/>
        <v/>
      </c>
      <c r="AI15" s="466" t="str">
        <f t="shared" si="41"/>
        <v/>
      </c>
      <c r="AJ15" s="466" t="str">
        <f t="shared" si="2"/>
        <v/>
      </c>
      <c r="AK15" s="466" t="str">
        <f t="shared" si="3"/>
        <v/>
      </c>
      <c r="AL15" s="466" t="str">
        <f t="shared" si="4"/>
        <v/>
      </c>
      <c r="AM15" s="466" t="str">
        <f t="shared" si="5"/>
        <v/>
      </c>
      <c r="AN15" s="466" t="str">
        <f t="shared" si="6"/>
        <v/>
      </c>
      <c r="AO15" s="466" t="str">
        <f t="shared" si="42"/>
        <v/>
      </c>
      <c r="AP15" s="466" t="str">
        <f t="shared" si="7"/>
        <v/>
      </c>
      <c r="AQ15" s="466" t="str">
        <f>IF(C15="","",IF(AP15="対象","熱量計読取",VLOOKUP(C15,非_係数!$B$42:$D$55,2,FALSE)))</f>
        <v/>
      </c>
      <c r="AR15" s="466" t="str">
        <f>IF(AH15="電気",非_電気事業者!$S$4*1000,IF(AH15="熱",非_熱供給事業者!$T$4,""))</f>
        <v/>
      </c>
      <c r="AS15" s="466" t="str">
        <f>IF(N15="","",VLOOKUP(N15,非_単位補正換算!$B$3:$C$16,2,FALSE))</f>
        <v/>
      </c>
      <c r="AT15" s="466" t="str">
        <f t="shared" si="43"/>
        <v/>
      </c>
      <c r="AU15" s="466" t="str">
        <f t="shared" si="8"/>
        <v/>
      </c>
      <c r="AV15" s="466">
        <v>1</v>
      </c>
      <c r="AW15" s="466" t="str">
        <f t="shared" si="9"/>
        <v/>
      </c>
      <c r="AX15" s="535" t="b">
        <f t="shared" si="20"/>
        <v>1</v>
      </c>
      <c r="AY15" s="466" t="str">
        <f t="shared" si="44"/>
        <v/>
      </c>
      <c r="AZ15" s="466" t="str">
        <f t="shared" si="10"/>
        <v/>
      </c>
      <c r="BA15" s="466" t="str">
        <f t="shared" si="11"/>
        <v/>
      </c>
      <c r="BB15" s="466" t="str">
        <f t="shared" si="12"/>
        <v/>
      </c>
      <c r="BC15" s="466" t="str">
        <f t="shared" si="13"/>
        <v/>
      </c>
      <c r="BD15" s="466" t="str">
        <f>IF(BC15&lt;&gt;"義務","",SUMIFS(非_まとめ表行番号!$N$3:$N$20,非_まとめ表行番号!$J$3:$J$20,AY15,非_まとめ表行番号!$K$3:$K$20,AZ15,非_まとめ表行番号!$L$3:$L$20,BA15,非_まとめ表行番号!$M$3:$M$20,BB15))</f>
        <v/>
      </c>
      <c r="BE15" s="466" t="str">
        <f>IF(BC15&lt;&gt;"義務","",SUMIFS(非_まとめ表行番号!$O$3:$O$20,非_まとめ表行番号!$J$3:$J$20,AY15,非_まとめ表行番号!$K$3:$K$20,AZ15,非_まとめ表行番号!$L$3:$L$20,BA15,非_まとめ表行番号!$M$3:$M$20,BB15))</f>
        <v/>
      </c>
      <c r="BF15" s="466" t="str">
        <f t="shared" si="22"/>
        <v/>
      </c>
      <c r="BG15" s="529"/>
      <c r="BH15" s="525" t="str">
        <f>IF(BD15="","",VLOOKUP(BD15,非_まとめ表行番号!$U$3:$V$56,2,FALSE))</f>
        <v/>
      </c>
      <c r="BI15" s="527" t="str">
        <f>IF(D15="","",VLOOKUP(D15,非_燃料種類_選択リスト!$X$2:$Y$14,2,FALSE))</f>
        <v/>
      </c>
      <c r="BJ15" s="527" t="str">
        <f>IF(E15="","",VLOOKUP(E15,非_燃料種類_選択リスト!$X$18:$Y$24,2,FALSE))</f>
        <v/>
      </c>
      <c r="BK15" s="539" t="str">
        <f t="shared" si="23"/>
        <v/>
      </c>
      <c r="BL15" s="527" t="str">
        <f t="shared" si="24"/>
        <v/>
      </c>
      <c r="BM15" s="527" t="str">
        <f t="shared" si="25"/>
        <v/>
      </c>
      <c r="BN15" s="527" t="str">
        <f t="shared" si="26"/>
        <v/>
      </c>
      <c r="BO15" s="527" t="str">
        <f t="shared" si="27"/>
        <v/>
      </c>
      <c r="BQ15" s="639" t="str">
        <f>IF(AND(B15="",C15=""),"",IF(AZ15="有",0,VLOOKUP(C15,非_係数!$B$42:$J$55,9,FALSE)))</f>
        <v/>
      </c>
      <c r="BR15" s="639" t="str">
        <f t="shared" si="28"/>
        <v/>
      </c>
    </row>
    <row r="16" spans="1:70" ht="18.75" customHeight="1">
      <c r="A16" s="483"/>
      <c r="B16" s="406"/>
      <c r="C16" s="406"/>
      <c r="D16" s="406"/>
      <c r="E16" s="407"/>
      <c r="F16" s="407"/>
      <c r="G16" s="406"/>
      <c r="H16" s="617" t="str">
        <f t="shared" si="37"/>
        <v/>
      </c>
      <c r="I16" s="406"/>
      <c r="J16" s="457" t="str">
        <f t="shared" si="0"/>
        <v/>
      </c>
      <c r="K16" s="406"/>
      <c r="L16" s="458"/>
      <c r="M16" s="406"/>
      <c r="N16" s="406"/>
      <c r="O16" s="455"/>
      <c r="P16" s="455"/>
      <c r="Q16" s="455"/>
      <c r="R16" s="455"/>
      <c r="S16" s="455"/>
      <c r="T16" s="455"/>
      <c r="U16" s="455"/>
      <c r="V16" s="455"/>
      <c r="W16" s="455"/>
      <c r="X16" s="455"/>
      <c r="Y16" s="455"/>
      <c r="Z16" s="455"/>
      <c r="AA16" s="504"/>
      <c r="AB16" s="595" t="str">
        <f t="shared" si="29"/>
        <v/>
      </c>
      <c r="AC16" s="596" t="str">
        <f t="shared" si="38"/>
        <v/>
      </c>
      <c r="AD16" s="597" t="str">
        <f>IF(C16="","",VLOOKUP(C16,非_単位!$N$38:$O$53,2,FALSE))</f>
        <v/>
      </c>
      <c r="AE16" s="598" t="str">
        <f t="shared" si="39"/>
        <v/>
      </c>
      <c r="AF16" s="585" t="str">
        <f t="shared" si="40"/>
        <v/>
      </c>
      <c r="AH16" s="466" t="str">
        <f t="shared" si="1"/>
        <v/>
      </c>
      <c r="AI16" s="466" t="str">
        <f t="shared" si="41"/>
        <v/>
      </c>
      <c r="AJ16" s="466" t="str">
        <f t="shared" si="2"/>
        <v/>
      </c>
      <c r="AK16" s="466" t="str">
        <f t="shared" si="3"/>
        <v/>
      </c>
      <c r="AL16" s="466" t="str">
        <f t="shared" si="4"/>
        <v/>
      </c>
      <c r="AM16" s="466" t="str">
        <f t="shared" si="5"/>
        <v/>
      </c>
      <c r="AN16" s="466" t="str">
        <f t="shared" si="6"/>
        <v/>
      </c>
      <c r="AO16" s="466" t="str">
        <f t="shared" si="42"/>
        <v/>
      </c>
      <c r="AP16" s="466" t="str">
        <f t="shared" si="7"/>
        <v/>
      </c>
      <c r="AQ16" s="466" t="str">
        <f>IF(C16="","",IF(AP16="対象","熱量計読取",VLOOKUP(C16,非_係数!$B$42:$D$55,2,FALSE)))</f>
        <v/>
      </c>
      <c r="AR16" s="466" t="str">
        <f>IF(AH16="電気",非_電気事業者!$S$4*1000,IF(AH16="熱",非_熱供給事業者!$T$4,""))</f>
        <v/>
      </c>
      <c r="AS16" s="466" t="str">
        <f>IF(N16="","",VLOOKUP(N16,非_単位補正換算!$B$3:$C$16,2,FALSE))</f>
        <v/>
      </c>
      <c r="AT16" s="466" t="str">
        <f t="shared" si="43"/>
        <v/>
      </c>
      <c r="AU16" s="466" t="str">
        <f t="shared" si="8"/>
        <v/>
      </c>
      <c r="AV16" s="466">
        <v>1</v>
      </c>
      <c r="AW16" s="466" t="str">
        <f t="shared" si="9"/>
        <v/>
      </c>
      <c r="AX16" s="535" t="b">
        <f t="shared" si="20"/>
        <v>1</v>
      </c>
      <c r="AY16" s="466" t="str">
        <f t="shared" si="44"/>
        <v/>
      </c>
      <c r="AZ16" s="466" t="str">
        <f t="shared" si="10"/>
        <v/>
      </c>
      <c r="BA16" s="466" t="str">
        <f t="shared" si="11"/>
        <v/>
      </c>
      <c r="BB16" s="466" t="str">
        <f t="shared" si="12"/>
        <v/>
      </c>
      <c r="BC16" s="466" t="str">
        <f t="shared" si="13"/>
        <v/>
      </c>
      <c r="BD16" s="466" t="str">
        <f>IF(BC16&lt;&gt;"義務","",SUMIFS(非_まとめ表行番号!$N$3:$N$20,非_まとめ表行番号!$J$3:$J$20,AY16,非_まとめ表行番号!$K$3:$K$20,AZ16,非_まとめ表行番号!$L$3:$L$20,BA16,非_まとめ表行番号!$M$3:$M$20,BB16))</f>
        <v/>
      </c>
      <c r="BE16" s="466" t="str">
        <f>IF(BC16&lt;&gt;"義務","",SUMIFS(非_まとめ表行番号!$O$3:$O$20,非_まとめ表行番号!$J$3:$J$20,AY16,非_まとめ表行番号!$K$3:$K$20,AZ16,非_まとめ表行番号!$L$3:$L$20,BA16,非_まとめ表行番号!$M$3:$M$20,BB16))</f>
        <v/>
      </c>
      <c r="BF16" s="466" t="str">
        <f t="shared" si="22"/>
        <v/>
      </c>
      <c r="BG16" s="529"/>
      <c r="BH16" s="525" t="str">
        <f>IF(BD16="","",VLOOKUP(BD16,非_まとめ表行番号!$U$3:$V$56,2,FALSE))</f>
        <v/>
      </c>
      <c r="BI16" s="527" t="str">
        <f>IF(D16="","",VLOOKUP(D16,非_燃料種類_選択リスト!$X$2:$Y$14,2,FALSE))</f>
        <v/>
      </c>
      <c r="BJ16" s="527" t="str">
        <f>IF(E16="","",VLOOKUP(E16,非_燃料種類_選択リスト!$X$18:$Y$24,2,FALSE))</f>
        <v/>
      </c>
      <c r="BK16" s="539" t="str">
        <f t="shared" si="23"/>
        <v/>
      </c>
      <c r="BL16" s="527" t="str">
        <f t="shared" si="24"/>
        <v/>
      </c>
      <c r="BM16" s="527" t="str">
        <f t="shared" si="25"/>
        <v/>
      </c>
      <c r="BN16" s="527" t="str">
        <f t="shared" si="26"/>
        <v/>
      </c>
      <c r="BO16" s="527" t="str">
        <f t="shared" si="27"/>
        <v/>
      </c>
      <c r="BQ16" s="639" t="str">
        <f>IF(AND(B16="",C16=""),"",IF(AZ16="有",0,VLOOKUP(C16,非_係数!$B$42:$J$55,9,FALSE)))</f>
        <v/>
      </c>
      <c r="BR16" s="639" t="str">
        <f t="shared" si="28"/>
        <v/>
      </c>
    </row>
    <row r="17" spans="1:70" ht="18.75" customHeight="1">
      <c r="A17" s="483"/>
      <c r="B17" s="406"/>
      <c r="C17" s="406"/>
      <c r="D17" s="406"/>
      <c r="E17" s="407"/>
      <c r="F17" s="407"/>
      <c r="G17" s="406"/>
      <c r="H17" s="617" t="str">
        <f t="shared" si="37"/>
        <v/>
      </c>
      <c r="I17" s="406"/>
      <c r="J17" s="457" t="str">
        <f t="shared" si="0"/>
        <v/>
      </c>
      <c r="K17" s="406"/>
      <c r="L17" s="458"/>
      <c r="M17" s="406"/>
      <c r="N17" s="406"/>
      <c r="O17" s="455"/>
      <c r="P17" s="455"/>
      <c r="Q17" s="455"/>
      <c r="R17" s="455"/>
      <c r="S17" s="455"/>
      <c r="T17" s="455"/>
      <c r="U17" s="455"/>
      <c r="V17" s="455"/>
      <c r="W17" s="455"/>
      <c r="X17" s="455"/>
      <c r="Y17" s="455"/>
      <c r="Z17" s="455"/>
      <c r="AA17" s="504"/>
      <c r="AB17" s="595" t="str">
        <f t="shared" si="29"/>
        <v/>
      </c>
      <c r="AC17" s="596" t="str">
        <f t="shared" si="38"/>
        <v/>
      </c>
      <c r="AD17" s="597" t="str">
        <f>IF(C17="","",VLOOKUP(C17,非_単位!$N$38:$O$53,2,FALSE))</f>
        <v/>
      </c>
      <c r="AE17" s="598" t="str">
        <f t="shared" si="39"/>
        <v/>
      </c>
      <c r="AF17" s="585" t="str">
        <f t="shared" si="40"/>
        <v/>
      </c>
      <c r="AH17" s="466" t="str">
        <f t="shared" si="1"/>
        <v/>
      </c>
      <c r="AI17" s="466" t="str">
        <f t="shared" si="41"/>
        <v/>
      </c>
      <c r="AJ17" s="466" t="str">
        <f t="shared" si="2"/>
        <v/>
      </c>
      <c r="AK17" s="466" t="str">
        <f t="shared" si="3"/>
        <v/>
      </c>
      <c r="AL17" s="466" t="str">
        <f t="shared" si="4"/>
        <v/>
      </c>
      <c r="AM17" s="466" t="str">
        <f t="shared" si="5"/>
        <v/>
      </c>
      <c r="AN17" s="466" t="str">
        <f t="shared" si="6"/>
        <v/>
      </c>
      <c r="AO17" s="466" t="str">
        <f t="shared" si="42"/>
        <v/>
      </c>
      <c r="AP17" s="466" t="str">
        <f t="shared" si="7"/>
        <v/>
      </c>
      <c r="AQ17" s="466" t="str">
        <f>IF(C17="","",IF(AP17="対象","熱量計読取",VLOOKUP(C17,非_係数!$B$42:$D$55,2,FALSE)))</f>
        <v/>
      </c>
      <c r="AR17" s="466" t="str">
        <f>IF(AH17="電気",非_電気事業者!$S$4*1000,IF(AH17="熱",非_熱供給事業者!$T$4,""))</f>
        <v/>
      </c>
      <c r="AS17" s="466" t="str">
        <f>IF(N17="","",VLOOKUP(N17,非_単位補正換算!$B$3:$C$16,2,FALSE))</f>
        <v/>
      </c>
      <c r="AT17" s="466" t="str">
        <f t="shared" si="43"/>
        <v/>
      </c>
      <c r="AU17" s="466" t="str">
        <f t="shared" si="8"/>
        <v/>
      </c>
      <c r="AV17" s="466">
        <v>1</v>
      </c>
      <c r="AW17" s="466" t="str">
        <f t="shared" si="9"/>
        <v/>
      </c>
      <c r="AX17" s="535" t="b">
        <f t="shared" si="20"/>
        <v>1</v>
      </c>
      <c r="AY17" s="466" t="str">
        <f t="shared" si="44"/>
        <v/>
      </c>
      <c r="AZ17" s="466" t="str">
        <f t="shared" si="10"/>
        <v/>
      </c>
      <c r="BA17" s="466" t="str">
        <f t="shared" si="11"/>
        <v/>
      </c>
      <c r="BB17" s="466" t="str">
        <f t="shared" si="12"/>
        <v/>
      </c>
      <c r="BC17" s="466" t="str">
        <f t="shared" si="13"/>
        <v/>
      </c>
      <c r="BD17" s="466" t="str">
        <f>IF(BC17&lt;&gt;"義務","",SUMIFS(非_まとめ表行番号!$N$3:$N$20,非_まとめ表行番号!$J$3:$J$20,AY17,非_まとめ表行番号!$K$3:$K$20,AZ17,非_まとめ表行番号!$L$3:$L$20,BA17,非_まとめ表行番号!$M$3:$M$20,BB17))</f>
        <v/>
      </c>
      <c r="BE17" s="466" t="str">
        <f>IF(BC17&lt;&gt;"義務","",SUMIFS(非_まとめ表行番号!$O$3:$O$20,非_まとめ表行番号!$J$3:$J$20,AY17,非_まとめ表行番号!$K$3:$K$20,AZ17,非_まとめ表行番号!$L$3:$L$20,BA17,非_まとめ表行番号!$M$3:$M$20,BB17))</f>
        <v/>
      </c>
      <c r="BF17" s="466" t="str">
        <f t="shared" si="22"/>
        <v/>
      </c>
      <c r="BG17" s="529"/>
      <c r="BH17" s="525" t="str">
        <f>IF(BD17="","",VLOOKUP(BD17,非_まとめ表行番号!$U$3:$V$56,2,FALSE))</f>
        <v/>
      </c>
      <c r="BI17" s="527" t="str">
        <f>IF(D17="","",VLOOKUP(D17,非_燃料種類_選択リスト!$X$2:$Y$14,2,FALSE))</f>
        <v/>
      </c>
      <c r="BJ17" s="527" t="str">
        <f>IF(E17="","",VLOOKUP(E17,非_燃料種類_選択リスト!$X$18:$Y$24,2,FALSE))</f>
        <v/>
      </c>
      <c r="BK17" s="539" t="str">
        <f t="shared" si="23"/>
        <v/>
      </c>
      <c r="BL17" s="527" t="str">
        <f t="shared" si="24"/>
        <v/>
      </c>
      <c r="BM17" s="527" t="str">
        <f t="shared" si="25"/>
        <v/>
      </c>
      <c r="BN17" s="527" t="str">
        <f t="shared" si="26"/>
        <v/>
      </c>
      <c r="BO17" s="527" t="str">
        <f t="shared" si="27"/>
        <v/>
      </c>
      <c r="BQ17" s="639" t="str">
        <f>IF(AND(B17="",C17=""),"",IF(AZ17="有",0,VLOOKUP(C17,非_係数!$B$42:$J$55,9,FALSE)))</f>
        <v/>
      </c>
      <c r="BR17" s="639" t="str">
        <f t="shared" si="28"/>
        <v/>
      </c>
    </row>
    <row r="18" spans="1:70" ht="18.75" customHeight="1">
      <c r="A18" s="483"/>
      <c r="B18" s="406"/>
      <c r="C18" s="406"/>
      <c r="D18" s="406"/>
      <c r="E18" s="407"/>
      <c r="F18" s="407"/>
      <c r="G18" s="406"/>
      <c r="H18" s="617" t="str">
        <f t="shared" si="37"/>
        <v/>
      </c>
      <c r="I18" s="406"/>
      <c r="J18" s="457" t="str">
        <f t="shared" si="0"/>
        <v/>
      </c>
      <c r="K18" s="406"/>
      <c r="L18" s="458"/>
      <c r="M18" s="406"/>
      <c r="N18" s="406"/>
      <c r="O18" s="455"/>
      <c r="P18" s="455"/>
      <c r="Q18" s="455"/>
      <c r="R18" s="455"/>
      <c r="S18" s="455"/>
      <c r="T18" s="455"/>
      <c r="U18" s="455"/>
      <c r="V18" s="455"/>
      <c r="W18" s="455"/>
      <c r="X18" s="455"/>
      <c r="Y18" s="455"/>
      <c r="Z18" s="455"/>
      <c r="AA18" s="504"/>
      <c r="AB18" s="595" t="str">
        <f t="shared" si="29"/>
        <v/>
      </c>
      <c r="AC18" s="596" t="str">
        <f t="shared" si="38"/>
        <v/>
      </c>
      <c r="AD18" s="597" t="str">
        <f>IF(C18="","",VLOOKUP(C18,非_単位!$N$38:$O$53,2,FALSE))</f>
        <v/>
      </c>
      <c r="AE18" s="598" t="str">
        <f t="shared" si="39"/>
        <v/>
      </c>
      <c r="AF18" s="585" t="str">
        <f t="shared" si="40"/>
        <v/>
      </c>
      <c r="AH18" s="466" t="str">
        <f t="shared" si="1"/>
        <v/>
      </c>
      <c r="AI18" s="466" t="str">
        <f t="shared" si="41"/>
        <v/>
      </c>
      <c r="AJ18" s="466" t="str">
        <f t="shared" si="2"/>
        <v/>
      </c>
      <c r="AK18" s="466" t="str">
        <f t="shared" si="3"/>
        <v/>
      </c>
      <c r="AL18" s="466" t="str">
        <f t="shared" si="4"/>
        <v/>
      </c>
      <c r="AM18" s="466" t="str">
        <f t="shared" si="5"/>
        <v/>
      </c>
      <c r="AN18" s="466" t="str">
        <f t="shared" si="6"/>
        <v/>
      </c>
      <c r="AO18" s="466" t="str">
        <f t="shared" si="42"/>
        <v/>
      </c>
      <c r="AP18" s="466" t="str">
        <f t="shared" si="7"/>
        <v/>
      </c>
      <c r="AQ18" s="466" t="str">
        <f>IF(C18="","",IF(AP18="対象","熱量計読取",VLOOKUP(C18,非_係数!$B$42:$D$55,2,FALSE)))</f>
        <v/>
      </c>
      <c r="AR18" s="466" t="str">
        <f>IF(AH18="電気",非_電気事業者!$S$4*1000,IF(AH18="熱",非_熱供給事業者!$T$4,""))</f>
        <v/>
      </c>
      <c r="AS18" s="466" t="str">
        <f>IF(N18="","",VLOOKUP(N18,非_単位補正換算!$B$3:$C$16,2,FALSE))</f>
        <v/>
      </c>
      <c r="AT18" s="466" t="str">
        <f t="shared" si="43"/>
        <v/>
      </c>
      <c r="AU18" s="466" t="str">
        <f t="shared" si="8"/>
        <v/>
      </c>
      <c r="AV18" s="466">
        <v>1</v>
      </c>
      <c r="AW18" s="466" t="str">
        <f t="shared" si="9"/>
        <v/>
      </c>
      <c r="AX18" s="535" t="b">
        <f t="shared" si="20"/>
        <v>1</v>
      </c>
      <c r="AY18" s="466" t="str">
        <f t="shared" si="44"/>
        <v/>
      </c>
      <c r="AZ18" s="466" t="str">
        <f t="shared" si="10"/>
        <v/>
      </c>
      <c r="BA18" s="466" t="str">
        <f t="shared" si="11"/>
        <v/>
      </c>
      <c r="BB18" s="466" t="str">
        <f t="shared" si="12"/>
        <v/>
      </c>
      <c r="BC18" s="466" t="str">
        <f t="shared" si="13"/>
        <v/>
      </c>
      <c r="BD18" s="466" t="str">
        <f>IF(BC18&lt;&gt;"義務","",SUMIFS(非_まとめ表行番号!$N$3:$N$20,非_まとめ表行番号!$J$3:$J$20,AY18,非_まとめ表行番号!$K$3:$K$20,AZ18,非_まとめ表行番号!$L$3:$L$20,BA18,非_まとめ表行番号!$M$3:$M$20,BB18))</f>
        <v/>
      </c>
      <c r="BE18" s="466" t="str">
        <f>IF(BC18&lt;&gt;"義務","",SUMIFS(非_まとめ表行番号!$O$3:$O$20,非_まとめ表行番号!$J$3:$J$20,AY18,非_まとめ表行番号!$K$3:$K$20,AZ18,非_まとめ表行番号!$L$3:$L$20,BA18,非_まとめ表行番号!$M$3:$M$20,BB18))</f>
        <v/>
      </c>
      <c r="BF18" s="466" t="str">
        <f t="shared" si="22"/>
        <v/>
      </c>
      <c r="BG18" s="529"/>
      <c r="BH18" s="525" t="str">
        <f>IF(BD18="","",VLOOKUP(BD18,非_まとめ表行番号!$U$3:$V$56,2,FALSE))</f>
        <v/>
      </c>
      <c r="BI18" s="527" t="str">
        <f>IF(D18="","",VLOOKUP(D18,非_燃料種類_選択リスト!$X$2:$Y$14,2,FALSE))</f>
        <v/>
      </c>
      <c r="BJ18" s="527" t="str">
        <f>IF(E18="","",VLOOKUP(E18,非_燃料種類_選択リスト!$X$18:$Y$24,2,FALSE))</f>
        <v/>
      </c>
      <c r="BK18" s="539" t="str">
        <f t="shared" si="23"/>
        <v/>
      </c>
      <c r="BL18" s="527" t="str">
        <f t="shared" si="24"/>
        <v/>
      </c>
      <c r="BM18" s="527" t="str">
        <f t="shared" si="25"/>
        <v/>
      </c>
      <c r="BN18" s="527" t="str">
        <f t="shared" si="26"/>
        <v/>
      </c>
      <c r="BO18" s="527" t="str">
        <f t="shared" si="27"/>
        <v/>
      </c>
      <c r="BQ18" s="639" t="str">
        <f>IF(AND(B18="",C18=""),"",IF(AZ18="有",0,VLOOKUP(C18,非_係数!$B$42:$J$55,9,FALSE)))</f>
        <v/>
      </c>
      <c r="BR18" s="639" t="str">
        <f t="shared" si="28"/>
        <v/>
      </c>
    </row>
    <row r="19" spans="1:70" ht="18.75" customHeight="1">
      <c r="A19" s="483"/>
      <c r="B19" s="406"/>
      <c r="C19" s="406"/>
      <c r="D19" s="406"/>
      <c r="E19" s="407"/>
      <c r="F19" s="407"/>
      <c r="G19" s="406"/>
      <c r="H19" s="617" t="str">
        <f t="shared" si="14"/>
        <v/>
      </c>
      <c r="I19" s="406"/>
      <c r="J19" s="457" t="str">
        <f t="shared" si="0"/>
        <v/>
      </c>
      <c r="K19" s="406"/>
      <c r="L19" s="458"/>
      <c r="M19" s="406"/>
      <c r="N19" s="406"/>
      <c r="O19" s="455"/>
      <c r="P19" s="455"/>
      <c r="Q19" s="455"/>
      <c r="R19" s="455"/>
      <c r="S19" s="455"/>
      <c r="T19" s="455"/>
      <c r="U19" s="455"/>
      <c r="V19" s="455"/>
      <c r="W19" s="455"/>
      <c r="X19" s="455"/>
      <c r="Y19" s="455"/>
      <c r="Z19" s="455"/>
      <c r="AA19" s="504"/>
      <c r="AB19" s="595" t="str">
        <f t="shared" si="29"/>
        <v/>
      </c>
      <c r="AC19" s="596" t="str">
        <f t="shared" si="34"/>
        <v/>
      </c>
      <c r="AD19" s="597" t="str">
        <f>IF(C19="","",VLOOKUP(C19,非_単位!$N$38:$O$53,2,FALSE))</f>
        <v/>
      </c>
      <c r="AE19" s="598" t="str">
        <f t="shared" si="35"/>
        <v/>
      </c>
      <c r="AF19" s="585" t="str">
        <f t="shared" si="36"/>
        <v/>
      </c>
      <c r="AH19" s="466" t="str">
        <f t="shared" si="1"/>
        <v/>
      </c>
      <c r="AI19" s="466" t="str">
        <f t="shared" si="30"/>
        <v/>
      </c>
      <c r="AJ19" s="466" t="str">
        <f t="shared" si="2"/>
        <v/>
      </c>
      <c r="AK19" s="466" t="str">
        <f t="shared" si="3"/>
        <v/>
      </c>
      <c r="AL19" s="466" t="str">
        <f t="shared" si="4"/>
        <v/>
      </c>
      <c r="AM19" s="466" t="str">
        <f t="shared" si="5"/>
        <v/>
      </c>
      <c r="AN19" s="466" t="str">
        <f t="shared" si="6"/>
        <v/>
      </c>
      <c r="AO19" s="466" t="str">
        <f t="shared" si="18"/>
        <v/>
      </c>
      <c r="AP19" s="466" t="str">
        <f t="shared" si="7"/>
        <v/>
      </c>
      <c r="AQ19" s="466" t="str">
        <f>IF(C19="","",IF(AP19="対象","熱量計読取",VLOOKUP(C19,非_係数!$B$42:$D$55,2,FALSE)))</f>
        <v/>
      </c>
      <c r="AR19" s="466" t="str">
        <f>IF(AH19="電気",非_電気事業者!$S$4*1000,IF(AH19="熱",非_熱供給事業者!$T$4,""))</f>
        <v/>
      </c>
      <c r="AS19" s="466" t="str">
        <f>IF(N19="","",VLOOKUP(N19,非_単位補正換算!$B$3:$C$16,2,FALSE))</f>
        <v/>
      </c>
      <c r="AT19" s="466" t="str">
        <f t="shared" si="19"/>
        <v/>
      </c>
      <c r="AU19" s="466" t="str">
        <f t="shared" si="8"/>
        <v/>
      </c>
      <c r="AV19" s="466">
        <v>1</v>
      </c>
      <c r="AW19" s="466" t="str">
        <f t="shared" si="9"/>
        <v/>
      </c>
      <c r="AX19" s="535" t="b">
        <f t="shared" si="20"/>
        <v>1</v>
      </c>
      <c r="AY19" s="466" t="str">
        <f t="shared" si="21"/>
        <v/>
      </c>
      <c r="AZ19" s="466" t="str">
        <f t="shared" si="10"/>
        <v/>
      </c>
      <c r="BA19" s="466" t="str">
        <f t="shared" si="11"/>
        <v/>
      </c>
      <c r="BB19" s="466" t="str">
        <f t="shared" si="12"/>
        <v/>
      </c>
      <c r="BC19" s="466" t="str">
        <f t="shared" si="13"/>
        <v/>
      </c>
      <c r="BD19" s="466" t="str">
        <f>IF(BC19&lt;&gt;"義務","",SUMIFS(非_まとめ表行番号!$N$3:$N$20,非_まとめ表行番号!$J$3:$J$20,AY19,非_まとめ表行番号!$K$3:$K$20,AZ19,非_まとめ表行番号!$L$3:$L$20,BA19,非_まとめ表行番号!$M$3:$M$20,BB19))</f>
        <v/>
      </c>
      <c r="BE19" s="466" t="str">
        <f>IF(BC19&lt;&gt;"義務","",SUMIFS(非_まとめ表行番号!$O$3:$O$20,非_まとめ表行番号!$J$3:$J$20,AY19,非_まとめ表行番号!$K$3:$K$20,AZ19,非_まとめ表行番号!$L$3:$L$20,BA19,非_まとめ表行番号!$M$3:$M$20,BB19))</f>
        <v/>
      </c>
      <c r="BF19" s="466" t="str">
        <f t="shared" si="22"/>
        <v/>
      </c>
      <c r="BG19" s="529"/>
      <c r="BH19" s="525" t="str">
        <f>IF(BD19="","",VLOOKUP(BD19,非_まとめ表行番号!$U$3:$V$56,2,FALSE))</f>
        <v/>
      </c>
      <c r="BI19" s="527" t="str">
        <f>IF(D19="","",VLOOKUP(D19,非_燃料種類_選択リスト!$X$2:$Y$14,2,FALSE))</f>
        <v/>
      </c>
      <c r="BJ19" s="527" t="str">
        <f>IF(E19="","",VLOOKUP(E19,非_燃料種類_選択リスト!$X$18:$Y$24,2,FALSE))</f>
        <v/>
      </c>
      <c r="BK19" s="539" t="str">
        <f t="shared" si="23"/>
        <v/>
      </c>
      <c r="BL19" s="527" t="str">
        <f t="shared" si="24"/>
        <v/>
      </c>
      <c r="BM19" s="527" t="str">
        <f t="shared" si="25"/>
        <v/>
      </c>
      <c r="BN19" s="527" t="str">
        <f t="shared" si="26"/>
        <v/>
      </c>
      <c r="BO19" s="527" t="str">
        <f t="shared" si="27"/>
        <v/>
      </c>
      <c r="BQ19" s="639" t="str">
        <f>IF(AND(B19="",C19=""),"",IF(AZ19="有",0,VLOOKUP(C19,非_係数!$B$42:$J$55,9,FALSE)))</f>
        <v/>
      </c>
      <c r="BR19" s="639" t="str">
        <f t="shared" si="28"/>
        <v/>
      </c>
    </row>
    <row r="20" spans="1:70" ht="18.75" customHeight="1">
      <c r="A20" s="483"/>
      <c r="B20" s="406"/>
      <c r="C20" s="406"/>
      <c r="D20" s="406"/>
      <c r="E20" s="407"/>
      <c r="F20" s="407"/>
      <c r="G20" s="406"/>
      <c r="H20" s="617" t="str">
        <f t="shared" si="14"/>
        <v/>
      </c>
      <c r="I20" s="406"/>
      <c r="J20" s="457" t="str">
        <f t="shared" si="0"/>
        <v/>
      </c>
      <c r="K20" s="406"/>
      <c r="L20" s="458"/>
      <c r="M20" s="406"/>
      <c r="N20" s="406"/>
      <c r="O20" s="455"/>
      <c r="P20" s="455"/>
      <c r="Q20" s="455"/>
      <c r="R20" s="455"/>
      <c r="S20" s="455"/>
      <c r="T20" s="455"/>
      <c r="U20" s="455"/>
      <c r="V20" s="455"/>
      <c r="W20" s="455"/>
      <c r="X20" s="455"/>
      <c r="Y20" s="455"/>
      <c r="Z20" s="455"/>
      <c r="AA20" s="504"/>
      <c r="AB20" s="595" t="str">
        <f t="shared" si="29"/>
        <v/>
      </c>
      <c r="AC20" s="596" t="str">
        <f t="shared" si="34"/>
        <v/>
      </c>
      <c r="AD20" s="597" t="str">
        <f>IF(C20="","",VLOOKUP(C20,非_単位!$N$38:$O$53,2,FALSE))</f>
        <v/>
      </c>
      <c r="AE20" s="598" t="str">
        <f t="shared" si="35"/>
        <v/>
      </c>
      <c r="AF20" s="585" t="str">
        <f t="shared" si="36"/>
        <v/>
      </c>
      <c r="AH20" s="466" t="str">
        <f t="shared" si="1"/>
        <v/>
      </c>
      <c r="AI20" s="466" t="str">
        <f t="shared" si="30"/>
        <v/>
      </c>
      <c r="AJ20" s="466" t="str">
        <f t="shared" si="2"/>
        <v/>
      </c>
      <c r="AK20" s="466" t="str">
        <f t="shared" si="3"/>
        <v/>
      </c>
      <c r="AL20" s="466" t="str">
        <f t="shared" si="4"/>
        <v/>
      </c>
      <c r="AM20" s="466" t="str">
        <f t="shared" si="5"/>
        <v/>
      </c>
      <c r="AN20" s="466" t="str">
        <f t="shared" si="6"/>
        <v/>
      </c>
      <c r="AO20" s="466" t="str">
        <f t="shared" si="18"/>
        <v/>
      </c>
      <c r="AP20" s="466" t="str">
        <f t="shared" si="7"/>
        <v/>
      </c>
      <c r="AQ20" s="466" t="str">
        <f>IF(C20="","",IF(AP20="対象","熱量計読取",VLOOKUP(C20,非_係数!$B$42:$D$55,2,FALSE)))</f>
        <v/>
      </c>
      <c r="AR20" s="466" t="str">
        <f>IF(AH20="電気",非_電気事業者!$S$4*1000,IF(AH20="熱",非_熱供給事業者!$T$4,""))</f>
        <v/>
      </c>
      <c r="AS20" s="466" t="str">
        <f>IF(N20="","",VLOOKUP(N20,非_単位補正換算!$B$3:$C$16,2,FALSE))</f>
        <v/>
      </c>
      <c r="AT20" s="466" t="str">
        <f t="shared" si="19"/>
        <v/>
      </c>
      <c r="AU20" s="466" t="str">
        <f t="shared" si="8"/>
        <v/>
      </c>
      <c r="AV20" s="466">
        <v>1</v>
      </c>
      <c r="AW20" s="466" t="str">
        <f t="shared" si="9"/>
        <v/>
      </c>
      <c r="AX20" s="535" t="b">
        <f t="shared" si="20"/>
        <v>1</v>
      </c>
      <c r="AY20" s="466" t="str">
        <f t="shared" si="21"/>
        <v/>
      </c>
      <c r="AZ20" s="466" t="str">
        <f t="shared" si="10"/>
        <v/>
      </c>
      <c r="BA20" s="466" t="str">
        <f t="shared" si="11"/>
        <v/>
      </c>
      <c r="BB20" s="466" t="str">
        <f t="shared" si="12"/>
        <v/>
      </c>
      <c r="BC20" s="466" t="str">
        <f t="shared" si="13"/>
        <v/>
      </c>
      <c r="BD20" s="466" t="str">
        <f>IF(BC20&lt;&gt;"義務","",SUMIFS(非_まとめ表行番号!$N$3:$N$20,非_まとめ表行番号!$J$3:$J$20,AY20,非_まとめ表行番号!$K$3:$K$20,AZ20,非_まとめ表行番号!$L$3:$L$20,BA20,非_まとめ表行番号!$M$3:$M$20,BB20))</f>
        <v/>
      </c>
      <c r="BE20" s="466" t="str">
        <f>IF(BC20&lt;&gt;"義務","",SUMIFS(非_まとめ表行番号!$O$3:$O$20,非_まとめ表行番号!$J$3:$J$20,AY20,非_まとめ表行番号!$K$3:$K$20,AZ20,非_まとめ表行番号!$L$3:$L$20,BA20,非_まとめ表行番号!$M$3:$M$20,BB20))</f>
        <v/>
      </c>
      <c r="BF20" s="466" t="str">
        <f t="shared" si="22"/>
        <v/>
      </c>
      <c r="BG20" s="529"/>
      <c r="BH20" s="525" t="str">
        <f>IF(BD20="","",VLOOKUP(BD20,非_まとめ表行番号!$U$3:$V$56,2,FALSE))</f>
        <v/>
      </c>
      <c r="BI20" s="527" t="str">
        <f>IF(D20="","",VLOOKUP(D20,非_燃料種類_選択リスト!$X$2:$Y$14,2,FALSE))</f>
        <v/>
      </c>
      <c r="BJ20" s="527" t="str">
        <f>IF(E20="","",VLOOKUP(E20,非_燃料種類_選択リスト!$X$18:$Y$24,2,FALSE))</f>
        <v/>
      </c>
      <c r="BK20" s="539" t="str">
        <f t="shared" si="23"/>
        <v/>
      </c>
      <c r="BL20" s="527" t="str">
        <f t="shared" si="24"/>
        <v/>
      </c>
      <c r="BM20" s="527" t="str">
        <f t="shared" si="25"/>
        <v/>
      </c>
      <c r="BN20" s="527" t="str">
        <f t="shared" si="26"/>
        <v/>
      </c>
      <c r="BO20" s="527" t="str">
        <f t="shared" si="27"/>
        <v/>
      </c>
      <c r="BQ20" s="639" t="str">
        <f>IF(AND(B20="",C20=""),"",IF(AZ20="有",0,VLOOKUP(C20,非_係数!$B$42:$J$55,9,FALSE)))</f>
        <v/>
      </c>
      <c r="BR20" s="639" t="str">
        <f t="shared" si="28"/>
        <v/>
      </c>
    </row>
    <row r="21" spans="1:70" ht="18.75" customHeight="1">
      <c r="A21" s="483"/>
      <c r="B21" s="406"/>
      <c r="C21" s="406"/>
      <c r="D21" s="406"/>
      <c r="E21" s="407"/>
      <c r="F21" s="407"/>
      <c r="G21" s="406"/>
      <c r="H21" s="617" t="str">
        <f t="shared" ref="H21:H25" si="45">AQ21</f>
        <v/>
      </c>
      <c r="I21" s="406"/>
      <c r="J21" s="457" t="str">
        <f t="shared" si="0"/>
        <v/>
      </c>
      <c r="K21" s="406"/>
      <c r="L21" s="458"/>
      <c r="M21" s="406"/>
      <c r="N21" s="406"/>
      <c r="O21" s="455"/>
      <c r="P21" s="455"/>
      <c r="Q21" s="455"/>
      <c r="R21" s="455"/>
      <c r="S21" s="455"/>
      <c r="T21" s="455"/>
      <c r="U21" s="455"/>
      <c r="V21" s="455"/>
      <c r="W21" s="455"/>
      <c r="X21" s="455"/>
      <c r="Y21" s="455"/>
      <c r="Z21" s="455"/>
      <c r="AA21" s="504"/>
      <c r="AB21" s="595" t="str">
        <f t="shared" si="29"/>
        <v/>
      </c>
      <c r="AC21" s="596" t="str">
        <f t="shared" ref="AC21:AC25" si="46">AT21</f>
        <v/>
      </c>
      <c r="AD21" s="597" t="str">
        <f>IF(C21="","",VLOOKUP(C21,非_単位!$N$38:$O$53,2,FALSE))</f>
        <v/>
      </c>
      <c r="AE21" s="598" t="str">
        <f t="shared" ref="AE21:AE25" si="47">AU21</f>
        <v/>
      </c>
      <c r="AF21" s="585" t="str">
        <f t="shared" ref="AF21:AF25" si="48">AW21</f>
        <v/>
      </c>
      <c r="AH21" s="466" t="str">
        <f t="shared" si="1"/>
        <v/>
      </c>
      <c r="AI21" s="466" t="str">
        <f t="shared" ref="AI21:AI25" si="49">IF(AH21="電気","再エネ_事業所内_電気_種類",IF(AH21="熱","再エネ_事業所内_熱_種類",""))</f>
        <v/>
      </c>
      <c r="AJ21" s="466" t="str">
        <f t="shared" si="2"/>
        <v/>
      </c>
      <c r="AK21" s="466" t="str">
        <f t="shared" si="3"/>
        <v/>
      </c>
      <c r="AL21" s="466" t="str">
        <f t="shared" si="4"/>
        <v/>
      </c>
      <c r="AM21" s="466" t="str">
        <f t="shared" si="5"/>
        <v/>
      </c>
      <c r="AN21" s="466" t="str">
        <f t="shared" si="6"/>
        <v/>
      </c>
      <c r="AO21" s="466" t="str">
        <f t="shared" ref="AO21:AO25" si="50">IF(AH21="","","自家消費")</f>
        <v/>
      </c>
      <c r="AP21" s="466" t="str">
        <f t="shared" si="7"/>
        <v/>
      </c>
      <c r="AQ21" s="466" t="str">
        <f>IF(C21="","",IF(AP21="対象","熱量計読取",VLOOKUP(C21,非_係数!$B$42:$D$55,2,FALSE)))</f>
        <v/>
      </c>
      <c r="AR21" s="466" t="str">
        <f>IF(AH21="電気",非_電気事業者!$S$4*1000,IF(AH21="熱",非_熱供給事業者!$T$4,""))</f>
        <v/>
      </c>
      <c r="AS21" s="466" t="str">
        <f>IF(N21="","",VLOOKUP(N21,非_単位補正換算!$B$3:$C$16,2,FALSE))</f>
        <v/>
      </c>
      <c r="AT21" s="466" t="str">
        <f t="shared" ref="AT21:AT25" si="51">IF(N21="","",IF(AB21="","",AB21/AS21))</f>
        <v/>
      </c>
      <c r="AU21" s="466" t="str">
        <f t="shared" si="8"/>
        <v/>
      </c>
      <c r="AV21" s="466">
        <v>1</v>
      </c>
      <c r="AW21" s="466" t="str">
        <f t="shared" si="9"/>
        <v/>
      </c>
      <c r="AX21" s="535" t="b">
        <f t="shared" si="20"/>
        <v>1</v>
      </c>
      <c r="AY21" s="466" t="str">
        <f t="shared" ref="AY21:AY25" si="52">AH21</f>
        <v/>
      </c>
      <c r="AZ21" s="466" t="str">
        <f t="shared" si="10"/>
        <v/>
      </c>
      <c r="BA21" s="466" t="str">
        <f t="shared" si="11"/>
        <v/>
      </c>
      <c r="BB21" s="466" t="str">
        <f t="shared" si="12"/>
        <v/>
      </c>
      <c r="BC21" s="466" t="str">
        <f t="shared" si="13"/>
        <v/>
      </c>
      <c r="BD21" s="466" t="str">
        <f>IF(BC21&lt;&gt;"義務","",SUMIFS(非_まとめ表行番号!$N$3:$N$20,非_まとめ表行番号!$J$3:$J$20,AY21,非_まとめ表行番号!$K$3:$K$20,AZ21,非_まとめ表行番号!$L$3:$L$20,BA21,非_まとめ表行番号!$M$3:$M$20,BB21))</f>
        <v/>
      </c>
      <c r="BE21" s="466" t="str">
        <f>IF(BC21&lt;&gt;"義務","",SUMIFS(非_まとめ表行番号!$O$3:$O$20,非_まとめ表行番号!$J$3:$J$20,AY21,非_まとめ表行番号!$K$3:$K$20,AZ21,非_まとめ表行番号!$L$3:$L$20,BA21,非_まとめ表行番号!$M$3:$M$20,BB21))</f>
        <v/>
      </c>
      <c r="BF21" s="466" t="str">
        <f t="shared" si="22"/>
        <v/>
      </c>
      <c r="BG21" s="529"/>
      <c r="BH21" s="525" t="str">
        <f>IF(BD21="","",VLOOKUP(BD21,非_まとめ表行番号!$U$3:$V$56,2,FALSE))</f>
        <v/>
      </c>
      <c r="BI21" s="527" t="str">
        <f>IF(D21="","",VLOOKUP(D21,非_燃料種類_選択リスト!$X$2:$Y$14,2,FALSE))</f>
        <v/>
      </c>
      <c r="BJ21" s="527" t="str">
        <f>IF(E21="","",VLOOKUP(E21,非_燃料種類_選択リスト!$X$18:$Y$24,2,FALSE))</f>
        <v/>
      </c>
      <c r="BK21" s="539" t="str">
        <f t="shared" si="23"/>
        <v/>
      </c>
      <c r="BL21" s="527" t="str">
        <f t="shared" si="24"/>
        <v/>
      </c>
      <c r="BM21" s="527" t="str">
        <f t="shared" si="25"/>
        <v/>
      </c>
      <c r="BN21" s="527" t="str">
        <f t="shared" si="26"/>
        <v/>
      </c>
      <c r="BO21" s="527" t="str">
        <f t="shared" si="27"/>
        <v/>
      </c>
      <c r="BQ21" s="639" t="str">
        <f>IF(AND(B21="",C21=""),"",IF(AZ21="有",0,VLOOKUP(C21,非_係数!$B$42:$J$55,9,FALSE)))</f>
        <v/>
      </c>
      <c r="BR21" s="639" t="str">
        <f t="shared" si="28"/>
        <v/>
      </c>
    </row>
    <row r="22" spans="1:70" ht="18.75" customHeight="1">
      <c r="A22" s="483"/>
      <c r="B22" s="406"/>
      <c r="C22" s="406"/>
      <c r="D22" s="406"/>
      <c r="E22" s="407"/>
      <c r="F22" s="407"/>
      <c r="G22" s="406"/>
      <c r="H22" s="617" t="str">
        <f t="shared" si="45"/>
        <v/>
      </c>
      <c r="I22" s="406"/>
      <c r="J22" s="457" t="str">
        <f t="shared" si="0"/>
        <v/>
      </c>
      <c r="K22" s="406"/>
      <c r="L22" s="458"/>
      <c r="M22" s="406"/>
      <c r="N22" s="406"/>
      <c r="O22" s="455"/>
      <c r="P22" s="455"/>
      <c r="Q22" s="455"/>
      <c r="R22" s="455"/>
      <c r="S22" s="455"/>
      <c r="T22" s="455"/>
      <c r="U22" s="455"/>
      <c r="V22" s="455"/>
      <c r="W22" s="455"/>
      <c r="X22" s="455"/>
      <c r="Y22" s="455"/>
      <c r="Z22" s="455"/>
      <c r="AA22" s="504"/>
      <c r="AB22" s="595" t="str">
        <f t="shared" si="29"/>
        <v/>
      </c>
      <c r="AC22" s="596" t="str">
        <f t="shared" si="46"/>
        <v/>
      </c>
      <c r="AD22" s="597" t="str">
        <f>IF(C22="","",VLOOKUP(C22,非_単位!$N$38:$O$53,2,FALSE))</f>
        <v/>
      </c>
      <c r="AE22" s="598" t="str">
        <f t="shared" si="47"/>
        <v/>
      </c>
      <c r="AF22" s="585" t="str">
        <f t="shared" si="48"/>
        <v/>
      </c>
      <c r="AH22" s="466" t="str">
        <f t="shared" si="1"/>
        <v/>
      </c>
      <c r="AI22" s="466" t="str">
        <f t="shared" si="49"/>
        <v/>
      </c>
      <c r="AJ22" s="466" t="str">
        <f t="shared" si="2"/>
        <v/>
      </c>
      <c r="AK22" s="466" t="str">
        <f t="shared" si="3"/>
        <v/>
      </c>
      <c r="AL22" s="466" t="str">
        <f t="shared" si="4"/>
        <v/>
      </c>
      <c r="AM22" s="466" t="str">
        <f t="shared" si="5"/>
        <v/>
      </c>
      <c r="AN22" s="466" t="str">
        <f t="shared" si="6"/>
        <v/>
      </c>
      <c r="AO22" s="466" t="str">
        <f t="shared" si="50"/>
        <v/>
      </c>
      <c r="AP22" s="466" t="str">
        <f t="shared" si="7"/>
        <v/>
      </c>
      <c r="AQ22" s="466" t="str">
        <f>IF(C22="","",IF(AP22="対象","熱量計読取",VLOOKUP(C22,非_係数!$B$42:$D$55,2,FALSE)))</f>
        <v/>
      </c>
      <c r="AR22" s="466" t="str">
        <f>IF(AH22="電気",非_電気事業者!$S$4*1000,IF(AH22="熱",非_熱供給事業者!$T$4,""))</f>
        <v/>
      </c>
      <c r="AS22" s="466" t="str">
        <f>IF(N22="","",VLOOKUP(N22,非_単位補正換算!$B$3:$C$16,2,FALSE))</f>
        <v/>
      </c>
      <c r="AT22" s="466" t="str">
        <f t="shared" si="51"/>
        <v/>
      </c>
      <c r="AU22" s="466" t="str">
        <f t="shared" si="8"/>
        <v/>
      </c>
      <c r="AV22" s="466">
        <v>1</v>
      </c>
      <c r="AW22" s="466" t="str">
        <f t="shared" si="9"/>
        <v/>
      </c>
      <c r="AX22" s="535" t="b">
        <f t="shared" si="20"/>
        <v>1</v>
      </c>
      <c r="AY22" s="466" t="str">
        <f t="shared" si="52"/>
        <v/>
      </c>
      <c r="AZ22" s="466" t="str">
        <f t="shared" si="10"/>
        <v/>
      </c>
      <c r="BA22" s="466" t="str">
        <f t="shared" si="11"/>
        <v/>
      </c>
      <c r="BB22" s="466" t="str">
        <f t="shared" si="12"/>
        <v/>
      </c>
      <c r="BC22" s="466" t="str">
        <f t="shared" si="13"/>
        <v/>
      </c>
      <c r="BD22" s="466" t="str">
        <f>IF(BC22&lt;&gt;"義務","",SUMIFS(非_まとめ表行番号!$N$3:$N$20,非_まとめ表行番号!$J$3:$J$20,AY22,非_まとめ表行番号!$K$3:$K$20,AZ22,非_まとめ表行番号!$L$3:$L$20,BA22,非_まとめ表行番号!$M$3:$M$20,BB22))</f>
        <v/>
      </c>
      <c r="BE22" s="466" t="str">
        <f>IF(BC22&lt;&gt;"義務","",SUMIFS(非_まとめ表行番号!$O$3:$O$20,非_まとめ表行番号!$J$3:$J$20,AY22,非_まとめ表行番号!$K$3:$K$20,AZ22,非_まとめ表行番号!$L$3:$L$20,BA22,非_まとめ表行番号!$M$3:$M$20,BB22))</f>
        <v/>
      </c>
      <c r="BF22" s="466" t="str">
        <f t="shared" si="22"/>
        <v/>
      </c>
      <c r="BG22" s="529"/>
      <c r="BH22" s="525" t="str">
        <f>IF(BD22="","",VLOOKUP(BD22,非_まとめ表行番号!$U$3:$V$56,2,FALSE))</f>
        <v/>
      </c>
      <c r="BI22" s="527" t="str">
        <f>IF(D22="","",VLOOKUP(D22,非_燃料種類_選択リスト!$X$2:$Y$14,2,FALSE))</f>
        <v/>
      </c>
      <c r="BJ22" s="527" t="str">
        <f>IF(E22="","",VLOOKUP(E22,非_燃料種類_選択リスト!$X$18:$Y$24,2,FALSE))</f>
        <v/>
      </c>
      <c r="BK22" s="539" t="str">
        <f t="shared" si="23"/>
        <v/>
      </c>
      <c r="BL22" s="527" t="str">
        <f t="shared" si="24"/>
        <v/>
      </c>
      <c r="BM22" s="527" t="str">
        <f t="shared" si="25"/>
        <v/>
      </c>
      <c r="BN22" s="527" t="str">
        <f t="shared" si="26"/>
        <v/>
      </c>
      <c r="BO22" s="527" t="str">
        <f t="shared" si="27"/>
        <v/>
      </c>
      <c r="BQ22" s="639" t="str">
        <f>IF(AND(B22="",C22=""),"",IF(AZ22="有",0,VLOOKUP(C22,非_係数!$B$42:$J$55,9,FALSE)))</f>
        <v/>
      </c>
      <c r="BR22" s="639" t="str">
        <f t="shared" si="28"/>
        <v/>
      </c>
    </row>
    <row r="23" spans="1:70" ht="18.75" customHeight="1">
      <c r="A23" s="483"/>
      <c r="B23" s="406"/>
      <c r="C23" s="406"/>
      <c r="D23" s="406"/>
      <c r="E23" s="407"/>
      <c r="F23" s="407"/>
      <c r="G23" s="406"/>
      <c r="H23" s="617" t="str">
        <f t="shared" si="45"/>
        <v/>
      </c>
      <c r="I23" s="406"/>
      <c r="J23" s="457" t="str">
        <f t="shared" si="0"/>
        <v/>
      </c>
      <c r="K23" s="406"/>
      <c r="L23" s="458"/>
      <c r="M23" s="406"/>
      <c r="N23" s="406"/>
      <c r="O23" s="455"/>
      <c r="P23" s="455"/>
      <c r="Q23" s="455"/>
      <c r="R23" s="455"/>
      <c r="S23" s="455"/>
      <c r="T23" s="455"/>
      <c r="U23" s="455"/>
      <c r="V23" s="455"/>
      <c r="W23" s="455"/>
      <c r="X23" s="455"/>
      <c r="Y23" s="455"/>
      <c r="Z23" s="455"/>
      <c r="AA23" s="504"/>
      <c r="AB23" s="595" t="str">
        <f t="shared" si="29"/>
        <v/>
      </c>
      <c r="AC23" s="596" t="str">
        <f t="shared" si="46"/>
        <v/>
      </c>
      <c r="AD23" s="597" t="str">
        <f>IF(C23="","",VLOOKUP(C23,非_単位!$N$38:$O$53,2,FALSE))</f>
        <v/>
      </c>
      <c r="AE23" s="598" t="str">
        <f t="shared" si="47"/>
        <v/>
      </c>
      <c r="AF23" s="585" t="str">
        <f t="shared" si="48"/>
        <v/>
      </c>
      <c r="AH23" s="466" t="str">
        <f t="shared" si="1"/>
        <v/>
      </c>
      <c r="AI23" s="466" t="str">
        <f t="shared" si="49"/>
        <v/>
      </c>
      <c r="AJ23" s="466" t="str">
        <f t="shared" si="2"/>
        <v/>
      </c>
      <c r="AK23" s="466" t="str">
        <f t="shared" si="3"/>
        <v/>
      </c>
      <c r="AL23" s="466" t="str">
        <f t="shared" si="4"/>
        <v/>
      </c>
      <c r="AM23" s="466" t="str">
        <f t="shared" si="5"/>
        <v/>
      </c>
      <c r="AN23" s="466" t="str">
        <f t="shared" si="6"/>
        <v/>
      </c>
      <c r="AO23" s="466" t="str">
        <f t="shared" si="50"/>
        <v/>
      </c>
      <c r="AP23" s="466" t="str">
        <f t="shared" si="7"/>
        <v/>
      </c>
      <c r="AQ23" s="466" t="str">
        <f>IF(C23="","",IF(AP23="対象","熱量計読取",VLOOKUP(C23,非_係数!$B$42:$D$55,2,FALSE)))</f>
        <v/>
      </c>
      <c r="AR23" s="466" t="str">
        <f>IF(AH23="電気",非_電気事業者!$S$4*1000,IF(AH23="熱",非_熱供給事業者!$T$4,""))</f>
        <v/>
      </c>
      <c r="AS23" s="466" t="str">
        <f>IF(N23="","",VLOOKUP(N23,非_単位補正換算!$B$3:$C$16,2,FALSE))</f>
        <v/>
      </c>
      <c r="AT23" s="466" t="str">
        <f t="shared" si="51"/>
        <v/>
      </c>
      <c r="AU23" s="466" t="str">
        <f t="shared" si="8"/>
        <v/>
      </c>
      <c r="AV23" s="466">
        <v>1</v>
      </c>
      <c r="AW23" s="466" t="str">
        <f t="shared" si="9"/>
        <v/>
      </c>
      <c r="AX23" s="535" t="b">
        <f t="shared" si="20"/>
        <v>1</v>
      </c>
      <c r="AY23" s="466" t="str">
        <f t="shared" si="52"/>
        <v/>
      </c>
      <c r="AZ23" s="466" t="str">
        <f t="shared" si="10"/>
        <v/>
      </c>
      <c r="BA23" s="466" t="str">
        <f t="shared" si="11"/>
        <v/>
      </c>
      <c r="BB23" s="466" t="str">
        <f t="shared" si="12"/>
        <v/>
      </c>
      <c r="BC23" s="466" t="str">
        <f t="shared" si="13"/>
        <v/>
      </c>
      <c r="BD23" s="466" t="str">
        <f>IF(BC23&lt;&gt;"義務","",SUMIFS(非_まとめ表行番号!$N$3:$N$20,非_まとめ表行番号!$J$3:$J$20,AY23,非_まとめ表行番号!$K$3:$K$20,AZ23,非_まとめ表行番号!$L$3:$L$20,BA23,非_まとめ表行番号!$M$3:$M$20,BB23))</f>
        <v/>
      </c>
      <c r="BE23" s="466" t="str">
        <f>IF(BC23&lt;&gt;"義務","",SUMIFS(非_まとめ表行番号!$O$3:$O$20,非_まとめ表行番号!$J$3:$J$20,AY23,非_まとめ表行番号!$K$3:$K$20,AZ23,非_まとめ表行番号!$L$3:$L$20,BA23,非_まとめ表行番号!$M$3:$M$20,BB23))</f>
        <v/>
      </c>
      <c r="BF23" s="466" t="str">
        <f t="shared" si="22"/>
        <v/>
      </c>
      <c r="BG23" s="529"/>
      <c r="BH23" s="525" t="str">
        <f>IF(BD23="","",VLOOKUP(BD23,非_まとめ表行番号!$U$3:$V$56,2,FALSE))</f>
        <v/>
      </c>
      <c r="BI23" s="527" t="str">
        <f>IF(D23="","",VLOOKUP(D23,非_燃料種類_選択リスト!$X$2:$Y$14,2,FALSE))</f>
        <v/>
      </c>
      <c r="BJ23" s="527" t="str">
        <f>IF(E23="","",VLOOKUP(E23,非_燃料種類_選択リスト!$X$18:$Y$24,2,FALSE))</f>
        <v/>
      </c>
      <c r="BK23" s="539" t="str">
        <f t="shared" si="23"/>
        <v/>
      </c>
      <c r="BL23" s="527" t="str">
        <f t="shared" si="24"/>
        <v/>
      </c>
      <c r="BM23" s="527" t="str">
        <f t="shared" si="25"/>
        <v/>
      </c>
      <c r="BN23" s="527" t="str">
        <f t="shared" si="26"/>
        <v/>
      </c>
      <c r="BO23" s="527" t="str">
        <f t="shared" si="27"/>
        <v/>
      </c>
      <c r="BQ23" s="639" t="str">
        <f>IF(AND(B23="",C23=""),"",IF(AZ23="有",0,VLOOKUP(C23,非_係数!$B$42:$J$55,9,FALSE)))</f>
        <v/>
      </c>
      <c r="BR23" s="639" t="str">
        <f t="shared" si="28"/>
        <v/>
      </c>
    </row>
    <row r="24" spans="1:70" ht="18.75" customHeight="1">
      <c r="A24" s="483"/>
      <c r="B24" s="406"/>
      <c r="C24" s="406"/>
      <c r="D24" s="406"/>
      <c r="E24" s="407"/>
      <c r="F24" s="407"/>
      <c r="G24" s="406"/>
      <c r="H24" s="617" t="str">
        <f t="shared" si="45"/>
        <v/>
      </c>
      <c r="I24" s="406"/>
      <c r="J24" s="457" t="str">
        <f t="shared" si="0"/>
        <v/>
      </c>
      <c r="K24" s="406"/>
      <c r="L24" s="458"/>
      <c r="M24" s="406"/>
      <c r="N24" s="406"/>
      <c r="O24" s="455"/>
      <c r="P24" s="455"/>
      <c r="Q24" s="455"/>
      <c r="R24" s="455"/>
      <c r="S24" s="455"/>
      <c r="T24" s="455"/>
      <c r="U24" s="455"/>
      <c r="V24" s="455"/>
      <c r="W24" s="455"/>
      <c r="X24" s="455"/>
      <c r="Y24" s="455"/>
      <c r="Z24" s="455"/>
      <c r="AA24" s="504"/>
      <c r="AB24" s="595" t="str">
        <f t="shared" si="29"/>
        <v/>
      </c>
      <c r="AC24" s="596" t="str">
        <f t="shared" si="46"/>
        <v/>
      </c>
      <c r="AD24" s="597" t="str">
        <f>IF(C24="","",VLOOKUP(C24,非_単位!$N$38:$O$53,2,FALSE))</f>
        <v/>
      </c>
      <c r="AE24" s="598" t="str">
        <f t="shared" si="47"/>
        <v/>
      </c>
      <c r="AF24" s="585" t="str">
        <f t="shared" si="48"/>
        <v/>
      </c>
      <c r="AH24" s="466" t="str">
        <f t="shared" si="1"/>
        <v/>
      </c>
      <c r="AI24" s="466" t="str">
        <f t="shared" si="49"/>
        <v/>
      </c>
      <c r="AJ24" s="466" t="str">
        <f t="shared" si="2"/>
        <v/>
      </c>
      <c r="AK24" s="466" t="str">
        <f t="shared" si="3"/>
        <v/>
      </c>
      <c r="AL24" s="466" t="str">
        <f t="shared" si="4"/>
        <v/>
      </c>
      <c r="AM24" s="466" t="str">
        <f t="shared" si="5"/>
        <v/>
      </c>
      <c r="AN24" s="466" t="str">
        <f t="shared" si="6"/>
        <v/>
      </c>
      <c r="AO24" s="466" t="str">
        <f t="shared" si="50"/>
        <v/>
      </c>
      <c r="AP24" s="466" t="str">
        <f t="shared" si="7"/>
        <v/>
      </c>
      <c r="AQ24" s="466" t="str">
        <f>IF(C24="","",IF(AP24="対象","熱量計読取",VLOOKUP(C24,非_係数!$B$42:$D$55,2,FALSE)))</f>
        <v/>
      </c>
      <c r="AR24" s="466" t="str">
        <f>IF(AH24="電気",非_電気事業者!$S$4*1000,IF(AH24="熱",非_熱供給事業者!$T$4,""))</f>
        <v/>
      </c>
      <c r="AS24" s="466" t="str">
        <f>IF(N24="","",VLOOKUP(N24,非_単位補正換算!$B$3:$C$16,2,FALSE))</f>
        <v/>
      </c>
      <c r="AT24" s="466" t="str">
        <f t="shared" si="51"/>
        <v/>
      </c>
      <c r="AU24" s="466" t="str">
        <f t="shared" si="8"/>
        <v/>
      </c>
      <c r="AV24" s="466">
        <v>1</v>
      </c>
      <c r="AW24" s="466" t="str">
        <f t="shared" si="9"/>
        <v/>
      </c>
      <c r="AX24" s="535" t="b">
        <f t="shared" si="20"/>
        <v>1</v>
      </c>
      <c r="AY24" s="466" t="str">
        <f t="shared" si="52"/>
        <v/>
      </c>
      <c r="AZ24" s="466" t="str">
        <f t="shared" si="10"/>
        <v/>
      </c>
      <c r="BA24" s="466" t="str">
        <f t="shared" si="11"/>
        <v/>
      </c>
      <c r="BB24" s="466" t="str">
        <f t="shared" si="12"/>
        <v/>
      </c>
      <c r="BC24" s="466" t="str">
        <f t="shared" si="13"/>
        <v/>
      </c>
      <c r="BD24" s="466" t="str">
        <f>IF(BC24&lt;&gt;"義務","",SUMIFS(非_まとめ表行番号!$N$3:$N$20,非_まとめ表行番号!$J$3:$J$20,AY24,非_まとめ表行番号!$K$3:$K$20,AZ24,非_まとめ表行番号!$L$3:$L$20,BA24,非_まとめ表行番号!$M$3:$M$20,BB24))</f>
        <v/>
      </c>
      <c r="BE24" s="466" t="str">
        <f>IF(BC24&lt;&gt;"義務","",SUMIFS(非_まとめ表行番号!$O$3:$O$20,非_まとめ表行番号!$J$3:$J$20,AY24,非_まとめ表行番号!$K$3:$K$20,AZ24,非_まとめ表行番号!$L$3:$L$20,BA24,非_まとめ表行番号!$M$3:$M$20,BB24))</f>
        <v/>
      </c>
      <c r="BF24" s="466" t="str">
        <f t="shared" si="22"/>
        <v/>
      </c>
      <c r="BG24" s="529"/>
      <c r="BH24" s="525" t="str">
        <f>IF(BD24="","",VLOOKUP(BD24,非_まとめ表行番号!$U$3:$V$56,2,FALSE))</f>
        <v/>
      </c>
      <c r="BI24" s="527" t="str">
        <f>IF(D24="","",VLOOKUP(D24,非_燃料種類_選択リスト!$X$2:$Y$14,2,FALSE))</f>
        <v/>
      </c>
      <c r="BJ24" s="527" t="str">
        <f>IF(E24="","",VLOOKUP(E24,非_燃料種類_選択リスト!$X$18:$Y$24,2,FALSE))</f>
        <v/>
      </c>
      <c r="BK24" s="539" t="str">
        <f t="shared" si="23"/>
        <v/>
      </c>
      <c r="BL24" s="527" t="str">
        <f t="shared" si="24"/>
        <v/>
      </c>
      <c r="BM24" s="527" t="str">
        <f t="shared" si="25"/>
        <v/>
      </c>
      <c r="BN24" s="527" t="str">
        <f t="shared" si="26"/>
        <v/>
      </c>
      <c r="BO24" s="527" t="str">
        <f t="shared" si="27"/>
        <v/>
      </c>
      <c r="BQ24" s="639" t="str">
        <f>IF(AND(B24="",C24=""),"",IF(AZ24="有",0,VLOOKUP(C24,非_係数!$B$42:$J$55,9,FALSE)))</f>
        <v/>
      </c>
      <c r="BR24" s="639" t="str">
        <f t="shared" si="28"/>
        <v/>
      </c>
    </row>
    <row r="25" spans="1:70" ht="18.75" customHeight="1">
      <c r="A25" s="483"/>
      <c r="B25" s="406"/>
      <c r="C25" s="406"/>
      <c r="D25" s="406"/>
      <c r="E25" s="407"/>
      <c r="F25" s="407"/>
      <c r="G25" s="406"/>
      <c r="H25" s="617" t="str">
        <f t="shared" si="45"/>
        <v/>
      </c>
      <c r="I25" s="406"/>
      <c r="J25" s="457" t="str">
        <f t="shared" si="0"/>
        <v/>
      </c>
      <c r="K25" s="406"/>
      <c r="L25" s="458"/>
      <c r="M25" s="406"/>
      <c r="N25" s="406"/>
      <c r="O25" s="455"/>
      <c r="P25" s="455"/>
      <c r="Q25" s="455"/>
      <c r="R25" s="455"/>
      <c r="S25" s="455"/>
      <c r="T25" s="455"/>
      <c r="U25" s="455"/>
      <c r="V25" s="455"/>
      <c r="W25" s="455"/>
      <c r="X25" s="455"/>
      <c r="Y25" s="455"/>
      <c r="Z25" s="455"/>
      <c r="AA25" s="504"/>
      <c r="AB25" s="595" t="str">
        <f t="shared" si="29"/>
        <v/>
      </c>
      <c r="AC25" s="596" t="str">
        <f t="shared" si="46"/>
        <v/>
      </c>
      <c r="AD25" s="597" t="str">
        <f>IF(C25="","",VLOOKUP(C25,非_単位!$N$38:$O$53,2,FALSE))</f>
        <v/>
      </c>
      <c r="AE25" s="598" t="str">
        <f t="shared" si="47"/>
        <v/>
      </c>
      <c r="AF25" s="585" t="str">
        <f t="shared" si="48"/>
        <v/>
      </c>
      <c r="AH25" s="466" t="str">
        <f t="shared" si="1"/>
        <v/>
      </c>
      <c r="AI25" s="466" t="str">
        <f t="shared" si="49"/>
        <v/>
      </c>
      <c r="AJ25" s="466" t="str">
        <f t="shared" si="2"/>
        <v/>
      </c>
      <c r="AK25" s="466" t="str">
        <f t="shared" si="3"/>
        <v/>
      </c>
      <c r="AL25" s="466" t="str">
        <f t="shared" si="4"/>
        <v/>
      </c>
      <c r="AM25" s="466" t="str">
        <f t="shared" si="5"/>
        <v/>
      </c>
      <c r="AN25" s="466" t="str">
        <f t="shared" si="6"/>
        <v/>
      </c>
      <c r="AO25" s="466" t="str">
        <f t="shared" si="50"/>
        <v/>
      </c>
      <c r="AP25" s="466" t="str">
        <f t="shared" si="7"/>
        <v/>
      </c>
      <c r="AQ25" s="466" t="str">
        <f>IF(C25="","",IF(AP25="対象","熱量計読取",VLOOKUP(C25,非_係数!$B$42:$D$55,2,FALSE)))</f>
        <v/>
      </c>
      <c r="AR25" s="466" t="str">
        <f>IF(AH25="電気",非_電気事業者!$S$4*1000,IF(AH25="熱",非_熱供給事業者!$T$4,""))</f>
        <v/>
      </c>
      <c r="AS25" s="466" t="str">
        <f>IF(N25="","",VLOOKUP(N25,非_単位補正換算!$B$3:$C$16,2,FALSE))</f>
        <v/>
      </c>
      <c r="AT25" s="466" t="str">
        <f t="shared" si="51"/>
        <v/>
      </c>
      <c r="AU25" s="466" t="str">
        <f t="shared" si="8"/>
        <v/>
      </c>
      <c r="AV25" s="466">
        <v>1</v>
      </c>
      <c r="AW25" s="466" t="str">
        <f t="shared" si="9"/>
        <v/>
      </c>
      <c r="AX25" s="535" t="b">
        <f t="shared" si="20"/>
        <v>1</v>
      </c>
      <c r="AY25" s="466" t="str">
        <f t="shared" si="52"/>
        <v/>
      </c>
      <c r="AZ25" s="466" t="str">
        <f t="shared" si="10"/>
        <v/>
      </c>
      <c r="BA25" s="466" t="str">
        <f t="shared" si="11"/>
        <v/>
      </c>
      <c r="BB25" s="466" t="str">
        <f t="shared" si="12"/>
        <v/>
      </c>
      <c r="BC25" s="466" t="str">
        <f t="shared" si="13"/>
        <v/>
      </c>
      <c r="BD25" s="466" t="str">
        <f>IF(BC25&lt;&gt;"義務","",SUMIFS(非_まとめ表行番号!$N$3:$N$20,非_まとめ表行番号!$J$3:$J$20,AY25,非_まとめ表行番号!$K$3:$K$20,AZ25,非_まとめ表行番号!$L$3:$L$20,BA25,非_まとめ表行番号!$M$3:$M$20,BB25))</f>
        <v/>
      </c>
      <c r="BE25" s="466" t="str">
        <f>IF(BC25&lt;&gt;"義務","",SUMIFS(非_まとめ表行番号!$O$3:$O$20,非_まとめ表行番号!$J$3:$J$20,AY25,非_まとめ表行番号!$K$3:$K$20,AZ25,非_まとめ表行番号!$L$3:$L$20,BA25,非_まとめ表行番号!$M$3:$M$20,BB25))</f>
        <v/>
      </c>
      <c r="BF25" s="466" t="str">
        <f t="shared" si="22"/>
        <v/>
      </c>
      <c r="BG25" s="529"/>
      <c r="BH25" s="525" t="str">
        <f>IF(BD25="","",VLOOKUP(BD25,非_まとめ表行番号!$U$3:$V$56,2,FALSE))</f>
        <v/>
      </c>
      <c r="BI25" s="527" t="str">
        <f>IF(D25="","",VLOOKUP(D25,非_燃料種類_選択リスト!$X$2:$Y$14,2,FALSE))</f>
        <v/>
      </c>
      <c r="BJ25" s="527" t="str">
        <f>IF(E25="","",VLOOKUP(E25,非_燃料種類_選択リスト!$X$18:$Y$24,2,FALSE))</f>
        <v/>
      </c>
      <c r="BK25" s="539" t="str">
        <f t="shared" si="23"/>
        <v/>
      </c>
      <c r="BL25" s="527" t="str">
        <f t="shared" si="24"/>
        <v/>
      </c>
      <c r="BM25" s="527" t="str">
        <f t="shared" si="25"/>
        <v/>
      </c>
      <c r="BN25" s="527" t="str">
        <f t="shared" si="26"/>
        <v/>
      </c>
      <c r="BO25" s="527" t="str">
        <f t="shared" si="27"/>
        <v/>
      </c>
      <c r="BQ25" s="639" t="str">
        <f>IF(AND(B25="",C25=""),"",IF(AZ25="有",0,VLOOKUP(C25,非_係数!$B$42:$J$55,9,FALSE)))</f>
        <v/>
      </c>
      <c r="BR25" s="639" t="str">
        <f t="shared" si="28"/>
        <v/>
      </c>
    </row>
    <row r="26" spans="1:70" ht="18.75" customHeight="1">
      <c r="A26" s="483"/>
      <c r="B26" s="406"/>
      <c r="C26" s="406"/>
      <c r="D26" s="406"/>
      <c r="E26" s="407"/>
      <c r="F26" s="407"/>
      <c r="G26" s="406"/>
      <c r="H26" s="617" t="str">
        <f t="shared" si="14"/>
        <v/>
      </c>
      <c r="I26" s="406"/>
      <c r="J26" s="457" t="str">
        <f t="shared" si="0"/>
        <v/>
      </c>
      <c r="K26" s="406"/>
      <c r="L26" s="458"/>
      <c r="M26" s="406"/>
      <c r="N26" s="406"/>
      <c r="O26" s="455"/>
      <c r="P26" s="455"/>
      <c r="Q26" s="455"/>
      <c r="R26" s="455"/>
      <c r="S26" s="455"/>
      <c r="T26" s="455"/>
      <c r="U26" s="455"/>
      <c r="V26" s="455"/>
      <c r="W26" s="455"/>
      <c r="X26" s="455"/>
      <c r="Y26" s="455"/>
      <c r="Z26" s="455"/>
      <c r="AA26" s="504"/>
      <c r="AB26" s="595" t="str">
        <f t="shared" si="29"/>
        <v/>
      </c>
      <c r="AC26" s="596" t="str">
        <f t="shared" si="34"/>
        <v/>
      </c>
      <c r="AD26" s="597" t="str">
        <f>IF(C26="","",VLOOKUP(C26,非_単位!$N$38:$O$53,2,FALSE))</f>
        <v/>
      </c>
      <c r="AE26" s="598" t="str">
        <f t="shared" si="35"/>
        <v/>
      </c>
      <c r="AF26" s="585" t="str">
        <f t="shared" si="36"/>
        <v/>
      </c>
      <c r="AH26" s="466" t="str">
        <f t="shared" si="1"/>
        <v/>
      </c>
      <c r="AI26" s="466" t="str">
        <f t="shared" si="30"/>
        <v/>
      </c>
      <c r="AJ26" s="466" t="str">
        <f t="shared" si="2"/>
        <v/>
      </c>
      <c r="AK26" s="466" t="str">
        <f t="shared" si="3"/>
        <v/>
      </c>
      <c r="AL26" s="466" t="str">
        <f t="shared" si="4"/>
        <v/>
      </c>
      <c r="AM26" s="466" t="str">
        <f t="shared" si="5"/>
        <v/>
      </c>
      <c r="AN26" s="466" t="str">
        <f t="shared" si="6"/>
        <v/>
      </c>
      <c r="AO26" s="466" t="str">
        <f t="shared" si="18"/>
        <v/>
      </c>
      <c r="AP26" s="466" t="str">
        <f t="shared" si="7"/>
        <v/>
      </c>
      <c r="AQ26" s="466" t="str">
        <f>IF(C26="","",IF(AP26="対象","熱量計読取",VLOOKUP(C26,非_係数!$B$42:$D$55,2,FALSE)))</f>
        <v/>
      </c>
      <c r="AR26" s="466" t="str">
        <f>IF(AH26="電気",非_電気事業者!$S$4*1000,IF(AH26="熱",非_熱供給事業者!$T$4,""))</f>
        <v/>
      </c>
      <c r="AS26" s="466" t="str">
        <f>IF(N26="","",VLOOKUP(N26,非_単位補正換算!$B$3:$C$16,2,FALSE))</f>
        <v/>
      </c>
      <c r="AT26" s="466" t="str">
        <f t="shared" si="19"/>
        <v/>
      </c>
      <c r="AU26" s="466" t="str">
        <f t="shared" si="8"/>
        <v/>
      </c>
      <c r="AV26" s="466">
        <v>1</v>
      </c>
      <c r="AW26" s="466" t="str">
        <f t="shared" si="9"/>
        <v/>
      </c>
      <c r="AX26" s="535" t="b">
        <f t="shared" si="20"/>
        <v>1</v>
      </c>
      <c r="AY26" s="466" t="str">
        <f t="shared" si="21"/>
        <v/>
      </c>
      <c r="AZ26" s="466" t="str">
        <f t="shared" si="10"/>
        <v/>
      </c>
      <c r="BA26" s="466" t="str">
        <f t="shared" si="11"/>
        <v/>
      </c>
      <c r="BB26" s="466" t="str">
        <f t="shared" si="12"/>
        <v/>
      </c>
      <c r="BC26" s="466" t="str">
        <f t="shared" si="13"/>
        <v/>
      </c>
      <c r="BD26" s="466" t="str">
        <f>IF(BC26&lt;&gt;"義務","",SUMIFS(非_まとめ表行番号!$N$3:$N$20,非_まとめ表行番号!$J$3:$J$20,AY26,非_まとめ表行番号!$K$3:$K$20,AZ26,非_まとめ表行番号!$L$3:$L$20,BA26,非_まとめ表行番号!$M$3:$M$20,BB26))</f>
        <v/>
      </c>
      <c r="BE26" s="466" t="str">
        <f>IF(BC26&lt;&gt;"義務","",SUMIFS(非_まとめ表行番号!$O$3:$O$20,非_まとめ表行番号!$J$3:$J$20,AY26,非_まとめ表行番号!$K$3:$K$20,AZ26,非_まとめ表行番号!$L$3:$L$20,BA26,非_まとめ表行番号!$M$3:$M$20,BB26))</f>
        <v/>
      </c>
      <c r="BF26" s="466" t="str">
        <f t="shared" si="22"/>
        <v/>
      </c>
      <c r="BG26" s="529"/>
      <c r="BH26" s="525" t="str">
        <f>IF(BD26="","",VLOOKUP(BD26,非_まとめ表行番号!$U$3:$V$56,2,FALSE))</f>
        <v/>
      </c>
      <c r="BI26" s="527" t="str">
        <f>IF(D26="","",VLOOKUP(D26,非_燃料種類_選択リスト!$X$2:$Y$14,2,FALSE))</f>
        <v/>
      </c>
      <c r="BJ26" s="527" t="str">
        <f>IF(E26="","",VLOOKUP(E26,非_燃料種類_選択リスト!$X$18:$Y$24,2,FALSE))</f>
        <v/>
      </c>
      <c r="BK26" s="539" t="str">
        <f t="shared" si="23"/>
        <v/>
      </c>
      <c r="BL26" s="527" t="str">
        <f t="shared" si="24"/>
        <v/>
      </c>
      <c r="BM26" s="527" t="str">
        <f t="shared" si="25"/>
        <v/>
      </c>
      <c r="BN26" s="527" t="str">
        <f t="shared" si="26"/>
        <v/>
      </c>
      <c r="BO26" s="527" t="str">
        <f t="shared" si="27"/>
        <v/>
      </c>
      <c r="BQ26" s="639" t="str">
        <f>IF(AND(B26="",C26=""),"",IF(AZ26="有",0,VLOOKUP(C26,非_係数!$B$42:$J$55,9,FALSE)))</f>
        <v/>
      </c>
      <c r="BR26" s="639" t="str">
        <f t="shared" si="28"/>
        <v/>
      </c>
    </row>
    <row r="27" spans="1:70" ht="18.75" customHeight="1">
      <c r="A27" s="483"/>
      <c r="B27" s="406"/>
      <c r="C27" s="406"/>
      <c r="D27" s="406"/>
      <c r="E27" s="407"/>
      <c r="F27" s="407"/>
      <c r="G27" s="406"/>
      <c r="H27" s="617" t="str">
        <f t="shared" si="14"/>
        <v/>
      </c>
      <c r="I27" s="406"/>
      <c r="J27" s="457" t="str">
        <f t="shared" si="0"/>
        <v/>
      </c>
      <c r="K27" s="406"/>
      <c r="L27" s="458"/>
      <c r="M27" s="406"/>
      <c r="N27" s="406"/>
      <c r="O27" s="455"/>
      <c r="P27" s="455"/>
      <c r="Q27" s="455"/>
      <c r="R27" s="455"/>
      <c r="S27" s="455"/>
      <c r="T27" s="455"/>
      <c r="U27" s="455"/>
      <c r="V27" s="455"/>
      <c r="W27" s="455"/>
      <c r="X27" s="455"/>
      <c r="Y27" s="455"/>
      <c r="Z27" s="455"/>
      <c r="AA27" s="504"/>
      <c r="AB27" s="595" t="str">
        <f t="shared" si="29"/>
        <v/>
      </c>
      <c r="AC27" s="596" t="str">
        <f t="shared" si="34"/>
        <v/>
      </c>
      <c r="AD27" s="597" t="str">
        <f>IF(C27="","",VLOOKUP(C27,非_単位!$N$38:$O$53,2,FALSE))</f>
        <v/>
      </c>
      <c r="AE27" s="598" t="str">
        <f t="shared" si="35"/>
        <v/>
      </c>
      <c r="AF27" s="585" t="str">
        <f t="shared" si="36"/>
        <v/>
      </c>
      <c r="AH27" s="466" t="str">
        <f t="shared" si="1"/>
        <v/>
      </c>
      <c r="AI27" s="466" t="str">
        <f t="shared" si="30"/>
        <v/>
      </c>
      <c r="AJ27" s="466" t="str">
        <f t="shared" si="2"/>
        <v/>
      </c>
      <c r="AK27" s="466" t="str">
        <f t="shared" si="3"/>
        <v/>
      </c>
      <c r="AL27" s="466" t="str">
        <f t="shared" si="4"/>
        <v/>
      </c>
      <c r="AM27" s="466" t="str">
        <f t="shared" si="5"/>
        <v/>
      </c>
      <c r="AN27" s="466" t="str">
        <f t="shared" si="6"/>
        <v/>
      </c>
      <c r="AO27" s="466" t="str">
        <f t="shared" si="18"/>
        <v/>
      </c>
      <c r="AP27" s="466" t="str">
        <f t="shared" si="7"/>
        <v/>
      </c>
      <c r="AQ27" s="466" t="str">
        <f>IF(C27="","",IF(AP27="対象","熱量計読取",VLOOKUP(C27,非_係数!$B$42:$D$55,2,FALSE)))</f>
        <v/>
      </c>
      <c r="AR27" s="466" t="str">
        <f>IF(AH27="電気",非_電気事業者!$S$4*1000,IF(AH27="熱",非_熱供給事業者!$T$4,""))</f>
        <v/>
      </c>
      <c r="AS27" s="466" t="str">
        <f>IF(N27="","",VLOOKUP(N27,非_単位補正換算!$B$3:$C$16,2,FALSE))</f>
        <v/>
      </c>
      <c r="AT27" s="466" t="str">
        <f t="shared" si="19"/>
        <v/>
      </c>
      <c r="AU27" s="466" t="str">
        <f t="shared" si="8"/>
        <v/>
      </c>
      <c r="AV27" s="466">
        <v>1</v>
      </c>
      <c r="AW27" s="466" t="str">
        <f t="shared" si="9"/>
        <v/>
      </c>
      <c r="AX27" s="535" t="b">
        <f t="shared" si="20"/>
        <v>1</v>
      </c>
      <c r="AY27" s="466" t="str">
        <f t="shared" si="21"/>
        <v/>
      </c>
      <c r="AZ27" s="466" t="str">
        <f t="shared" si="10"/>
        <v/>
      </c>
      <c r="BA27" s="466" t="str">
        <f t="shared" si="11"/>
        <v/>
      </c>
      <c r="BB27" s="466" t="str">
        <f t="shared" si="12"/>
        <v/>
      </c>
      <c r="BC27" s="466" t="str">
        <f t="shared" si="13"/>
        <v/>
      </c>
      <c r="BD27" s="466" t="str">
        <f>IF(BC27&lt;&gt;"義務","",SUMIFS(非_まとめ表行番号!$N$3:$N$20,非_まとめ表行番号!$J$3:$J$20,AY27,非_まとめ表行番号!$K$3:$K$20,AZ27,非_まとめ表行番号!$L$3:$L$20,BA27,非_まとめ表行番号!$M$3:$M$20,BB27))</f>
        <v/>
      </c>
      <c r="BE27" s="466" t="str">
        <f>IF(BC27&lt;&gt;"義務","",SUMIFS(非_まとめ表行番号!$O$3:$O$20,非_まとめ表行番号!$J$3:$J$20,AY27,非_まとめ表行番号!$K$3:$K$20,AZ27,非_まとめ表行番号!$L$3:$L$20,BA27,非_まとめ表行番号!$M$3:$M$20,BB27))</f>
        <v/>
      </c>
      <c r="BF27" s="466" t="str">
        <f t="shared" si="22"/>
        <v/>
      </c>
      <c r="BG27" s="529"/>
      <c r="BH27" s="525" t="str">
        <f>IF(BD27="","",VLOOKUP(BD27,非_まとめ表行番号!$U$3:$V$56,2,FALSE))</f>
        <v/>
      </c>
      <c r="BI27" s="527" t="str">
        <f>IF(D27="","",VLOOKUP(D27,非_燃料種類_選択リスト!$X$2:$Y$14,2,FALSE))</f>
        <v/>
      </c>
      <c r="BJ27" s="527" t="str">
        <f>IF(E27="","",VLOOKUP(E27,非_燃料種類_選択リスト!$X$18:$Y$24,2,FALSE))</f>
        <v/>
      </c>
      <c r="BK27" s="539" t="str">
        <f t="shared" si="23"/>
        <v/>
      </c>
      <c r="BL27" s="527" t="str">
        <f t="shared" si="24"/>
        <v/>
      </c>
      <c r="BM27" s="527" t="str">
        <f t="shared" si="25"/>
        <v/>
      </c>
      <c r="BN27" s="527" t="str">
        <f t="shared" si="26"/>
        <v/>
      </c>
      <c r="BO27" s="527" t="str">
        <f t="shared" si="27"/>
        <v/>
      </c>
      <c r="BQ27" s="639" t="str">
        <f>IF(AND(B27="",C27=""),"",IF(AZ27="有",0,VLOOKUP(C27,非_係数!$B$42:$J$55,9,FALSE)))</f>
        <v/>
      </c>
      <c r="BR27" s="639" t="str">
        <f t="shared" si="28"/>
        <v/>
      </c>
    </row>
    <row r="28" spans="1:70" ht="18.75" customHeight="1">
      <c r="A28" s="483"/>
      <c r="B28" s="406"/>
      <c r="C28" s="406"/>
      <c r="D28" s="406"/>
      <c r="E28" s="407"/>
      <c r="F28" s="407"/>
      <c r="G28" s="406"/>
      <c r="H28" s="617" t="str">
        <f t="shared" si="14"/>
        <v/>
      </c>
      <c r="I28" s="406"/>
      <c r="J28" s="457" t="str">
        <f t="shared" si="0"/>
        <v/>
      </c>
      <c r="K28" s="406"/>
      <c r="L28" s="458"/>
      <c r="M28" s="406"/>
      <c r="N28" s="406"/>
      <c r="O28" s="455"/>
      <c r="P28" s="455"/>
      <c r="Q28" s="455"/>
      <c r="R28" s="455"/>
      <c r="S28" s="455"/>
      <c r="T28" s="455"/>
      <c r="U28" s="455"/>
      <c r="V28" s="455"/>
      <c r="W28" s="455"/>
      <c r="X28" s="455"/>
      <c r="Y28" s="455"/>
      <c r="Z28" s="455"/>
      <c r="AA28" s="504"/>
      <c r="AB28" s="595" t="str">
        <f t="shared" si="29"/>
        <v/>
      </c>
      <c r="AC28" s="596" t="str">
        <f t="shared" si="34"/>
        <v/>
      </c>
      <c r="AD28" s="597" t="str">
        <f>IF(C28="","",VLOOKUP(C28,非_単位!$N$38:$O$53,2,FALSE))</f>
        <v/>
      </c>
      <c r="AE28" s="598" t="str">
        <f t="shared" si="35"/>
        <v/>
      </c>
      <c r="AF28" s="585" t="str">
        <f t="shared" si="36"/>
        <v/>
      </c>
      <c r="AH28" s="466" t="str">
        <f t="shared" si="1"/>
        <v/>
      </c>
      <c r="AI28" s="466" t="str">
        <f t="shared" si="30"/>
        <v/>
      </c>
      <c r="AJ28" s="466" t="str">
        <f t="shared" si="2"/>
        <v/>
      </c>
      <c r="AK28" s="466" t="str">
        <f t="shared" si="3"/>
        <v/>
      </c>
      <c r="AL28" s="466" t="str">
        <f t="shared" si="4"/>
        <v/>
      </c>
      <c r="AM28" s="466" t="str">
        <f t="shared" si="5"/>
        <v/>
      </c>
      <c r="AN28" s="466" t="str">
        <f t="shared" si="6"/>
        <v/>
      </c>
      <c r="AO28" s="466" t="str">
        <f t="shared" si="18"/>
        <v/>
      </c>
      <c r="AP28" s="466" t="str">
        <f t="shared" si="7"/>
        <v/>
      </c>
      <c r="AQ28" s="466" t="str">
        <f>IF(C28="","",IF(AP28="対象","熱量計読取",VLOOKUP(C28,非_係数!$B$42:$D$55,2,FALSE)))</f>
        <v/>
      </c>
      <c r="AR28" s="466" t="str">
        <f>IF(AH28="電気",非_電気事業者!$S$4*1000,IF(AH28="熱",非_熱供給事業者!$T$4,""))</f>
        <v/>
      </c>
      <c r="AS28" s="466" t="str">
        <f>IF(N28="","",VLOOKUP(N28,非_単位補正換算!$B$3:$C$16,2,FALSE))</f>
        <v/>
      </c>
      <c r="AT28" s="466" t="str">
        <f t="shared" si="19"/>
        <v/>
      </c>
      <c r="AU28" s="466" t="str">
        <f t="shared" si="8"/>
        <v/>
      </c>
      <c r="AV28" s="466">
        <v>1</v>
      </c>
      <c r="AW28" s="466" t="str">
        <f t="shared" si="9"/>
        <v/>
      </c>
      <c r="AX28" s="535" t="b">
        <f t="shared" si="20"/>
        <v>1</v>
      </c>
      <c r="AY28" s="466" t="str">
        <f t="shared" si="21"/>
        <v/>
      </c>
      <c r="AZ28" s="466" t="str">
        <f t="shared" si="10"/>
        <v/>
      </c>
      <c r="BA28" s="466" t="str">
        <f t="shared" si="11"/>
        <v/>
      </c>
      <c r="BB28" s="466" t="str">
        <f t="shared" si="12"/>
        <v/>
      </c>
      <c r="BC28" s="466" t="str">
        <f t="shared" si="13"/>
        <v/>
      </c>
      <c r="BD28" s="466" t="str">
        <f>IF(BC28&lt;&gt;"義務","",SUMIFS(非_まとめ表行番号!$N$3:$N$20,非_まとめ表行番号!$J$3:$J$20,AY28,非_まとめ表行番号!$K$3:$K$20,AZ28,非_まとめ表行番号!$L$3:$L$20,BA28,非_まとめ表行番号!$M$3:$M$20,BB28))</f>
        <v/>
      </c>
      <c r="BE28" s="466" t="str">
        <f>IF(BC28&lt;&gt;"義務","",SUMIFS(非_まとめ表行番号!$O$3:$O$20,非_まとめ表行番号!$J$3:$J$20,AY28,非_まとめ表行番号!$K$3:$K$20,AZ28,非_まとめ表行番号!$L$3:$L$20,BA28,非_まとめ表行番号!$M$3:$M$20,BB28))</f>
        <v/>
      </c>
      <c r="BF28" s="466" t="str">
        <f t="shared" si="22"/>
        <v/>
      </c>
      <c r="BG28" s="529"/>
      <c r="BH28" s="525" t="str">
        <f>IF(BD28="","",VLOOKUP(BD28,非_まとめ表行番号!$U$3:$V$56,2,FALSE))</f>
        <v/>
      </c>
      <c r="BI28" s="527" t="str">
        <f>IF(D28="","",VLOOKUP(D28,非_燃料種類_選択リスト!$X$2:$Y$14,2,FALSE))</f>
        <v/>
      </c>
      <c r="BJ28" s="527" t="str">
        <f>IF(E28="","",VLOOKUP(E28,非_燃料種類_選択リスト!$X$18:$Y$24,2,FALSE))</f>
        <v/>
      </c>
      <c r="BK28" s="539" t="str">
        <f t="shared" si="23"/>
        <v/>
      </c>
      <c r="BL28" s="527" t="str">
        <f t="shared" si="24"/>
        <v/>
      </c>
      <c r="BM28" s="527" t="str">
        <f t="shared" si="25"/>
        <v/>
      </c>
      <c r="BN28" s="527" t="str">
        <f t="shared" si="26"/>
        <v/>
      </c>
      <c r="BO28" s="527" t="str">
        <f t="shared" si="27"/>
        <v/>
      </c>
      <c r="BQ28" s="639" t="str">
        <f>IF(AND(B28="",C28=""),"",IF(AZ28="有",0,VLOOKUP(C28,非_係数!$B$42:$J$55,9,FALSE)))</f>
        <v/>
      </c>
      <c r="BR28" s="639" t="str">
        <f t="shared" si="28"/>
        <v/>
      </c>
    </row>
    <row r="29" spans="1:70" ht="18.75" customHeight="1">
      <c r="A29" s="483"/>
      <c r="B29" s="406"/>
      <c r="C29" s="406"/>
      <c r="D29" s="406"/>
      <c r="E29" s="407"/>
      <c r="F29" s="407"/>
      <c r="G29" s="406"/>
      <c r="H29" s="617" t="str">
        <f t="shared" ref="H29" si="53">AQ29</f>
        <v/>
      </c>
      <c r="I29" s="406"/>
      <c r="J29" s="457" t="str">
        <f t="shared" si="0"/>
        <v/>
      </c>
      <c r="K29" s="406"/>
      <c r="L29" s="458"/>
      <c r="M29" s="406"/>
      <c r="N29" s="406"/>
      <c r="O29" s="455"/>
      <c r="P29" s="455"/>
      <c r="Q29" s="455"/>
      <c r="R29" s="455"/>
      <c r="S29" s="455"/>
      <c r="T29" s="455"/>
      <c r="U29" s="455"/>
      <c r="V29" s="455"/>
      <c r="W29" s="455"/>
      <c r="X29" s="455"/>
      <c r="Y29" s="455"/>
      <c r="Z29" s="455"/>
      <c r="AA29" s="504"/>
      <c r="AB29" s="595" t="str">
        <f t="shared" si="29"/>
        <v/>
      </c>
      <c r="AC29" s="596" t="str">
        <f t="shared" ref="AC29" si="54">AT29</f>
        <v/>
      </c>
      <c r="AD29" s="597" t="str">
        <f>IF(C29="","",VLOOKUP(C29,非_単位!$N$38:$O$53,2,FALSE))</f>
        <v/>
      </c>
      <c r="AE29" s="598" t="str">
        <f t="shared" ref="AE29" si="55">AU29</f>
        <v/>
      </c>
      <c r="AF29" s="585" t="str">
        <f t="shared" ref="AF29" si="56">AW29</f>
        <v/>
      </c>
      <c r="AH29" s="466" t="str">
        <f t="shared" si="1"/>
        <v/>
      </c>
      <c r="AI29" s="466" t="str">
        <f t="shared" ref="AI29" si="57">IF(AH29="電気","再エネ_事業所内_電気_種類",IF(AH29="熱","再エネ_事業所内_熱_種類",""))</f>
        <v/>
      </c>
      <c r="AJ29" s="466" t="str">
        <f t="shared" si="2"/>
        <v/>
      </c>
      <c r="AK29" s="466" t="str">
        <f t="shared" si="3"/>
        <v/>
      </c>
      <c r="AL29" s="466" t="str">
        <f t="shared" si="4"/>
        <v/>
      </c>
      <c r="AM29" s="466" t="str">
        <f t="shared" si="5"/>
        <v/>
      </c>
      <c r="AN29" s="466" t="str">
        <f t="shared" si="6"/>
        <v/>
      </c>
      <c r="AO29" s="466" t="str">
        <f t="shared" ref="AO29" si="58">IF(AH29="","","自家消費")</f>
        <v/>
      </c>
      <c r="AP29" s="466" t="str">
        <f t="shared" si="7"/>
        <v/>
      </c>
      <c r="AQ29" s="466" t="str">
        <f>IF(C29="","",IF(AP29="対象","熱量計読取",VLOOKUP(C29,非_係数!$B$42:$D$55,2,FALSE)))</f>
        <v/>
      </c>
      <c r="AR29" s="466" t="str">
        <f>IF(AH29="電気",非_電気事業者!$S$4*1000,IF(AH29="熱",非_熱供給事業者!$T$4,""))</f>
        <v/>
      </c>
      <c r="AS29" s="466" t="str">
        <f>IF(N29="","",VLOOKUP(N29,非_単位補正換算!$B$3:$C$16,2,FALSE))</f>
        <v/>
      </c>
      <c r="AT29" s="466" t="str">
        <f t="shared" ref="AT29" si="59">IF(N29="","",IF(AB29="","",AB29/AS29))</f>
        <v/>
      </c>
      <c r="AU29" s="466" t="str">
        <f t="shared" si="8"/>
        <v/>
      </c>
      <c r="AV29" s="466">
        <v>1</v>
      </c>
      <c r="AW29" s="466" t="str">
        <f t="shared" si="9"/>
        <v/>
      </c>
      <c r="AX29" s="535" t="b">
        <f t="shared" si="20"/>
        <v>1</v>
      </c>
      <c r="AY29" s="466" t="str">
        <f t="shared" ref="AY29" si="60">AH29</f>
        <v/>
      </c>
      <c r="AZ29" s="466" t="str">
        <f t="shared" si="10"/>
        <v/>
      </c>
      <c r="BA29" s="466" t="str">
        <f t="shared" si="11"/>
        <v/>
      </c>
      <c r="BB29" s="466" t="str">
        <f t="shared" si="12"/>
        <v/>
      </c>
      <c r="BC29" s="466" t="str">
        <f t="shared" si="13"/>
        <v/>
      </c>
      <c r="BD29" s="466" t="str">
        <f>IF(BC29&lt;&gt;"義務","",SUMIFS(非_まとめ表行番号!$N$3:$N$20,非_まとめ表行番号!$J$3:$J$20,AY29,非_まとめ表行番号!$K$3:$K$20,AZ29,非_まとめ表行番号!$L$3:$L$20,BA29,非_まとめ表行番号!$M$3:$M$20,BB29))</f>
        <v/>
      </c>
      <c r="BE29" s="466" t="str">
        <f>IF(BC29&lt;&gt;"義務","",SUMIFS(非_まとめ表行番号!$O$3:$O$20,非_まとめ表行番号!$J$3:$J$20,AY29,非_まとめ表行番号!$K$3:$K$20,AZ29,非_まとめ表行番号!$L$3:$L$20,BA29,非_まとめ表行番号!$M$3:$M$20,BB29))</f>
        <v/>
      </c>
      <c r="BF29" s="466" t="str">
        <f t="shared" si="22"/>
        <v/>
      </c>
      <c r="BG29" s="529"/>
      <c r="BH29" s="525" t="str">
        <f>IF(BD29="","",VLOOKUP(BD29,非_まとめ表行番号!$U$3:$V$56,2,FALSE))</f>
        <v/>
      </c>
      <c r="BI29" s="527" t="str">
        <f>IF(D29="","",VLOOKUP(D29,非_燃料種類_選択リスト!$X$2:$Y$14,2,FALSE))</f>
        <v/>
      </c>
      <c r="BJ29" s="527" t="str">
        <f>IF(E29="","",VLOOKUP(E29,非_燃料種類_選択リスト!$X$18:$Y$24,2,FALSE))</f>
        <v/>
      </c>
      <c r="BK29" s="539" t="str">
        <f t="shared" si="23"/>
        <v/>
      </c>
      <c r="BL29" s="527" t="str">
        <f t="shared" si="24"/>
        <v/>
      </c>
      <c r="BM29" s="527" t="str">
        <f t="shared" si="25"/>
        <v/>
      </c>
      <c r="BN29" s="527" t="str">
        <f t="shared" si="26"/>
        <v/>
      </c>
      <c r="BO29" s="527" t="str">
        <f t="shared" si="27"/>
        <v/>
      </c>
      <c r="BQ29" s="639" t="str">
        <f>IF(AND(B29="",C29=""),"",IF(AZ29="有",0,VLOOKUP(C29,非_係数!$B$42:$J$55,9,FALSE)))</f>
        <v/>
      </c>
      <c r="BR29" s="639" t="str">
        <f t="shared" si="28"/>
        <v/>
      </c>
    </row>
    <row r="30" spans="1:70" ht="18.75" customHeight="1">
      <c r="A30" s="483"/>
      <c r="B30" s="406"/>
      <c r="C30" s="406"/>
      <c r="D30" s="406"/>
      <c r="E30" s="407"/>
      <c r="F30" s="407"/>
      <c r="G30" s="406"/>
      <c r="H30" s="617" t="str">
        <f t="shared" ref="H30:H33" si="61">AQ30</f>
        <v/>
      </c>
      <c r="I30" s="406"/>
      <c r="J30" s="457" t="str">
        <f t="shared" si="0"/>
        <v/>
      </c>
      <c r="K30" s="406"/>
      <c r="L30" s="458"/>
      <c r="M30" s="406"/>
      <c r="N30" s="406"/>
      <c r="O30" s="455"/>
      <c r="P30" s="455"/>
      <c r="Q30" s="455"/>
      <c r="R30" s="455"/>
      <c r="S30" s="455"/>
      <c r="T30" s="455"/>
      <c r="U30" s="455"/>
      <c r="V30" s="455"/>
      <c r="W30" s="455"/>
      <c r="X30" s="455"/>
      <c r="Y30" s="455"/>
      <c r="Z30" s="455"/>
      <c r="AA30" s="504"/>
      <c r="AB30" s="595" t="str">
        <f t="shared" si="29"/>
        <v/>
      </c>
      <c r="AC30" s="596" t="str">
        <f t="shared" ref="AC30:AC33" si="62">AT30</f>
        <v/>
      </c>
      <c r="AD30" s="597" t="str">
        <f>IF(C30="","",VLOOKUP(C30,非_単位!$N$38:$O$53,2,FALSE))</f>
        <v/>
      </c>
      <c r="AE30" s="598" t="str">
        <f t="shared" ref="AE30:AE33" si="63">AU30</f>
        <v/>
      </c>
      <c r="AF30" s="585" t="str">
        <f t="shared" ref="AF30:AF33" si="64">AW30</f>
        <v/>
      </c>
      <c r="AH30" s="466" t="str">
        <f t="shared" si="1"/>
        <v/>
      </c>
      <c r="AI30" s="466" t="str">
        <f t="shared" ref="AI30:AI33" si="65">IF(AH30="電気","再エネ_事業所内_電気_種類",IF(AH30="熱","再エネ_事業所内_熱_種類",""))</f>
        <v/>
      </c>
      <c r="AJ30" s="466" t="str">
        <f t="shared" si="2"/>
        <v/>
      </c>
      <c r="AK30" s="466" t="str">
        <f t="shared" si="3"/>
        <v/>
      </c>
      <c r="AL30" s="466" t="str">
        <f t="shared" si="4"/>
        <v/>
      </c>
      <c r="AM30" s="466" t="str">
        <f t="shared" si="5"/>
        <v/>
      </c>
      <c r="AN30" s="466" t="str">
        <f t="shared" si="6"/>
        <v/>
      </c>
      <c r="AO30" s="466" t="str">
        <f t="shared" ref="AO30:AO33" si="66">IF(AH30="","","自家消費")</f>
        <v/>
      </c>
      <c r="AP30" s="466" t="str">
        <f t="shared" si="7"/>
        <v/>
      </c>
      <c r="AQ30" s="466" t="str">
        <f>IF(C30="","",IF(AP30="対象","熱量計読取",VLOOKUP(C30,非_係数!$B$42:$D$55,2,FALSE)))</f>
        <v/>
      </c>
      <c r="AR30" s="466" t="str">
        <f>IF(AH30="電気",非_電気事業者!$S$4*1000,IF(AH30="熱",非_熱供給事業者!$T$4,""))</f>
        <v/>
      </c>
      <c r="AS30" s="466" t="str">
        <f>IF(N30="","",VLOOKUP(N30,非_単位補正換算!$B$3:$C$16,2,FALSE))</f>
        <v/>
      </c>
      <c r="AT30" s="466" t="str">
        <f t="shared" ref="AT30:AT33" si="67">IF(N30="","",IF(AB30="","",AB30/AS30))</f>
        <v/>
      </c>
      <c r="AU30" s="466" t="str">
        <f t="shared" si="8"/>
        <v/>
      </c>
      <c r="AV30" s="466">
        <v>1</v>
      </c>
      <c r="AW30" s="466" t="str">
        <f t="shared" si="9"/>
        <v/>
      </c>
      <c r="AX30" s="535" t="b">
        <f t="shared" si="20"/>
        <v>1</v>
      </c>
      <c r="AY30" s="466" t="str">
        <f t="shared" ref="AY30:AY33" si="68">AH30</f>
        <v/>
      </c>
      <c r="AZ30" s="466" t="str">
        <f t="shared" si="10"/>
        <v/>
      </c>
      <c r="BA30" s="466" t="str">
        <f t="shared" si="11"/>
        <v/>
      </c>
      <c r="BB30" s="466" t="str">
        <f t="shared" si="12"/>
        <v/>
      </c>
      <c r="BC30" s="466" t="str">
        <f t="shared" si="13"/>
        <v/>
      </c>
      <c r="BD30" s="466" t="str">
        <f>IF(BC30&lt;&gt;"義務","",SUMIFS(非_まとめ表行番号!$N$3:$N$20,非_まとめ表行番号!$J$3:$J$20,AY30,非_まとめ表行番号!$K$3:$K$20,AZ30,非_まとめ表行番号!$L$3:$L$20,BA30,非_まとめ表行番号!$M$3:$M$20,BB30))</f>
        <v/>
      </c>
      <c r="BE30" s="466" t="str">
        <f>IF(BC30&lt;&gt;"義務","",SUMIFS(非_まとめ表行番号!$O$3:$O$20,非_まとめ表行番号!$J$3:$J$20,AY30,非_まとめ表行番号!$K$3:$K$20,AZ30,非_まとめ表行番号!$L$3:$L$20,BA30,非_まとめ表行番号!$M$3:$M$20,BB30))</f>
        <v/>
      </c>
      <c r="BF30" s="466" t="str">
        <f t="shared" si="22"/>
        <v/>
      </c>
      <c r="BG30" s="529"/>
      <c r="BH30" s="525" t="str">
        <f>IF(BD30="","",VLOOKUP(BD30,非_まとめ表行番号!$U$3:$V$56,2,FALSE))</f>
        <v/>
      </c>
      <c r="BI30" s="527" t="str">
        <f>IF(D30="","",VLOOKUP(D30,非_燃料種類_選択リスト!$X$2:$Y$14,2,FALSE))</f>
        <v/>
      </c>
      <c r="BJ30" s="527" t="str">
        <f>IF(E30="","",VLOOKUP(E30,非_燃料種類_選択リスト!$X$18:$Y$24,2,FALSE))</f>
        <v/>
      </c>
      <c r="BK30" s="539" t="str">
        <f t="shared" si="23"/>
        <v/>
      </c>
      <c r="BL30" s="527" t="str">
        <f t="shared" si="24"/>
        <v/>
      </c>
      <c r="BM30" s="527" t="str">
        <f t="shared" si="25"/>
        <v/>
      </c>
      <c r="BN30" s="527" t="str">
        <f t="shared" si="26"/>
        <v/>
      </c>
      <c r="BO30" s="527" t="str">
        <f t="shared" si="27"/>
        <v/>
      </c>
      <c r="BQ30" s="639" t="str">
        <f>IF(AND(B30="",C30=""),"",IF(AZ30="有",0,VLOOKUP(C30,非_係数!$B$42:$J$55,9,FALSE)))</f>
        <v/>
      </c>
      <c r="BR30" s="639" t="str">
        <f t="shared" si="28"/>
        <v/>
      </c>
    </row>
    <row r="31" spans="1:70" ht="18.75" customHeight="1">
      <c r="A31" s="483"/>
      <c r="B31" s="406"/>
      <c r="C31" s="406"/>
      <c r="D31" s="406"/>
      <c r="E31" s="407"/>
      <c r="F31" s="407"/>
      <c r="G31" s="406"/>
      <c r="H31" s="617" t="str">
        <f t="shared" si="61"/>
        <v/>
      </c>
      <c r="I31" s="406"/>
      <c r="J31" s="457" t="str">
        <f t="shared" si="0"/>
        <v/>
      </c>
      <c r="K31" s="406"/>
      <c r="L31" s="458"/>
      <c r="M31" s="406"/>
      <c r="N31" s="406"/>
      <c r="O31" s="455"/>
      <c r="P31" s="455"/>
      <c r="Q31" s="455"/>
      <c r="R31" s="455"/>
      <c r="S31" s="455"/>
      <c r="T31" s="455"/>
      <c r="U31" s="455"/>
      <c r="V31" s="455"/>
      <c r="W31" s="455"/>
      <c r="X31" s="455"/>
      <c r="Y31" s="455"/>
      <c r="Z31" s="455"/>
      <c r="AA31" s="504"/>
      <c r="AB31" s="595" t="str">
        <f t="shared" si="29"/>
        <v/>
      </c>
      <c r="AC31" s="596" t="str">
        <f t="shared" si="62"/>
        <v/>
      </c>
      <c r="AD31" s="597" t="str">
        <f>IF(C31="","",VLOOKUP(C31,非_単位!$N$38:$O$53,2,FALSE))</f>
        <v/>
      </c>
      <c r="AE31" s="598" t="str">
        <f t="shared" si="63"/>
        <v/>
      </c>
      <c r="AF31" s="585" t="str">
        <f t="shared" si="64"/>
        <v/>
      </c>
      <c r="AH31" s="466" t="str">
        <f t="shared" si="1"/>
        <v/>
      </c>
      <c r="AI31" s="466" t="str">
        <f t="shared" si="65"/>
        <v/>
      </c>
      <c r="AJ31" s="466" t="str">
        <f t="shared" si="2"/>
        <v/>
      </c>
      <c r="AK31" s="466" t="str">
        <f t="shared" si="3"/>
        <v/>
      </c>
      <c r="AL31" s="466" t="str">
        <f t="shared" si="4"/>
        <v/>
      </c>
      <c r="AM31" s="466" t="str">
        <f t="shared" si="5"/>
        <v/>
      </c>
      <c r="AN31" s="466" t="str">
        <f t="shared" si="6"/>
        <v/>
      </c>
      <c r="AO31" s="466" t="str">
        <f t="shared" si="66"/>
        <v/>
      </c>
      <c r="AP31" s="466" t="str">
        <f t="shared" si="7"/>
        <v/>
      </c>
      <c r="AQ31" s="466" t="str">
        <f>IF(C31="","",IF(AP31="対象","熱量計読取",VLOOKUP(C31,非_係数!$B$42:$D$55,2,FALSE)))</f>
        <v/>
      </c>
      <c r="AR31" s="466" t="str">
        <f>IF(AH31="電気",非_電気事業者!$S$4*1000,IF(AH31="熱",非_熱供給事業者!$T$4,""))</f>
        <v/>
      </c>
      <c r="AS31" s="466" t="str">
        <f>IF(N31="","",VLOOKUP(N31,非_単位補正換算!$B$3:$C$16,2,FALSE))</f>
        <v/>
      </c>
      <c r="AT31" s="466" t="str">
        <f t="shared" si="67"/>
        <v/>
      </c>
      <c r="AU31" s="466" t="str">
        <f t="shared" si="8"/>
        <v/>
      </c>
      <c r="AV31" s="466">
        <v>1</v>
      </c>
      <c r="AW31" s="466" t="str">
        <f t="shared" si="9"/>
        <v/>
      </c>
      <c r="AX31" s="535" t="b">
        <f t="shared" si="20"/>
        <v>1</v>
      </c>
      <c r="AY31" s="466" t="str">
        <f t="shared" si="68"/>
        <v/>
      </c>
      <c r="AZ31" s="466" t="str">
        <f t="shared" si="10"/>
        <v/>
      </c>
      <c r="BA31" s="466" t="str">
        <f t="shared" si="11"/>
        <v/>
      </c>
      <c r="BB31" s="466" t="str">
        <f t="shared" si="12"/>
        <v/>
      </c>
      <c r="BC31" s="466" t="str">
        <f t="shared" si="13"/>
        <v/>
      </c>
      <c r="BD31" s="466" t="str">
        <f>IF(BC31&lt;&gt;"義務","",SUMIFS(非_まとめ表行番号!$N$3:$N$20,非_まとめ表行番号!$J$3:$J$20,AY31,非_まとめ表行番号!$K$3:$K$20,AZ31,非_まとめ表行番号!$L$3:$L$20,BA31,非_まとめ表行番号!$M$3:$M$20,BB31))</f>
        <v/>
      </c>
      <c r="BE31" s="466" t="str">
        <f>IF(BC31&lt;&gt;"義務","",SUMIFS(非_まとめ表行番号!$O$3:$O$20,非_まとめ表行番号!$J$3:$J$20,AY31,非_まとめ表行番号!$K$3:$K$20,AZ31,非_まとめ表行番号!$L$3:$L$20,BA31,非_まとめ表行番号!$M$3:$M$20,BB31))</f>
        <v/>
      </c>
      <c r="BF31" s="466" t="str">
        <f t="shared" si="22"/>
        <v/>
      </c>
      <c r="BG31" s="529"/>
      <c r="BH31" s="525" t="str">
        <f>IF(BD31="","",VLOOKUP(BD31,非_まとめ表行番号!$U$3:$V$56,2,FALSE))</f>
        <v/>
      </c>
      <c r="BI31" s="527" t="str">
        <f>IF(D31="","",VLOOKUP(D31,非_燃料種類_選択リスト!$X$2:$Y$14,2,FALSE))</f>
        <v/>
      </c>
      <c r="BJ31" s="527" t="str">
        <f>IF(E31="","",VLOOKUP(E31,非_燃料種類_選択リスト!$X$18:$Y$24,2,FALSE))</f>
        <v/>
      </c>
      <c r="BK31" s="539" t="str">
        <f t="shared" si="23"/>
        <v/>
      </c>
      <c r="BL31" s="527" t="str">
        <f t="shared" si="24"/>
        <v/>
      </c>
      <c r="BM31" s="527" t="str">
        <f t="shared" si="25"/>
        <v/>
      </c>
      <c r="BN31" s="527" t="str">
        <f t="shared" si="26"/>
        <v/>
      </c>
      <c r="BO31" s="527" t="str">
        <f t="shared" si="27"/>
        <v/>
      </c>
      <c r="BQ31" s="639" t="str">
        <f>IF(AND(B31="",C31=""),"",IF(AZ31="有",0,VLOOKUP(C31,非_係数!$B$42:$J$55,9,FALSE)))</f>
        <v/>
      </c>
      <c r="BR31" s="639" t="str">
        <f t="shared" si="28"/>
        <v/>
      </c>
    </row>
    <row r="32" spans="1:70" ht="18.75" customHeight="1">
      <c r="A32" s="483"/>
      <c r="B32" s="406"/>
      <c r="C32" s="406"/>
      <c r="D32" s="406"/>
      <c r="E32" s="407"/>
      <c r="F32" s="407"/>
      <c r="G32" s="406"/>
      <c r="H32" s="617" t="str">
        <f t="shared" si="61"/>
        <v/>
      </c>
      <c r="I32" s="406"/>
      <c r="J32" s="457" t="str">
        <f t="shared" si="0"/>
        <v/>
      </c>
      <c r="K32" s="406"/>
      <c r="L32" s="458"/>
      <c r="M32" s="406"/>
      <c r="N32" s="406"/>
      <c r="O32" s="455"/>
      <c r="P32" s="455"/>
      <c r="Q32" s="455"/>
      <c r="R32" s="455"/>
      <c r="S32" s="455"/>
      <c r="T32" s="455"/>
      <c r="U32" s="455"/>
      <c r="V32" s="455"/>
      <c r="W32" s="455"/>
      <c r="X32" s="455"/>
      <c r="Y32" s="455"/>
      <c r="Z32" s="455"/>
      <c r="AA32" s="504"/>
      <c r="AB32" s="595" t="str">
        <f t="shared" si="29"/>
        <v/>
      </c>
      <c r="AC32" s="596" t="str">
        <f t="shared" si="62"/>
        <v/>
      </c>
      <c r="AD32" s="597" t="str">
        <f>IF(C32="","",VLOOKUP(C32,非_単位!$N$38:$O$53,2,FALSE))</f>
        <v/>
      </c>
      <c r="AE32" s="598" t="str">
        <f t="shared" si="63"/>
        <v/>
      </c>
      <c r="AF32" s="585" t="str">
        <f t="shared" si="64"/>
        <v/>
      </c>
      <c r="AH32" s="466" t="str">
        <f t="shared" si="1"/>
        <v/>
      </c>
      <c r="AI32" s="466" t="str">
        <f t="shared" si="65"/>
        <v/>
      </c>
      <c r="AJ32" s="466" t="str">
        <f t="shared" si="2"/>
        <v/>
      </c>
      <c r="AK32" s="466" t="str">
        <f t="shared" si="3"/>
        <v/>
      </c>
      <c r="AL32" s="466" t="str">
        <f t="shared" si="4"/>
        <v/>
      </c>
      <c r="AM32" s="466" t="str">
        <f t="shared" si="5"/>
        <v/>
      </c>
      <c r="AN32" s="466" t="str">
        <f t="shared" si="6"/>
        <v/>
      </c>
      <c r="AO32" s="466" t="str">
        <f t="shared" si="66"/>
        <v/>
      </c>
      <c r="AP32" s="466" t="str">
        <f t="shared" si="7"/>
        <v/>
      </c>
      <c r="AQ32" s="466" t="str">
        <f>IF(C32="","",IF(AP32="対象","熱量計読取",VLOOKUP(C32,非_係数!$B$42:$D$55,2,FALSE)))</f>
        <v/>
      </c>
      <c r="AR32" s="466" t="str">
        <f>IF(AH32="電気",非_電気事業者!$S$4*1000,IF(AH32="熱",非_熱供給事業者!$T$4,""))</f>
        <v/>
      </c>
      <c r="AS32" s="466" t="str">
        <f>IF(N32="","",VLOOKUP(N32,非_単位補正換算!$B$3:$C$16,2,FALSE))</f>
        <v/>
      </c>
      <c r="AT32" s="466" t="str">
        <f t="shared" si="67"/>
        <v/>
      </c>
      <c r="AU32" s="466" t="str">
        <f t="shared" si="8"/>
        <v/>
      </c>
      <c r="AV32" s="466">
        <v>1</v>
      </c>
      <c r="AW32" s="466" t="str">
        <f t="shared" si="9"/>
        <v/>
      </c>
      <c r="AX32" s="535" t="b">
        <f t="shared" si="20"/>
        <v>1</v>
      </c>
      <c r="AY32" s="466" t="str">
        <f t="shared" si="68"/>
        <v/>
      </c>
      <c r="AZ32" s="466" t="str">
        <f t="shared" si="10"/>
        <v/>
      </c>
      <c r="BA32" s="466" t="str">
        <f t="shared" si="11"/>
        <v/>
      </c>
      <c r="BB32" s="466" t="str">
        <f t="shared" si="12"/>
        <v/>
      </c>
      <c r="BC32" s="466" t="str">
        <f t="shared" si="13"/>
        <v/>
      </c>
      <c r="BD32" s="466" t="str">
        <f>IF(BC32&lt;&gt;"義務","",SUMIFS(非_まとめ表行番号!$N$3:$N$20,非_まとめ表行番号!$J$3:$J$20,AY32,非_まとめ表行番号!$K$3:$K$20,AZ32,非_まとめ表行番号!$L$3:$L$20,BA32,非_まとめ表行番号!$M$3:$M$20,BB32))</f>
        <v/>
      </c>
      <c r="BE32" s="466" t="str">
        <f>IF(BC32&lt;&gt;"義務","",SUMIFS(非_まとめ表行番号!$O$3:$O$20,非_まとめ表行番号!$J$3:$J$20,AY32,非_まとめ表行番号!$K$3:$K$20,AZ32,非_まとめ表行番号!$L$3:$L$20,BA32,非_まとめ表行番号!$M$3:$M$20,BB32))</f>
        <v/>
      </c>
      <c r="BF32" s="466" t="str">
        <f t="shared" si="22"/>
        <v/>
      </c>
      <c r="BG32" s="529"/>
      <c r="BH32" s="525" t="str">
        <f>IF(BD32="","",VLOOKUP(BD32,非_まとめ表行番号!$U$3:$V$56,2,FALSE))</f>
        <v/>
      </c>
      <c r="BI32" s="527" t="str">
        <f>IF(D32="","",VLOOKUP(D32,非_燃料種類_選択リスト!$X$2:$Y$14,2,FALSE))</f>
        <v/>
      </c>
      <c r="BJ32" s="527" t="str">
        <f>IF(E32="","",VLOOKUP(E32,非_燃料種類_選択リスト!$X$18:$Y$24,2,FALSE))</f>
        <v/>
      </c>
      <c r="BK32" s="539" t="str">
        <f t="shared" si="23"/>
        <v/>
      </c>
      <c r="BL32" s="527" t="str">
        <f t="shared" si="24"/>
        <v/>
      </c>
      <c r="BM32" s="527" t="str">
        <f t="shared" si="25"/>
        <v/>
      </c>
      <c r="BN32" s="527" t="str">
        <f t="shared" si="26"/>
        <v/>
      </c>
      <c r="BO32" s="527" t="str">
        <f t="shared" si="27"/>
        <v/>
      </c>
      <c r="BQ32" s="639" t="str">
        <f>IF(AND(B32="",C32=""),"",IF(AZ32="有",0,VLOOKUP(C32,非_係数!$B$42:$J$55,9,FALSE)))</f>
        <v/>
      </c>
      <c r="BR32" s="639" t="str">
        <f t="shared" si="28"/>
        <v/>
      </c>
    </row>
    <row r="33" spans="1:70" ht="18.75" customHeight="1">
      <c r="A33" s="483"/>
      <c r="B33" s="406"/>
      <c r="C33" s="406"/>
      <c r="D33" s="406"/>
      <c r="E33" s="407"/>
      <c r="F33" s="407"/>
      <c r="G33" s="406"/>
      <c r="H33" s="617" t="str">
        <f t="shared" si="61"/>
        <v/>
      </c>
      <c r="I33" s="406"/>
      <c r="J33" s="457" t="str">
        <f t="shared" si="0"/>
        <v/>
      </c>
      <c r="K33" s="406"/>
      <c r="L33" s="458"/>
      <c r="M33" s="406"/>
      <c r="N33" s="406"/>
      <c r="O33" s="455"/>
      <c r="P33" s="455"/>
      <c r="Q33" s="455"/>
      <c r="R33" s="455"/>
      <c r="S33" s="455"/>
      <c r="T33" s="455"/>
      <c r="U33" s="455"/>
      <c r="V33" s="455"/>
      <c r="W33" s="455"/>
      <c r="X33" s="455"/>
      <c r="Y33" s="455"/>
      <c r="Z33" s="455"/>
      <c r="AA33" s="504"/>
      <c r="AB33" s="595" t="str">
        <f t="shared" si="29"/>
        <v/>
      </c>
      <c r="AC33" s="596" t="str">
        <f t="shared" si="62"/>
        <v/>
      </c>
      <c r="AD33" s="597" t="str">
        <f>IF(C33="","",VLOOKUP(C33,非_単位!$N$38:$O$53,2,FALSE))</f>
        <v/>
      </c>
      <c r="AE33" s="598" t="str">
        <f t="shared" si="63"/>
        <v/>
      </c>
      <c r="AF33" s="585" t="str">
        <f t="shared" si="64"/>
        <v/>
      </c>
      <c r="AH33" s="466" t="str">
        <f t="shared" si="1"/>
        <v/>
      </c>
      <c r="AI33" s="466" t="str">
        <f t="shared" si="65"/>
        <v/>
      </c>
      <c r="AJ33" s="466" t="str">
        <f t="shared" si="2"/>
        <v/>
      </c>
      <c r="AK33" s="466" t="str">
        <f t="shared" si="3"/>
        <v/>
      </c>
      <c r="AL33" s="466" t="str">
        <f t="shared" si="4"/>
        <v/>
      </c>
      <c r="AM33" s="466" t="str">
        <f t="shared" si="5"/>
        <v/>
      </c>
      <c r="AN33" s="466" t="str">
        <f t="shared" si="6"/>
        <v/>
      </c>
      <c r="AO33" s="466" t="str">
        <f t="shared" si="66"/>
        <v/>
      </c>
      <c r="AP33" s="466" t="str">
        <f t="shared" si="7"/>
        <v/>
      </c>
      <c r="AQ33" s="466" t="str">
        <f>IF(C33="","",IF(AP33="対象","熱量計読取",VLOOKUP(C33,非_係数!$B$42:$D$55,2,FALSE)))</f>
        <v/>
      </c>
      <c r="AR33" s="466" t="str">
        <f>IF(AH33="電気",非_電気事業者!$S$4*1000,IF(AH33="熱",非_熱供給事業者!$T$4,""))</f>
        <v/>
      </c>
      <c r="AS33" s="466" t="str">
        <f>IF(N33="","",VLOOKUP(N33,非_単位補正換算!$B$3:$C$16,2,FALSE))</f>
        <v/>
      </c>
      <c r="AT33" s="466" t="str">
        <f t="shared" si="67"/>
        <v/>
      </c>
      <c r="AU33" s="466" t="str">
        <f t="shared" si="8"/>
        <v/>
      </c>
      <c r="AV33" s="466">
        <v>1</v>
      </c>
      <c r="AW33" s="466" t="str">
        <f t="shared" si="9"/>
        <v/>
      </c>
      <c r="AX33" s="535" t="b">
        <f t="shared" si="20"/>
        <v>1</v>
      </c>
      <c r="AY33" s="466" t="str">
        <f t="shared" si="68"/>
        <v/>
      </c>
      <c r="AZ33" s="466" t="str">
        <f t="shared" si="10"/>
        <v/>
      </c>
      <c r="BA33" s="466" t="str">
        <f t="shared" si="11"/>
        <v/>
      </c>
      <c r="BB33" s="466" t="str">
        <f t="shared" si="12"/>
        <v/>
      </c>
      <c r="BC33" s="466" t="str">
        <f t="shared" si="13"/>
        <v/>
      </c>
      <c r="BD33" s="466" t="str">
        <f>IF(BC33&lt;&gt;"義務","",SUMIFS(非_まとめ表行番号!$N$3:$N$20,非_まとめ表行番号!$J$3:$J$20,AY33,非_まとめ表行番号!$K$3:$K$20,AZ33,非_まとめ表行番号!$L$3:$L$20,BA33,非_まとめ表行番号!$M$3:$M$20,BB33))</f>
        <v/>
      </c>
      <c r="BE33" s="466" t="str">
        <f>IF(BC33&lt;&gt;"義務","",SUMIFS(非_まとめ表行番号!$O$3:$O$20,非_まとめ表行番号!$J$3:$J$20,AY33,非_まとめ表行番号!$K$3:$K$20,AZ33,非_まとめ表行番号!$L$3:$L$20,BA33,非_まとめ表行番号!$M$3:$M$20,BB33))</f>
        <v/>
      </c>
      <c r="BF33" s="466" t="str">
        <f t="shared" si="22"/>
        <v/>
      </c>
      <c r="BG33" s="529"/>
      <c r="BH33" s="525" t="str">
        <f>IF(BD33="","",VLOOKUP(BD33,非_まとめ表行番号!$U$3:$V$56,2,FALSE))</f>
        <v/>
      </c>
      <c r="BI33" s="527" t="str">
        <f>IF(D33="","",VLOOKUP(D33,非_燃料種類_選択リスト!$X$2:$Y$14,2,FALSE))</f>
        <v/>
      </c>
      <c r="BJ33" s="527" t="str">
        <f>IF(E33="","",VLOOKUP(E33,非_燃料種類_選択リスト!$X$18:$Y$24,2,FALSE))</f>
        <v/>
      </c>
      <c r="BK33" s="539" t="str">
        <f t="shared" si="23"/>
        <v/>
      </c>
      <c r="BL33" s="527" t="str">
        <f t="shared" si="24"/>
        <v/>
      </c>
      <c r="BM33" s="527" t="str">
        <f t="shared" si="25"/>
        <v/>
      </c>
      <c r="BN33" s="527" t="str">
        <f t="shared" si="26"/>
        <v/>
      </c>
      <c r="BO33" s="527" t="str">
        <f t="shared" si="27"/>
        <v/>
      </c>
      <c r="BQ33" s="639" t="str">
        <f>IF(AND(B33="",C33=""),"",IF(AZ33="有",0,VLOOKUP(C33,非_係数!$B$42:$J$55,9,FALSE)))</f>
        <v/>
      </c>
      <c r="BR33" s="639" t="str">
        <f t="shared" si="28"/>
        <v/>
      </c>
    </row>
    <row r="34" spans="1:70" ht="18.75" customHeight="1">
      <c r="A34" s="483"/>
      <c r="B34" s="406"/>
      <c r="C34" s="406"/>
      <c r="D34" s="406"/>
      <c r="E34" s="407"/>
      <c r="F34" s="407"/>
      <c r="G34" s="406"/>
      <c r="H34" s="617" t="str">
        <f t="shared" si="14"/>
        <v/>
      </c>
      <c r="I34" s="406"/>
      <c r="J34" s="457" t="str">
        <f t="shared" si="0"/>
        <v/>
      </c>
      <c r="K34" s="406"/>
      <c r="L34" s="458"/>
      <c r="M34" s="406"/>
      <c r="N34" s="406"/>
      <c r="O34" s="455"/>
      <c r="P34" s="455"/>
      <c r="Q34" s="455"/>
      <c r="R34" s="455"/>
      <c r="S34" s="455"/>
      <c r="T34" s="455"/>
      <c r="U34" s="455"/>
      <c r="V34" s="455"/>
      <c r="W34" s="455"/>
      <c r="X34" s="455"/>
      <c r="Y34" s="455"/>
      <c r="Z34" s="455"/>
      <c r="AA34" s="504"/>
      <c r="AB34" s="595" t="str">
        <f t="shared" si="29"/>
        <v/>
      </c>
      <c r="AC34" s="596" t="str">
        <f t="shared" si="34"/>
        <v/>
      </c>
      <c r="AD34" s="597" t="str">
        <f>IF(C34="","",VLOOKUP(C34,非_単位!$N$38:$O$53,2,FALSE))</f>
        <v/>
      </c>
      <c r="AE34" s="598" t="str">
        <f t="shared" si="35"/>
        <v/>
      </c>
      <c r="AF34" s="585" t="str">
        <f t="shared" si="36"/>
        <v/>
      </c>
      <c r="AH34" s="466" t="str">
        <f t="shared" si="1"/>
        <v/>
      </c>
      <c r="AI34" s="466" t="str">
        <f t="shared" si="30"/>
        <v/>
      </c>
      <c r="AJ34" s="466" t="str">
        <f t="shared" si="2"/>
        <v/>
      </c>
      <c r="AK34" s="466" t="str">
        <f t="shared" si="3"/>
        <v/>
      </c>
      <c r="AL34" s="466" t="str">
        <f t="shared" si="4"/>
        <v/>
      </c>
      <c r="AM34" s="466" t="str">
        <f t="shared" si="5"/>
        <v/>
      </c>
      <c r="AN34" s="466" t="str">
        <f t="shared" si="6"/>
        <v/>
      </c>
      <c r="AO34" s="466" t="str">
        <f t="shared" si="18"/>
        <v/>
      </c>
      <c r="AP34" s="466" t="str">
        <f t="shared" si="7"/>
        <v/>
      </c>
      <c r="AQ34" s="466" t="str">
        <f>IF(C34="","",IF(AP34="対象","熱量計読取",VLOOKUP(C34,非_係数!$B$42:$D$55,2,FALSE)))</f>
        <v/>
      </c>
      <c r="AR34" s="466" t="str">
        <f>IF(AH34="電気",非_電気事業者!$S$4*1000,IF(AH34="熱",非_熱供給事業者!$T$4,""))</f>
        <v/>
      </c>
      <c r="AS34" s="466" t="str">
        <f>IF(N34="","",VLOOKUP(N34,非_単位補正換算!$B$3:$C$16,2,FALSE))</f>
        <v/>
      </c>
      <c r="AT34" s="466" t="str">
        <f t="shared" si="19"/>
        <v/>
      </c>
      <c r="AU34" s="466" t="str">
        <f t="shared" si="8"/>
        <v/>
      </c>
      <c r="AV34" s="466">
        <v>1</v>
      </c>
      <c r="AW34" s="466" t="str">
        <f t="shared" si="9"/>
        <v/>
      </c>
      <c r="AX34" s="535" t="b">
        <f t="shared" si="20"/>
        <v>1</v>
      </c>
      <c r="AY34" s="466" t="str">
        <f t="shared" si="21"/>
        <v/>
      </c>
      <c r="AZ34" s="466" t="str">
        <f t="shared" si="10"/>
        <v/>
      </c>
      <c r="BA34" s="466" t="str">
        <f t="shared" si="11"/>
        <v/>
      </c>
      <c r="BB34" s="466" t="str">
        <f t="shared" si="12"/>
        <v/>
      </c>
      <c r="BC34" s="466" t="str">
        <f t="shared" si="13"/>
        <v/>
      </c>
      <c r="BD34" s="466" t="str">
        <f>IF(BC34&lt;&gt;"義務","",SUMIFS(非_まとめ表行番号!$N$3:$N$20,非_まとめ表行番号!$J$3:$J$20,AY34,非_まとめ表行番号!$K$3:$K$20,AZ34,非_まとめ表行番号!$L$3:$L$20,BA34,非_まとめ表行番号!$M$3:$M$20,BB34))</f>
        <v/>
      </c>
      <c r="BE34" s="466" t="str">
        <f>IF(BC34&lt;&gt;"義務","",SUMIFS(非_まとめ表行番号!$O$3:$O$20,非_まとめ表行番号!$J$3:$J$20,AY34,非_まとめ表行番号!$K$3:$K$20,AZ34,非_まとめ表行番号!$L$3:$L$20,BA34,非_まとめ表行番号!$M$3:$M$20,BB34))</f>
        <v/>
      </c>
      <c r="BF34" s="466" t="str">
        <f t="shared" si="22"/>
        <v/>
      </c>
      <c r="BG34" s="529"/>
      <c r="BH34" s="525" t="str">
        <f>IF(BD34="","",VLOOKUP(BD34,非_まとめ表行番号!$U$3:$V$56,2,FALSE))</f>
        <v/>
      </c>
      <c r="BI34" s="527" t="str">
        <f>IF(D34="","",VLOOKUP(D34,非_燃料種類_選択リスト!$X$2:$Y$14,2,FALSE))</f>
        <v/>
      </c>
      <c r="BJ34" s="527" t="str">
        <f>IF(E34="","",VLOOKUP(E34,非_燃料種類_選択リスト!$X$18:$Y$24,2,FALSE))</f>
        <v/>
      </c>
      <c r="BK34" s="539" t="str">
        <f t="shared" si="23"/>
        <v/>
      </c>
      <c r="BL34" s="527" t="str">
        <f t="shared" si="24"/>
        <v/>
      </c>
      <c r="BM34" s="527" t="str">
        <f t="shared" si="25"/>
        <v/>
      </c>
      <c r="BN34" s="527" t="str">
        <f t="shared" si="26"/>
        <v/>
      </c>
      <c r="BO34" s="527" t="str">
        <f t="shared" si="27"/>
        <v/>
      </c>
      <c r="BQ34" s="639" t="str">
        <f>IF(AND(B34="",C34=""),"",IF(AZ34="有",0,VLOOKUP(C34,非_係数!$B$42:$J$55,9,FALSE)))</f>
        <v/>
      </c>
      <c r="BR34" s="639" t="str">
        <f t="shared" si="28"/>
        <v/>
      </c>
    </row>
    <row r="35" spans="1:70" ht="18.75" customHeight="1">
      <c r="A35" s="483"/>
      <c r="B35" s="406"/>
      <c r="C35" s="406"/>
      <c r="D35" s="406"/>
      <c r="E35" s="407"/>
      <c r="F35" s="407"/>
      <c r="G35" s="406"/>
      <c r="H35" s="617" t="str">
        <f t="shared" si="14"/>
        <v/>
      </c>
      <c r="I35" s="406"/>
      <c r="J35" s="457" t="str">
        <f t="shared" si="0"/>
        <v/>
      </c>
      <c r="K35" s="406"/>
      <c r="L35" s="458"/>
      <c r="M35" s="406"/>
      <c r="N35" s="406"/>
      <c r="O35" s="455"/>
      <c r="P35" s="455"/>
      <c r="Q35" s="455"/>
      <c r="R35" s="455"/>
      <c r="S35" s="455"/>
      <c r="T35" s="455"/>
      <c r="U35" s="455"/>
      <c r="V35" s="455"/>
      <c r="W35" s="455"/>
      <c r="X35" s="455"/>
      <c r="Y35" s="455"/>
      <c r="Z35" s="455"/>
      <c r="AA35" s="504"/>
      <c r="AB35" s="595" t="str">
        <f t="shared" si="29"/>
        <v/>
      </c>
      <c r="AC35" s="596" t="str">
        <f t="shared" si="34"/>
        <v/>
      </c>
      <c r="AD35" s="597" t="str">
        <f>IF(C35="","",VLOOKUP(C35,非_単位!$N$38:$O$53,2,FALSE))</f>
        <v/>
      </c>
      <c r="AE35" s="598" t="str">
        <f t="shared" si="35"/>
        <v/>
      </c>
      <c r="AF35" s="585" t="str">
        <f t="shared" si="36"/>
        <v/>
      </c>
      <c r="AH35" s="466" t="str">
        <f t="shared" si="1"/>
        <v/>
      </c>
      <c r="AI35" s="466" t="str">
        <f t="shared" si="30"/>
        <v/>
      </c>
      <c r="AJ35" s="466" t="str">
        <f t="shared" si="2"/>
        <v/>
      </c>
      <c r="AK35" s="466" t="str">
        <f t="shared" si="3"/>
        <v/>
      </c>
      <c r="AL35" s="466" t="str">
        <f t="shared" si="4"/>
        <v/>
      </c>
      <c r="AM35" s="466" t="str">
        <f t="shared" si="5"/>
        <v/>
      </c>
      <c r="AN35" s="466" t="str">
        <f t="shared" si="6"/>
        <v/>
      </c>
      <c r="AO35" s="466" t="str">
        <f t="shared" si="18"/>
        <v/>
      </c>
      <c r="AP35" s="466" t="str">
        <f t="shared" si="7"/>
        <v/>
      </c>
      <c r="AQ35" s="466" t="str">
        <f>IF(C35="","",IF(AP35="対象","熱量計読取",VLOOKUP(C35,非_係数!$B$42:$D$55,2,FALSE)))</f>
        <v/>
      </c>
      <c r="AR35" s="466" t="str">
        <f>IF(AH35="電気",非_電気事業者!$S$4*1000,IF(AH35="熱",非_熱供給事業者!$T$4,""))</f>
        <v/>
      </c>
      <c r="AS35" s="466" t="str">
        <f>IF(N35="","",VLOOKUP(N35,非_単位補正換算!$B$3:$C$16,2,FALSE))</f>
        <v/>
      </c>
      <c r="AT35" s="466" t="str">
        <f t="shared" si="19"/>
        <v/>
      </c>
      <c r="AU35" s="466" t="str">
        <f t="shared" si="8"/>
        <v/>
      </c>
      <c r="AV35" s="466">
        <v>1</v>
      </c>
      <c r="AW35" s="466" t="str">
        <f t="shared" si="9"/>
        <v/>
      </c>
      <c r="AX35" s="535" t="b">
        <f t="shared" si="20"/>
        <v>1</v>
      </c>
      <c r="AY35" s="466" t="str">
        <f t="shared" si="21"/>
        <v/>
      </c>
      <c r="AZ35" s="466" t="str">
        <f t="shared" si="10"/>
        <v/>
      </c>
      <c r="BA35" s="466" t="str">
        <f t="shared" si="11"/>
        <v/>
      </c>
      <c r="BB35" s="466" t="str">
        <f t="shared" si="12"/>
        <v/>
      </c>
      <c r="BC35" s="466" t="str">
        <f t="shared" si="13"/>
        <v/>
      </c>
      <c r="BD35" s="466" t="str">
        <f>IF(BC35&lt;&gt;"義務","",SUMIFS(非_まとめ表行番号!$N$3:$N$20,非_まとめ表行番号!$J$3:$J$20,AY35,非_まとめ表行番号!$K$3:$K$20,AZ35,非_まとめ表行番号!$L$3:$L$20,BA35,非_まとめ表行番号!$M$3:$M$20,BB35))</f>
        <v/>
      </c>
      <c r="BE35" s="466" t="str">
        <f>IF(BC35&lt;&gt;"義務","",SUMIFS(非_まとめ表行番号!$O$3:$O$20,非_まとめ表行番号!$J$3:$J$20,AY35,非_まとめ表行番号!$K$3:$K$20,AZ35,非_まとめ表行番号!$L$3:$L$20,BA35,非_まとめ表行番号!$M$3:$M$20,BB35))</f>
        <v/>
      </c>
      <c r="BF35" s="466" t="str">
        <f t="shared" si="22"/>
        <v/>
      </c>
      <c r="BG35" s="529"/>
      <c r="BH35" s="525" t="str">
        <f>IF(BD35="","",VLOOKUP(BD35,非_まとめ表行番号!$U$3:$V$56,2,FALSE))</f>
        <v/>
      </c>
      <c r="BI35" s="527" t="str">
        <f>IF(D35="","",VLOOKUP(D35,非_燃料種類_選択リスト!$X$2:$Y$14,2,FALSE))</f>
        <v/>
      </c>
      <c r="BJ35" s="527" t="str">
        <f>IF(E35="","",VLOOKUP(E35,非_燃料種類_選択リスト!$X$18:$Y$24,2,FALSE))</f>
        <v/>
      </c>
      <c r="BK35" s="539" t="str">
        <f t="shared" si="23"/>
        <v/>
      </c>
      <c r="BL35" s="527" t="str">
        <f t="shared" si="24"/>
        <v/>
      </c>
      <c r="BM35" s="527" t="str">
        <f t="shared" si="25"/>
        <v/>
      </c>
      <c r="BN35" s="527" t="str">
        <f t="shared" si="26"/>
        <v/>
      </c>
      <c r="BO35" s="527" t="str">
        <f t="shared" si="27"/>
        <v/>
      </c>
      <c r="BQ35" s="639" t="str">
        <f>IF(AND(B35="",C35=""),"",IF(AZ35="有",0,VLOOKUP(C35,非_係数!$B$42:$J$55,9,FALSE)))</f>
        <v/>
      </c>
      <c r="BR35" s="639" t="str">
        <f t="shared" si="28"/>
        <v/>
      </c>
    </row>
    <row r="36" spans="1:70" ht="18.75" customHeight="1" thickBot="1">
      <c r="A36" s="483"/>
      <c r="B36" s="406"/>
      <c r="C36" s="406"/>
      <c r="D36" s="406"/>
      <c r="E36" s="407"/>
      <c r="F36" s="407"/>
      <c r="G36" s="406"/>
      <c r="H36" s="617" t="str">
        <f t="shared" si="14"/>
        <v/>
      </c>
      <c r="I36" s="406"/>
      <c r="J36" s="457" t="str">
        <f t="shared" si="0"/>
        <v/>
      </c>
      <c r="K36" s="406"/>
      <c r="L36" s="458"/>
      <c r="M36" s="406"/>
      <c r="N36" s="406"/>
      <c r="O36" s="455"/>
      <c r="P36" s="455"/>
      <c r="Q36" s="455"/>
      <c r="R36" s="455"/>
      <c r="S36" s="455"/>
      <c r="T36" s="455"/>
      <c r="U36" s="455"/>
      <c r="V36" s="455"/>
      <c r="W36" s="455"/>
      <c r="X36" s="455"/>
      <c r="Y36" s="455"/>
      <c r="Z36" s="455"/>
      <c r="AA36" s="504"/>
      <c r="AB36" s="595" t="str">
        <f t="shared" si="29"/>
        <v/>
      </c>
      <c r="AC36" s="596" t="str">
        <f t="shared" si="34"/>
        <v/>
      </c>
      <c r="AD36" s="597" t="str">
        <f>IF(C36="","",VLOOKUP(C36,非_単位!$N$38:$O$53,2,FALSE))</f>
        <v/>
      </c>
      <c r="AE36" s="598" t="str">
        <f t="shared" si="35"/>
        <v/>
      </c>
      <c r="AF36" s="585" t="str">
        <f t="shared" si="36"/>
        <v/>
      </c>
      <c r="AH36" s="466" t="str">
        <f t="shared" si="1"/>
        <v/>
      </c>
      <c r="AI36" s="466" t="str">
        <f t="shared" si="30"/>
        <v/>
      </c>
      <c r="AJ36" s="466" t="str">
        <f t="shared" si="2"/>
        <v/>
      </c>
      <c r="AK36" s="466" t="str">
        <f t="shared" si="3"/>
        <v/>
      </c>
      <c r="AL36" s="466" t="str">
        <f t="shared" si="4"/>
        <v/>
      </c>
      <c r="AM36" s="466" t="str">
        <f t="shared" si="5"/>
        <v/>
      </c>
      <c r="AN36" s="466" t="str">
        <f t="shared" si="6"/>
        <v/>
      </c>
      <c r="AO36" s="466" t="str">
        <f t="shared" si="18"/>
        <v/>
      </c>
      <c r="AP36" s="466" t="str">
        <f t="shared" si="7"/>
        <v/>
      </c>
      <c r="AQ36" s="466" t="str">
        <f>IF(C36="","",IF(AP36="対象","熱量計読取",VLOOKUP(C36,非_係数!$B$42:$D$55,2,FALSE)))</f>
        <v/>
      </c>
      <c r="AR36" s="466" t="str">
        <f>IF(AH36="電気",非_電気事業者!$S$4*1000,IF(AH36="熱",非_熱供給事業者!$T$4,""))</f>
        <v/>
      </c>
      <c r="AS36" s="466" t="str">
        <f>IF(N36="","",VLOOKUP(N36,非_単位補正換算!$B$3:$C$16,2,FALSE))</f>
        <v/>
      </c>
      <c r="AT36" s="466" t="str">
        <f t="shared" si="19"/>
        <v/>
      </c>
      <c r="AU36" s="466" t="str">
        <f t="shared" si="8"/>
        <v/>
      </c>
      <c r="AV36" s="466">
        <v>1</v>
      </c>
      <c r="AW36" s="466" t="str">
        <f t="shared" si="9"/>
        <v/>
      </c>
      <c r="AX36" s="535" t="b">
        <f t="shared" si="20"/>
        <v>1</v>
      </c>
      <c r="AY36" s="466" t="str">
        <f t="shared" si="21"/>
        <v/>
      </c>
      <c r="AZ36" s="466" t="str">
        <f t="shared" si="10"/>
        <v/>
      </c>
      <c r="BA36" s="466" t="str">
        <f t="shared" si="11"/>
        <v/>
      </c>
      <c r="BB36" s="466" t="str">
        <f t="shared" si="12"/>
        <v/>
      </c>
      <c r="BC36" s="466" t="str">
        <f t="shared" si="13"/>
        <v/>
      </c>
      <c r="BD36" s="466" t="str">
        <f>IF(BC36&lt;&gt;"義務","",SUMIFS(非_まとめ表行番号!$N$3:$N$20,非_まとめ表行番号!$J$3:$J$20,AY36,非_まとめ表行番号!$K$3:$K$20,AZ36,非_まとめ表行番号!$L$3:$L$20,BA36,非_まとめ表行番号!$M$3:$M$20,BB36))</f>
        <v/>
      </c>
      <c r="BE36" s="466" t="str">
        <f>IF(BC36&lt;&gt;"義務","",SUMIFS(非_まとめ表行番号!$O$3:$O$20,非_まとめ表行番号!$J$3:$J$20,AY36,非_まとめ表行番号!$K$3:$K$20,AZ36,非_まとめ表行番号!$L$3:$L$20,BA36,非_まとめ表行番号!$M$3:$M$20,BB36))</f>
        <v/>
      </c>
      <c r="BF36" s="466" t="str">
        <f t="shared" si="22"/>
        <v/>
      </c>
      <c r="BG36" s="529"/>
      <c r="BH36" s="525" t="str">
        <f>IF(BD36="","",VLOOKUP(BD36,非_まとめ表行番号!$U$3:$V$56,2,FALSE))</f>
        <v/>
      </c>
      <c r="BI36" s="527" t="str">
        <f>IF(D36="","",VLOOKUP(D36,非_燃料種類_選択リスト!$X$2:$Y$14,2,FALSE))</f>
        <v/>
      </c>
      <c r="BJ36" s="527" t="str">
        <f>IF(E36="","",VLOOKUP(E36,非_燃料種類_選択リスト!$X$18:$Y$24,2,FALSE))</f>
        <v/>
      </c>
      <c r="BK36" s="539" t="str">
        <f t="shared" si="23"/>
        <v/>
      </c>
      <c r="BL36" s="527" t="str">
        <f t="shared" si="24"/>
        <v/>
      </c>
      <c r="BM36" s="527" t="str">
        <f t="shared" si="25"/>
        <v/>
      </c>
      <c r="BN36" s="527" t="str">
        <f t="shared" si="26"/>
        <v/>
      </c>
      <c r="BO36" s="527" t="str">
        <f t="shared" si="27"/>
        <v/>
      </c>
      <c r="BQ36" s="639" t="str">
        <f>IF(AND(B36="",C36=""),"",IF(AZ36="有",0,VLOOKUP(C36,非_係数!$B$42:$J$55,9,FALSE)))</f>
        <v/>
      </c>
      <c r="BR36" s="639" t="str">
        <f t="shared" si="28"/>
        <v/>
      </c>
    </row>
    <row r="37" spans="1:70" ht="17.25" customHeight="1" thickTop="1" thickBot="1">
      <c r="A37" s="337" t="s">
        <v>913</v>
      </c>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45"/>
      <c r="AD37" s="345"/>
      <c r="AE37" s="60"/>
      <c r="AF37" s="424"/>
    </row>
    <row r="38" spans="1:70" ht="18.75" customHeight="1" thickTop="1">
      <c r="A38" s="482"/>
      <c r="B38" s="406"/>
      <c r="C38" s="406"/>
      <c r="D38" s="406"/>
      <c r="E38" s="407"/>
      <c r="F38" s="408"/>
      <c r="G38" s="406"/>
      <c r="H38" s="617" t="str">
        <f>AQ38</f>
        <v/>
      </c>
      <c r="I38" s="406"/>
      <c r="J38" s="457" t="str">
        <f>IF(I38="","",IF(I38="目標設定ガスの算定対象外",0,IF(I38="国代替値",AR38,"要記入")))</f>
        <v/>
      </c>
      <c r="K38" s="406"/>
      <c r="L38" s="457"/>
      <c r="M38" s="406"/>
      <c r="N38" s="406"/>
      <c r="O38" s="454"/>
      <c r="P38" s="454"/>
      <c r="Q38" s="454"/>
      <c r="R38" s="454"/>
      <c r="S38" s="454"/>
      <c r="T38" s="454"/>
      <c r="U38" s="454"/>
      <c r="V38" s="454"/>
      <c r="W38" s="454"/>
      <c r="X38" s="454"/>
      <c r="Y38" s="454"/>
      <c r="Z38" s="454"/>
      <c r="AA38" s="504"/>
      <c r="AB38" s="595" t="str">
        <f>IF(COUNT(O38:Z38)=0,"",IF(AA38="",SUM(O38:Z38),SUM(O38:Z38)*AA38))</f>
        <v/>
      </c>
      <c r="AC38" s="596" t="str">
        <f>AT38</f>
        <v/>
      </c>
      <c r="AD38" s="597" t="str">
        <f>IF(C38="","",VLOOKUP(C38,非_単位!$N$38:$O$53,2,FALSE))</f>
        <v/>
      </c>
      <c r="AE38" s="598" t="str">
        <f>AU38</f>
        <v/>
      </c>
      <c r="AF38" s="585" t="str">
        <f>AW38</f>
        <v/>
      </c>
      <c r="AH38" s="466" t="str">
        <f t="shared" ref="AH38:AH67" si="69">IF(B38="","",IF(B38="電気の使用_一般送配電事業者の電線路を介して供給された買電","電気",IF(B38="熱の使用","熱","")))</f>
        <v/>
      </c>
      <c r="AI38" s="466" t="str">
        <f>IF(AH38="電気","再エネ_事業所外_電気_種類",IF(AH38="熱","再エネ_事業所外_熱_種類",""))</f>
        <v/>
      </c>
      <c r="AJ38" s="466" t="str">
        <f t="shared" ref="AJ38:AJ67" si="70">IF(C38="","","再エネ_種類_選択")</f>
        <v/>
      </c>
      <c r="AK38" s="466" t="str">
        <f t="shared" ref="AK38:AK67" si="71">IF(D38="バイオマス","バイオマス_種類_選択","")</f>
        <v/>
      </c>
      <c r="AL38" s="466"/>
      <c r="AM38" s="466" t="str">
        <f>IF(C38="","",IF(C38="電気_仮想電力購入契約","環境価値_仮想電力購入契約_選択",IF(AND(AL38&lt;&gt;"",F38="無"),"環境価値_バイオマス持続可能性無_選択","環境価値_選択")))</f>
        <v/>
      </c>
      <c r="AN38" s="466" t="str">
        <f t="shared" ref="AN38:AN67" si="72">IF(C38="","",IF(C38="電気_仮想電力購入契約","再エネ_係数根拠_仮想電力購入契約",IF(G38="","",IF(G38="有","再エネ_係数根拠_環境価値有","再エネ_係数根拠_環境価値無"))))</f>
        <v/>
      </c>
      <c r="AO38" s="466" t="str">
        <f>IF(AH38="","","自家消費以外")</f>
        <v/>
      </c>
      <c r="AP38" s="466"/>
      <c r="AQ38" s="466" t="str">
        <f>IF(C38="","",IF(C38="電気_仮想電力購入契約","",VLOOKUP(C38,非_係数!$B$42:$D$55,2,FALSE)))</f>
        <v/>
      </c>
      <c r="AR38" s="466" t="str">
        <f>IF(AH38="電気",非_電気事業者!$S$4*1000,IF(AH38="熱",非_熱供給事業者!$T$4,""))</f>
        <v/>
      </c>
      <c r="AS38" s="466" t="str">
        <f>IF(N38="","",VLOOKUP(N38,非_単位補正換算!$B$3:$C$16,2,FALSE))</f>
        <v/>
      </c>
      <c r="AT38" s="466" t="str">
        <f>IF(N38="","",IF(AB38="","",AB38/AS38))</f>
        <v/>
      </c>
      <c r="AU38" s="466" t="str">
        <f t="shared" ref="AU38:AU67" si="73">IF(AT38="","",IF(H38="","",AT38*H38))</f>
        <v/>
      </c>
      <c r="AV38" s="466">
        <f t="shared" ref="AV38:AV67" si="74">IF(C38="電気_仮想電力購入契約",-1,1)</f>
        <v>1</v>
      </c>
      <c r="AW38" s="466" t="str">
        <f t="shared" ref="AW38:AW67" si="75">IF(AT38="","",IF(ISNUMBER(J38),AT38*J38*AV38,""))</f>
        <v/>
      </c>
      <c r="AX38" s="535" t="b">
        <f t="shared" si="20"/>
        <v>1</v>
      </c>
      <c r="AY38" s="466" t="str">
        <f t="shared" ref="AY38:AY40" si="76">AH38</f>
        <v/>
      </c>
      <c r="AZ38" s="466" t="str">
        <f t="shared" ref="AZ38:AZ67" si="77">IF(G38="","",G38)</f>
        <v/>
      </c>
      <c r="BA38" s="466" t="str">
        <f t="shared" si="11"/>
        <v/>
      </c>
      <c r="BB38" s="466" t="str">
        <f t="shared" ref="BB38:BB67" si="78">IF(F38="","",F38)</f>
        <v/>
      </c>
      <c r="BC38" s="466" t="str">
        <f t="shared" ref="BC38:BC67" si="79">IF(D38="","",IF(LEFT(D38,2)="任意","任意","義務"))</f>
        <v/>
      </c>
      <c r="BD38" s="466" t="str">
        <f>IF(BC38&lt;&gt;"義務","",SUMIFS(非_まとめ表行番号!$N$3:$N$20,非_まとめ表行番号!$J$3:$J$20,AY38,非_まとめ表行番号!$K$3:$K$20,AZ38,非_まとめ表行番号!$L$3:$L$20,BA38,非_まとめ表行番号!$M$3:$M$20,BB38))</f>
        <v/>
      </c>
      <c r="BE38" s="466" t="str">
        <f>IF(BC38&lt;&gt;"義務","",SUMIFS(非_まとめ表行番号!$O$3:$O$20,非_まとめ表行番号!$J$3:$J$20,AY38,非_まとめ表行番号!$K$3:$K$20,AZ38,非_まとめ表行番号!$L$3:$L$20,BA38,非_まとめ表行番号!$M$3:$M$20,BB38))</f>
        <v/>
      </c>
      <c r="BF38" s="466" t="str">
        <f>IF(M38="無",IF(C38="電気_仮想電力購入契約","乗率_除外する排出量","乗率_排出量"),"")</f>
        <v/>
      </c>
      <c r="BG38" s="529"/>
      <c r="BH38" s="525" t="str">
        <f>IF(BD38="","",VLOOKUP(BD38,非_まとめ表行番号!$U$3:$V$56,2,FALSE))</f>
        <v/>
      </c>
      <c r="BI38" s="527" t="str">
        <f>IF(D38="","",VLOOKUP(D38,非_燃料種類_選択リスト!$X$2:$Y$14,2,FALSE))</f>
        <v/>
      </c>
      <c r="BJ38" s="527" t="str">
        <f>IF(E38="","",VLOOKUP(E38,非_燃料種類_選択リスト!$X$18:$Y$24,2,FALSE))</f>
        <v/>
      </c>
      <c r="BK38" s="539" t="str">
        <f>IF(BH38=46,0,IF(H38="","",IF(H38="熱量計読取",1,H38)))</f>
        <v/>
      </c>
      <c r="BL38" s="527" t="str">
        <f t="shared" ref="BL38" si="80">IF(I38="","",I38)</f>
        <v/>
      </c>
      <c r="BM38" s="527" t="str">
        <f t="shared" ref="BM38" si="81">IF(J38="","",J38)</f>
        <v/>
      </c>
      <c r="BN38" s="527" t="str">
        <f t="shared" ref="BN38" si="82">IF(AC38="","",AC38)</f>
        <v/>
      </c>
      <c r="BO38" s="527" t="str">
        <f>IF(AW38="","",IF(AW38&gt;0,1,IF(AW38&lt;0,-1,IF(C38="電気_仮想電力購入契約",-1,1))))</f>
        <v/>
      </c>
      <c r="BQ38" s="639" t="str">
        <f>IF(AND(B38="",C38=""),"",IF(AZ38="有",0,VLOOKUP(C38,非_係数!$B$42:$J$55,9,FALSE)))</f>
        <v/>
      </c>
      <c r="BR38" s="639" t="str">
        <f t="shared" si="28"/>
        <v/>
      </c>
    </row>
    <row r="39" spans="1:70" ht="18.75" customHeight="1">
      <c r="A39" s="483"/>
      <c r="B39" s="406"/>
      <c r="C39" s="406"/>
      <c r="D39" s="406"/>
      <c r="E39" s="407"/>
      <c r="F39" s="409"/>
      <c r="G39" s="406"/>
      <c r="H39" s="617" t="str">
        <f t="shared" ref="H39:H67" si="83">AQ39</f>
        <v/>
      </c>
      <c r="I39" s="406"/>
      <c r="J39" s="457" t="str">
        <f>IF(I39="","",IF(I39="目標設定ガスの算定対象外",0,IF(I39="国代替値",AR39,"要記入")))</f>
        <v/>
      </c>
      <c r="K39" s="406"/>
      <c r="L39" s="458"/>
      <c r="M39" s="406"/>
      <c r="N39" s="406"/>
      <c r="O39" s="455"/>
      <c r="P39" s="455"/>
      <c r="Q39" s="455"/>
      <c r="R39" s="455"/>
      <c r="S39" s="455"/>
      <c r="T39" s="455"/>
      <c r="U39" s="455"/>
      <c r="V39" s="455"/>
      <c r="W39" s="455"/>
      <c r="X39" s="455"/>
      <c r="Y39" s="455"/>
      <c r="Z39" s="455"/>
      <c r="AA39" s="504"/>
      <c r="AB39" s="595" t="str">
        <f t="shared" ref="AB39:AB44" si="84">IF(COUNT(O39:Z39)=0,"",IF(AA39="",SUM(O39:Z39),SUM(O39:Z39)*AA39))</f>
        <v/>
      </c>
      <c r="AC39" s="596" t="str">
        <f t="shared" ref="AC39:AC67" si="85">AT39</f>
        <v/>
      </c>
      <c r="AD39" s="597" t="str">
        <f>IF(C39="","",VLOOKUP(C39,非_単位!$N$38:$O$53,2,FALSE))</f>
        <v/>
      </c>
      <c r="AE39" s="598" t="str">
        <f t="shared" ref="AE39:AE67" si="86">AU39</f>
        <v/>
      </c>
      <c r="AF39" s="585" t="str">
        <f t="shared" ref="AF39:AF67" si="87">AW39</f>
        <v/>
      </c>
      <c r="AH39" s="466" t="str">
        <f t="shared" si="69"/>
        <v/>
      </c>
      <c r="AI39" s="466" t="str">
        <f t="shared" ref="AI39:AI67" si="88">IF(AH39="電気","再エネ_事業所外_電気_種類",IF(AH39="熱","再エネ_事業所外_熱_種類",""))</f>
        <v/>
      </c>
      <c r="AJ39" s="466" t="str">
        <f t="shared" si="70"/>
        <v/>
      </c>
      <c r="AK39" s="466" t="str">
        <f t="shared" si="71"/>
        <v/>
      </c>
      <c r="AL39" s="466"/>
      <c r="AM39" s="538" t="str">
        <f t="shared" ref="AM39:AM67" si="89">IF(C39="","",IF(C39="電気_仮想電力購入契約","環境価値_仮想電力購入契約_選択",IF(AND(AL39&lt;&gt;"",F39="無"),"環境価値_バイオマス持続可能性無_選択","環境価値_選択")))</f>
        <v/>
      </c>
      <c r="AN39" s="466" t="str">
        <f t="shared" si="72"/>
        <v/>
      </c>
      <c r="AO39" s="466" t="str">
        <f t="shared" ref="AO39:AO67" si="90">IF(AH39="","","自家消費以外")</f>
        <v/>
      </c>
      <c r="AP39" s="466"/>
      <c r="AQ39" s="466" t="str">
        <f>IF(C39="","",IF(C39="電気_仮想電力購入契約","",VLOOKUP(C39,非_係数!$B$42:$D$55,2,FALSE)))</f>
        <v/>
      </c>
      <c r="AR39" s="466" t="str">
        <f>IF(AH39="電気",非_電気事業者!$S$4*1000,IF(AH39="熱",非_熱供給事業者!$T$4,""))</f>
        <v/>
      </c>
      <c r="AS39" s="466" t="str">
        <f>IF(N39="","",VLOOKUP(N39,非_単位補正換算!$B$3:$C$16,2,FALSE))</f>
        <v/>
      </c>
      <c r="AT39" s="466" t="str">
        <f t="shared" ref="AT39:AT67" si="91">IF(N39="","",IF(AB39="","",AB39/AS39))</f>
        <v/>
      </c>
      <c r="AU39" s="466" t="str">
        <f t="shared" si="73"/>
        <v/>
      </c>
      <c r="AV39" s="466">
        <f t="shared" si="74"/>
        <v>1</v>
      </c>
      <c r="AW39" s="466" t="str">
        <f t="shared" si="75"/>
        <v/>
      </c>
      <c r="AX39" s="535" t="b">
        <f t="shared" si="20"/>
        <v>1</v>
      </c>
      <c r="AY39" s="466" t="str">
        <f t="shared" si="76"/>
        <v/>
      </c>
      <c r="AZ39" s="466" t="str">
        <f t="shared" si="77"/>
        <v/>
      </c>
      <c r="BA39" s="466" t="str">
        <f t="shared" ref="BA39:BA70" si="92">AO39&amp;IF(C39="電気_仮想電力購入契約","_仮想電力購入契約","")</f>
        <v/>
      </c>
      <c r="BB39" s="466" t="str">
        <f t="shared" si="78"/>
        <v/>
      </c>
      <c r="BC39" s="466" t="str">
        <f t="shared" si="79"/>
        <v/>
      </c>
      <c r="BD39" s="466" t="str">
        <f>IF(BC39&lt;&gt;"義務","",SUMIFS(非_まとめ表行番号!$N$3:$N$20,非_まとめ表行番号!$J$3:$J$20,AY39,非_まとめ表行番号!$K$3:$K$20,AZ39,非_まとめ表行番号!$L$3:$L$20,BA39,非_まとめ表行番号!$M$3:$M$20,BB39))</f>
        <v/>
      </c>
      <c r="BE39" s="466" t="str">
        <f>IF(BC39&lt;&gt;"義務","",SUMIFS(非_まとめ表行番号!$O$3:$O$20,非_まとめ表行番号!$J$3:$J$20,AY39,非_まとめ表行番号!$K$3:$K$20,AZ39,非_まとめ表行番号!$L$3:$L$20,BA39,非_まとめ表行番号!$M$3:$M$20,BB39))</f>
        <v/>
      </c>
      <c r="BF39" s="466" t="str">
        <f t="shared" ref="BF39:BF67" si="93">IF(M39="無",IF(C39="電気_仮想電力購入契約","乗率_除外する排出量","乗率_排出量"),"")</f>
        <v/>
      </c>
      <c r="BG39" s="529"/>
      <c r="BH39" s="525" t="str">
        <f>IF(BD39="","",VLOOKUP(BD39,非_まとめ表行番号!$U$3:$V$56,2,FALSE))</f>
        <v/>
      </c>
      <c r="BI39" s="527" t="str">
        <f>IF(D39="","",VLOOKUP(D39,非_燃料種類_選択リスト!$X$2:$Y$14,2,FALSE))</f>
        <v/>
      </c>
      <c r="BJ39" s="527" t="str">
        <f>IF(E39="","",VLOOKUP(E39,非_燃料種類_選択リスト!$X$18:$Y$24,2,FALSE))</f>
        <v/>
      </c>
      <c r="BK39" s="539" t="str">
        <f t="shared" ref="BK39:BK78" si="94">IF(BH39=46,0,IF(H39="","",IF(H39="熱量計読取",1,H39)))</f>
        <v/>
      </c>
      <c r="BL39" s="527" t="str">
        <f t="shared" ref="BL39:BL67" si="95">IF(I39="","",I39)</f>
        <v/>
      </c>
      <c r="BM39" s="527" t="str">
        <f t="shared" ref="BM39:BM67" si="96">IF(J39="","",J39)</f>
        <v/>
      </c>
      <c r="BN39" s="527" t="str">
        <f t="shared" ref="BN39:BN67" si="97">IF(AC39="","",AC39)</f>
        <v/>
      </c>
      <c r="BO39" s="636" t="str">
        <f t="shared" ref="BO39:BO67" si="98">IF(AW39="","",IF(AW39&gt;0,1,IF(AW39&lt;0,-1,IF(C39="電気_仮想電力購入契約",-1,1))))</f>
        <v/>
      </c>
      <c r="BQ39" s="639" t="str">
        <f>IF(AND(B39="",C39=""),"",IF(AZ39="有",0,VLOOKUP(C39,非_係数!$B$42:$J$55,9,FALSE)))</f>
        <v/>
      </c>
      <c r="BR39" s="639" t="str">
        <f t="shared" si="28"/>
        <v/>
      </c>
    </row>
    <row r="40" spans="1:70" ht="18.75" customHeight="1">
      <c r="A40" s="483"/>
      <c r="B40" s="406"/>
      <c r="C40" s="406"/>
      <c r="D40" s="406"/>
      <c r="E40" s="407"/>
      <c r="F40" s="409"/>
      <c r="G40" s="406"/>
      <c r="H40" s="617" t="str">
        <f t="shared" si="83"/>
        <v/>
      </c>
      <c r="I40" s="406"/>
      <c r="J40" s="457" t="str">
        <f t="shared" ref="J40:J67" si="99">IF(I40="","",IF(I40="目標設定ガスの算定対象外",0,IF(I40="国代替値",AR40,"要記入")))</f>
        <v/>
      </c>
      <c r="K40" s="406"/>
      <c r="L40" s="458"/>
      <c r="M40" s="406"/>
      <c r="N40" s="406"/>
      <c r="O40" s="455"/>
      <c r="P40" s="455"/>
      <c r="Q40" s="455"/>
      <c r="R40" s="455"/>
      <c r="S40" s="455"/>
      <c r="T40" s="455"/>
      <c r="U40" s="455"/>
      <c r="V40" s="455"/>
      <c r="W40" s="455"/>
      <c r="X40" s="455"/>
      <c r="Y40" s="455"/>
      <c r="Z40" s="455"/>
      <c r="AA40" s="504"/>
      <c r="AB40" s="595" t="str">
        <f t="shared" si="84"/>
        <v/>
      </c>
      <c r="AC40" s="596" t="str">
        <f t="shared" si="85"/>
        <v/>
      </c>
      <c r="AD40" s="597" t="str">
        <f>IF(C40="","",VLOOKUP(C40,非_単位!$N$38:$O$53,2,FALSE))</f>
        <v/>
      </c>
      <c r="AE40" s="598" t="str">
        <f t="shared" si="86"/>
        <v/>
      </c>
      <c r="AF40" s="585" t="str">
        <f t="shared" si="87"/>
        <v/>
      </c>
      <c r="AH40" s="466" t="str">
        <f t="shared" si="69"/>
        <v/>
      </c>
      <c r="AI40" s="466" t="str">
        <f t="shared" si="88"/>
        <v/>
      </c>
      <c r="AJ40" s="466" t="str">
        <f t="shared" si="70"/>
        <v/>
      </c>
      <c r="AK40" s="466" t="str">
        <f t="shared" si="71"/>
        <v/>
      </c>
      <c r="AL40" s="466"/>
      <c r="AM40" s="538" t="str">
        <f t="shared" si="89"/>
        <v/>
      </c>
      <c r="AN40" s="466" t="str">
        <f t="shared" si="72"/>
        <v/>
      </c>
      <c r="AO40" s="466" t="str">
        <f t="shared" si="90"/>
        <v/>
      </c>
      <c r="AP40" s="466"/>
      <c r="AQ40" s="466" t="str">
        <f>IF(C40="","",IF(C40="電気_仮想電力購入契約","",VLOOKUP(C40,非_係数!$B$42:$D$55,2,FALSE)))</f>
        <v/>
      </c>
      <c r="AR40" s="466" t="str">
        <f>IF(AH40="電気",非_電気事業者!$S$4*1000,IF(AH40="熱",非_熱供給事業者!$T$4,""))</f>
        <v/>
      </c>
      <c r="AS40" s="466" t="str">
        <f>IF(N40="","",VLOOKUP(N40,非_単位補正換算!$B$3:$C$16,2,FALSE))</f>
        <v/>
      </c>
      <c r="AT40" s="466" t="str">
        <f t="shared" si="91"/>
        <v/>
      </c>
      <c r="AU40" s="466" t="str">
        <f t="shared" si="73"/>
        <v/>
      </c>
      <c r="AV40" s="466">
        <f t="shared" si="74"/>
        <v>1</v>
      </c>
      <c r="AW40" s="466" t="str">
        <f t="shared" si="75"/>
        <v/>
      </c>
      <c r="AX40" s="535" t="b">
        <f t="shared" si="20"/>
        <v>1</v>
      </c>
      <c r="AY40" s="466" t="str">
        <f t="shared" si="76"/>
        <v/>
      </c>
      <c r="AZ40" s="466" t="str">
        <f t="shared" si="77"/>
        <v/>
      </c>
      <c r="BA40" s="466" t="str">
        <f t="shared" si="92"/>
        <v/>
      </c>
      <c r="BB40" s="466" t="str">
        <f t="shared" si="78"/>
        <v/>
      </c>
      <c r="BC40" s="466" t="str">
        <f t="shared" si="79"/>
        <v/>
      </c>
      <c r="BD40" s="466" t="str">
        <f>IF(BC40&lt;&gt;"義務","",SUMIFS(非_まとめ表行番号!$N$3:$N$20,非_まとめ表行番号!$J$3:$J$20,AY40,非_まとめ表行番号!$K$3:$K$20,AZ40,非_まとめ表行番号!$L$3:$L$20,BA40,非_まとめ表行番号!$M$3:$M$20,BB40))</f>
        <v/>
      </c>
      <c r="BE40" s="466" t="str">
        <f>IF(BC40&lt;&gt;"義務","",SUMIFS(非_まとめ表行番号!$O$3:$O$20,非_まとめ表行番号!$J$3:$J$20,AY40,非_まとめ表行番号!$K$3:$K$20,AZ40,非_まとめ表行番号!$L$3:$L$20,BA40,非_まとめ表行番号!$M$3:$M$20,BB40))</f>
        <v/>
      </c>
      <c r="BF40" s="466" t="str">
        <f t="shared" si="93"/>
        <v/>
      </c>
      <c r="BG40" s="529"/>
      <c r="BH40" s="525" t="str">
        <f>IF(BD40="","",VLOOKUP(BD40,非_まとめ表行番号!$U$3:$V$56,2,FALSE))</f>
        <v/>
      </c>
      <c r="BI40" s="527" t="str">
        <f>IF(D40="","",VLOOKUP(D40,非_燃料種類_選択リスト!$X$2:$Y$14,2,FALSE))</f>
        <v/>
      </c>
      <c r="BJ40" s="527" t="str">
        <f>IF(E40="","",VLOOKUP(E40,非_燃料種類_選択リスト!$X$18:$Y$24,2,FALSE))</f>
        <v/>
      </c>
      <c r="BK40" s="539" t="str">
        <f t="shared" si="94"/>
        <v/>
      </c>
      <c r="BL40" s="527" t="str">
        <f t="shared" si="95"/>
        <v/>
      </c>
      <c r="BM40" s="527" t="str">
        <f t="shared" si="96"/>
        <v/>
      </c>
      <c r="BN40" s="527" t="str">
        <f t="shared" si="97"/>
        <v/>
      </c>
      <c r="BO40" s="636" t="str">
        <f t="shared" si="98"/>
        <v/>
      </c>
      <c r="BQ40" s="639" t="str">
        <f>IF(AND(B40="",C40=""),"",IF(AZ40="有",0,VLOOKUP(C40,非_係数!$B$42:$J$55,9,FALSE)))</f>
        <v/>
      </c>
      <c r="BR40" s="639" t="str">
        <f t="shared" si="28"/>
        <v/>
      </c>
    </row>
    <row r="41" spans="1:70" ht="18.75" customHeight="1">
      <c r="A41" s="483"/>
      <c r="B41" s="406"/>
      <c r="C41" s="406"/>
      <c r="D41" s="406"/>
      <c r="E41" s="407"/>
      <c r="F41" s="409"/>
      <c r="G41" s="406"/>
      <c r="H41" s="617" t="str">
        <f t="shared" si="83"/>
        <v/>
      </c>
      <c r="I41" s="406"/>
      <c r="J41" s="457" t="str">
        <f t="shared" si="99"/>
        <v/>
      </c>
      <c r="K41" s="406"/>
      <c r="L41" s="458"/>
      <c r="M41" s="406"/>
      <c r="N41" s="406"/>
      <c r="O41" s="455"/>
      <c r="P41" s="455"/>
      <c r="Q41" s="455"/>
      <c r="R41" s="455"/>
      <c r="S41" s="455"/>
      <c r="T41" s="455"/>
      <c r="U41" s="455"/>
      <c r="V41" s="455"/>
      <c r="W41" s="455"/>
      <c r="X41" s="455"/>
      <c r="Y41" s="455"/>
      <c r="Z41" s="455"/>
      <c r="AA41" s="504"/>
      <c r="AB41" s="595" t="str">
        <f t="shared" si="84"/>
        <v/>
      </c>
      <c r="AC41" s="596" t="str">
        <f t="shared" si="85"/>
        <v/>
      </c>
      <c r="AD41" s="597" t="str">
        <f>IF(C41="","",VLOOKUP(C41,非_単位!$N$38:$O$53,2,FALSE))</f>
        <v/>
      </c>
      <c r="AE41" s="598" t="str">
        <f t="shared" si="86"/>
        <v/>
      </c>
      <c r="AF41" s="585" t="str">
        <f t="shared" si="87"/>
        <v/>
      </c>
      <c r="AH41" s="466" t="str">
        <f t="shared" si="69"/>
        <v/>
      </c>
      <c r="AI41" s="466" t="str">
        <f t="shared" si="88"/>
        <v/>
      </c>
      <c r="AJ41" s="466" t="str">
        <f t="shared" si="70"/>
        <v/>
      </c>
      <c r="AK41" s="466" t="str">
        <f t="shared" si="71"/>
        <v/>
      </c>
      <c r="AL41" s="466"/>
      <c r="AM41" s="538" t="str">
        <f t="shared" si="89"/>
        <v/>
      </c>
      <c r="AN41" s="466" t="str">
        <f t="shared" si="72"/>
        <v/>
      </c>
      <c r="AO41" s="466" t="str">
        <f t="shared" si="90"/>
        <v/>
      </c>
      <c r="AP41" s="466"/>
      <c r="AQ41" s="466" t="str">
        <f>IF(C41="","",IF(C41="電気_仮想電力購入契約","",VLOOKUP(C41,非_係数!$B$42:$D$55,2,FALSE)))</f>
        <v/>
      </c>
      <c r="AR41" s="466" t="str">
        <f>IF(AH41="電気",非_電気事業者!$S$4*1000,IF(AH41="熱",非_熱供給事業者!$T$4,""))</f>
        <v/>
      </c>
      <c r="AS41" s="466" t="str">
        <f>IF(N41="","",VLOOKUP(N41,非_単位補正換算!$B$3:$C$16,2,FALSE))</f>
        <v/>
      </c>
      <c r="AT41" s="466" t="str">
        <f t="shared" si="91"/>
        <v/>
      </c>
      <c r="AU41" s="466" t="str">
        <f t="shared" si="73"/>
        <v/>
      </c>
      <c r="AV41" s="466">
        <f t="shared" si="74"/>
        <v>1</v>
      </c>
      <c r="AW41" s="466" t="str">
        <f t="shared" si="75"/>
        <v/>
      </c>
      <c r="AX41" s="535" t="b">
        <f t="shared" si="20"/>
        <v>1</v>
      </c>
      <c r="AY41" s="466" t="str">
        <f t="shared" ref="AY41:AY67" si="100">AH41</f>
        <v/>
      </c>
      <c r="AZ41" s="466" t="str">
        <f t="shared" si="77"/>
        <v/>
      </c>
      <c r="BA41" s="466" t="str">
        <f t="shared" si="92"/>
        <v/>
      </c>
      <c r="BB41" s="466" t="str">
        <f t="shared" si="78"/>
        <v/>
      </c>
      <c r="BC41" s="466" t="str">
        <f t="shared" si="79"/>
        <v/>
      </c>
      <c r="BD41" s="466" t="str">
        <f>IF(BC41&lt;&gt;"義務","",SUMIFS(非_まとめ表行番号!$N$3:$N$20,非_まとめ表行番号!$J$3:$J$20,AY41,非_まとめ表行番号!$K$3:$K$20,AZ41,非_まとめ表行番号!$L$3:$L$20,BA41,非_まとめ表行番号!$M$3:$M$20,BB41))</f>
        <v/>
      </c>
      <c r="BE41" s="466" t="str">
        <f>IF(BC41&lt;&gt;"義務","",SUMIFS(非_まとめ表行番号!$O$3:$O$20,非_まとめ表行番号!$J$3:$J$20,AY41,非_まとめ表行番号!$K$3:$K$20,AZ41,非_まとめ表行番号!$L$3:$L$20,BA41,非_まとめ表行番号!$M$3:$M$20,BB41))</f>
        <v/>
      </c>
      <c r="BF41" s="466" t="str">
        <f t="shared" si="93"/>
        <v/>
      </c>
      <c r="BG41" s="529"/>
      <c r="BH41" s="525" t="str">
        <f>IF(BD41="","",VLOOKUP(BD41,非_まとめ表行番号!$U$3:$V$56,2,FALSE))</f>
        <v/>
      </c>
      <c r="BI41" s="527" t="str">
        <f>IF(D41="","",VLOOKUP(D41,非_燃料種類_選択リスト!$X$2:$Y$14,2,FALSE))</f>
        <v/>
      </c>
      <c r="BJ41" s="527" t="str">
        <f>IF(E41="","",VLOOKUP(E41,非_燃料種類_選択リスト!$X$18:$Y$24,2,FALSE))</f>
        <v/>
      </c>
      <c r="BK41" s="539" t="str">
        <f t="shared" si="94"/>
        <v/>
      </c>
      <c r="BL41" s="527" t="str">
        <f t="shared" si="95"/>
        <v/>
      </c>
      <c r="BM41" s="527" t="str">
        <f t="shared" si="96"/>
        <v/>
      </c>
      <c r="BN41" s="527" t="str">
        <f t="shared" si="97"/>
        <v/>
      </c>
      <c r="BO41" s="636" t="str">
        <f t="shared" si="98"/>
        <v/>
      </c>
      <c r="BQ41" s="639" t="str">
        <f>IF(AND(B41="",C41=""),"",IF(AZ41="有",0,VLOOKUP(C41,非_係数!$B$42:$J$55,9,FALSE)))</f>
        <v/>
      </c>
      <c r="BR41" s="639" t="str">
        <f t="shared" si="28"/>
        <v/>
      </c>
    </row>
    <row r="42" spans="1:70" ht="18.75" customHeight="1">
      <c r="A42" s="483"/>
      <c r="B42" s="406"/>
      <c r="C42" s="406"/>
      <c r="D42" s="406"/>
      <c r="E42" s="407"/>
      <c r="F42" s="409"/>
      <c r="G42" s="406"/>
      <c r="H42" s="617" t="str">
        <f t="shared" si="83"/>
        <v/>
      </c>
      <c r="I42" s="406"/>
      <c r="J42" s="457" t="str">
        <f t="shared" si="99"/>
        <v/>
      </c>
      <c r="K42" s="406"/>
      <c r="L42" s="458"/>
      <c r="M42" s="406"/>
      <c r="N42" s="406"/>
      <c r="O42" s="455"/>
      <c r="P42" s="455"/>
      <c r="Q42" s="455"/>
      <c r="R42" s="455"/>
      <c r="S42" s="455"/>
      <c r="T42" s="455"/>
      <c r="U42" s="455"/>
      <c r="V42" s="455"/>
      <c r="W42" s="455"/>
      <c r="X42" s="455"/>
      <c r="Y42" s="455"/>
      <c r="Z42" s="455"/>
      <c r="AA42" s="504"/>
      <c r="AB42" s="595" t="str">
        <f t="shared" si="84"/>
        <v/>
      </c>
      <c r="AC42" s="596" t="str">
        <f t="shared" si="85"/>
        <v/>
      </c>
      <c r="AD42" s="597" t="str">
        <f>IF(C42="","",VLOOKUP(C42,非_単位!$N$38:$O$53,2,FALSE))</f>
        <v/>
      </c>
      <c r="AE42" s="598" t="str">
        <f t="shared" si="86"/>
        <v/>
      </c>
      <c r="AF42" s="585" t="str">
        <f t="shared" si="87"/>
        <v/>
      </c>
      <c r="AH42" s="466" t="str">
        <f t="shared" si="69"/>
        <v/>
      </c>
      <c r="AI42" s="466" t="str">
        <f t="shared" si="88"/>
        <v/>
      </c>
      <c r="AJ42" s="466" t="str">
        <f t="shared" si="70"/>
        <v/>
      </c>
      <c r="AK42" s="466" t="str">
        <f t="shared" si="71"/>
        <v/>
      </c>
      <c r="AL42" s="466"/>
      <c r="AM42" s="538" t="str">
        <f t="shared" si="89"/>
        <v/>
      </c>
      <c r="AN42" s="466" t="str">
        <f t="shared" si="72"/>
        <v/>
      </c>
      <c r="AO42" s="466" t="str">
        <f t="shared" si="90"/>
        <v/>
      </c>
      <c r="AP42" s="466"/>
      <c r="AQ42" s="466" t="str">
        <f>IF(C42="","",IF(C42="電気_仮想電力購入契約","",VLOOKUP(C42,非_係数!$B$42:$D$55,2,FALSE)))</f>
        <v/>
      </c>
      <c r="AR42" s="466" t="str">
        <f>IF(AH42="電気",非_電気事業者!$S$4*1000,IF(AH42="熱",非_熱供給事業者!$T$4,""))</f>
        <v/>
      </c>
      <c r="AS42" s="466" t="str">
        <f>IF(N42="","",VLOOKUP(N42,非_単位補正換算!$B$3:$C$16,2,FALSE))</f>
        <v/>
      </c>
      <c r="AT42" s="466" t="str">
        <f t="shared" si="91"/>
        <v/>
      </c>
      <c r="AU42" s="466" t="str">
        <f t="shared" si="73"/>
        <v/>
      </c>
      <c r="AV42" s="466">
        <f t="shared" si="74"/>
        <v>1</v>
      </c>
      <c r="AW42" s="466" t="str">
        <f t="shared" si="75"/>
        <v/>
      </c>
      <c r="AX42" s="535" t="b">
        <f t="shared" si="20"/>
        <v>1</v>
      </c>
      <c r="AY42" s="466" t="str">
        <f t="shared" si="100"/>
        <v/>
      </c>
      <c r="AZ42" s="466" t="str">
        <f t="shared" si="77"/>
        <v/>
      </c>
      <c r="BA42" s="466" t="str">
        <f t="shared" si="92"/>
        <v/>
      </c>
      <c r="BB42" s="466" t="str">
        <f t="shared" si="78"/>
        <v/>
      </c>
      <c r="BC42" s="466" t="str">
        <f t="shared" si="79"/>
        <v/>
      </c>
      <c r="BD42" s="466" t="str">
        <f>IF(BC42&lt;&gt;"義務","",SUMIFS(非_まとめ表行番号!$N$3:$N$20,非_まとめ表行番号!$J$3:$J$20,AY42,非_まとめ表行番号!$K$3:$K$20,AZ42,非_まとめ表行番号!$L$3:$L$20,BA42,非_まとめ表行番号!$M$3:$M$20,BB42))</f>
        <v/>
      </c>
      <c r="BE42" s="466" t="str">
        <f>IF(BC42&lt;&gt;"義務","",SUMIFS(非_まとめ表行番号!$O$3:$O$20,非_まとめ表行番号!$J$3:$J$20,AY42,非_まとめ表行番号!$K$3:$K$20,AZ42,非_まとめ表行番号!$L$3:$L$20,BA42,非_まとめ表行番号!$M$3:$M$20,BB42))</f>
        <v/>
      </c>
      <c r="BF42" s="466" t="str">
        <f t="shared" si="93"/>
        <v/>
      </c>
      <c r="BG42" s="529"/>
      <c r="BH42" s="525" t="str">
        <f>IF(BD42="","",VLOOKUP(BD42,非_まとめ表行番号!$U$3:$V$56,2,FALSE))</f>
        <v/>
      </c>
      <c r="BI42" s="527" t="str">
        <f>IF(D42="","",VLOOKUP(D42,非_燃料種類_選択リスト!$X$2:$Y$14,2,FALSE))</f>
        <v/>
      </c>
      <c r="BJ42" s="527" t="str">
        <f>IF(E42="","",VLOOKUP(E42,非_燃料種類_選択リスト!$X$18:$Y$24,2,FALSE))</f>
        <v/>
      </c>
      <c r="BK42" s="539" t="str">
        <f t="shared" si="94"/>
        <v/>
      </c>
      <c r="BL42" s="527" t="str">
        <f t="shared" si="95"/>
        <v/>
      </c>
      <c r="BM42" s="527" t="str">
        <f t="shared" si="96"/>
        <v/>
      </c>
      <c r="BN42" s="527" t="str">
        <f t="shared" si="97"/>
        <v/>
      </c>
      <c r="BO42" s="636" t="str">
        <f t="shared" si="98"/>
        <v/>
      </c>
      <c r="BQ42" s="639" t="str">
        <f>IF(AND(B42="",C42=""),"",IF(AZ42="有",0,VLOOKUP(C42,非_係数!$B$42:$J$55,9,FALSE)))</f>
        <v/>
      </c>
      <c r="BR42" s="639" t="str">
        <f t="shared" si="28"/>
        <v/>
      </c>
    </row>
    <row r="43" spans="1:70" ht="18.75" customHeight="1">
      <c r="A43" s="483"/>
      <c r="B43" s="406"/>
      <c r="C43" s="406"/>
      <c r="D43" s="406"/>
      <c r="E43" s="407"/>
      <c r="F43" s="409"/>
      <c r="G43" s="406"/>
      <c r="H43" s="617" t="str">
        <f t="shared" si="83"/>
        <v/>
      </c>
      <c r="I43" s="406"/>
      <c r="J43" s="457" t="str">
        <f t="shared" si="99"/>
        <v/>
      </c>
      <c r="K43" s="406"/>
      <c r="L43" s="458"/>
      <c r="M43" s="406"/>
      <c r="N43" s="406"/>
      <c r="O43" s="455"/>
      <c r="P43" s="455"/>
      <c r="Q43" s="455"/>
      <c r="R43" s="455"/>
      <c r="S43" s="455"/>
      <c r="T43" s="455"/>
      <c r="U43" s="455"/>
      <c r="V43" s="455"/>
      <c r="W43" s="455"/>
      <c r="X43" s="455"/>
      <c r="Y43" s="455"/>
      <c r="Z43" s="455"/>
      <c r="AA43" s="504"/>
      <c r="AB43" s="595" t="str">
        <f t="shared" si="84"/>
        <v/>
      </c>
      <c r="AC43" s="596" t="str">
        <f t="shared" si="85"/>
        <v/>
      </c>
      <c r="AD43" s="597" t="str">
        <f>IF(C43="","",VLOOKUP(C43,非_単位!$N$38:$O$53,2,FALSE))</f>
        <v/>
      </c>
      <c r="AE43" s="598" t="str">
        <f t="shared" si="86"/>
        <v/>
      </c>
      <c r="AF43" s="585" t="str">
        <f t="shared" si="87"/>
        <v/>
      </c>
      <c r="AH43" s="466" t="str">
        <f t="shared" si="69"/>
        <v/>
      </c>
      <c r="AI43" s="466" t="str">
        <f t="shared" si="88"/>
        <v/>
      </c>
      <c r="AJ43" s="466" t="str">
        <f t="shared" si="70"/>
        <v/>
      </c>
      <c r="AK43" s="466" t="str">
        <f t="shared" si="71"/>
        <v/>
      </c>
      <c r="AL43" s="466"/>
      <c r="AM43" s="538" t="str">
        <f t="shared" si="89"/>
        <v/>
      </c>
      <c r="AN43" s="466" t="str">
        <f t="shared" si="72"/>
        <v/>
      </c>
      <c r="AO43" s="466" t="str">
        <f t="shared" si="90"/>
        <v/>
      </c>
      <c r="AP43" s="466"/>
      <c r="AQ43" s="466" t="str">
        <f>IF(C43="","",IF(C43="電気_仮想電力購入契約","",VLOOKUP(C43,非_係数!$B$42:$D$55,2,FALSE)))</f>
        <v/>
      </c>
      <c r="AR43" s="466" t="str">
        <f>IF(AH43="電気",非_電気事業者!$S$4*1000,IF(AH43="熱",非_熱供給事業者!$T$4,""))</f>
        <v/>
      </c>
      <c r="AS43" s="466" t="str">
        <f>IF(N43="","",VLOOKUP(N43,非_単位補正換算!$B$3:$C$16,2,FALSE))</f>
        <v/>
      </c>
      <c r="AT43" s="466" t="str">
        <f t="shared" si="91"/>
        <v/>
      </c>
      <c r="AU43" s="466" t="str">
        <f t="shared" si="73"/>
        <v/>
      </c>
      <c r="AV43" s="466">
        <f t="shared" si="74"/>
        <v>1</v>
      </c>
      <c r="AW43" s="466" t="str">
        <f t="shared" si="75"/>
        <v/>
      </c>
      <c r="AX43" s="535" t="b">
        <f t="shared" si="20"/>
        <v>1</v>
      </c>
      <c r="AY43" s="466" t="str">
        <f t="shared" si="100"/>
        <v/>
      </c>
      <c r="AZ43" s="466" t="str">
        <f t="shared" si="77"/>
        <v/>
      </c>
      <c r="BA43" s="466" t="str">
        <f t="shared" si="92"/>
        <v/>
      </c>
      <c r="BB43" s="466" t="str">
        <f t="shared" si="78"/>
        <v/>
      </c>
      <c r="BC43" s="466" t="str">
        <f t="shared" si="79"/>
        <v/>
      </c>
      <c r="BD43" s="466" t="str">
        <f>IF(BC43&lt;&gt;"義務","",SUMIFS(非_まとめ表行番号!$N$3:$N$20,非_まとめ表行番号!$J$3:$J$20,AY43,非_まとめ表行番号!$K$3:$K$20,AZ43,非_まとめ表行番号!$L$3:$L$20,BA43,非_まとめ表行番号!$M$3:$M$20,BB43))</f>
        <v/>
      </c>
      <c r="BE43" s="466" t="str">
        <f>IF(BC43&lt;&gt;"義務","",SUMIFS(非_まとめ表行番号!$O$3:$O$20,非_まとめ表行番号!$J$3:$J$20,AY43,非_まとめ表行番号!$K$3:$K$20,AZ43,非_まとめ表行番号!$L$3:$L$20,BA43,非_まとめ表行番号!$M$3:$M$20,BB43))</f>
        <v/>
      </c>
      <c r="BF43" s="466" t="str">
        <f t="shared" si="93"/>
        <v/>
      </c>
      <c r="BG43" s="529"/>
      <c r="BH43" s="525" t="str">
        <f>IF(BD43="","",VLOOKUP(BD43,非_まとめ表行番号!$U$3:$V$56,2,FALSE))</f>
        <v/>
      </c>
      <c r="BI43" s="527" t="str">
        <f>IF(D43="","",VLOOKUP(D43,非_燃料種類_選択リスト!$X$2:$Y$14,2,FALSE))</f>
        <v/>
      </c>
      <c r="BJ43" s="527" t="str">
        <f>IF(E43="","",VLOOKUP(E43,非_燃料種類_選択リスト!$X$18:$Y$24,2,FALSE))</f>
        <v/>
      </c>
      <c r="BK43" s="539" t="str">
        <f t="shared" si="94"/>
        <v/>
      </c>
      <c r="BL43" s="527" t="str">
        <f t="shared" si="95"/>
        <v/>
      </c>
      <c r="BM43" s="527" t="str">
        <f t="shared" si="96"/>
        <v/>
      </c>
      <c r="BN43" s="527" t="str">
        <f t="shared" si="97"/>
        <v/>
      </c>
      <c r="BO43" s="636" t="str">
        <f t="shared" si="98"/>
        <v/>
      </c>
      <c r="BQ43" s="639" t="str">
        <f>IF(AND(B43="",C43=""),"",IF(AZ43="有",0,VLOOKUP(C43,非_係数!$B$42:$J$55,9,FALSE)))</f>
        <v/>
      </c>
      <c r="BR43" s="639" t="str">
        <f t="shared" si="28"/>
        <v/>
      </c>
    </row>
    <row r="44" spans="1:70" ht="18.75" customHeight="1">
      <c r="A44" s="483"/>
      <c r="B44" s="406"/>
      <c r="C44" s="406"/>
      <c r="D44" s="406"/>
      <c r="E44" s="407"/>
      <c r="F44" s="409"/>
      <c r="G44" s="406"/>
      <c r="H44" s="617" t="str">
        <f t="shared" si="83"/>
        <v/>
      </c>
      <c r="I44" s="406"/>
      <c r="J44" s="457" t="str">
        <f t="shared" si="99"/>
        <v/>
      </c>
      <c r="K44" s="406"/>
      <c r="L44" s="458"/>
      <c r="M44" s="406"/>
      <c r="N44" s="406"/>
      <c r="O44" s="455"/>
      <c r="P44" s="455"/>
      <c r="Q44" s="455"/>
      <c r="R44" s="455"/>
      <c r="S44" s="455"/>
      <c r="T44" s="455"/>
      <c r="U44" s="455"/>
      <c r="V44" s="455"/>
      <c r="W44" s="455"/>
      <c r="X44" s="455"/>
      <c r="Y44" s="455"/>
      <c r="Z44" s="455"/>
      <c r="AA44" s="504"/>
      <c r="AB44" s="595" t="str">
        <f t="shared" si="84"/>
        <v/>
      </c>
      <c r="AC44" s="596" t="str">
        <f t="shared" si="85"/>
        <v/>
      </c>
      <c r="AD44" s="597" t="str">
        <f>IF(C44="","",VLOOKUP(C44,非_単位!$N$38:$O$53,2,FALSE))</f>
        <v/>
      </c>
      <c r="AE44" s="598" t="str">
        <f t="shared" si="86"/>
        <v/>
      </c>
      <c r="AF44" s="585" t="str">
        <f t="shared" si="87"/>
        <v/>
      </c>
      <c r="AH44" s="466" t="str">
        <f t="shared" si="69"/>
        <v/>
      </c>
      <c r="AI44" s="466" t="str">
        <f t="shared" si="88"/>
        <v/>
      </c>
      <c r="AJ44" s="466" t="str">
        <f t="shared" si="70"/>
        <v/>
      </c>
      <c r="AK44" s="466" t="str">
        <f t="shared" si="71"/>
        <v/>
      </c>
      <c r="AL44" s="466"/>
      <c r="AM44" s="538" t="str">
        <f t="shared" si="89"/>
        <v/>
      </c>
      <c r="AN44" s="466" t="str">
        <f t="shared" si="72"/>
        <v/>
      </c>
      <c r="AO44" s="466" t="str">
        <f t="shared" si="90"/>
        <v/>
      </c>
      <c r="AP44" s="466"/>
      <c r="AQ44" s="466" t="str">
        <f>IF(C44="","",IF(C44="電気_仮想電力購入契約","",VLOOKUP(C44,非_係数!$B$42:$D$55,2,FALSE)))</f>
        <v/>
      </c>
      <c r="AR44" s="466" t="str">
        <f>IF(AH44="電気",非_電気事業者!$S$4*1000,IF(AH44="熱",非_熱供給事業者!$T$4,""))</f>
        <v/>
      </c>
      <c r="AS44" s="466" t="str">
        <f>IF(N44="","",VLOOKUP(N44,非_単位補正換算!$B$3:$C$16,2,FALSE))</f>
        <v/>
      </c>
      <c r="AT44" s="466" t="str">
        <f t="shared" si="91"/>
        <v/>
      </c>
      <c r="AU44" s="466" t="str">
        <f t="shared" si="73"/>
        <v/>
      </c>
      <c r="AV44" s="466">
        <f t="shared" si="74"/>
        <v>1</v>
      </c>
      <c r="AW44" s="466" t="str">
        <f t="shared" si="75"/>
        <v/>
      </c>
      <c r="AX44" s="535" t="b">
        <f t="shared" si="20"/>
        <v>1</v>
      </c>
      <c r="AY44" s="466" t="str">
        <f t="shared" si="100"/>
        <v/>
      </c>
      <c r="AZ44" s="466" t="str">
        <f t="shared" si="77"/>
        <v/>
      </c>
      <c r="BA44" s="466" t="str">
        <f t="shared" si="92"/>
        <v/>
      </c>
      <c r="BB44" s="466" t="str">
        <f t="shared" si="78"/>
        <v/>
      </c>
      <c r="BC44" s="466" t="str">
        <f t="shared" si="79"/>
        <v/>
      </c>
      <c r="BD44" s="466" t="str">
        <f>IF(BC44&lt;&gt;"義務","",SUMIFS(非_まとめ表行番号!$N$3:$N$20,非_まとめ表行番号!$J$3:$J$20,AY44,非_まとめ表行番号!$K$3:$K$20,AZ44,非_まとめ表行番号!$L$3:$L$20,BA44,非_まとめ表行番号!$M$3:$M$20,BB44))</f>
        <v/>
      </c>
      <c r="BE44" s="466" t="str">
        <f>IF(BC44&lt;&gt;"義務","",SUMIFS(非_まとめ表行番号!$O$3:$O$20,非_まとめ表行番号!$J$3:$J$20,AY44,非_まとめ表行番号!$K$3:$K$20,AZ44,非_まとめ表行番号!$L$3:$L$20,BA44,非_まとめ表行番号!$M$3:$M$20,BB44))</f>
        <v/>
      </c>
      <c r="BF44" s="466" t="str">
        <f t="shared" si="93"/>
        <v/>
      </c>
      <c r="BG44" s="529"/>
      <c r="BH44" s="525" t="str">
        <f>IF(BD44="","",VLOOKUP(BD44,非_まとめ表行番号!$U$3:$V$56,2,FALSE))</f>
        <v/>
      </c>
      <c r="BI44" s="527" t="str">
        <f>IF(D44="","",VLOOKUP(D44,非_燃料種類_選択リスト!$X$2:$Y$14,2,FALSE))</f>
        <v/>
      </c>
      <c r="BJ44" s="527" t="str">
        <f>IF(E44="","",VLOOKUP(E44,非_燃料種類_選択リスト!$X$18:$Y$24,2,FALSE))</f>
        <v/>
      </c>
      <c r="BK44" s="539" t="str">
        <f t="shared" si="94"/>
        <v/>
      </c>
      <c r="BL44" s="527" t="str">
        <f t="shared" si="95"/>
        <v/>
      </c>
      <c r="BM44" s="527" t="str">
        <f t="shared" si="96"/>
        <v/>
      </c>
      <c r="BN44" s="527" t="str">
        <f t="shared" si="97"/>
        <v/>
      </c>
      <c r="BO44" s="636" t="str">
        <f t="shared" si="98"/>
        <v/>
      </c>
      <c r="BQ44" s="639" t="str">
        <f>IF(AND(B44="",C44=""),"",IF(AZ44="有",0,VLOOKUP(C44,非_係数!$B$42:$J$55,9,FALSE)))</f>
        <v/>
      </c>
      <c r="BR44" s="639" t="str">
        <f t="shared" si="28"/>
        <v/>
      </c>
    </row>
    <row r="45" spans="1:70" ht="18.75" customHeight="1">
      <c r="A45" s="483"/>
      <c r="B45" s="406"/>
      <c r="C45" s="406"/>
      <c r="D45" s="406"/>
      <c r="E45" s="407"/>
      <c r="F45" s="409"/>
      <c r="G45" s="406"/>
      <c r="H45" s="617" t="str">
        <f t="shared" si="83"/>
        <v/>
      </c>
      <c r="I45" s="406"/>
      <c r="J45" s="457" t="str">
        <f t="shared" si="99"/>
        <v/>
      </c>
      <c r="K45" s="406"/>
      <c r="L45" s="458"/>
      <c r="M45" s="406"/>
      <c r="N45" s="406"/>
      <c r="O45" s="455"/>
      <c r="P45" s="455"/>
      <c r="Q45" s="455"/>
      <c r="R45" s="455"/>
      <c r="S45" s="455"/>
      <c r="T45" s="455"/>
      <c r="U45" s="455"/>
      <c r="V45" s="455"/>
      <c r="W45" s="455"/>
      <c r="X45" s="455"/>
      <c r="Y45" s="455"/>
      <c r="Z45" s="455"/>
      <c r="AA45" s="504"/>
      <c r="AB45" s="595" t="str">
        <f t="shared" ref="AB45:AB67" si="101">IF(COUNT(O45:Z45)=0,"",IF(AA45="",SUM(O45:Z45),SUM(O45:Z45)*AA45))</f>
        <v/>
      </c>
      <c r="AC45" s="596" t="str">
        <f t="shared" si="85"/>
        <v/>
      </c>
      <c r="AD45" s="597" t="str">
        <f>IF(C45="","",VLOOKUP(C45,非_単位!$N$38:$O$53,2,FALSE))</f>
        <v/>
      </c>
      <c r="AE45" s="598" t="str">
        <f t="shared" si="86"/>
        <v/>
      </c>
      <c r="AF45" s="585" t="str">
        <f t="shared" si="87"/>
        <v/>
      </c>
      <c r="AH45" s="466" t="str">
        <f t="shared" si="69"/>
        <v/>
      </c>
      <c r="AI45" s="466" t="str">
        <f t="shared" si="88"/>
        <v/>
      </c>
      <c r="AJ45" s="466" t="str">
        <f t="shared" si="70"/>
        <v/>
      </c>
      <c r="AK45" s="466" t="str">
        <f t="shared" si="71"/>
        <v/>
      </c>
      <c r="AL45" s="466"/>
      <c r="AM45" s="538" t="str">
        <f t="shared" si="89"/>
        <v/>
      </c>
      <c r="AN45" s="466" t="str">
        <f t="shared" si="72"/>
        <v/>
      </c>
      <c r="AO45" s="466" t="str">
        <f t="shared" si="90"/>
        <v/>
      </c>
      <c r="AP45" s="466"/>
      <c r="AQ45" s="466" t="str">
        <f>IF(C45="","",IF(C45="電気_仮想電力購入契約","",VLOOKUP(C45,非_係数!$B$42:$D$55,2,FALSE)))</f>
        <v/>
      </c>
      <c r="AR45" s="466" t="str">
        <f>IF(AH45="電気",非_電気事業者!$S$4*1000,IF(AH45="熱",非_熱供給事業者!$T$4,""))</f>
        <v/>
      </c>
      <c r="AS45" s="466" t="str">
        <f>IF(N45="","",VLOOKUP(N45,非_単位補正換算!$B$3:$C$16,2,FALSE))</f>
        <v/>
      </c>
      <c r="AT45" s="466" t="str">
        <f t="shared" si="91"/>
        <v/>
      </c>
      <c r="AU45" s="466" t="str">
        <f t="shared" si="73"/>
        <v/>
      </c>
      <c r="AV45" s="466">
        <f t="shared" si="74"/>
        <v>1</v>
      </c>
      <c r="AW45" s="466" t="str">
        <f t="shared" si="75"/>
        <v/>
      </c>
      <c r="AX45" s="535" t="b">
        <f t="shared" si="20"/>
        <v>1</v>
      </c>
      <c r="AY45" s="466" t="str">
        <f t="shared" si="100"/>
        <v/>
      </c>
      <c r="AZ45" s="466" t="str">
        <f t="shared" si="77"/>
        <v/>
      </c>
      <c r="BA45" s="466" t="str">
        <f t="shared" si="92"/>
        <v/>
      </c>
      <c r="BB45" s="466" t="str">
        <f t="shared" si="78"/>
        <v/>
      </c>
      <c r="BC45" s="466" t="str">
        <f t="shared" si="79"/>
        <v/>
      </c>
      <c r="BD45" s="466" t="str">
        <f>IF(BC45&lt;&gt;"義務","",SUMIFS(非_まとめ表行番号!$N$3:$N$20,非_まとめ表行番号!$J$3:$J$20,AY45,非_まとめ表行番号!$K$3:$K$20,AZ45,非_まとめ表行番号!$L$3:$L$20,BA45,非_まとめ表行番号!$M$3:$M$20,BB45))</f>
        <v/>
      </c>
      <c r="BE45" s="466" t="str">
        <f>IF(BC45&lt;&gt;"義務","",SUMIFS(非_まとめ表行番号!$O$3:$O$20,非_まとめ表行番号!$J$3:$J$20,AY45,非_まとめ表行番号!$K$3:$K$20,AZ45,非_まとめ表行番号!$L$3:$L$20,BA45,非_まとめ表行番号!$M$3:$M$20,BB45))</f>
        <v/>
      </c>
      <c r="BF45" s="466" t="str">
        <f t="shared" si="93"/>
        <v/>
      </c>
      <c r="BG45" s="529"/>
      <c r="BH45" s="525" t="str">
        <f>IF(BD45="","",VLOOKUP(BD45,非_まとめ表行番号!$U$3:$V$56,2,FALSE))</f>
        <v/>
      </c>
      <c r="BI45" s="527" t="str">
        <f>IF(D45="","",VLOOKUP(D45,非_燃料種類_選択リスト!$X$2:$Y$14,2,FALSE))</f>
        <v/>
      </c>
      <c r="BJ45" s="527" t="str">
        <f>IF(E45="","",VLOOKUP(E45,非_燃料種類_選択リスト!$X$18:$Y$24,2,FALSE))</f>
        <v/>
      </c>
      <c r="BK45" s="539" t="str">
        <f t="shared" si="94"/>
        <v/>
      </c>
      <c r="BL45" s="527" t="str">
        <f t="shared" si="95"/>
        <v/>
      </c>
      <c r="BM45" s="527" t="str">
        <f t="shared" si="96"/>
        <v/>
      </c>
      <c r="BN45" s="527" t="str">
        <f t="shared" si="97"/>
        <v/>
      </c>
      <c r="BO45" s="636" t="str">
        <f t="shared" si="98"/>
        <v/>
      </c>
      <c r="BQ45" s="639" t="str">
        <f>IF(AND(B45="",C45=""),"",IF(AZ45="有",0,VLOOKUP(C45,非_係数!$B$42:$J$55,9,FALSE)))</f>
        <v/>
      </c>
      <c r="BR45" s="639" t="str">
        <f t="shared" si="28"/>
        <v/>
      </c>
    </row>
    <row r="46" spans="1:70" ht="18.75" customHeight="1">
      <c r="A46" s="483"/>
      <c r="B46" s="406"/>
      <c r="C46" s="406"/>
      <c r="D46" s="406"/>
      <c r="E46" s="407"/>
      <c r="F46" s="409"/>
      <c r="G46" s="406"/>
      <c r="H46" s="617" t="str">
        <f t="shared" si="83"/>
        <v/>
      </c>
      <c r="I46" s="406"/>
      <c r="J46" s="457" t="str">
        <f t="shared" si="99"/>
        <v/>
      </c>
      <c r="K46" s="406"/>
      <c r="L46" s="458"/>
      <c r="M46" s="406"/>
      <c r="N46" s="406"/>
      <c r="O46" s="455"/>
      <c r="P46" s="455"/>
      <c r="Q46" s="455"/>
      <c r="R46" s="455"/>
      <c r="S46" s="455"/>
      <c r="T46" s="455"/>
      <c r="U46" s="455"/>
      <c r="V46" s="455"/>
      <c r="W46" s="455"/>
      <c r="X46" s="455"/>
      <c r="Y46" s="455"/>
      <c r="Z46" s="455"/>
      <c r="AA46" s="504"/>
      <c r="AB46" s="595" t="str">
        <f t="shared" si="101"/>
        <v/>
      </c>
      <c r="AC46" s="596" t="str">
        <f t="shared" si="85"/>
        <v/>
      </c>
      <c r="AD46" s="597" t="str">
        <f>IF(C46="","",VLOOKUP(C46,非_単位!$N$38:$O$53,2,FALSE))</f>
        <v/>
      </c>
      <c r="AE46" s="598" t="str">
        <f t="shared" si="86"/>
        <v/>
      </c>
      <c r="AF46" s="585" t="str">
        <f t="shared" si="87"/>
        <v/>
      </c>
      <c r="AH46" s="466" t="str">
        <f t="shared" si="69"/>
        <v/>
      </c>
      <c r="AI46" s="466" t="str">
        <f t="shared" si="88"/>
        <v/>
      </c>
      <c r="AJ46" s="466" t="str">
        <f t="shared" si="70"/>
        <v/>
      </c>
      <c r="AK46" s="466" t="str">
        <f t="shared" si="71"/>
        <v/>
      </c>
      <c r="AL46" s="466"/>
      <c r="AM46" s="538" t="str">
        <f t="shared" si="89"/>
        <v/>
      </c>
      <c r="AN46" s="466" t="str">
        <f t="shared" si="72"/>
        <v/>
      </c>
      <c r="AO46" s="466" t="str">
        <f t="shared" si="90"/>
        <v/>
      </c>
      <c r="AP46" s="466"/>
      <c r="AQ46" s="466" t="str">
        <f>IF(C46="","",IF(C46="電気_仮想電力購入契約","",VLOOKUP(C46,非_係数!$B$42:$D$55,2,FALSE)))</f>
        <v/>
      </c>
      <c r="AR46" s="466" t="str">
        <f>IF(AH46="電気",非_電気事業者!$S$4*1000,IF(AH46="熱",非_熱供給事業者!$T$4,""))</f>
        <v/>
      </c>
      <c r="AS46" s="466" t="str">
        <f>IF(N46="","",VLOOKUP(N46,非_単位補正換算!$B$3:$C$16,2,FALSE))</f>
        <v/>
      </c>
      <c r="AT46" s="466" t="str">
        <f t="shared" si="91"/>
        <v/>
      </c>
      <c r="AU46" s="466" t="str">
        <f t="shared" si="73"/>
        <v/>
      </c>
      <c r="AV46" s="466">
        <f t="shared" si="74"/>
        <v>1</v>
      </c>
      <c r="AW46" s="466" t="str">
        <f t="shared" si="75"/>
        <v/>
      </c>
      <c r="AX46" s="535" t="b">
        <f t="shared" si="20"/>
        <v>1</v>
      </c>
      <c r="AY46" s="466" t="str">
        <f t="shared" si="100"/>
        <v/>
      </c>
      <c r="AZ46" s="466" t="str">
        <f t="shared" si="77"/>
        <v/>
      </c>
      <c r="BA46" s="466" t="str">
        <f t="shared" si="92"/>
        <v/>
      </c>
      <c r="BB46" s="466" t="str">
        <f t="shared" si="78"/>
        <v/>
      </c>
      <c r="BC46" s="466" t="str">
        <f t="shared" si="79"/>
        <v/>
      </c>
      <c r="BD46" s="466" t="str">
        <f>IF(BC46&lt;&gt;"義務","",SUMIFS(非_まとめ表行番号!$N$3:$N$20,非_まとめ表行番号!$J$3:$J$20,AY46,非_まとめ表行番号!$K$3:$K$20,AZ46,非_まとめ表行番号!$L$3:$L$20,BA46,非_まとめ表行番号!$M$3:$M$20,BB46))</f>
        <v/>
      </c>
      <c r="BE46" s="466" t="str">
        <f>IF(BC46&lt;&gt;"義務","",SUMIFS(非_まとめ表行番号!$O$3:$O$20,非_まとめ表行番号!$J$3:$J$20,AY46,非_まとめ表行番号!$K$3:$K$20,AZ46,非_まとめ表行番号!$L$3:$L$20,BA46,非_まとめ表行番号!$M$3:$M$20,BB46))</f>
        <v/>
      </c>
      <c r="BF46" s="466" t="str">
        <f t="shared" si="93"/>
        <v/>
      </c>
      <c r="BG46" s="529"/>
      <c r="BH46" s="525" t="str">
        <f>IF(BD46="","",VLOOKUP(BD46,非_まとめ表行番号!$U$3:$V$56,2,FALSE))</f>
        <v/>
      </c>
      <c r="BI46" s="527" t="str">
        <f>IF(D46="","",VLOOKUP(D46,非_燃料種類_選択リスト!$X$2:$Y$14,2,FALSE))</f>
        <v/>
      </c>
      <c r="BJ46" s="527" t="str">
        <f>IF(E46="","",VLOOKUP(E46,非_燃料種類_選択リスト!$X$18:$Y$24,2,FALSE))</f>
        <v/>
      </c>
      <c r="BK46" s="539" t="str">
        <f t="shared" si="94"/>
        <v/>
      </c>
      <c r="BL46" s="527" t="str">
        <f t="shared" si="95"/>
        <v/>
      </c>
      <c r="BM46" s="527" t="str">
        <f t="shared" si="96"/>
        <v/>
      </c>
      <c r="BN46" s="527" t="str">
        <f t="shared" si="97"/>
        <v/>
      </c>
      <c r="BO46" s="636" t="str">
        <f t="shared" si="98"/>
        <v/>
      </c>
      <c r="BQ46" s="639" t="str">
        <f>IF(AND(B46="",C46=""),"",IF(AZ46="有",0,VLOOKUP(C46,非_係数!$B$42:$J$55,9,FALSE)))</f>
        <v/>
      </c>
      <c r="BR46" s="639" t="str">
        <f t="shared" si="28"/>
        <v/>
      </c>
    </row>
    <row r="47" spans="1:70" ht="18.75" customHeight="1">
      <c r="A47" s="483"/>
      <c r="B47" s="406"/>
      <c r="C47" s="406"/>
      <c r="D47" s="406"/>
      <c r="E47" s="407"/>
      <c r="F47" s="409"/>
      <c r="G47" s="406"/>
      <c r="H47" s="617" t="str">
        <f t="shared" si="83"/>
        <v/>
      </c>
      <c r="I47" s="406"/>
      <c r="J47" s="457" t="str">
        <f t="shared" si="99"/>
        <v/>
      </c>
      <c r="K47" s="406"/>
      <c r="L47" s="458"/>
      <c r="M47" s="406"/>
      <c r="N47" s="406"/>
      <c r="O47" s="455"/>
      <c r="P47" s="455"/>
      <c r="Q47" s="455"/>
      <c r="R47" s="455"/>
      <c r="S47" s="455"/>
      <c r="T47" s="455"/>
      <c r="U47" s="455"/>
      <c r="V47" s="455"/>
      <c r="W47" s="455"/>
      <c r="X47" s="455"/>
      <c r="Y47" s="455"/>
      <c r="Z47" s="455"/>
      <c r="AA47" s="504"/>
      <c r="AB47" s="595" t="str">
        <f t="shared" si="101"/>
        <v/>
      </c>
      <c r="AC47" s="596" t="str">
        <f t="shared" si="85"/>
        <v/>
      </c>
      <c r="AD47" s="597" t="str">
        <f>IF(C47="","",VLOOKUP(C47,非_単位!$N$38:$O$53,2,FALSE))</f>
        <v/>
      </c>
      <c r="AE47" s="598" t="str">
        <f t="shared" si="86"/>
        <v/>
      </c>
      <c r="AF47" s="585" t="str">
        <f t="shared" si="87"/>
        <v/>
      </c>
      <c r="AH47" s="466" t="str">
        <f t="shared" si="69"/>
        <v/>
      </c>
      <c r="AI47" s="466" t="str">
        <f t="shared" si="88"/>
        <v/>
      </c>
      <c r="AJ47" s="466" t="str">
        <f t="shared" si="70"/>
        <v/>
      </c>
      <c r="AK47" s="466" t="str">
        <f t="shared" si="71"/>
        <v/>
      </c>
      <c r="AL47" s="466"/>
      <c r="AM47" s="538" t="str">
        <f t="shared" si="89"/>
        <v/>
      </c>
      <c r="AN47" s="466" t="str">
        <f t="shared" si="72"/>
        <v/>
      </c>
      <c r="AO47" s="466" t="str">
        <f t="shared" si="90"/>
        <v/>
      </c>
      <c r="AP47" s="466"/>
      <c r="AQ47" s="466" t="str">
        <f>IF(C47="","",IF(C47="電気_仮想電力購入契約","",VLOOKUP(C47,非_係数!$B$42:$D$55,2,FALSE)))</f>
        <v/>
      </c>
      <c r="AR47" s="466" t="str">
        <f>IF(AH47="電気",非_電気事業者!$S$4*1000,IF(AH47="熱",非_熱供給事業者!$T$4,""))</f>
        <v/>
      </c>
      <c r="AS47" s="466" t="str">
        <f>IF(N47="","",VLOOKUP(N47,非_単位補正換算!$B$3:$C$16,2,FALSE))</f>
        <v/>
      </c>
      <c r="AT47" s="466" t="str">
        <f t="shared" si="91"/>
        <v/>
      </c>
      <c r="AU47" s="466" t="str">
        <f t="shared" si="73"/>
        <v/>
      </c>
      <c r="AV47" s="466">
        <f t="shared" si="74"/>
        <v>1</v>
      </c>
      <c r="AW47" s="466" t="str">
        <f t="shared" si="75"/>
        <v/>
      </c>
      <c r="AX47" s="535" t="b">
        <f t="shared" si="20"/>
        <v>1</v>
      </c>
      <c r="AY47" s="466" t="str">
        <f t="shared" si="100"/>
        <v/>
      </c>
      <c r="AZ47" s="466" t="str">
        <f t="shared" si="77"/>
        <v/>
      </c>
      <c r="BA47" s="466" t="str">
        <f t="shared" si="92"/>
        <v/>
      </c>
      <c r="BB47" s="466" t="str">
        <f t="shared" si="78"/>
        <v/>
      </c>
      <c r="BC47" s="466" t="str">
        <f t="shared" si="79"/>
        <v/>
      </c>
      <c r="BD47" s="466" t="str">
        <f>IF(BC47&lt;&gt;"義務","",SUMIFS(非_まとめ表行番号!$N$3:$N$20,非_まとめ表行番号!$J$3:$J$20,AY47,非_まとめ表行番号!$K$3:$K$20,AZ47,非_まとめ表行番号!$L$3:$L$20,BA47,非_まとめ表行番号!$M$3:$M$20,BB47))</f>
        <v/>
      </c>
      <c r="BE47" s="466" t="str">
        <f>IF(BC47&lt;&gt;"義務","",SUMIFS(非_まとめ表行番号!$O$3:$O$20,非_まとめ表行番号!$J$3:$J$20,AY47,非_まとめ表行番号!$K$3:$K$20,AZ47,非_まとめ表行番号!$L$3:$L$20,BA47,非_まとめ表行番号!$M$3:$M$20,BB47))</f>
        <v/>
      </c>
      <c r="BF47" s="466" t="str">
        <f t="shared" si="93"/>
        <v/>
      </c>
      <c r="BG47" s="529"/>
      <c r="BH47" s="525" t="str">
        <f>IF(BD47="","",VLOOKUP(BD47,非_まとめ表行番号!$U$3:$V$56,2,FALSE))</f>
        <v/>
      </c>
      <c r="BI47" s="527" t="str">
        <f>IF(D47="","",VLOOKUP(D47,非_燃料種類_選択リスト!$X$2:$Y$14,2,FALSE))</f>
        <v/>
      </c>
      <c r="BJ47" s="527" t="str">
        <f>IF(E47="","",VLOOKUP(E47,非_燃料種類_選択リスト!$X$18:$Y$24,2,FALSE))</f>
        <v/>
      </c>
      <c r="BK47" s="539" t="str">
        <f t="shared" si="94"/>
        <v/>
      </c>
      <c r="BL47" s="527" t="str">
        <f t="shared" si="95"/>
        <v/>
      </c>
      <c r="BM47" s="527" t="str">
        <f t="shared" si="96"/>
        <v/>
      </c>
      <c r="BN47" s="527" t="str">
        <f t="shared" si="97"/>
        <v/>
      </c>
      <c r="BO47" s="636" t="str">
        <f t="shared" si="98"/>
        <v/>
      </c>
      <c r="BQ47" s="639" t="str">
        <f>IF(AND(B47="",C47=""),"",IF(AZ47="有",0,VLOOKUP(C47,非_係数!$B$42:$J$55,9,FALSE)))</f>
        <v/>
      </c>
      <c r="BR47" s="639" t="str">
        <f t="shared" si="28"/>
        <v/>
      </c>
    </row>
    <row r="48" spans="1:70" ht="18.75" customHeight="1">
      <c r="A48" s="483"/>
      <c r="B48" s="406"/>
      <c r="C48" s="406"/>
      <c r="D48" s="406"/>
      <c r="E48" s="407"/>
      <c r="F48" s="409"/>
      <c r="G48" s="406"/>
      <c r="H48" s="617" t="str">
        <f t="shared" si="83"/>
        <v/>
      </c>
      <c r="I48" s="406"/>
      <c r="J48" s="457" t="str">
        <f t="shared" si="99"/>
        <v/>
      </c>
      <c r="K48" s="406"/>
      <c r="L48" s="458"/>
      <c r="M48" s="406"/>
      <c r="N48" s="406"/>
      <c r="O48" s="455"/>
      <c r="P48" s="455"/>
      <c r="Q48" s="455"/>
      <c r="R48" s="455"/>
      <c r="S48" s="455"/>
      <c r="T48" s="455"/>
      <c r="U48" s="455"/>
      <c r="V48" s="455"/>
      <c r="W48" s="455"/>
      <c r="X48" s="455"/>
      <c r="Y48" s="455"/>
      <c r="Z48" s="455"/>
      <c r="AA48" s="504"/>
      <c r="AB48" s="595" t="str">
        <f t="shared" si="101"/>
        <v/>
      </c>
      <c r="AC48" s="596" t="str">
        <f t="shared" si="85"/>
        <v/>
      </c>
      <c r="AD48" s="597" t="str">
        <f>IF(C48="","",VLOOKUP(C48,非_単位!$N$38:$O$53,2,FALSE))</f>
        <v/>
      </c>
      <c r="AE48" s="598" t="str">
        <f t="shared" si="86"/>
        <v/>
      </c>
      <c r="AF48" s="585" t="str">
        <f t="shared" si="87"/>
        <v/>
      </c>
      <c r="AH48" s="466" t="str">
        <f t="shared" si="69"/>
        <v/>
      </c>
      <c r="AI48" s="466" t="str">
        <f t="shared" si="88"/>
        <v/>
      </c>
      <c r="AJ48" s="466" t="str">
        <f t="shared" si="70"/>
        <v/>
      </c>
      <c r="AK48" s="466" t="str">
        <f t="shared" si="71"/>
        <v/>
      </c>
      <c r="AL48" s="466"/>
      <c r="AM48" s="538" t="str">
        <f t="shared" si="89"/>
        <v/>
      </c>
      <c r="AN48" s="466" t="str">
        <f t="shared" si="72"/>
        <v/>
      </c>
      <c r="AO48" s="466" t="str">
        <f t="shared" si="90"/>
        <v/>
      </c>
      <c r="AP48" s="466"/>
      <c r="AQ48" s="466" t="str">
        <f>IF(C48="","",IF(C48="電気_仮想電力購入契約","",VLOOKUP(C48,非_係数!$B$42:$D$55,2,FALSE)))</f>
        <v/>
      </c>
      <c r="AR48" s="466" t="str">
        <f>IF(AH48="電気",非_電気事業者!$S$4*1000,IF(AH48="熱",非_熱供給事業者!$T$4,""))</f>
        <v/>
      </c>
      <c r="AS48" s="466" t="str">
        <f>IF(N48="","",VLOOKUP(N48,非_単位補正換算!$B$3:$C$16,2,FALSE))</f>
        <v/>
      </c>
      <c r="AT48" s="466" t="str">
        <f t="shared" si="91"/>
        <v/>
      </c>
      <c r="AU48" s="466" t="str">
        <f t="shared" si="73"/>
        <v/>
      </c>
      <c r="AV48" s="466">
        <f t="shared" si="74"/>
        <v>1</v>
      </c>
      <c r="AW48" s="466" t="str">
        <f t="shared" si="75"/>
        <v/>
      </c>
      <c r="AX48" s="535" t="b">
        <f t="shared" si="20"/>
        <v>1</v>
      </c>
      <c r="AY48" s="466" t="str">
        <f t="shared" si="100"/>
        <v/>
      </c>
      <c r="AZ48" s="466" t="str">
        <f t="shared" si="77"/>
        <v/>
      </c>
      <c r="BA48" s="466" t="str">
        <f t="shared" si="92"/>
        <v/>
      </c>
      <c r="BB48" s="466" t="str">
        <f t="shared" si="78"/>
        <v/>
      </c>
      <c r="BC48" s="466" t="str">
        <f t="shared" si="79"/>
        <v/>
      </c>
      <c r="BD48" s="466" t="str">
        <f>IF(BC48&lt;&gt;"義務","",SUMIFS(非_まとめ表行番号!$N$3:$N$20,非_まとめ表行番号!$J$3:$J$20,AY48,非_まとめ表行番号!$K$3:$K$20,AZ48,非_まとめ表行番号!$L$3:$L$20,BA48,非_まとめ表行番号!$M$3:$M$20,BB48))</f>
        <v/>
      </c>
      <c r="BE48" s="466" t="str">
        <f>IF(BC48&lt;&gt;"義務","",SUMIFS(非_まとめ表行番号!$O$3:$O$20,非_まとめ表行番号!$J$3:$J$20,AY48,非_まとめ表行番号!$K$3:$K$20,AZ48,非_まとめ表行番号!$L$3:$L$20,BA48,非_まとめ表行番号!$M$3:$M$20,BB48))</f>
        <v/>
      </c>
      <c r="BF48" s="466" t="str">
        <f t="shared" si="93"/>
        <v/>
      </c>
      <c r="BG48" s="529"/>
      <c r="BH48" s="525" t="str">
        <f>IF(BD48="","",VLOOKUP(BD48,非_まとめ表行番号!$U$3:$V$56,2,FALSE))</f>
        <v/>
      </c>
      <c r="BI48" s="527" t="str">
        <f>IF(D48="","",VLOOKUP(D48,非_燃料種類_選択リスト!$X$2:$Y$14,2,FALSE))</f>
        <v/>
      </c>
      <c r="BJ48" s="527" t="str">
        <f>IF(E48="","",VLOOKUP(E48,非_燃料種類_選択リスト!$X$18:$Y$24,2,FALSE))</f>
        <v/>
      </c>
      <c r="BK48" s="539" t="str">
        <f t="shared" si="94"/>
        <v/>
      </c>
      <c r="BL48" s="527" t="str">
        <f t="shared" si="95"/>
        <v/>
      </c>
      <c r="BM48" s="527" t="str">
        <f t="shared" si="96"/>
        <v/>
      </c>
      <c r="BN48" s="527" t="str">
        <f t="shared" si="97"/>
        <v/>
      </c>
      <c r="BO48" s="636" t="str">
        <f t="shared" si="98"/>
        <v/>
      </c>
      <c r="BQ48" s="639" t="str">
        <f>IF(AND(B48="",C48=""),"",IF(AZ48="有",0,VLOOKUP(C48,非_係数!$B$42:$J$55,9,FALSE)))</f>
        <v/>
      </c>
      <c r="BR48" s="639" t="str">
        <f t="shared" si="28"/>
        <v/>
      </c>
    </row>
    <row r="49" spans="1:70" ht="18.75" customHeight="1">
      <c r="A49" s="483"/>
      <c r="B49" s="406"/>
      <c r="C49" s="406"/>
      <c r="D49" s="406"/>
      <c r="E49" s="407"/>
      <c r="F49" s="409"/>
      <c r="G49" s="406"/>
      <c r="H49" s="617" t="str">
        <f t="shared" ref="H49:H53" si="102">AQ49</f>
        <v/>
      </c>
      <c r="I49" s="406"/>
      <c r="J49" s="457" t="str">
        <f t="shared" si="99"/>
        <v/>
      </c>
      <c r="K49" s="406"/>
      <c r="L49" s="458"/>
      <c r="M49" s="406"/>
      <c r="N49" s="406"/>
      <c r="O49" s="455"/>
      <c r="P49" s="455"/>
      <c r="Q49" s="455"/>
      <c r="R49" s="455"/>
      <c r="S49" s="455"/>
      <c r="T49" s="455"/>
      <c r="U49" s="455"/>
      <c r="V49" s="455"/>
      <c r="W49" s="455"/>
      <c r="X49" s="455"/>
      <c r="Y49" s="455"/>
      <c r="Z49" s="455"/>
      <c r="AA49" s="504"/>
      <c r="AB49" s="595" t="str">
        <f t="shared" si="101"/>
        <v/>
      </c>
      <c r="AC49" s="596" t="str">
        <f t="shared" ref="AC49:AC53" si="103">AT49</f>
        <v/>
      </c>
      <c r="AD49" s="597" t="str">
        <f>IF(C49="","",VLOOKUP(C49,非_単位!$N$38:$O$53,2,FALSE))</f>
        <v/>
      </c>
      <c r="AE49" s="598" t="str">
        <f t="shared" ref="AE49:AE53" si="104">AU49</f>
        <v/>
      </c>
      <c r="AF49" s="585" t="str">
        <f t="shared" ref="AF49:AF53" si="105">AW49</f>
        <v/>
      </c>
      <c r="AH49" s="466" t="str">
        <f t="shared" si="69"/>
        <v/>
      </c>
      <c r="AI49" s="466" t="str">
        <f t="shared" ref="AI49:AI53" si="106">IF(AH49="電気","再エネ_事業所外_電気_種類",IF(AH49="熱","再エネ_事業所外_熱_種類",""))</f>
        <v/>
      </c>
      <c r="AJ49" s="466" t="str">
        <f t="shared" si="70"/>
        <v/>
      </c>
      <c r="AK49" s="466" t="str">
        <f t="shared" si="71"/>
        <v/>
      </c>
      <c r="AL49" s="466"/>
      <c r="AM49" s="538" t="str">
        <f t="shared" si="89"/>
        <v/>
      </c>
      <c r="AN49" s="466" t="str">
        <f t="shared" si="72"/>
        <v/>
      </c>
      <c r="AO49" s="466" t="str">
        <f t="shared" ref="AO49:AO53" si="107">IF(AH49="","","自家消費以外")</f>
        <v/>
      </c>
      <c r="AP49" s="466"/>
      <c r="AQ49" s="466" t="str">
        <f>IF(C49="","",IF(C49="電気_仮想電力購入契約","",VLOOKUP(C49,非_係数!$B$42:$D$55,2,FALSE)))</f>
        <v/>
      </c>
      <c r="AR49" s="466" t="str">
        <f>IF(AH49="電気",非_電気事業者!$S$4*1000,IF(AH49="熱",非_熱供給事業者!$T$4,""))</f>
        <v/>
      </c>
      <c r="AS49" s="466" t="str">
        <f>IF(N49="","",VLOOKUP(N49,非_単位補正換算!$B$3:$C$16,2,FALSE))</f>
        <v/>
      </c>
      <c r="AT49" s="466" t="str">
        <f t="shared" ref="AT49:AT53" si="108">IF(N49="","",IF(AB49="","",AB49/AS49))</f>
        <v/>
      </c>
      <c r="AU49" s="466" t="str">
        <f t="shared" si="73"/>
        <v/>
      </c>
      <c r="AV49" s="466">
        <f t="shared" si="74"/>
        <v>1</v>
      </c>
      <c r="AW49" s="466" t="str">
        <f t="shared" si="75"/>
        <v/>
      </c>
      <c r="AX49" s="535" t="b">
        <f t="shared" si="20"/>
        <v>1</v>
      </c>
      <c r="AY49" s="466" t="str">
        <f t="shared" ref="AY49:AY53" si="109">AH49</f>
        <v/>
      </c>
      <c r="AZ49" s="466" t="str">
        <f t="shared" si="77"/>
        <v/>
      </c>
      <c r="BA49" s="466" t="str">
        <f t="shared" si="92"/>
        <v/>
      </c>
      <c r="BB49" s="466" t="str">
        <f t="shared" si="78"/>
        <v/>
      </c>
      <c r="BC49" s="466" t="str">
        <f t="shared" si="79"/>
        <v/>
      </c>
      <c r="BD49" s="466" t="str">
        <f>IF(BC49&lt;&gt;"義務","",SUMIFS(非_まとめ表行番号!$N$3:$N$20,非_まとめ表行番号!$J$3:$J$20,AY49,非_まとめ表行番号!$K$3:$K$20,AZ49,非_まとめ表行番号!$L$3:$L$20,BA49,非_まとめ表行番号!$M$3:$M$20,BB49))</f>
        <v/>
      </c>
      <c r="BE49" s="466" t="str">
        <f>IF(BC49&lt;&gt;"義務","",SUMIFS(非_まとめ表行番号!$O$3:$O$20,非_まとめ表行番号!$J$3:$J$20,AY49,非_まとめ表行番号!$K$3:$K$20,AZ49,非_まとめ表行番号!$L$3:$L$20,BA49,非_まとめ表行番号!$M$3:$M$20,BB49))</f>
        <v/>
      </c>
      <c r="BF49" s="466" t="str">
        <f t="shared" si="93"/>
        <v/>
      </c>
      <c r="BG49" s="529"/>
      <c r="BH49" s="525" t="str">
        <f>IF(BD49="","",VLOOKUP(BD49,非_まとめ表行番号!$U$3:$V$56,2,FALSE))</f>
        <v/>
      </c>
      <c r="BI49" s="527" t="str">
        <f>IF(D49="","",VLOOKUP(D49,非_燃料種類_選択リスト!$X$2:$Y$14,2,FALSE))</f>
        <v/>
      </c>
      <c r="BJ49" s="527" t="str">
        <f>IF(E49="","",VLOOKUP(E49,非_燃料種類_選択リスト!$X$18:$Y$24,2,FALSE))</f>
        <v/>
      </c>
      <c r="BK49" s="539" t="str">
        <f t="shared" si="94"/>
        <v/>
      </c>
      <c r="BL49" s="527" t="str">
        <f t="shared" si="95"/>
        <v/>
      </c>
      <c r="BM49" s="527" t="str">
        <f t="shared" si="96"/>
        <v/>
      </c>
      <c r="BN49" s="527" t="str">
        <f t="shared" si="97"/>
        <v/>
      </c>
      <c r="BO49" s="636" t="str">
        <f t="shared" si="98"/>
        <v/>
      </c>
      <c r="BQ49" s="639" t="str">
        <f>IF(AND(B49="",C49=""),"",IF(AZ49="有",0,VLOOKUP(C49,非_係数!$B$42:$J$55,9,FALSE)))</f>
        <v/>
      </c>
      <c r="BR49" s="639" t="str">
        <f t="shared" si="28"/>
        <v/>
      </c>
    </row>
    <row r="50" spans="1:70" ht="18.75" customHeight="1">
      <c r="A50" s="483"/>
      <c r="B50" s="406"/>
      <c r="C50" s="406"/>
      <c r="D50" s="406"/>
      <c r="E50" s="407"/>
      <c r="F50" s="409"/>
      <c r="G50" s="406"/>
      <c r="H50" s="617" t="str">
        <f t="shared" si="102"/>
        <v/>
      </c>
      <c r="I50" s="406"/>
      <c r="J50" s="457" t="str">
        <f t="shared" si="99"/>
        <v/>
      </c>
      <c r="K50" s="406"/>
      <c r="L50" s="458"/>
      <c r="M50" s="406"/>
      <c r="N50" s="406"/>
      <c r="O50" s="455"/>
      <c r="P50" s="455"/>
      <c r="Q50" s="455"/>
      <c r="R50" s="455"/>
      <c r="S50" s="455"/>
      <c r="T50" s="455"/>
      <c r="U50" s="455"/>
      <c r="V50" s="455"/>
      <c r="W50" s="455"/>
      <c r="X50" s="455"/>
      <c r="Y50" s="455"/>
      <c r="Z50" s="455"/>
      <c r="AA50" s="504"/>
      <c r="AB50" s="595" t="str">
        <f t="shared" si="101"/>
        <v/>
      </c>
      <c r="AC50" s="596" t="str">
        <f t="shared" si="103"/>
        <v/>
      </c>
      <c r="AD50" s="597" t="str">
        <f>IF(C50="","",VLOOKUP(C50,非_単位!$N$38:$O$53,2,FALSE))</f>
        <v/>
      </c>
      <c r="AE50" s="598" t="str">
        <f t="shared" si="104"/>
        <v/>
      </c>
      <c r="AF50" s="585" t="str">
        <f t="shared" si="105"/>
        <v/>
      </c>
      <c r="AH50" s="466" t="str">
        <f t="shared" si="69"/>
        <v/>
      </c>
      <c r="AI50" s="466" t="str">
        <f t="shared" si="106"/>
        <v/>
      </c>
      <c r="AJ50" s="466" t="str">
        <f t="shared" si="70"/>
        <v/>
      </c>
      <c r="AK50" s="466" t="str">
        <f t="shared" si="71"/>
        <v/>
      </c>
      <c r="AL50" s="466"/>
      <c r="AM50" s="538" t="str">
        <f t="shared" si="89"/>
        <v/>
      </c>
      <c r="AN50" s="466" t="str">
        <f t="shared" si="72"/>
        <v/>
      </c>
      <c r="AO50" s="466" t="str">
        <f t="shared" si="107"/>
        <v/>
      </c>
      <c r="AP50" s="466"/>
      <c r="AQ50" s="466" t="str">
        <f>IF(C50="","",IF(C50="電気_仮想電力購入契約","",VLOOKUP(C50,非_係数!$B$42:$D$55,2,FALSE)))</f>
        <v/>
      </c>
      <c r="AR50" s="466" t="str">
        <f>IF(AH50="電気",非_電気事業者!$S$4*1000,IF(AH50="熱",非_熱供給事業者!$T$4,""))</f>
        <v/>
      </c>
      <c r="AS50" s="466" t="str">
        <f>IF(N50="","",VLOOKUP(N50,非_単位補正換算!$B$3:$C$16,2,FALSE))</f>
        <v/>
      </c>
      <c r="AT50" s="466" t="str">
        <f t="shared" si="108"/>
        <v/>
      </c>
      <c r="AU50" s="466" t="str">
        <f t="shared" si="73"/>
        <v/>
      </c>
      <c r="AV50" s="466">
        <f t="shared" si="74"/>
        <v>1</v>
      </c>
      <c r="AW50" s="466" t="str">
        <f t="shared" si="75"/>
        <v/>
      </c>
      <c r="AX50" s="535" t="b">
        <f t="shared" si="20"/>
        <v>1</v>
      </c>
      <c r="AY50" s="466" t="str">
        <f t="shared" si="109"/>
        <v/>
      </c>
      <c r="AZ50" s="466" t="str">
        <f t="shared" si="77"/>
        <v/>
      </c>
      <c r="BA50" s="466" t="str">
        <f t="shared" si="92"/>
        <v/>
      </c>
      <c r="BB50" s="466" t="str">
        <f t="shared" si="78"/>
        <v/>
      </c>
      <c r="BC50" s="466" t="str">
        <f t="shared" si="79"/>
        <v/>
      </c>
      <c r="BD50" s="466" t="str">
        <f>IF(BC50&lt;&gt;"義務","",SUMIFS(非_まとめ表行番号!$N$3:$N$20,非_まとめ表行番号!$J$3:$J$20,AY50,非_まとめ表行番号!$K$3:$K$20,AZ50,非_まとめ表行番号!$L$3:$L$20,BA50,非_まとめ表行番号!$M$3:$M$20,BB50))</f>
        <v/>
      </c>
      <c r="BE50" s="466" t="str">
        <f>IF(BC50&lt;&gt;"義務","",SUMIFS(非_まとめ表行番号!$O$3:$O$20,非_まとめ表行番号!$J$3:$J$20,AY50,非_まとめ表行番号!$K$3:$K$20,AZ50,非_まとめ表行番号!$L$3:$L$20,BA50,非_まとめ表行番号!$M$3:$M$20,BB50))</f>
        <v/>
      </c>
      <c r="BF50" s="466" t="str">
        <f t="shared" si="93"/>
        <v/>
      </c>
      <c r="BG50" s="529"/>
      <c r="BH50" s="525" t="str">
        <f>IF(BD50="","",VLOOKUP(BD50,非_まとめ表行番号!$U$3:$V$56,2,FALSE))</f>
        <v/>
      </c>
      <c r="BI50" s="527" t="str">
        <f>IF(D50="","",VLOOKUP(D50,非_燃料種類_選択リスト!$X$2:$Y$14,2,FALSE))</f>
        <v/>
      </c>
      <c r="BJ50" s="527" t="str">
        <f>IF(E50="","",VLOOKUP(E50,非_燃料種類_選択リスト!$X$18:$Y$24,2,FALSE))</f>
        <v/>
      </c>
      <c r="BK50" s="539" t="str">
        <f t="shared" si="94"/>
        <v/>
      </c>
      <c r="BL50" s="527" t="str">
        <f t="shared" si="95"/>
        <v/>
      </c>
      <c r="BM50" s="527" t="str">
        <f t="shared" si="96"/>
        <v/>
      </c>
      <c r="BN50" s="527" t="str">
        <f t="shared" si="97"/>
        <v/>
      </c>
      <c r="BO50" s="636" t="str">
        <f t="shared" si="98"/>
        <v/>
      </c>
      <c r="BQ50" s="639" t="str">
        <f>IF(AND(B50="",C50=""),"",IF(AZ50="有",0,VLOOKUP(C50,非_係数!$B$42:$J$55,9,FALSE)))</f>
        <v/>
      </c>
      <c r="BR50" s="639" t="str">
        <f t="shared" si="28"/>
        <v/>
      </c>
    </row>
    <row r="51" spans="1:70" ht="18.75" customHeight="1">
      <c r="A51" s="483"/>
      <c r="B51" s="406"/>
      <c r="C51" s="406"/>
      <c r="D51" s="406"/>
      <c r="E51" s="407"/>
      <c r="F51" s="409"/>
      <c r="G51" s="406"/>
      <c r="H51" s="617" t="str">
        <f t="shared" si="102"/>
        <v/>
      </c>
      <c r="I51" s="406"/>
      <c r="J51" s="457" t="str">
        <f t="shared" si="99"/>
        <v/>
      </c>
      <c r="K51" s="406"/>
      <c r="L51" s="458"/>
      <c r="M51" s="406"/>
      <c r="N51" s="406"/>
      <c r="O51" s="455"/>
      <c r="P51" s="455"/>
      <c r="Q51" s="455"/>
      <c r="R51" s="455"/>
      <c r="S51" s="455"/>
      <c r="T51" s="455"/>
      <c r="U51" s="455"/>
      <c r="V51" s="455"/>
      <c r="W51" s="455"/>
      <c r="X51" s="455"/>
      <c r="Y51" s="455"/>
      <c r="Z51" s="455"/>
      <c r="AA51" s="504"/>
      <c r="AB51" s="595" t="str">
        <f t="shared" si="101"/>
        <v/>
      </c>
      <c r="AC51" s="596" t="str">
        <f t="shared" si="103"/>
        <v/>
      </c>
      <c r="AD51" s="597" t="str">
        <f>IF(C51="","",VLOOKUP(C51,非_単位!$N$38:$O$53,2,FALSE))</f>
        <v/>
      </c>
      <c r="AE51" s="598" t="str">
        <f t="shared" si="104"/>
        <v/>
      </c>
      <c r="AF51" s="585" t="str">
        <f t="shared" si="105"/>
        <v/>
      </c>
      <c r="AH51" s="466" t="str">
        <f t="shared" si="69"/>
        <v/>
      </c>
      <c r="AI51" s="466" t="str">
        <f t="shared" si="106"/>
        <v/>
      </c>
      <c r="AJ51" s="466" t="str">
        <f t="shared" si="70"/>
        <v/>
      </c>
      <c r="AK51" s="466" t="str">
        <f t="shared" si="71"/>
        <v/>
      </c>
      <c r="AL51" s="466"/>
      <c r="AM51" s="538" t="str">
        <f t="shared" si="89"/>
        <v/>
      </c>
      <c r="AN51" s="466" t="str">
        <f t="shared" si="72"/>
        <v/>
      </c>
      <c r="AO51" s="466" t="str">
        <f t="shared" si="107"/>
        <v/>
      </c>
      <c r="AP51" s="466"/>
      <c r="AQ51" s="466" t="str">
        <f>IF(C51="","",IF(C51="電気_仮想電力購入契約","",VLOOKUP(C51,非_係数!$B$42:$D$55,2,FALSE)))</f>
        <v/>
      </c>
      <c r="AR51" s="466" t="str">
        <f>IF(AH51="電気",非_電気事業者!$S$4*1000,IF(AH51="熱",非_熱供給事業者!$T$4,""))</f>
        <v/>
      </c>
      <c r="AS51" s="466" t="str">
        <f>IF(N51="","",VLOOKUP(N51,非_単位補正換算!$B$3:$C$16,2,FALSE))</f>
        <v/>
      </c>
      <c r="AT51" s="466" t="str">
        <f t="shared" si="108"/>
        <v/>
      </c>
      <c r="AU51" s="466" t="str">
        <f t="shared" si="73"/>
        <v/>
      </c>
      <c r="AV51" s="466">
        <f t="shared" si="74"/>
        <v>1</v>
      </c>
      <c r="AW51" s="466" t="str">
        <f t="shared" si="75"/>
        <v/>
      </c>
      <c r="AX51" s="535" t="b">
        <f t="shared" si="20"/>
        <v>1</v>
      </c>
      <c r="AY51" s="466" t="str">
        <f t="shared" si="109"/>
        <v/>
      </c>
      <c r="AZ51" s="466" t="str">
        <f t="shared" si="77"/>
        <v/>
      </c>
      <c r="BA51" s="466" t="str">
        <f t="shared" si="92"/>
        <v/>
      </c>
      <c r="BB51" s="466" t="str">
        <f t="shared" si="78"/>
        <v/>
      </c>
      <c r="BC51" s="466" t="str">
        <f t="shared" si="79"/>
        <v/>
      </c>
      <c r="BD51" s="466" t="str">
        <f>IF(BC51&lt;&gt;"義務","",SUMIFS(非_まとめ表行番号!$N$3:$N$20,非_まとめ表行番号!$J$3:$J$20,AY51,非_まとめ表行番号!$K$3:$K$20,AZ51,非_まとめ表行番号!$L$3:$L$20,BA51,非_まとめ表行番号!$M$3:$M$20,BB51))</f>
        <v/>
      </c>
      <c r="BE51" s="466" t="str">
        <f>IF(BC51&lt;&gt;"義務","",SUMIFS(非_まとめ表行番号!$O$3:$O$20,非_まとめ表行番号!$J$3:$J$20,AY51,非_まとめ表行番号!$K$3:$K$20,AZ51,非_まとめ表行番号!$L$3:$L$20,BA51,非_まとめ表行番号!$M$3:$M$20,BB51))</f>
        <v/>
      </c>
      <c r="BF51" s="466" t="str">
        <f t="shared" si="93"/>
        <v/>
      </c>
      <c r="BG51" s="529"/>
      <c r="BH51" s="525" t="str">
        <f>IF(BD51="","",VLOOKUP(BD51,非_まとめ表行番号!$U$3:$V$56,2,FALSE))</f>
        <v/>
      </c>
      <c r="BI51" s="527" t="str">
        <f>IF(D51="","",VLOOKUP(D51,非_燃料種類_選択リスト!$X$2:$Y$14,2,FALSE))</f>
        <v/>
      </c>
      <c r="BJ51" s="527" t="str">
        <f>IF(E51="","",VLOOKUP(E51,非_燃料種類_選択リスト!$X$18:$Y$24,2,FALSE))</f>
        <v/>
      </c>
      <c r="BK51" s="539" t="str">
        <f t="shared" si="94"/>
        <v/>
      </c>
      <c r="BL51" s="527" t="str">
        <f t="shared" si="95"/>
        <v/>
      </c>
      <c r="BM51" s="527" t="str">
        <f t="shared" si="96"/>
        <v/>
      </c>
      <c r="BN51" s="527" t="str">
        <f t="shared" si="97"/>
        <v/>
      </c>
      <c r="BO51" s="636" t="str">
        <f t="shared" si="98"/>
        <v/>
      </c>
      <c r="BQ51" s="639" t="str">
        <f>IF(AND(B51="",C51=""),"",IF(AZ51="有",0,VLOOKUP(C51,非_係数!$B$42:$J$55,9,FALSE)))</f>
        <v/>
      </c>
      <c r="BR51" s="639" t="str">
        <f t="shared" si="28"/>
        <v/>
      </c>
    </row>
    <row r="52" spans="1:70" ht="18.75" customHeight="1">
      <c r="A52" s="483"/>
      <c r="B52" s="406"/>
      <c r="C52" s="406"/>
      <c r="D52" s="406"/>
      <c r="E52" s="407"/>
      <c r="F52" s="409"/>
      <c r="G52" s="406"/>
      <c r="H52" s="617" t="str">
        <f t="shared" si="102"/>
        <v/>
      </c>
      <c r="I52" s="406"/>
      <c r="J52" s="457" t="str">
        <f t="shared" si="99"/>
        <v/>
      </c>
      <c r="K52" s="406"/>
      <c r="L52" s="458"/>
      <c r="M52" s="406"/>
      <c r="N52" s="406"/>
      <c r="O52" s="455"/>
      <c r="P52" s="455"/>
      <c r="Q52" s="455"/>
      <c r="R52" s="455"/>
      <c r="S52" s="455"/>
      <c r="T52" s="455"/>
      <c r="U52" s="455"/>
      <c r="V52" s="455"/>
      <c r="W52" s="455"/>
      <c r="X52" s="455"/>
      <c r="Y52" s="455"/>
      <c r="Z52" s="455"/>
      <c r="AA52" s="504"/>
      <c r="AB52" s="595" t="str">
        <f t="shared" si="101"/>
        <v/>
      </c>
      <c r="AC52" s="596" t="str">
        <f t="shared" si="103"/>
        <v/>
      </c>
      <c r="AD52" s="597" t="str">
        <f>IF(C52="","",VLOOKUP(C52,非_単位!$N$38:$O$53,2,FALSE))</f>
        <v/>
      </c>
      <c r="AE52" s="598" t="str">
        <f t="shared" si="104"/>
        <v/>
      </c>
      <c r="AF52" s="585" t="str">
        <f t="shared" si="105"/>
        <v/>
      </c>
      <c r="AH52" s="466" t="str">
        <f t="shared" si="69"/>
        <v/>
      </c>
      <c r="AI52" s="466" t="str">
        <f t="shared" si="106"/>
        <v/>
      </c>
      <c r="AJ52" s="466" t="str">
        <f t="shared" si="70"/>
        <v/>
      </c>
      <c r="AK52" s="466" t="str">
        <f t="shared" si="71"/>
        <v/>
      </c>
      <c r="AL52" s="466"/>
      <c r="AM52" s="538" t="str">
        <f t="shared" si="89"/>
        <v/>
      </c>
      <c r="AN52" s="466" t="str">
        <f t="shared" si="72"/>
        <v/>
      </c>
      <c r="AO52" s="466" t="str">
        <f t="shared" si="107"/>
        <v/>
      </c>
      <c r="AP52" s="466"/>
      <c r="AQ52" s="466" t="str">
        <f>IF(C52="","",IF(C52="電気_仮想電力購入契約","",VLOOKUP(C52,非_係数!$B$42:$D$55,2,FALSE)))</f>
        <v/>
      </c>
      <c r="AR52" s="466" t="str">
        <f>IF(AH52="電気",非_電気事業者!$S$4*1000,IF(AH52="熱",非_熱供給事業者!$T$4,""))</f>
        <v/>
      </c>
      <c r="AS52" s="466" t="str">
        <f>IF(N52="","",VLOOKUP(N52,非_単位補正換算!$B$3:$C$16,2,FALSE))</f>
        <v/>
      </c>
      <c r="AT52" s="466" t="str">
        <f t="shared" si="108"/>
        <v/>
      </c>
      <c r="AU52" s="466" t="str">
        <f t="shared" si="73"/>
        <v/>
      </c>
      <c r="AV52" s="466">
        <f t="shared" si="74"/>
        <v>1</v>
      </c>
      <c r="AW52" s="466" t="str">
        <f t="shared" si="75"/>
        <v/>
      </c>
      <c r="AX52" s="535" t="b">
        <f t="shared" si="20"/>
        <v>1</v>
      </c>
      <c r="AY52" s="466" t="str">
        <f t="shared" si="109"/>
        <v/>
      </c>
      <c r="AZ52" s="466" t="str">
        <f t="shared" si="77"/>
        <v/>
      </c>
      <c r="BA52" s="466" t="str">
        <f t="shared" si="92"/>
        <v/>
      </c>
      <c r="BB52" s="466" t="str">
        <f t="shared" si="78"/>
        <v/>
      </c>
      <c r="BC52" s="466" t="str">
        <f t="shared" si="79"/>
        <v/>
      </c>
      <c r="BD52" s="466" t="str">
        <f>IF(BC52&lt;&gt;"義務","",SUMIFS(非_まとめ表行番号!$N$3:$N$20,非_まとめ表行番号!$J$3:$J$20,AY52,非_まとめ表行番号!$K$3:$K$20,AZ52,非_まとめ表行番号!$L$3:$L$20,BA52,非_まとめ表行番号!$M$3:$M$20,BB52))</f>
        <v/>
      </c>
      <c r="BE52" s="466" t="str">
        <f>IF(BC52&lt;&gt;"義務","",SUMIFS(非_まとめ表行番号!$O$3:$O$20,非_まとめ表行番号!$J$3:$J$20,AY52,非_まとめ表行番号!$K$3:$K$20,AZ52,非_まとめ表行番号!$L$3:$L$20,BA52,非_まとめ表行番号!$M$3:$M$20,BB52))</f>
        <v/>
      </c>
      <c r="BF52" s="466" t="str">
        <f t="shared" si="93"/>
        <v/>
      </c>
      <c r="BG52" s="529"/>
      <c r="BH52" s="525" t="str">
        <f>IF(BD52="","",VLOOKUP(BD52,非_まとめ表行番号!$U$3:$V$56,2,FALSE))</f>
        <v/>
      </c>
      <c r="BI52" s="527" t="str">
        <f>IF(D52="","",VLOOKUP(D52,非_燃料種類_選択リスト!$X$2:$Y$14,2,FALSE))</f>
        <v/>
      </c>
      <c r="BJ52" s="527" t="str">
        <f>IF(E52="","",VLOOKUP(E52,非_燃料種類_選択リスト!$X$18:$Y$24,2,FALSE))</f>
        <v/>
      </c>
      <c r="BK52" s="539" t="str">
        <f t="shared" si="94"/>
        <v/>
      </c>
      <c r="BL52" s="527" t="str">
        <f t="shared" si="95"/>
        <v/>
      </c>
      <c r="BM52" s="527" t="str">
        <f t="shared" si="96"/>
        <v/>
      </c>
      <c r="BN52" s="527" t="str">
        <f t="shared" si="97"/>
        <v/>
      </c>
      <c r="BO52" s="636" t="str">
        <f t="shared" si="98"/>
        <v/>
      </c>
      <c r="BQ52" s="639" t="str">
        <f>IF(AND(B52="",C52=""),"",IF(AZ52="有",0,VLOOKUP(C52,非_係数!$B$42:$J$55,9,FALSE)))</f>
        <v/>
      </c>
      <c r="BR52" s="639" t="str">
        <f t="shared" si="28"/>
        <v/>
      </c>
    </row>
    <row r="53" spans="1:70" ht="18.75" customHeight="1">
      <c r="A53" s="483"/>
      <c r="B53" s="406"/>
      <c r="C53" s="406"/>
      <c r="D53" s="406"/>
      <c r="E53" s="407"/>
      <c r="F53" s="409"/>
      <c r="G53" s="406"/>
      <c r="H53" s="617" t="str">
        <f t="shared" si="102"/>
        <v/>
      </c>
      <c r="I53" s="406"/>
      <c r="J53" s="457" t="str">
        <f t="shared" si="99"/>
        <v/>
      </c>
      <c r="K53" s="406"/>
      <c r="L53" s="458"/>
      <c r="M53" s="406"/>
      <c r="N53" s="406"/>
      <c r="O53" s="455"/>
      <c r="P53" s="455"/>
      <c r="Q53" s="455"/>
      <c r="R53" s="455"/>
      <c r="S53" s="455"/>
      <c r="T53" s="455"/>
      <c r="U53" s="455"/>
      <c r="V53" s="455"/>
      <c r="W53" s="455"/>
      <c r="X53" s="455"/>
      <c r="Y53" s="455"/>
      <c r="Z53" s="455"/>
      <c r="AA53" s="504"/>
      <c r="AB53" s="595" t="str">
        <f t="shared" si="101"/>
        <v/>
      </c>
      <c r="AC53" s="596" t="str">
        <f t="shared" si="103"/>
        <v/>
      </c>
      <c r="AD53" s="597" t="str">
        <f>IF(C53="","",VLOOKUP(C53,非_単位!$N$38:$O$53,2,FALSE))</f>
        <v/>
      </c>
      <c r="AE53" s="598" t="str">
        <f t="shared" si="104"/>
        <v/>
      </c>
      <c r="AF53" s="585" t="str">
        <f t="shared" si="105"/>
        <v/>
      </c>
      <c r="AH53" s="466" t="str">
        <f t="shared" si="69"/>
        <v/>
      </c>
      <c r="AI53" s="466" t="str">
        <f t="shared" si="106"/>
        <v/>
      </c>
      <c r="AJ53" s="466" t="str">
        <f t="shared" si="70"/>
        <v/>
      </c>
      <c r="AK53" s="466" t="str">
        <f t="shared" si="71"/>
        <v/>
      </c>
      <c r="AL53" s="466"/>
      <c r="AM53" s="538" t="str">
        <f t="shared" si="89"/>
        <v/>
      </c>
      <c r="AN53" s="466" t="str">
        <f t="shared" si="72"/>
        <v/>
      </c>
      <c r="AO53" s="466" t="str">
        <f t="shared" si="107"/>
        <v/>
      </c>
      <c r="AP53" s="466"/>
      <c r="AQ53" s="466" t="str">
        <f>IF(C53="","",IF(C53="電気_仮想電力購入契約","",VLOOKUP(C53,非_係数!$B$42:$D$55,2,FALSE)))</f>
        <v/>
      </c>
      <c r="AR53" s="466" t="str">
        <f>IF(AH53="電気",非_電気事業者!$S$4*1000,IF(AH53="熱",非_熱供給事業者!$T$4,""))</f>
        <v/>
      </c>
      <c r="AS53" s="466" t="str">
        <f>IF(N53="","",VLOOKUP(N53,非_単位補正換算!$B$3:$C$16,2,FALSE))</f>
        <v/>
      </c>
      <c r="AT53" s="466" t="str">
        <f t="shared" si="108"/>
        <v/>
      </c>
      <c r="AU53" s="466" t="str">
        <f t="shared" si="73"/>
        <v/>
      </c>
      <c r="AV53" s="466">
        <f t="shared" si="74"/>
        <v>1</v>
      </c>
      <c r="AW53" s="466" t="str">
        <f t="shared" si="75"/>
        <v/>
      </c>
      <c r="AX53" s="535" t="b">
        <f t="shared" si="20"/>
        <v>1</v>
      </c>
      <c r="AY53" s="466" t="str">
        <f t="shared" si="109"/>
        <v/>
      </c>
      <c r="AZ53" s="466" t="str">
        <f t="shared" si="77"/>
        <v/>
      </c>
      <c r="BA53" s="466" t="str">
        <f t="shared" si="92"/>
        <v/>
      </c>
      <c r="BB53" s="466" t="str">
        <f t="shared" si="78"/>
        <v/>
      </c>
      <c r="BC53" s="466" t="str">
        <f t="shared" si="79"/>
        <v/>
      </c>
      <c r="BD53" s="466" t="str">
        <f>IF(BC53&lt;&gt;"義務","",SUMIFS(非_まとめ表行番号!$N$3:$N$20,非_まとめ表行番号!$J$3:$J$20,AY53,非_まとめ表行番号!$K$3:$K$20,AZ53,非_まとめ表行番号!$L$3:$L$20,BA53,非_まとめ表行番号!$M$3:$M$20,BB53))</f>
        <v/>
      </c>
      <c r="BE53" s="466" t="str">
        <f>IF(BC53&lt;&gt;"義務","",SUMIFS(非_まとめ表行番号!$O$3:$O$20,非_まとめ表行番号!$J$3:$J$20,AY53,非_まとめ表行番号!$K$3:$K$20,AZ53,非_まとめ表行番号!$L$3:$L$20,BA53,非_まとめ表行番号!$M$3:$M$20,BB53))</f>
        <v/>
      </c>
      <c r="BF53" s="466" t="str">
        <f t="shared" si="93"/>
        <v/>
      </c>
      <c r="BG53" s="529"/>
      <c r="BH53" s="525" t="str">
        <f>IF(BD53="","",VLOOKUP(BD53,非_まとめ表行番号!$U$3:$V$56,2,FALSE))</f>
        <v/>
      </c>
      <c r="BI53" s="527" t="str">
        <f>IF(D53="","",VLOOKUP(D53,非_燃料種類_選択リスト!$X$2:$Y$14,2,FALSE))</f>
        <v/>
      </c>
      <c r="BJ53" s="527" t="str">
        <f>IF(E53="","",VLOOKUP(E53,非_燃料種類_選択リスト!$X$18:$Y$24,2,FALSE))</f>
        <v/>
      </c>
      <c r="BK53" s="539" t="str">
        <f t="shared" si="94"/>
        <v/>
      </c>
      <c r="BL53" s="527" t="str">
        <f t="shared" si="95"/>
        <v/>
      </c>
      <c r="BM53" s="527" t="str">
        <f t="shared" si="96"/>
        <v/>
      </c>
      <c r="BN53" s="527" t="str">
        <f t="shared" si="97"/>
        <v/>
      </c>
      <c r="BO53" s="636" t="str">
        <f t="shared" si="98"/>
        <v/>
      </c>
      <c r="BQ53" s="639" t="str">
        <f>IF(AND(B53="",C53=""),"",IF(AZ53="有",0,VLOOKUP(C53,非_係数!$B$42:$J$55,9,FALSE)))</f>
        <v/>
      </c>
      <c r="BR53" s="639" t="str">
        <f t="shared" si="28"/>
        <v/>
      </c>
    </row>
    <row r="54" spans="1:70" ht="18.75" customHeight="1">
      <c r="A54" s="483"/>
      <c r="B54" s="406"/>
      <c r="C54" s="406"/>
      <c r="D54" s="406"/>
      <c r="E54" s="407"/>
      <c r="F54" s="409"/>
      <c r="G54" s="406"/>
      <c r="H54" s="617" t="str">
        <f t="shared" si="83"/>
        <v/>
      </c>
      <c r="I54" s="406"/>
      <c r="J54" s="457" t="str">
        <f t="shared" si="99"/>
        <v/>
      </c>
      <c r="K54" s="406"/>
      <c r="L54" s="458"/>
      <c r="M54" s="406"/>
      <c r="N54" s="406"/>
      <c r="O54" s="455"/>
      <c r="P54" s="455"/>
      <c r="Q54" s="455"/>
      <c r="R54" s="455"/>
      <c r="S54" s="455"/>
      <c r="T54" s="455"/>
      <c r="U54" s="455"/>
      <c r="V54" s="455"/>
      <c r="W54" s="455"/>
      <c r="X54" s="455"/>
      <c r="Y54" s="455"/>
      <c r="Z54" s="455"/>
      <c r="AA54" s="504"/>
      <c r="AB54" s="595" t="str">
        <f t="shared" si="101"/>
        <v/>
      </c>
      <c r="AC54" s="596" t="str">
        <f t="shared" si="85"/>
        <v/>
      </c>
      <c r="AD54" s="597" t="str">
        <f>IF(C54="","",VLOOKUP(C54,非_単位!$N$38:$O$53,2,FALSE))</f>
        <v/>
      </c>
      <c r="AE54" s="598" t="str">
        <f t="shared" si="86"/>
        <v/>
      </c>
      <c r="AF54" s="585" t="str">
        <f t="shared" si="87"/>
        <v/>
      </c>
      <c r="AH54" s="466" t="str">
        <f t="shared" si="69"/>
        <v/>
      </c>
      <c r="AI54" s="466" t="str">
        <f t="shared" si="88"/>
        <v/>
      </c>
      <c r="AJ54" s="466" t="str">
        <f t="shared" si="70"/>
        <v/>
      </c>
      <c r="AK54" s="466" t="str">
        <f t="shared" si="71"/>
        <v/>
      </c>
      <c r="AL54" s="466"/>
      <c r="AM54" s="538" t="str">
        <f t="shared" si="89"/>
        <v/>
      </c>
      <c r="AN54" s="466" t="str">
        <f t="shared" si="72"/>
        <v/>
      </c>
      <c r="AO54" s="466" t="str">
        <f t="shared" si="90"/>
        <v/>
      </c>
      <c r="AP54" s="466"/>
      <c r="AQ54" s="466" t="str">
        <f>IF(C54="","",IF(C54="電気_仮想電力購入契約","",VLOOKUP(C54,非_係数!$B$42:$D$55,2,FALSE)))</f>
        <v/>
      </c>
      <c r="AR54" s="466" t="str">
        <f>IF(AH54="電気",非_電気事業者!$S$4*1000,IF(AH54="熱",非_熱供給事業者!$T$4,""))</f>
        <v/>
      </c>
      <c r="AS54" s="466" t="str">
        <f>IF(N54="","",VLOOKUP(N54,非_単位補正換算!$B$3:$C$16,2,FALSE))</f>
        <v/>
      </c>
      <c r="AT54" s="466" t="str">
        <f t="shared" si="91"/>
        <v/>
      </c>
      <c r="AU54" s="466" t="str">
        <f t="shared" si="73"/>
        <v/>
      </c>
      <c r="AV54" s="466">
        <f t="shared" si="74"/>
        <v>1</v>
      </c>
      <c r="AW54" s="466" t="str">
        <f t="shared" si="75"/>
        <v/>
      </c>
      <c r="AX54" s="535" t="b">
        <f t="shared" si="20"/>
        <v>1</v>
      </c>
      <c r="AY54" s="466" t="str">
        <f t="shared" si="100"/>
        <v/>
      </c>
      <c r="AZ54" s="466" t="str">
        <f t="shared" si="77"/>
        <v/>
      </c>
      <c r="BA54" s="466" t="str">
        <f t="shared" si="92"/>
        <v/>
      </c>
      <c r="BB54" s="466" t="str">
        <f t="shared" si="78"/>
        <v/>
      </c>
      <c r="BC54" s="466" t="str">
        <f t="shared" si="79"/>
        <v/>
      </c>
      <c r="BD54" s="466" t="str">
        <f>IF(BC54&lt;&gt;"義務","",SUMIFS(非_まとめ表行番号!$N$3:$N$20,非_まとめ表行番号!$J$3:$J$20,AY54,非_まとめ表行番号!$K$3:$K$20,AZ54,非_まとめ表行番号!$L$3:$L$20,BA54,非_まとめ表行番号!$M$3:$M$20,BB54))</f>
        <v/>
      </c>
      <c r="BE54" s="466" t="str">
        <f>IF(BC54&lt;&gt;"義務","",SUMIFS(非_まとめ表行番号!$O$3:$O$20,非_まとめ表行番号!$J$3:$J$20,AY54,非_まとめ表行番号!$K$3:$K$20,AZ54,非_まとめ表行番号!$L$3:$L$20,BA54,非_まとめ表行番号!$M$3:$M$20,BB54))</f>
        <v/>
      </c>
      <c r="BF54" s="466" t="str">
        <f t="shared" si="93"/>
        <v/>
      </c>
      <c r="BG54" s="529"/>
      <c r="BH54" s="525" t="str">
        <f>IF(BD54="","",VLOOKUP(BD54,非_まとめ表行番号!$U$3:$V$56,2,FALSE))</f>
        <v/>
      </c>
      <c r="BI54" s="527" t="str">
        <f>IF(D54="","",VLOOKUP(D54,非_燃料種類_選択リスト!$X$2:$Y$14,2,FALSE))</f>
        <v/>
      </c>
      <c r="BJ54" s="527" t="str">
        <f>IF(E54="","",VLOOKUP(E54,非_燃料種類_選択リスト!$X$18:$Y$24,2,FALSE))</f>
        <v/>
      </c>
      <c r="BK54" s="539" t="str">
        <f t="shared" si="94"/>
        <v/>
      </c>
      <c r="BL54" s="527" t="str">
        <f t="shared" si="95"/>
        <v/>
      </c>
      <c r="BM54" s="527" t="str">
        <f t="shared" si="96"/>
        <v/>
      </c>
      <c r="BN54" s="527" t="str">
        <f t="shared" si="97"/>
        <v/>
      </c>
      <c r="BO54" s="636" t="str">
        <f t="shared" si="98"/>
        <v/>
      </c>
      <c r="BQ54" s="639" t="str">
        <f>IF(AND(B54="",C54=""),"",IF(AZ54="有",0,VLOOKUP(C54,非_係数!$B$42:$J$55,9,FALSE)))</f>
        <v/>
      </c>
      <c r="BR54" s="639" t="str">
        <f t="shared" si="28"/>
        <v/>
      </c>
    </row>
    <row r="55" spans="1:70" ht="18.75" customHeight="1">
      <c r="A55" s="483"/>
      <c r="B55" s="406"/>
      <c r="C55" s="406"/>
      <c r="D55" s="406"/>
      <c r="E55" s="407"/>
      <c r="F55" s="409"/>
      <c r="G55" s="406"/>
      <c r="H55" s="617" t="str">
        <f t="shared" si="83"/>
        <v/>
      </c>
      <c r="I55" s="406"/>
      <c r="J55" s="457" t="str">
        <f t="shared" si="99"/>
        <v/>
      </c>
      <c r="K55" s="406"/>
      <c r="L55" s="458"/>
      <c r="M55" s="406"/>
      <c r="N55" s="406"/>
      <c r="O55" s="455"/>
      <c r="P55" s="455"/>
      <c r="Q55" s="455"/>
      <c r="R55" s="455"/>
      <c r="S55" s="455"/>
      <c r="T55" s="455"/>
      <c r="U55" s="455"/>
      <c r="V55" s="455"/>
      <c r="W55" s="455"/>
      <c r="X55" s="455"/>
      <c r="Y55" s="455"/>
      <c r="Z55" s="455"/>
      <c r="AA55" s="504"/>
      <c r="AB55" s="595" t="str">
        <f t="shared" si="101"/>
        <v/>
      </c>
      <c r="AC55" s="596" t="str">
        <f t="shared" si="85"/>
        <v/>
      </c>
      <c r="AD55" s="597" t="str">
        <f>IF(C55="","",VLOOKUP(C55,非_単位!$N$38:$O$53,2,FALSE))</f>
        <v/>
      </c>
      <c r="AE55" s="598" t="str">
        <f t="shared" si="86"/>
        <v/>
      </c>
      <c r="AF55" s="585" t="str">
        <f t="shared" si="87"/>
        <v/>
      </c>
      <c r="AH55" s="466" t="str">
        <f t="shared" si="69"/>
        <v/>
      </c>
      <c r="AI55" s="466" t="str">
        <f t="shared" si="88"/>
        <v/>
      </c>
      <c r="AJ55" s="466" t="str">
        <f t="shared" si="70"/>
        <v/>
      </c>
      <c r="AK55" s="466" t="str">
        <f t="shared" si="71"/>
        <v/>
      </c>
      <c r="AL55" s="466"/>
      <c r="AM55" s="538" t="str">
        <f t="shared" si="89"/>
        <v/>
      </c>
      <c r="AN55" s="466" t="str">
        <f t="shared" si="72"/>
        <v/>
      </c>
      <c r="AO55" s="466" t="str">
        <f t="shared" si="90"/>
        <v/>
      </c>
      <c r="AP55" s="466"/>
      <c r="AQ55" s="466" t="str">
        <f>IF(C55="","",IF(C55="電気_仮想電力購入契約","",VLOOKUP(C55,非_係数!$B$42:$D$55,2,FALSE)))</f>
        <v/>
      </c>
      <c r="AR55" s="466" t="str">
        <f>IF(AH55="電気",非_電気事業者!$S$4*1000,IF(AH55="熱",非_熱供給事業者!$T$4,""))</f>
        <v/>
      </c>
      <c r="AS55" s="466" t="str">
        <f>IF(N55="","",VLOOKUP(N55,非_単位補正換算!$B$3:$C$16,2,FALSE))</f>
        <v/>
      </c>
      <c r="AT55" s="466" t="str">
        <f t="shared" si="91"/>
        <v/>
      </c>
      <c r="AU55" s="466" t="str">
        <f t="shared" si="73"/>
        <v/>
      </c>
      <c r="AV55" s="466">
        <f t="shared" si="74"/>
        <v>1</v>
      </c>
      <c r="AW55" s="466" t="str">
        <f t="shared" si="75"/>
        <v/>
      </c>
      <c r="AX55" s="535" t="b">
        <f t="shared" si="20"/>
        <v>1</v>
      </c>
      <c r="AY55" s="466" t="str">
        <f t="shared" si="100"/>
        <v/>
      </c>
      <c r="AZ55" s="466" t="str">
        <f t="shared" si="77"/>
        <v/>
      </c>
      <c r="BA55" s="466" t="str">
        <f t="shared" si="92"/>
        <v/>
      </c>
      <c r="BB55" s="466" t="str">
        <f t="shared" si="78"/>
        <v/>
      </c>
      <c r="BC55" s="466" t="str">
        <f t="shared" si="79"/>
        <v/>
      </c>
      <c r="BD55" s="466" t="str">
        <f>IF(BC55&lt;&gt;"義務","",SUMIFS(非_まとめ表行番号!$N$3:$N$20,非_まとめ表行番号!$J$3:$J$20,AY55,非_まとめ表行番号!$K$3:$K$20,AZ55,非_まとめ表行番号!$L$3:$L$20,BA55,非_まとめ表行番号!$M$3:$M$20,BB55))</f>
        <v/>
      </c>
      <c r="BE55" s="466" t="str">
        <f>IF(BC55&lt;&gt;"義務","",SUMIFS(非_まとめ表行番号!$O$3:$O$20,非_まとめ表行番号!$J$3:$J$20,AY55,非_まとめ表行番号!$K$3:$K$20,AZ55,非_まとめ表行番号!$L$3:$L$20,BA55,非_まとめ表行番号!$M$3:$M$20,BB55))</f>
        <v/>
      </c>
      <c r="BF55" s="466" t="str">
        <f t="shared" si="93"/>
        <v/>
      </c>
      <c r="BG55" s="529"/>
      <c r="BH55" s="525" t="str">
        <f>IF(BD55="","",VLOOKUP(BD55,非_まとめ表行番号!$U$3:$V$56,2,FALSE))</f>
        <v/>
      </c>
      <c r="BI55" s="527" t="str">
        <f>IF(D55="","",VLOOKUP(D55,非_燃料種類_選択リスト!$X$2:$Y$14,2,FALSE))</f>
        <v/>
      </c>
      <c r="BJ55" s="527" t="str">
        <f>IF(E55="","",VLOOKUP(E55,非_燃料種類_選択リスト!$X$18:$Y$24,2,FALSE))</f>
        <v/>
      </c>
      <c r="BK55" s="539" t="str">
        <f t="shared" si="94"/>
        <v/>
      </c>
      <c r="BL55" s="527" t="str">
        <f t="shared" si="95"/>
        <v/>
      </c>
      <c r="BM55" s="527" t="str">
        <f t="shared" si="96"/>
        <v/>
      </c>
      <c r="BN55" s="527" t="str">
        <f t="shared" si="97"/>
        <v/>
      </c>
      <c r="BO55" s="636" t="str">
        <f t="shared" si="98"/>
        <v/>
      </c>
      <c r="BQ55" s="639" t="str">
        <f>IF(AND(B55="",C55=""),"",IF(AZ55="有",0,VLOOKUP(C55,非_係数!$B$42:$J$55,9,FALSE)))</f>
        <v/>
      </c>
      <c r="BR55" s="639" t="str">
        <f t="shared" si="28"/>
        <v/>
      </c>
    </row>
    <row r="56" spans="1:70" ht="18.75" customHeight="1">
      <c r="A56" s="483"/>
      <c r="B56" s="406"/>
      <c r="C56" s="406"/>
      <c r="D56" s="406"/>
      <c r="E56" s="407"/>
      <c r="F56" s="409"/>
      <c r="G56" s="406"/>
      <c r="H56" s="617" t="str">
        <f t="shared" ref="H56:H60" si="110">AQ56</f>
        <v/>
      </c>
      <c r="I56" s="406"/>
      <c r="J56" s="457" t="str">
        <f t="shared" si="99"/>
        <v/>
      </c>
      <c r="K56" s="406"/>
      <c r="L56" s="458"/>
      <c r="M56" s="406"/>
      <c r="N56" s="406"/>
      <c r="O56" s="455"/>
      <c r="P56" s="455"/>
      <c r="Q56" s="455"/>
      <c r="R56" s="455"/>
      <c r="S56" s="455"/>
      <c r="T56" s="455"/>
      <c r="U56" s="455"/>
      <c r="V56" s="455"/>
      <c r="W56" s="455"/>
      <c r="X56" s="455"/>
      <c r="Y56" s="455"/>
      <c r="Z56" s="455"/>
      <c r="AA56" s="504"/>
      <c r="AB56" s="595" t="str">
        <f t="shared" si="101"/>
        <v/>
      </c>
      <c r="AC56" s="596" t="str">
        <f t="shared" ref="AC56:AC60" si="111">AT56</f>
        <v/>
      </c>
      <c r="AD56" s="597" t="str">
        <f>IF(C56="","",VLOOKUP(C56,非_単位!$N$38:$O$53,2,FALSE))</f>
        <v/>
      </c>
      <c r="AE56" s="598" t="str">
        <f t="shared" ref="AE56:AE60" si="112">AU56</f>
        <v/>
      </c>
      <c r="AF56" s="585" t="str">
        <f t="shared" ref="AF56:AF60" si="113">AW56</f>
        <v/>
      </c>
      <c r="AH56" s="466" t="str">
        <f t="shared" si="69"/>
        <v/>
      </c>
      <c r="AI56" s="466" t="str">
        <f t="shared" ref="AI56:AI60" si="114">IF(AH56="電気","再エネ_事業所外_電気_種類",IF(AH56="熱","再エネ_事業所外_熱_種類",""))</f>
        <v/>
      </c>
      <c r="AJ56" s="466" t="str">
        <f t="shared" si="70"/>
        <v/>
      </c>
      <c r="AK56" s="466" t="str">
        <f t="shared" si="71"/>
        <v/>
      </c>
      <c r="AL56" s="466"/>
      <c r="AM56" s="538" t="str">
        <f t="shared" si="89"/>
        <v/>
      </c>
      <c r="AN56" s="466" t="str">
        <f t="shared" si="72"/>
        <v/>
      </c>
      <c r="AO56" s="466" t="str">
        <f t="shared" ref="AO56:AO60" si="115">IF(AH56="","","自家消費以外")</f>
        <v/>
      </c>
      <c r="AP56" s="466"/>
      <c r="AQ56" s="466" t="str">
        <f>IF(C56="","",IF(C56="電気_仮想電力購入契約","",VLOOKUP(C56,非_係数!$B$42:$D$55,2,FALSE)))</f>
        <v/>
      </c>
      <c r="AR56" s="466" t="str">
        <f>IF(AH56="電気",非_電気事業者!$S$4*1000,IF(AH56="熱",非_熱供給事業者!$T$4,""))</f>
        <v/>
      </c>
      <c r="AS56" s="466" t="str">
        <f>IF(N56="","",VLOOKUP(N56,非_単位補正換算!$B$3:$C$16,2,FALSE))</f>
        <v/>
      </c>
      <c r="AT56" s="466" t="str">
        <f t="shared" ref="AT56:AT60" si="116">IF(N56="","",IF(AB56="","",AB56/AS56))</f>
        <v/>
      </c>
      <c r="AU56" s="466" t="str">
        <f t="shared" si="73"/>
        <v/>
      </c>
      <c r="AV56" s="466">
        <f t="shared" si="74"/>
        <v>1</v>
      </c>
      <c r="AW56" s="466" t="str">
        <f t="shared" si="75"/>
        <v/>
      </c>
      <c r="AX56" s="535" t="b">
        <f t="shared" si="20"/>
        <v>1</v>
      </c>
      <c r="AY56" s="466" t="str">
        <f t="shared" ref="AY56:AY60" si="117">AH56</f>
        <v/>
      </c>
      <c r="AZ56" s="466" t="str">
        <f t="shared" si="77"/>
        <v/>
      </c>
      <c r="BA56" s="466" t="str">
        <f t="shared" si="92"/>
        <v/>
      </c>
      <c r="BB56" s="466" t="str">
        <f t="shared" si="78"/>
        <v/>
      </c>
      <c r="BC56" s="466" t="str">
        <f t="shared" si="79"/>
        <v/>
      </c>
      <c r="BD56" s="466" t="str">
        <f>IF(BC56&lt;&gt;"義務","",SUMIFS(非_まとめ表行番号!$N$3:$N$20,非_まとめ表行番号!$J$3:$J$20,AY56,非_まとめ表行番号!$K$3:$K$20,AZ56,非_まとめ表行番号!$L$3:$L$20,BA56,非_まとめ表行番号!$M$3:$M$20,BB56))</f>
        <v/>
      </c>
      <c r="BE56" s="466" t="str">
        <f>IF(BC56&lt;&gt;"義務","",SUMIFS(非_まとめ表行番号!$O$3:$O$20,非_まとめ表行番号!$J$3:$J$20,AY56,非_まとめ表行番号!$K$3:$K$20,AZ56,非_まとめ表行番号!$L$3:$L$20,BA56,非_まとめ表行番号!$M$3:$M$20,BB56))</f>
        <v/>
      </c>
      <c r="BF56" s="466" t="str">
        <f t="shared" si="93"/>
        <v/>
      </c>
      <c r="BG56" s="529"/>
      <c r="BH56" s="525" t="str">
        <f>IF(BD56="","",VLOOKUP(BD56,非_まとめ表行番号!$U$3:$V$56,2,FALSE))</f>
        <v/>
      </c>
      <c r="BI56" s="527" t="str">
        <f>IF(D56="","",VLOOKUP(D56,非_燃料種類_選択リスト!$X$2:$Y$14,2,FALSE))</f>
        <v/>
      </c>
      <c r="BJ56" s="527" t="str">
        <f>IF(E56="","",VLOOKUP(E56,非_燃料種類_選択リスト!$X$18:$Y$24,2,FALSE))</f>
        <v/>
      </c>
      <c r="BK56" s="539" t="str">
        <f t="shared" si="94"/>
        <v/>
      </c>
      <c r="BL56" s="527" t="str">
        <f t="shared" si="95"/>
        <v/>
      </c>
      <c r="BM56" s="527" t="str">
        <f t="shared" si="96"/>
        <v/>
      </c>
      <c r="BN56" s="527" t="str">
        <f t="shared" si="97"/>
        <v/>
      </c>
      <c r="BO56" s="636" t="str">
        <f t="shared" si="98"/>
        <v/>
      </c>
      <c r="BQ56" s="639" t="str">
        <f>IF(AND(B56="",C56=""),"",IF(AZ56="有",0,VLOOKUP(C56,非_係数!$B$42:$J$55,9,FALSE)))</f>
        <v/>
      </c>
      <c r="BR56" s="639" t="str">
        <f t="shared" si="28"/>
        <v/>
      </c>
    </row>
    <row r="57" spans="1:70" ht="18.75" customHeight="1">
      <c r="A57" s="483"/>
      <c r="B57" s="406"/>
      <c r="C57" s="406"/>
      <c r="D57" s="406"/>
      <c r="E57" s="407"/>
      <c r="F57" s="409"/>
      <c r="G57" s="406"/>
      <c r="H57" s="617" t="str">
        <f t="shared" si="110"/>
        <v/>
      </c>
      <c r="I57" s="406"/>
      <c r="J57" s="457" t="str">
        <f t="shared" si="99"/>
        <v/>
      </c>
      <c r="K57" s="406"/>
      <c r="L57" s="458"/>
      <c r="M57" s="406"/>
      <c r="N57" s="406"/>
      <c r="O57" s="455"/>
      <c r="P57" s="455"/>
      <c r="Q57" s="455"/>
      <c r="R57" s="455"/>
      <c r="S57" s="455"/>
      <c r="T57" s="455"/>
      <c r="U57" s="455"/>
      <c r="V57" s="455"/>
      <c r="W57" s="455"/>
      <c r="X57" s="455"/>
      <c r="Y57" s="455"/>
      <c r="Z57" s="455"/>
      <c r="AA57" s="504"/>
      <c r="AB57" s="595" t="str">
        <f t="shared" si="101"/>
        <v/>
      </c>
      <c r="AC57" s="596" t="str">
        <f t="shared" si="111"/>
        <v/>
      </c>
      <c r="AD57" s="597" t="str">
        <f>IF(C57="","",VLOOKUP(C57,非_単位!$N$38:$O$53,2,FALSE))</f>
        <v/>
      </c>
      <c r="AE57" s="598" t="str">
        <f t="shared" si="112"/>
        <v/>
      </c>
      <c r="AF57" s="585" t="str">
        <f t="shared" si="113"/>
        <v/>
      </c>
      <c r="AH57" s="466" t="str">
        <f t="shared" si="69"/>
        <v/>
      </c>
      <c r="AI57" s="466" t="str">
        <f t="shared" si="114"/>
        <v/>
      </c>
      <c r="AJ57" s="466" t="str">
        <f t="shared" si="70"/>
        <v/>
      </c>
      <c r="AK57" s="466" t="str">
        <f t="shared" si="71"/>
        <v/>
      </c>
      <c r="AL57" s="466"/>
      <c r="AM57" s="538" t="str">
        <f t="shared" si="89"/>
        <v/>
      </c>
      <c r="AN57" s="466" t="str">
        <f t="shared" si="72"/>
        <v/>
      </c>
      <c r="AO57" s="466" t="str">
        <f t="shared" si="115"/>
        <v/>
      </c>
      <c r="AP57" s="466"/>
      <c r="AQ57" s="466" t="str">
        <f>IF(C57="","",IF(C57="電気_仮想電力購入契約","",VLOOKUP(C57,非_係数!$B$42:$D$55,2,FALSE)))</f>
        <v/>
      </c>
      <c r="AR57" s="466" t="str">
        <f>IF(AH57="電気",非_電気事業者!$S$4*1000,IF(AH57="熱",非_熱供給事業者!$T$4,""))</f>
        <v/>
      </c>
      <c r="AS57" s="466" t="str">
        <f>IF(N57="","",VLOOKUP(N57,非_単位補正換算!$B$3:$C$16,2,FALSE))</f>
        <v/>
      </c>
      <c r="AT57" s="466" t="str">
        <f t="shared" si="116"/>
        <v/>
      </c>
      <c r="AU57" s="466" t="str">
        <f t="shared" si="73"/>
        <v/>
      </c>
      <c r="AV57" s="466">
        <f t="shared" si="74"/>
        <v>1</v>
      </c>
      <c r="AW57" s="466" t="str">
        <f t="shared" si="75"/>
        <v/>
      </c>
      <c r="AX57" s="535" t="b">
        <f t="shared" si="20"/>
        <v>1</v>
      </c>
      <c r="AY57" s="466" t="str">
        <f t="shared" si="117"/>
        <v/>
      </c>
      <c r="AZ57" s="466" t="str">
        <f t="shared" si="77"/>
        <v/>
      </c>
      <c r="BA57" s="466" t="str">
        <f t="shared" si="92"/>
        <v/>
      </c>
      <c r="BB57" s="466" t="str">
        <f t="shared" si="78"/>
        <v/>
      </c>
      <c r="BC57" s="466" t="str">
        <f t="shared" si="79"/>
        <v/>
      </c>
      <c r="BD57" s="466" t="str">
        <f>IF(BC57&lt;&gt;"義務","",SUMIFS(非_まとめ表行番号!$N$3:$N$20,非_まとめ表行番号!$J$3:$J$20,AY57,非_まとめ表行番号!$K$3:$K$20,AZ57,非_まとめ表行番号!$L$3:$L$20,BA57,非_まとめ表行番号!$M$3:$M$20,BB57))</f>
        <v/>
      </c>
      <c r="BE57" s="466" t="str">
        <f>IF(BC57&lt;&gt;"義務","",SUMIFS(非_まとめ表行番号!$O$3:$O$20,非_まとめ表行番号!$J$3:$J$20,AY57,非_まとめ表行番号!$K$3:$K$20,AZ57,非_まとめ表行番号!$L$3:$L$20,BA57,非_まとめ表行番号!$M$3:$M$20,BB57))</f>
        <v/>
      </c>
      <c r="BF57" s="466" t="str">
        <f t="shared" si="93"/>
        <v/>
      </c>
      <c r="BG57" s="529"/>
      <c r="BH57" s="525" t="str">
        <f>IF(BD57="","",VLOOKUP(BD57,非_まとめ表行番号!$U$3:$V$56,2,FALSE))</f>
        <v/>
      </c>
      <c r="BI57" s="527" t="str">
        <f>IF(D57="","",VLOOKUP(D57,非_燃料種類_選択リスト!$X$2:$Y$14,2,FALSE))</f>
        <v/>
      </c>
      <c r="BJ57" s="527" t="str">
        <f>IF(E57="","",VLOOKUP(E57,非_燃料種類_選択リスト!$X$18:$Y$24,2,FALSE))</f>
        <v/>
      </c>
      <c r="BK57" s="539" t="str">
        <f t="shared" si="94"/>
        <v/>
      </c>
      <c r="BL57" s="527" t="str">
        <f t="shared" si="95"/>
        <v/>
      </c>
      <c r="BM57" s="527" t="str">
        <f t="shared" si="96"/>
        <v/>
      </c>
      <c r="BN57" s="527" t="str">
        <f t="shared" si="97"/>
        <v/>
      </c>
      <c r="BO57" s="636" t="str">
        <f t="shared" si="98"/>
        <v/>
      </c>
      <c r="BQ57" s="639" t="str">
        <f>IF(AND(B57="",C57=""),"",IF(AZ57="有",0,VLOOKUP(C57,非_係数!$B$42:$J$55,9,FALSE)))</f>
        <v/>
      </c>
      <c r="BR57" s="639" t="str">
        <f t="shared" si="28"/>
        <v/>
      </c>
    </row>
    <row r="58" spans="1:70" ht="18.75" customHeight="1">
      <c r="A58" s="483"/>
      <c r="B58" s="406"/>
      <c r="C58" s="406"/>
      <c r="D58" s="406"/>
      <c r="E58" s="407"/>
      <c r="F58" s="409"/>
      <c r="G58" s="406"/>
      <c r="H58" s="617" t="str">
        <f t="shared" si="110"/>
        <v/>
      </c>
      <c r="I58" s="406"/>
      <c r="J58" s="457" t="str">
        <f t="shared" si="99"/>
        <v/>
      </c>
      <c r="K58" s="406"/>
      <c r="L58" s="458"/>
      <c r="M58" s="406"/>
      <c r="N58" s="406"/>
      <c r="O58" s="455"/>
      <c r="P58" s="455"/>
      <c r="Q58" s="455"/>
      <c r="R58" s="455"/>
      <c r="S58" s="455"/>
      <c r="T58" s="455"/>
      <c r="U58" s="455"/>
      <c r="V58" s="455"/>
      <c r="W58" s="455"/>
      <c r="X58" s="455"/>
      <c r="Y58" s="455"/>
      <c r="Z58" s="455"/>
      <c r="AA58" s="504"/>
      <c r="AB58" s="595" t="str">
        <f t="shared" si="101"/>
        <v/>
      </c>
      <c r="AC58" s="596" t="str">
        <f t="shared" si="111"/>
        <v/>
      </c>
      <c r="AD58" s="597" t="str">
        <f>IF(C58="","",VLOOKUP(C58,非_単位!$N$38:$O$53,2,FALSE))</f>
        <v/>
      </c>
      <c r="AE58" s="598" t="str">
        <f t="shared" si="112"/>
        <v/>
      </c>
      <c r="AF58" s="585" t="str">
        <f t="shared" si="113"/>
        <v/>
      </c>
      <c r="AH58" s="466" t="str">
        <f t="shared" si="69"/>
        <v/>
      </c>
      <c r="AI58" s="466" t="str">
        <f t="shared" si="114"/>
        <v/>
      </c>
      <c r="AJ58" s="466" t="str">
        <f t="shared" si="70"/>
        <v/>
      </c>
      <c r="AK58" s="466" t="str">
        <f t="shared" si="71"/>
        <v/>
      </c>
      <c r="AL58" s="466"/>
      <c r="AM58" s="538" t="str">
        <f t="shared" si="89"/>
        <v/>
      </c>
      <c r="AN58" s="466" t="str">
        <f t="shared" si="72"/>
        <v/>
      </c>
      <c r="AO58" s="466" t="str">
        <f t="shared" si="115"/>
        <v/>
      </c>
      <c r="AP58" s="466"/>
      <c r="AQ58" s="466" t="str">
        <f>IF(C58="","",IF(C58="電気_仮想電力購入契約","",VLOOKUP(C58,非_係数!$B$42:$D$55,2,FALSE)))</f>
        <v/>
      </c>
      <c r="AR58" s="466" t="str">
        <f>IF(AH58="電気",非_電気事業者!$S$4*1000,IF(AH58="熱",非_熱供給事業者!$T$4,""))</f>
        <v/>
      </c>
      <c r="AS58" s="466" t="str">
        <f>IF(N58="","",VLOOKUP(N58,非_単位補正換算!$B$3:$C$16,2,FALSE))</f>
        <v/>
      </c>
      <c r="AT58" s="466" t="str">
        <f t="shared" si="116"/>
        <v/>
      </c>
      <c r="AU58" s="466" t="str">
        <f t="shared" si="73"/>
        <v/>
      </c>
      <c r="AV58" s="466">
        <f t="shared" si="74"/>
        <v>1</v>
      </c>
      <c r="AW58" s="466" t="str">
        <f t="shared" si="75"/>
        <v/>
      </c>
      <c r="AX58" s="535" t="b">
        <f t="shared" si="20"/>
        <v>1</v>
      </c>
      <c r="AY58" s="466" t="str">
        <f t="shared" si="117"/>
        <v/>
      </c>
      <c r="AZ58" s="466" t="str">
        <f t="shared" si="77"/>
        <v/>
      </c>
      <c r="BA58" s="466" t="str">
        <f t="shared" si="92"/>
        <v/>
      </c>
      <c r="BB58" s="466" t="str">
        <f t="shared" si="78"/>
        <v/>
      </c>
      <c r="BC58" s="466" t="str">
        <f t="shared" si="79"/>
        <v/>
      </c>
      <c r="BD58" s="466" t="str">
        <f>IF(BC58&lt;&gt;"義務","",SUMIFS(非_まとめ表行番号!$N$3:$N$20,非_まとめ表行番号!$J$3:$J$20,AY58,非_まとめ表行番号!$K$3:$K$20,AZ58,非_まとめ表行番号!$L$3:$L$20,BA58,非_まとめ表行番号!$M$3:$M$20,BB58))</f>
        <v/>
      </c>
      <c r="BE58" s="466" t="str">
        <f>IF(BC58&lt;&gt;"義務","",SUMIFS(非_まとめ表行番号!$O$3:$O$20,非_まとめ表行番号!$J$3:$J$20,AY58,非_まとめ表行番号!$K$3:$K$20,AZ58,非_まとめ表行番号!$L$3:$L$20,BA58,非_まとめ表行番号!$M$3:$M$20,BB58))</f>
        <v/>
      </c>
      <c r="BF58" s="466" t="str">
        <f t="shared" si="93"/>
        <v/>
      </c>
      <c r="BG58" s="529"/>
      <c r="BH58" s="525" t="str">
        <f>IF(BD58="","",VLOOKUP(BD58,非_まとめ表行番号!$U$3:$V$56,2,FALSE))</f>
        <v/>
      </c>
      <c r="BI58" s="527" t="str">
        <f>IF(D58="","",VLOOKUP(D58,非_燃料種類_選択リスト!$X$2:$Y$14,2,FALSE))</f>
        <v/>
      </c>
      <c r="BJ58" s="527" t="str">
        <f>IF(E58="","",VLOOKUP(E58,非_燃料種類_選択リスト!$X$18:$Y$24,2,FALSE))</f>
        <v/>
      </c>
      <c r="BK58" s="539" t="str">
        <f t="shared" si="94"/>
        <v/>
      </c>
      <c r="BL58" s="527" t="str">
        <f t="shared" si="95"/>
        <v/>
      </c>
      <c r="BM58" s="527" t="str">
        <f t="shared" si="96"/>
        <v/>
      </c>
      <c r="BN58" s="527" t="str">
        <f t="shared" si="97"/>
        <v/>
      </c>
      <c r="BO58" s="636" t="str">
        <f t="shared" si="98"/>
        <v/>
      </c>
      <c r="BQ58" s="639" t="str">
        <f>IF(AND(B58="",C58=""),"",IF(AZ58="有",0,VLOOKUP(C58,非_係数!$B$42:$J$55,9,FALSE)))</f>
        <v/>
      </c>
      <c r="BR58" s="639" t="str">
        <f t="shared" si="28"/>
        <v/>
      </c>
    </row>
    <row r="59" spans="1:70" ht="18.75" customHeight="1">
      <c r="A59" s="483"/>
      <c r="B59" s="406"/>
      <c r="C59" s="406"/>
      <c r="D59" s="406"/>
      <c r="E59" s="407"/>
      <c r="F59" s="409"/>
      <c r="G59" s="406"/>
      <c r="H59" s="617" t="str">
        <f t="shared" si="110"/>
        <v/>
      </c>
      <c r="I59" s="406"/>
      <c r="J59" s="457" t="str">
        <f t="shared" si="99"/>
        <v/>
      </c>
      <c r="K59" s="406"/>
      <c r="L59" s="458"/>
      <c r="M59" s="406"/>
      <c r="N59" s="406"/>
      <c r="O59" s="455"/>
      <c r="P59" s="455"/>
      <c r="Q59" s="455"/>
      <c r="R59" s="455"/>
      <c r="S59" s="455"/>
      <c r="T59" s="455"/>
      <c r="U59" s="455"/>
      <c r="V59" s="455"/>
      <c r="W59" s="455"/>
      <c r="X59" s="455"/>
      <c r="Y59" s="455"/>
      <c r="Z59" s="455"/>
      <c r="AA59" s="504"/>
      <c r="AB59" s="595" t="str">
        <f t="shared" si="101"/>
        <v/>
      </c>
      <c r="AC59" s="596" t="str">
        <f t="shared" si="111"/>
        <v/>
      </c>
      <c r="AD59" s="597" t="str">
        <f>IF(C59="","",VLOOKUP(C59,非_単位!$N$38:$O$53,2,FALSE))</f>
        <v/>
      </c>
      <c r="AE59" s="598" t="str">
        <f t="shared" si="112"/>
        <v/>
      </c>
      <c r="AF59" s="585" t="str">
        <f t="shared" si="113"/>
        <v/>
      </c>
      <c r="AH59" s="466" t="str">
        <f t="shared" si="69"/>
        <v/>
      </c>
      <c r="AI59" s="466" t="str">
        <f t="shared" si="114"/>
        <v/>
      </c>
      <c r="AJ59" s="466" t="str">
        <f t="shared" si="70"/>
        <v/>
      </c>
      <c r="AK59" s="466" t="str">
        <f t="shared" si="71"/>
        <v/>
      </c>
      <c r="AL59" s="466"/>
      <c r="AM59" s="538" t="str">
        <f t="shared" si="89"/>
        <v/>
      </c>
      <c r="AN59" s="466" t="str">
        <f t="shared" si="72"/>
        <v/>
      </c>
      <c r="AO59" s="466" t="str">
        <f t="shared" si="115"/>
        <v/>
      </c>
      <c r="AP59" s="466"/>
      <c r="AQ59" s="466" t="str">
        <f>IF(C59="","",IF(C59="電気_仮想電力購入契約","",VLOOKUP(C59,非_係数!$B$42:$D$55,2,FALSE)))</f>
        <v/>
      </c>
      <c r="AR59" s="466" t="str">
        <f>IF(AH59="電気",非_電気事業者!$S$4*1000,IF(AH59="熱",非_熱供給事業者!$T$4,""))</f>
        <v/>
      </c>
      <c r="AS59" s="466" t="str">
        <f>IF(N59="","",VLOOKUP(N59,非_単位補正換算!$B$3:$C$16,2,FALSE))</f>
        <v/>
      </c>
      <c r="AT59" s="466" t="str">
        <f t="shared" si="116"/>
        <v/>
      </c>
      <c r="AU59" s="466" t="str">
        <f t="shared" si="73"/>
        <v/>
      </c>
      <c r="AV59" s="466">
        <f t="shared" si="74"/>
        <v>1</v>
      </c>
      <c r="AW59" s="466" t="str">
        <f t="shared" si="75"/>
        <v/>
      </c>
      <c r="AX59" s="535" t="b">
        <f t="shared" si="20"/>
        <v>1</v>
      </c>
      <c r="AY59" s="466" t="str">
        <f t="shared" si="117"/>
        <v/>
      </c>
      <c r="AZ59" s="466" t="str">
        <f t="shared" si="77"/>
        <v/>
      </c>
      <c r="BA59" s="466" t="str">
        <f t="shared" si="92"/>
        <v/>
      </c>
      <c r="BB59" s="466" t="str">
        <f t="shared" si="78"/>
        <v/>
      </c>
      <c r="BC59" s="466" t="str">
        <f t="shared" si="79"/>
        <v/>
      </c>
      <c r="BD59" s="466" t="str">
        <f>IF(BC59&lt;&gt;"義務","",SUMIFS(非_まとめ表行番号!$N$3:$N$20,非_まとめ表行番号!$J$3:$J$20,AY59,非_まとめ表行番号!$K$3:$K$20,AZ59,非_まとめ表行番号!$L$3:$L$20,BA59,非_まとめ表行番号!$M$3:$M$20,BB59))</f>
        <v/>
      </c>
      <c r="BE59" s="466" t="str">
        <f>IF(BC59&lt;&gt;"義務","",SUMIFS(非_まとめ表行番号!$O$3:$O$20,非_まとめ表行番号!$J$3:$J$20,AY59,非_まとめ表行番号!$K$3:$K$20,AZ59,非_まとめ表行番号!$L$3:$L$20,BA59,非_まとめ表行番号!$M$3:$M$20,BB59))</f>
        <v/>
      </c>
      <c r="BF59" s="466" t="str">
        <f t="shared" si="93"/>
        <v/>
      </c>
      <c r="BG59" s="529"/>
      <c r="BH59" s="525" t="str">
        <f>IF(BD59="","",VLOOKUP(BD59,非_まとめ表行番号!$U$3:$V$56,2,FALSE))</f>
        <v/>
      </c>
      <c r="BI59" s="527" t="str">
        <f>IF(D59="","",VLOOKUP(D59,非_燃料種類_選択リスト!$X$2:$Y$14,2,FALSE))</f>
        <v/>
      </c>
      <c r="BJ59" s="527" t="str">
        <f>IF(E59="","",VLOOKUP(E59,非_燃料種類_選択リスト!$X$18:$Y$24,2,FALSE))</f>
        <v/>
      </c>
      <c r="BK59" s="539" t="str">
        <f t="shared" si="94"/>
        <v/>
      </c>
      <c r="BL59" s="527" t="str">
        <f t="shared" si="95"/>
        <v/>
      </c>
      <c r="BM59" s="527" t="str">
        <f t="shared" si="96"/>
        <v/>
      </c>
      <c r="BN59" s="527" t="str">
        <f t="shared" si="97"/>
        <v/>
      </c>
      <c r="BO59" s="636" t="str">
        <f t="shared" si="98"/>
        <v/>
      </c>
      <c r="BQ59" s="639" t="str">
        <f>IF(AND(B59="",C59=""),"",IF(AZ59="有",0,VLOOKUP(C59,非_係数!$B$42:$J$55,9,FALSE)))</f>
        <v/>
      </c>
      <c r="BR59" s="639" t="str">
        <f t="shared" si="28"/>
        <v/>
      </c>
    </row>
    <row r="60" spans="1:70" ht="18.75" customHeight="1">
      <c r="A60" s="483"/>
      <c r="B60" s="406"/>
      <c r="C60" s="406"/>
      <c r="D60" s="406"/>
      <c r="E60" s="407"/>
      <c r="F60" s="409"/>
      <c r="G60" s="406"/>
      <c r="H60" s="617" t="str">
        <f t="shared" si="110"/>
        <v/>
      </c>
      <c r="I60" s="406"/>
      <c r="J60" s="457" t="str">
        <f t="shared" si="99"/>
        <v/>
      </c>
      <c r="K60" s="406"/>
      <c r="L60" s="458"/>
      <c r="M60" s="406"/>
      <c r="N60" s="406"/>
      <c r="O60" s="455"/>
      <c r="P60" s="455"/>
      <c r="Q60" s="455"/>
      <c r="R60" s="455"/>
      <c r="S60" s="455"/>
      <c r="T60" s="455"/>
      <c r="U60" s="455"/>
      <c r="V60" s="455"/>
      <c r="W60" s="455"/>
      <c r="X60" s="455"/>
      <c r="Y60" s="455"/>
      <c r="Z60" s="455"/>
      <c r="AA60" s="504"/>
      <c r="AB60" s="595" t="str">
        <f t="shared" si="101"/>
        <v/>
      </c>
      <c r="AC60" s="596" t="str">
        <f t="shared" si="111"/>
        <v/>
      </c>
      <c r="AD60" s="597" t="str">
        <f>IF(C60="","",VLOOKUP(C60,非_単位!$N$38:$O$53,2,FALSE))</f>
        <v/>
      </c>
      <c r="AE60" s="598" t="str">
        <f t="shared" si="112"/>
        <v/>
      </c>
      <c r="AF60" s="585" t="str">
        <f t="shared" si="113"/>
        <v/>
      </c>
      <c r="AH60" s="466" t="str">
        <f t="shared" si="69"/>
        <v/>
      </c>
      <c r="AI60" s="466" t="str">
        <f t="shared" si="114"/>
        <v/>
      </c>
      <c r="AJ60" s="466" t="str">
        <f t="shared" si="70"/>
        <v/>
      </c>
      <c r="AK60" s="466" t="str">
        <f t="shared" si="71"/>
        <v/>
      </c>
      <c r="AL60" s="466"/>
      <c r="AM60" s="538" t="str">
        <f t="shared" si="89"/>
        <v/>
      </c>
      <c r="AN60" s="466" t="str">
        <f t="shared" si="72"/>
        <v/>
      </c>
      <c r="AO60" s="466" t="str">
        <f t="shared" si="115"/>
        <v/>
      </c>
      <c r="AP60" s="466"/>
      <c r="AQ60" s="466" t="str">
        <f>IF(C60="","",IF(C60="電気_仮想電力購入契約","",VLOOKUP(C60,非_係数!$B$42:$D$55,2,FALSE)))</f>
        <v/>
      </c>
      <c r="AR60" s="466" t="str">
        <f>IF(AH60="電気",非_電気事業者!$S$4*1000,IF(AH60="熱",非_熱供給事業者!$T$4,""))</f>
        <v/>
      </c>
      <c r="AS60" s="466" t="str">
        <f>IF(N60="","",VLOOKUP(N60,非_単位補正換算!$B$3:$C$16,2,FALSE))</f>
        <v/>
      </c>
      <c r="AT60" s="466" t="str">
        <f t="shared" si="116"/>
        <v/>
      </c>
      <c r="AU60" s="466" t="str">
        <f t="shared" si="73"/>
        <v/>
      </c>
      <c r="AV60" s="466">
        <f t="shared" si="74"/>
        <v>1</v>
      </c>
      <c r="AW60" s="466" t="str">
        <f t="shared" si="75"/>
        <v/>
      </c>
      <c r="AX60" s="535" t="b">
        <f t="shared" si="20"/>
        <v>1</v>
      </c>
      <c r="AY60" s="466" t="str">
        <f t="shared" si="117"/>
        <v/>
      </c>
      <c r="AZ60" s="466" t="str">
        <f t="shared" si="77"/>
        <v/>
      </c>
      <c r="BA60" s="466" t="str">
        <f t="shared" si="92"/>
        <v/>
      </c>
      <c r="BB60" s="466" t="str">
        <f t="shared" si="78"/>
        <v/>
      </c>
      <c r="BC60" s="466" t="str">
        <f t="shared" si="79"/>
        <v/>
      </c>
      <c r="BD60" s="466" t="str">
        <f>IF(BC60&lt;&gt;"義務","",SUMIFS(非_まとめ表行番号!$N$3:$N$20,非_まとめ表行番号!$J$3:$J$20,AY60,非_まとめ表行番号!$K$3:$K$20,AZ60,非_まとめ表行番号!$L$3:$L$20,BA60,非_まとめ表行番号!$M$3:$M$20,BB60))</f>
        <v/>
      </c>
      <c r="BE60" s="466" t="str">
        <f>IF(BC60&lt;&gt;"義務","",SUMIFS(非_まとめ表行番号!$O$3:$O$20,非_まとめ表行番号!$J$3:$J$20,AY60,非_まとめ表行番号!$K$3:$K$20,AZ60,非_まとめ表行番号!$L$3:$L$20,BA60,非_まとめ表行番号!$M$3:$M$20,BB60))</f>
        <v/>
      </c>
      <c r="BF60" s="466" t="str">
        <f t="shared" si="93"/>
        <v/>
      </c>
      <c r="BG60" s="529"/>
      <c r="BH60" s="525" t="str">
        <f>IF(BD60="","",VLOOKUP(BD60,非_まとめ表行番号!$U$3:$V$56,2,FALSE))</f>
        <v/>
      </c>
      <c r="BI60" s="527" t="str">
        <f>IF(D60="","",VLOOKUP(D60,非_燃料種類_選択リスト!$X$2:$Y$14,2,FALSE))</f>
        <v/>
      </c>
      <c r="BJ60" s="527" t="str">
        <f>IF(E60="","",VLOOKUP(E60,非_燃料種類_選択リスト!$X$18:$Y$24,2,FALSE))</f>
        <v/>
      </c>
      <c r="BK60" s="539" t="str">
        <f t="shared" si="94"/>
        <v/>
      </c>
      <c r="BL60" s="527" t="str">
        <f t="shared" si="95"/>
        <v/>
      </c>
      <c r="BM60" s="527" t="str">
        <f t="shared" si="96"/>
        <v/>
      </c>
      <c r="BN60" s="527" t="str">
        <f t="shared" si="97"/>
        <v/>
      </c>
      <c r="BO60" s="636" t="str">
        <f t="shared" si="98"/>
        <v/>
      </c>
      <c r="BQ60" s="639" t="str">
        <f>IF(AND(B60="",C60=""),"",IF(AZ60="有",0,VLOOKUP(C60,非_係数!$B$42:$J$55,9,FALSE)))</f>
        <v/>
      </c>
      <c r="BR60" s="639" t="str">
        <f t="shared" si="28"/>
        <v/>
      </c>
    </row>
    <row r="61" spans="1:70" ht="18.75" customHeight="1">
      <c r="A61" s="483"/>
      <c r="B61" s="406"/>
      <c r="C61" s="406"/>
      <c r="D61" s="406"/>
      <c r="E61" s="407"/>
      <c r="F61" s="409"/>
      <c r="G61" s="406"/>
      <c r="H61" s="617" t="str">
        <f t="shared" si="83"/>
        <v/>
      </c>
      <c r="I61" s="406"/>
      <c r="J61" s="457" t="str">
        <f t="shared" si="99"/>
        <v/>
      </c>
      <c r="K61" s="406"/>
      <c r="L61" s="458"/>
      <c r="M61" s="406"/>
      <c r="N61" s="406"/>
      <c r="O61" s="455"/>
      <c r="P61" s="455"/>
      <c r="Q61" s="455"/>
      <c r="R61" s="455"/>
      <c r="S61" s="455"/>
      <c r="T61" s="455"/>
      <c r="U61" s="455"/>
      <c r="V61" s="455"/>
      <c r="W61" s="455"/>
      <c r="X61" s="455"/>
      <c r="Y61" s="455"/>
      <c r="Z61" s="455"/>
      <c r="AA61" s="504"/>
      <c r="AB61" s="595" t="str">
        <f t="shared" si="101"/>
        <v/>
      </c>
      <c r="AC61" s="596" t="str">
        <f t="shared" si="85"/>
        <v/>
      </c>
      <c r="AD61" s="597" t="str">
        <f>IF(C61="","",VLOOKUP(C61,非_単位!$N$38:$O$53,2,FALSE))</f>
        <v/>
      </c>
      <c r="AE61" s="598" t="str">
        <f t="shared" si="86"/>
        <v/>
      </c>
      <c r="AF61" s="585" t="str">
        <f t="shared" si="87"/>
        <v/>
      </c>
      <c r="AH61" s="466" t="str">
        <f t="shared" si="69"/>
        <v/>
      </c>
      <c r="AI61" s="466" t="str">
        <f t="shared" si="88"/>
        <v/>
      </c>
      <c r="AJ61" s="466" t="str">
        <f t="shared" si="70"/>
        <v/>
      </c>
      <c r="AK61" s="466" t="str">
        <f t="shared" si="71"/>
        <v/>
      </c>
      <c r="AL61" s="466"/>
      <c r="AM61" s="538" t="str">
        <f t="shared" si="89"/>
        <v/>
      </c>
      <c r="AN61" s="466" t="str">
        <f t="shared" si="72"/>
        <v/>
      </c>
      <c r="AO61" s="466" t="str">
        <f t="shared" si="90"/>
        <v/>
      </c>
      <c r="AP61" s="466"/>
      <c r="AQ61" s="466" t="str">
        <f>IF(C61="","",IF(C61="電気_仮想電力購入契約","",VLOOKUP(C61,非_係数!$B$42:$D$55,2,FALSE)))</f>
        <v/>
      </c>
      <c r="AR61" s="466" t="str">
        <f>IF(AH61="電気",非_電気事業者!$S$4*1000,IF(AH61="熱",非_熱供給事業者!$T$4,""))</f>
        <v/>
      </c>
      <c r="AS61" s="466" t="str">
        <f>IF(N61="","",VLOOKUP(N61,非_単位補正換算!$B$3:$C$16,2,FALSE))</f>
        <v/>
      </c>
      <c r="AT61" s="466" t="str">
        <f t="shared" si="91"/>
        <v/>
      </c>
      <c r="AU61" s="466" t="str">
        <f t="shared" si="73"/>
        <v/>
      </c>
      <c r="AV61" s="466">
        <f t="shared" si="74"/>
        <v>1</v>
      </c>
      <c r="AW61" s="466" t="str">
        <f t="shared" si="75"/>
        <v/>
      </c>
      <c r="AX61" s="535" t="b">
        <f t="shared" si="20"/>
        <v>1</v>
      </c>
      <c r="AY61" s="466" t="str">
        <f t="shared" si="100"/>
        <v/>
      </c>
      <c r="AZ61" s="466" t="str">
        <f t="shared" si="77"/>
        <v/>
      </c>
      <c r="BA61" s="466" t="str">
        <f t="shared" si="92"/>
        <v/>
      </c>
      <c r="BB61" s="466" t="str">
        <f t="shared" si="78"/>
        <v/>
      </c>
      <c r="BC61" s="466" t="str">
        <f t="shared" si="79"/>
        <v/>
      </c>
      <c r="BD61" s="466" t="str">
        <f>IF(BC61&lt;&gt;"義務","",SUMIFS(非_まとめ表行番号!$N$3:$N$20,非_まとめ表行番号!$J$3:$J$20,AY61,非_まとめ表行番号!$K$3:$K$20,AZ61,非_まとめ表行番号!$L$3:$L$20,BA61,非_まとめ表行番号!$M$3:$M$20,BB61))</f>
        <v/>
      </c>
      <c r="BE61" s="466" t="str">
        <f>IF(BC61&lt;&gt;"義務","",SUMIFS(非_まとめ表行番号!$O$3:$O$20,非_まとめ表行番号!$J$3:$J$20,AY61,非_まとめ表行番号!$K$3:$K$20,AZ61,非_まとめ表行番号!$L$3:$L$20,BA61,非_まとめ表行番号!$M$3:$M$20,BB61))</f>
        <v/>
      </c>
      <c r="BF61" s="466" t="str">
        <f t="shared" si="93"/>
        <v/>
      </c>
      <c r="BG61" s="529"/>
      <c r="BH61" s="525" t="str">
        <f>IF(BD61="","",VLOOKUP(BD61,非_まとめ表行番号!$U$3:$V$56,2,FALSE))</f>
        <v/>
      </c>
      <c r="BI61" s="527" t="str">
        <f>IF(D61="","",VLOOKUP(D61,非_燃料種類_選択リスト!$X$2:$Y$14,2,FALSE))</f>
        <v/>
      </c>
      <c r="BJ61" s="527" t="str">
        <f>IF(E61="","",VLOOKUP(E61,非_燃料種類_選択リスト!$X$18:$Y$24,2,FALSE))</f>
        <v/>
      </c>
      <c r="BK61" s="539" t="str">
        <f t="shared" si="94"/>
        <v/>
      </c>
      <c r="BL61" s="527" t="str">
        <f t="shared" si="95"/>
        <v/>
      </c>
      <c r="BM61" s="527" t="str">
        <f t="shared" si="96"/>
        <v/>
      </c>
      <c r="BN61" s="527" t="str">
        <f t="shared" si="97"/>
        <v/>
      </c>
      <c r="BO61" s="636" t="str">
        <f t="shared" si="98"/>
        <v/>
      </c>
      <c r="BQ61" s="639" t="str">
        <f>IF(AND(B61="",C61=""),"",IF(AZ61="有",0,VLOOKUP(C61,非_係数!$B$42:$J$55,9,FALSE)))</f>
        <v/>
      </c>
      <c r="BR61" s="639" t="str">
        <f t="shared" si="28"/>
        <v/>
      </c>
    </row>
    <row r="62" spans="1:70" ht="18.75" customHeight="1">
      <c r="A62" s="483"/>
      <c r="B62" s="406"/>
      <c r="C62" s="406"/>
      <c r="D62" s="406"/>
      <c r="E62" s="407"/>
      <c r="F62" s="409"/>
      <c r="G62" s="406"/>
      <c r="H62" s="617" t="str">
        <f t="shared" si="83"/>
        <v/>
      </c>
      <c r="I62" s="406"/>
      <c r="J62" s="457" t="str">
        <f t="shared" si="99"/>
        <v/>
      </c>
      <c r="K62" s="406"/>
      <c r="L62" s="458"/>
      <c r="M62" s="406"/>
      <c r="N62" s="406"/>
      <c r="O62" s="455"/>
      <c r="P62" s="455"/>
      <c r="Q62" s="455"/>
      <c r="R62" s="455"/>
      <c r="S62" s="455"/>
      <c r="T62" s="455"/>
      <c r="U62" s="455"/>
      <c r="V62" s="455"/>
      <c r="W62" s="455"/>
      <c r="X62" s="455"/>
      <c r="Y62" s="455"/>
      <c r="Z62" s="455"/>
      <c r="AA62" s="504"/>
      <c r="AB62" s="595" t="str">
        <f t="shared" si="101"/>
        <v/>
      </c>
      <c r="AC62" s="596" t="str">
        <f t="shared" si="85"/>
        <v/>
      </c>
      <c r="AD62" s="597" t="str">
        <f>IF(C62="","",VLOOKUP(C62,非_単位!$N$38:$O$53,2,FALSE))</f>
        <v/>
      </c>
      <c r="AE62" s="598" t="str">
        <f t="shared" si="86"/>
        <v/>
      </c>
      <c r="AF62" s="585" t="str">
        <f t="shared" si="87"/>
        <v/>
      </c>
      <c r="AH62" s="466" t="str">
        <f t="shared" si="69"/>
        <v/>
      </c>
      <c r="AI62" s="466" t="str">
        <f t="shared" si="88"/>
        <v/>
      </c>
      <c r="AJ62" s="466" t="str">
        <f t="shared" si="70"/>
        <v/>
      </c>
      <c r="AK62" s="466" t="str">
        <f t="shared" si="71"/>
        <v/>
      </c>
      <c r="AL62" s="466"/>
      <c r="AM62" s="538" t="str">
        <f t="shared" si="89"/>
        <v/>
      </c>
      <c r="AN62" s="466" t="str">
        <f t="shared" si="72"/>
        <v/>
      </c>
      <c r="AO62" s="466" t="str">
        <f t="shared" si="90"/>
        <v/>
      </c>
      <c r="AP62" s="466"/>
      <c r="AQ62" s="466" t="str">
        <f>IF(C62="","",IF(C62="電気_仮想電力購入契約","",VLOOKUP(C62,非_係数!$B$42:$D$55,2,FALSE)))</f>
        <v/>
      </c>
      <c r="AR62" s="466" t="str">
        <f>IF(AH62="電気",非_電気事業者!$S$4*1000,IF(AH62="熱",非_熱供給事業者!$T$4,""))</f>
        <v/>
      </c>
      <c r="AS62" s="466" t="str">
        <f>IF(N62="","",VLOOKUP(N62,非_単位補正換算!$B$3:$C$16,2,FALSE))</f>
        <v/>
      </c>
      <c r="AT62" s="466" t="str">
        <f t="shared" si="91"/>
        <v/>
      </c>
      <c r="AU62" s="466" t="str">
        <f t="shared" si="73"/>
        <v/>
      </c>
      <c r="AV62" s="466">
        <f t="shared" si="74"/>
        <v>1</v>
      </c>
      <c r="AW62" s="466" t="str">
        <f t="shared" si="75"/>
        <v/>
      </c>
      <c r="AX62" s="535" t="b">
        <f t="shared" si="20"/>
        <v>1</v>
      </c>
      <c r="AY62" s="466" t="str">
        <f t="shared" si="100"/>
        <v/>
      </c>
      <c r="AZ62" s="466" t="str">
        <f t="shared" si="77"/>
        <v/>
      </c>
      <c r="BA62" s="466" t="str">
        <f t="shared" si="92"/>
        <v/>
      </c>
      <c r="BB62" s="466" t="str">
        <f t="shared" si="78"/>
        <v/>
      </c>
      <c r="BC62" s="466" t="str">
        <f t="shared" si="79"/>
        <v/>
      </c>
      <c r="BD62" s="466" t="str">
        <f>IF(BC62&lt;&gt;"義務","",SUMIFS(非_まとめ表行番号!$N$3:$N$20,非_まとめ表行番号!$J$3:$J$20,AY62,非_まとめ表行番号!$K$3:$K$20,AZ62,非_まとめ表行番号!$L$3:$L$20,BA62,非_まとめ表行番号!$M$3:$M$20,BB62))</f>
        <v/>
      </c>
      <c r="BE62" s="466" t="str">
        <f>IF(BC62&lt;&gt;"義務","",SUMIFS(非_まとめ表行番号!$O$3:$O$20,非_まとめ表行番号!$J$3:$J$20,AY62,非_まとめ表行番号!$K$3:$K$20,AZ62,非_まとめ表行番号!$L$3:$L$20,BA62,非_まとめ表行番号!$M$3:$M$20,BB62))</f>
        <v/>
      </c>
      <c r="BF62" s="466" t="str">
        <f t="shared" si="93"/>
        <v/>
      </c>
      <c r="BG62" s="529"/>
      <c r="BH62" s="525" t="str">
        <f>IF(BD62="","",VLOOKUP(BD62,非_まとめ表行番号!$U$3:$V$56,2,FALSE))</f>
        <v/>
      </c>
      <c r="BI62" s="527" t="str">
        <f>IF(D62="","",VLOOKUP(D62,非_燃料種類_選択リスト!$X$2:$Y$14,2,FALSE))</f>
        <v/>
      </c>
      <c r="BJ62" s="527" t="str">
        <f>IF(E62="","",VLOOKUP(E62,非_燃料種類_選択リスト!$X$18:$Y$24,2,FALSE))</f>
        <v/>
      </c>
      <c r="BK62" s="539" t="str">
        <f t="shared" si="94"/>
        <v/>
      </c>
      <c r="BL62" s="527" t="str">
        <f t="shared" si="95"/>
        <v/>
      </c>
      <c r="BM62" s="527" t="str">
        <f t="shared" si="96"/>
        <v/>
      </c>
      <c r="BN62" s="527" t="str">
        <f t="shared" si="97"/>
        <v/>
      </c>
      <c r="BO62" s="636" t="str">
        <f t="shared" si="98"/>
        <v/>
      </c>
      <c r="BQ62" s="639" t="str">
        <f>IF(AND(B62="",C62=""),"",IF(AZ62="有",0,VLOOKUP(C62,非_係数!$B$42:$J$55,9,FALSE)))</f>
        <v/>
      </c>
      <c r="BR62" s="639" t="str">
        <f t="shared" si="28"/>
        <v/>
      </c>
    </row>
    <row r="63" spans="1:70" ht="18.75" customHeight="1">
      <c r="A63" s="483"/>
      <c r="B63" s="406"/>
      <c r="C63" s="406"/>
      <c r="D63" s="406"/>
      <c r="E63" s="407"/>
      <c r="F63" s="409"/>
      <c r="G63" s="406"/>
      <c r="H63" s="617" t="str">
        <f t="shared" si="83"/>
        <v/>
      </c>
      <c r="I63" s="406"/>
      <c r="J63" s="457" t="str">
        <f t="shared" si="99"/>
        <v/>
      </c>
      <c r="K63" s="406"/>
      <c r="L63" s="458"/>
      <c r="M63" s="406"/>
      <c r="N63" s="406"/>
      <c r="O63" s="455"/>
      <c r="P63" s="455"/>
      <c r="Q63" s="455"/>
      <c r="R63" s="455"/>
      <c r="S63" s="455"/>
      <c r="T63" s="455"/>
      <c r="U63" s="455"/>
      <c r="V63" s="455"/>
      <c r="W63" s="455"/>
      <c r="X63" s="455"/>
      <c r="Y63" s="455"/>
      <c r="Z63" s="455"/>
      <c r="AA63" s="504"/>
      <c r="AB63" s="595" t="str">
        <f t="shared" si="101"/>
        <v/>
      </c>
      <c r="AC63" s="596" t="str">
        <f t="shared" si="85"/>
        <v/>
      </c>
      <c r="AD63" s="597" t="str">
        <f>IF(C63="","",VLOOKUP(C63,非_単位!$N$38:$O$53,2,FALSE))</f>
        <v/>
      </c>
      <c r="AE63" s="598" t="str">
        <f t="shared" si="86"/>
        <v/>
      </c>
      <c r="AF63" s="585" t="str">
        <f t="shared" si="87"/>
        <v/>
      </c>
      <c r="AH63" s="466" t="str">
        <f t="shared" si="69"/>
        <v/>
      </c>
      <c r="AI63" s="466" t="str">
        <f t="shared" si="88"/>
        <v/>
      </c>
      <c r="AJ63" s="466" t="str">
        <f t="shared" si="70"/>
        <v/>
      </c>
      <c r="AK63" s="466" t="str">
        <f t="shared" si="71"/>
        <v/>
      </c>
      <c r="AL63" s="466"/>
      <c r="AM63" s="538" t="str">
        <f t="shared" si="89"/>
        <v/>
      </c>
      <c r="AN63" s="466" t="str">
        <f t="shared" si="72"/>
        <v/>
      </c>
      <c r="AO63" s="466" t="str">
        <f t="shared" si="90"/>
        <v/>
      </c>
      <c r="AP63" s="466"/>
      <c r="AQ63" s="466" t="str">
        <f>IF(C63="","",IF(C63="電気_仮想電力購入契約","",VLOOKUP(C63,非_係数!$B$42:$D$55,2,FALSE)))</f>
        <v/>
      </c>
      <c r="AR63" s="466" t="str">
        <f>IF(AH63="電気",非_電気事業者!$S$4*1000,IF(AH63="熱",非_熱供給事業者!$T$4,""))</f>
        <v/>
      </c>
      <c r="AS63" s="466" t="str">
        <f>IF(N63="","",VLOOKUP(N63,非_単位補正換算!$B$3:$C$16,2,FALSE))</f>
        <v/>
      </c>
      <c r="AT63" s="466" t="str">
        <f t="shared" si="91"/>
        <v/>
      </c>
      <c r="AU63" s="466" t="str">
        <f t="shared" si="73"/>
        <v/>
      </c>
      <c r="AV63" s="466">
        <f t="shared" si="74"/>
        <v>1</v>
      </c>
      <c r="AW63" s="466" t="str">
        <f t="shared" si="75"/>
        <v/>
      </c>
      <c r="AX63" s="535" t="b">
        <f t="shared" si="20"/>
        <v>1</v>
      </c>
      <c r="AY63" s="466" t="str">
        <f t="shared" si="100"/>
        <v/>
      </c>
      <c r="AZ63" s="466" t="str">
        <f t="shared" si="77"/>
        <v/>
      </c>
      <c r="BA63" s="466" t="str">
        <f t="shared" si="92"/>
        <v/>
      </c>
      <c r="BB63" s="466" t="str">
        <f t="shared" si="78"/>
        <v/>
      </c>
      <c r="BC63" s="466" t="str">
        <f t="shared" si="79"/>
        <v/>
      </c>
      <c r="BD63" s="466" t="str">
        <f>IF(BC63&lt;&gt;"義務","",SUMIFS(非_まとめ表行番号!$N$3:$N$20,非_まとめ表行番号!$J$3:$J$20,AY63,非_まとめ表行番号!$K$3:$K$20,AZ63,非_まとめ表行番号!$L$3:$L$20,BA63,非_まとめ表行番号!$M$3:$M$20,BB63))</f>
        <v/>
      </c>
      <c r="BE63" s="466" t="str">
        <f>IF(BC63&lt;&gt;"義務","",SUMIFS(非_まとめ表行番号!$O$3:$O$20,非_まとめ表行番号!$J$3:$J$20,AY63,非_まとめ表行番号!$K$3:$K$20,AZ63,非_まとめ表行番号!$L$3:$L$20,BA63,非_まとめ表行番号!$M$3:$M$20,BB63))</f>
        <v/>
      </c>
      <c r="BF63" s="466" t="str">
        <f t="shared" si="93"/>
        <v/>
      </c>
      <c r="BG63" s="529"/>
      <c r="BH63" s="525" t="str">
        <f>IF(BD63="","",VLOOKUP(BD63,非_まとめ表行番号!$U$3:$V$56,2,FALSE))</f>
        <v/>
      </c>
      <c r="BI63" s="527" t="str">
        <f>IF(D63="","",VLOOKUP(D63,非_燃料種類_選択リスト!$X$2:$Y$14,2,FALSE))</f>
        <v/>
      </c>
      <c r="BJ63" s="527" t="str">
        <f>IF(E63="","",VLOOKUP(E63,非_燃料種類_選択リスト!$X$18:$Y$24,2,FALSE))</f>
        <v/>
      </c>
      <c r="BK63" s="539" t="str">
        <f t="shared" si="94"/>
        <v/>
      </c>
      <c r="BL63" s="527" t="str">
        <f t="shared" si="95"/>
        <v/>
      </c>
      <c r="BM63" s="527" t="str">
        <f t="shared" si="96"/>
        <v/>
      </c>
      <c r="BN63" s="527" t="str">
        <f t="shared" si="97"/>
        <v/>
      </c>
      <c r="BO63" s="636" t="str">
        <f t="shared" si="98"/>
        <v/>
      </c>
      <c r="BQ63" s="639" t="str">
        <f>IF(AND(B63="",C63=""),"",IF(AZ63="有",0,VLOOKUP(C63,非_係数!$B$42:$J$55,9,FALSE)))</f>
        <v/>
      </c>
      <c r="BR63" s="639" t="str">
        <f t="shared" si="28"/>
        <v/>
      </c>
    </row>
    <row r="64" spans="1:70" ht="18.75" customHeight="1">
      <c r="A64" s="483"/>
      <c r="B64" s="406"/>
      <c r="C64" s="406"/>
      <c r="D64" s="406"/>
      <c r="E64" s="407"/>
      <c r="F64" s="409"/>
      <c r="G64" s="406"/>
      <c r="H64" s="617" t="str">
        <f t="shared" si="83"/>
        <v/>
      </c>
      <c r="I64" s="406"/>
      <c r="J64" s="457" t="str">
        <f t="shared" si="99"/>
        <v/>
      </c>
      <c r="K64" s="406"/>
      <c r="L64" s="458"/>
      <c r="M64" s="406"/>
      <c r="N64" s="406"/>
      <c r="O64" s="455"/>
      <c r="P64" s="455"/>
      <c r="Q64" s="455"/>
      <c r="R64" s="455"/>
      <c r="S64" s="455"/>
      <c r="T64" s="455"/>
      <c r="U64" s="455"/>
      <c r="V64" s="455"/>
      <c r="W64" s="455"/>
      <c r="X64" s="455"/>
      <c r="Y64" s="455"/>
      <c r="Z64" s="455"/>
      <c r="AA64" s="504"/>
      <c r="AB64" s="595" t="str">
        <f t="shared" si="101"/>
        <v/>
      </c>
      <c r="AC64" s="596" t="str">
        <f t="shared" si="85"/>
        <v/>
      </c>
      <c r="AD64" s="597" t="str">
        <f>IF(C64="","",VLOOKUP(C64,非_単位!$N$38:$O$53,2,FALSE))</f>
        <v/>
      </c>
      <c r="AE64" s="598" t="str">
        <f t="shared" si="86"/>
        <v/>
      </c>
      <c r="AF64" s="585" t="str">
        <f t="shared" si="87"/>
        <v/>
      </c>
      <c r="AH64" s="466" t="str">
        <f t="shared" si="69"/>
        <v/>
      </c>
      <c r="AI64" s="466" t="str">
        <f t="shared" si="88"/>
        <v/>
      </c>
      <c r="AJ64" s="466" t="str">
        <f t="shared" si="70"/>
        <v/>
      </c>
      <c r="AK64" s="466" t="str">
        <f t="shared" si="71"/>
        <v/>
      </c>
      <c r="AL64" s="466"/>
      <c r="AM64" s="538" t="str">
        <f t="shared" si="89"/>
        <v/>
      </c>
      <c r="AN64" s="466" t="str">
        <f t="shared" si="72"/>
        <v/>
      </c>
      <c r="AO64" s="466" t="str">
        <f t="shared" si="90"/>
        <v/>
      </c>
      <c r="AP64" s="466"/>
      <c r="AQ64" s="466" t="str">
        <f>IF(C64="","",IF(C64="電気_仮想電力購入契約","",VLOOKUP(C64,非_係数!$B$42:$D$55,2,FALSE)))</f>
        <v/>
      </c>
      <c r="AR64" s="466" t="str">
        <f>IF(AH64="電気",非_電気事業者!$S$4*1000,IF(AH64="熱",非_熱供給事業者!$T$4,""))</f>
        <v/>
      </c>
      <c r="AS64" s="466" t="str">
        <f>IF(N64="","",VLOOKUP(N64,非_単位補正換算!$B$3:$C$16,2,FALSE))</f>
        <v/>
      </c>
      <c r="AT64" s="466" t="str">
        <f t="shared" si="91"/>
        <v/>
      </c>
      <c r="AU64" s="466" t="str">
        <f t="shared" si="73"/>
        <v/>
      </c>
      <c r="AV64" s="466">
        <f t="shared" si="74"/>
        <v>1</v>
      </c>
      <c r="AW64" s="466" t="str">
        <f t="shared" si="75"/>
        <v/>
      </c>
      <c r="AX64" s="535" t="b">
        <f t="shared" si="20"/>
        <v>1</v>
      </c>
      <c r="AY64" s="466" t="str">
        <f t="shared" si="100"/>
        <v/>
      </c>
      <c r="AZ64" s="466" t="str">
        <f t="shared" si="77"/>
        <v/>
      </c>
      <c r="BA64" s="466" t="str">
        <f t="shared" si="92"/>
        <v/>
      </c>
      <c r="BB64" s="466" t="str">
        <f t="shared" si="78"/>
        <v/>
      </c>
      <c r="BC64" s="466" t="str">
        <f t="shared" si="79"/>
        <v/>
      </c>
      <c r="BD64" s="466" t="str">
        <f>IF(BC64&lt;&gt;"義務","",SUMIFS(非_まとめ表行番号!$N$3:$N$20,非_まとめ表行番号!$J$3:$J$20,AY64,非_まとめ表行番号!$K$3:$K$20,AZ64,非_まとめ表行番号!$L$3:$L$20,BA64,非_まとめ表行番号!$M$3:$M$20,BB64))</f>
        <v/>
      </c>
      <c r="BE64" s="466" t="str">
        <f>IF(BC64&lt;&gt;"義務","",SUMIFS(非_まとめ表行番号!$O$3:$O$20,非_まとめ表行番号!$J$3:$J$20,AY64,非_まとめ表行番号!$K$3:$K$20,AZ64,非_まとめ表行番号!$L$3:$L$20,BA64,非_まとめ表行番号!$M$3:$M$20,BB64))</f>
        <v/>
      </c>
      <c r="BF64" s="466" t="str">
        <f t="shared" si="93"/>
        <v/>
      </c>
      <c r="BG64" s="529"/>
      <c r="BH64" s="525" t="str">
        <f>IF(BD64="","",VLOOKUP(BD64,非_まとめ表行番号!$U$3:$V$56,2,FALSE))</f>
        <v/>
      </c>
      <c r="BI64" s="527" t="str">
        <f>IF(D64="","",VLOOKUP(D64,非_燃料種類_選択リスト!$X$2:$Y$14,2,FALSE))</f>
        <v/>
      </c>
      <c r="BJ64" s="527" t="str">
        <f>IF(E64="","",VLOOKUP(E64,非_燃料種類_選択リスト!$X$18:$Y$24,2,FALSE))</f>
        <v/>
      </c>
      <c r="BK64" s="539" t="str">
        <f t="shared" si="94"/>
        <v/>
      </c>
      <c r="BL64" s="527" t="str">
        <f t="shared" si="95"/>
        <v/>
      </c>
      <c r="BM64" s="527" t="str">
        <f t="shared" si="96"/>
        <v/>
      </c>
      <c r="BN64" s="527" t="str">
        <f t="shared" si="97"/>
        <v/>
      </c>
      <c r="BO64" s="636" t="str">
        <f t="shared" si="98"/>
        <v/>
      </c>
      <c r="BQ64" s="639" t="str">
        <f>IF(AND(B64="",C64=""),"",IF(AZ64="有",0,VLOOKUP(C64,非_係数!$B$42:$J$55,9,FALSE)))</f>
        <v/>
      </c>
      <c r="BR64" s="639" t="str">
        <f t="shared" si="28"/>
        <v/>
      </c>
    </row>
    <row r="65" spans="1:70" ht="18.75" customHeight="1">
      <c r="A65" s="483"/>
      <c r="B65" s="406"/>
      <c r="C65" s="406"/>
      <c r="D65" s="406"/>
      <c r="E65" s="407"/>
      <c r="F65" s="409"/>
      <c r="G65" s="406"/>
      <c r="H65" s="617" t="str">
        <f t="shared" si="83"/>
        <v/>
      </c>
      <c r="I65" s="406"/>
      <c r="J65" s="457" t="str">
        <f t="shared" si="99"/>
        <v/>
      </c>
      <c r="K65" s="406"/>
      <c r="L65" s="458"/>
      <c r="M65" s="406"/>
      <c r="N65" s="406"/>
      <c r="O65" s="455"/>
      <c r="P65" s="455"/>
      <c r="Q65" s="455"/>
      <c r="R65" s="455"/>
      <c r="S65" s="455"/>
      <c r="T65" s="455"/>
      <c r="U65" s="455"/>
      <c r="V65" s="455"/>
      <c r="W65" s="455"/>
      <c r="X65" s="455"/>
      <c r="Y65" s="455"/>
      <c r="Z65" s="455"/>
      <c r="AA65" s="504"/>
      <c r="AB65" s="595" t="str">
        <f t="shared" si="101"/>
        <v/>
      </c>
      <c r="AC65" s="596" t="str">
        <f t="shared" si="85"/>
        <v/>
      </c>
      <c r="AD65" s="597" t="str">
        <f>IF(C65="","",VLOOKUP(C65,非_単位!$N$38:$O$53,2,FALSE))</f>
        <v/>
      </c>
      <c r="AE65" s="598" t="str">
        <f t="shared" si="86"/>
        <v/>
      </c>
      <c r="AF65" s="585" t="str">
        <f t="shared" si="87"/>
        <v/>
      </c>
      <c r="AH65" s="466" t="str">
        <f t="shared" si="69"/>
        <v/>
      </c>
      <c r="AI65" s="466" t="str">
        <f t="shared" si="88"/>
        <v/>
      </c>
      <c r="AJ65" s="466" t="str">
        <f t="shared" si="70"/>
        <v/>
      </c>
      <c r="AK65" s="466" t="str">
        <f t="shared" si="71"/>
        <v/>
      </c>
      <c r="AL65" s="466"/>
      <c r="AM65" s="538" t="str">
        <f t="shared" si="89"/>
        <v/>
      </c>
      <c r="AN65" s="466" t="str">
        <f t="shared" si="72"/>
        <v/>
      </c>
      <c r="AO65" s="466" t="str">
        <f t="shared" si="90"/>
        <v/>
      </c>
      <c r="AP65" s="466"/>
      <c r="AQ65" s="466" t="str">
        <f>IF(C65="","",IF(C65="電気_仮想電力購入契約","",VLOOKUP(C65,非_係数!$B$42:$D$55,2,FALSE)))</f>
        <v/>
      </c>
      <c r="AR65" s="466" t="str">
        <f>IF(AH65="電気",非_電気事業者!$S$4*1000,IF(AH65="熱",非_熱供給事業者!$T$4,""))</f>
        <v/>
      </c>
      <c r="AS65" s="466" t="str">
        <f>IF(N65="","",VLOOKUP(N65,非_単位補正換算!$B$3:$C$16,2,FALSE))</f>
        <v/>
      </c>
      <c r="AT65" s="466" t="str">
        <f t="shared" si="91"/>
        <v/>
      </c>
      <c r="AU65" s="466" t="str">
        <f t="shared" si="73"/>
        <v/>
      </c>
      <c r="AV65" s="466">
        <f t="shared" si="74"/>
        <v>1</v>
      </c>
      <c r="AW65" s="466" t="str">
        <f t="shared" si="75"/>
        <v/>
      </c>
      <c r="AX65" s="535" t="b">
        <f t="shared" si="20"/>
        <v>1</v>
      </c>
      <c r="AY65" s="466" t="str">
        <f t="shared" si="100"/>
        <v/>
      </c>
      <c r="AZ65" s="466" t="str">
        <f t="shared" si="77"/>
        <v/>
      </c>
      <c r="BA65" s="466" t="str">
        <f t="shared" si="92"/>
        <v/>
      </c>
      <c r="BB65" s="466" t="str">
        <f t="shared" si="78"/>
        <v/>
      </c>
      <c r="BC65" s="466" t="str">
        <f t="shared" si="79"/>
        <v/>
      </c>
      <c r="BD65" s="466" t="str">
        <f>IF(BC65&lt;&gt;"義務","",SUMIFS(非_まとめ表行番号!$N$3:$N$20,非_まとめ表行番号!$J$3:$J$20,AY65,非_まとめ表行番号!$K$3:$K$20,AZ65,非_まとめ表行番号!$L$3:$L$20,BA65,非_まとめ表行番号!$M$3:$M$20,BB65))</f>
        <v/>
      </c>
      <c r="BE65" s="466" t="str">
        <f>IF(BC65&lt;&gt;"義務","",SUMIFS(非_まとめ表行番号!$O$3:$O$20,非_まとめ表行番号!$J$3:$J$20,AY65,非_まとめ表行番号!$K$3:$K$20,AZ65,非_まとめ表行番号!$L$3:$L$20,BA65,非_まとめ表行番号!$M$3:$M$20,BB65))</f>
        <v/>
      </c>
      <c r="BF65" s="466" t="str">
        <f t="shared" si="93"/>
        <v/>
      </c>
      <c r="BG65" s="529"/>
      <c r="BH65" s="525" t="str">
        <f>IF(BD65="","",VLOOKUP(BD65,非_まとめ表行番号!$U$3:$V$56,2,FALSE))</f>
        <v/>
      </c>
      <c r="BI65" s="527" t="str">
        <f>IF(D65="","",VLOOKUP(D65,非_燃料種類_選択リスト!$X$2:$Y$14,2,FALSE))</f>
        <v/>
      </c>
      <c r="BJ65" s="527" t="str">
        <f>IF(E65="","",VLOOKUP(E65,非_燃料種類_選択リスト!$X$18:$Y$24,2,FALSE))</f>
        <v/>
      </c>
      <c r="BK65" s="539" t="str">
        <f t="shared" si="94"/>
        <v/>
      </c>
      <c r="BL65" s="527" t="str">
        <f t="shared" si="95"/>
        <v/>
      </c>
      <c r="BM65" s="527" t="str">
        <f t="shared" si="96"/>
        <v/>
      </c>
      <c r="BN65" s="527" t="str">
        <f t="shared" si="97"/>
        <v/>
      </c>
      <c r="BO65" s="636" t="str">
        <f t="shared" si="98"/>
        <v/>
      </c>
      <c r="BQ65" s="639" t="str">
        <f>IF(AND(B65="",C65=""),"",IF(AZ65="有",0,VLOOKUP(C65,非_係数!$B$42:$J$55,9,FALSE)))</f>
        <v/>
      </c>
      <c r="BR65" s="639" t="str">
        <f t="shared" si="28"/>
        <v/>
      </c>
    </row>
    <row r="66" spans="1:70" ht="18.75" customHeight="1">
      <c r="A66" s="483"/>
      <c r="B66" s="406"/>
      <c r="C66" s="406"/>
      <c r="D66" s="406"/>
      <c r="E66" s="407"/>
      <c r="F66" s="409"/>
      <c r="G66" s="406"/>
      <c r="H66" s="617" t="str">
        <f t="shared" si="83"/>
        <v/>
      </c>
      <c r="I66" s="406"/>
      <c r="J66" s="457" t="str">
        <f t="shared" si="99"/>
        <v/>
      </c>
      <c r="K66" s="406"/>
      <c r="L66" s="458"/>
      <c r="M66" s="406"/>
      <c r="N66" s="406"/>
      <c r="O66" s="455"/>
      <c r="P66" s="455"/>
      <c r="Q66" s="455"/>
      <c r="R66" s="455"/>
      <c r="S66" s="455"/>
      <c r="T66" s="455"/>
      <c r="U66" s="455"/>
      <c r="V66" s="455"/>
      <c r="W66" s="455"/>
      <c r="X66" s="455"/>
      <c r="Y66" s="455"/>
      <c r="Z66" s="455"/>
      <c r="AA66" s="504"/>
      <c r="AB66" s="595" t="str">
        <f t="shared" si="101"/>
        <v/>
      </c>
      <c r="AC66" s="596" t="str">
        <f t="shared" si="85"/>
        <v/>
      </c>
      <c r="AD66" s="597" t="str">
        <f>IF(C66="","",VLOOKUP(C66,非_単位!$N$38:$O$53,2,FALSE))</f>
        <v/>
      </c>
      <c r="AE66" s="598" t="str">
        <f t="shared" si="86"/>
        <v/>
      </c>
      <c r="AF66" s="585" t="str">
        <f t="shared" si="87"/>
        <v/>
      </c>
      <c r="AH66" s="466" t="str">
        <f t="shared" si="69"/>
        <v/>
      </c>
      <c r="AI66" s="466" t="str">
        <f t="shared" si="88"/>
        <v/>
      </c>
      <c r="AJ66" s="466" t="str">
        <f t="shared" si="70"/>
        <v/>
      </c>
      <c r="AK66" s="466" t="str">
        <f t="shared" si="71"/>
        <v/>
      </c>
      <c r="AL66" s="466"/>
      <c r="AM66" s="538" t="str">
        <f t="shared" si="89"/>
        <v/>
      </c>
      <c r="AN66" s="466" t="str">
        <f t="shared" si="72"/>
        <v/>
      </c>
      <c r="AO66" s="466" t="str">
        <f t="shared" si="90"/>
        <v/>
      </c>
      <c r="AP66" s="466"/>
      <c r="AQ66" s="466" t="str">
        <f>IF(C66="","",IF(C66="電気_仮想電力購入契約","",VLOOKUP(C66,非_係数!$B$42:$D$55,2,FALSE)))</f>
        <v/>
      </c>
      <c r="AR66" s="466" t="str">
        <f>IF(AH66="電気",非_電気事業者!$S$4*1000,IF(AH66="熱",非_熱供給事業者!$T$4,""))</f>
        <v/>
      </c>
      <c r="AS66" s="466" t="str">
        <f>IF(N66="","",VLOOKUP(N66,非_単位補正換算!$B$3:$C$16,2,FALSE))</f>
        <v/>
      </c>
      <c r="AT66" s="466" t="str">
        <f t="shared" si="91"/>
        <v/>
      </c>
      <c r="AU66" s="466" t="str">
        <f t="shared" si="73"/>
        <v/>
      </c>
      <c r="AV66" s="466">
        <f t="shared" si="74"/>
        <v>1</v>
      </c>
      <c r="AW66" s="466" t="str">
        <f t="shared" si="75"/>
        <v/>
      </c>
      <c r="AX66" s="535" t="b">
        <f t="shared" si="20"/>
        <v>1</v>
      </c>
      <c r="AY66" s="466" t="str">
        <f t="shared" si="100"/>
        <v/>
      </c>
      <c r="AZ66" s="466" t="str">
        <f t="shared" si="77"/>
        <v/>
      </c>
      <c r="BA66" s="466" t="str">
        <f t="shared" si="92"/>
        <v/>
      </c>
      <c r="BB66" s="466" t="str">
        <f t="shared" si="78"/>
        <v/>
      </c>
      <c r="BC66" s="466" t="str">
        <f t="shared" si="79"/>
        <v/>
      </c>
      <c r="BD66" s="466" t="str">
        <f>IF(BC66&lt;&gt;"義務","",SUMIFS(非_まとめ表行番号!$N$3:$N$20,非_まとめ表行番号!$J$3:$J$20,AY66,非_まとめ表行番号!$K$3:$K$20,AZ66,非_まとめ表行番号!$L$3:$L$20,BA66,非_まとめ表行番号!$M$3:$M$20,BB66))</f>
        <v/>
      </c>
      <c r="BE66" s="466" t="str">
        <f>IF(BC66&lt;&gt;"義務","",SUMIFS(非_まとめ表行番号!$O$3:$O$20,非_まとめ表行番号!$J$3:$J$20,AY66,非_まとめ表行番号!$K$3:$K$20,AZ66,非_まとめ表行番号!$L$3:$L$20,BA66,非_まとめ表行番号!$M$3:$M$20,BB66))</f>
        <v/>
      </c>
      <c r="BF66" s="466" t="str">
        <f t="shared" si="93"/>
        <v/>
      </c>
      <c r="BG66" s="529"/>
      <c r="BH66" s="525" t="str">
        <f>IF(BD66="","",VLOOKUP(BD66,非_まとめ表行番号!$U$3:$V$56,2,FALSE))</f>
        <v/>
      </c>
      <c r="BI66" s="527" t="str">
        <f>IF(D66="","",VLOOKUP(D66,非_燃料種類_選択リスト!$X$2:$Y$14,2,FALSE))</f>
        <v/>
      </c>
      <c r="BJ66" s="527" t="str">
        <f>IF(E66="","",VLOOKUP(E66,非_燃料種類_選択リスト!$X$18:$Y$24,2,FALSE))</f>
        <v/>
      </c>
      <c r="BK66" s="539" t="str">
        <f t="shared" si="94"/>
        <v/>
      </c>
      <c r="BL66" s="527" t="str">
        <f t="shared" si="95"/>
        <v/>
      </c>
      <c r="BM66" s="527" t="str">
        <f t="shared" si="96"/>
        <v/>
      </c>
      <c r="BN66" s="527" t="str">
        <f t="shared" si="97"/>
        <v/>
      </c>
      <c r="BO66" s="636" t="str">
        <f t="shared" si="98"/>
        <v/>
      </c>
      <c r="BQ66" s="639" t="str">
        <f>IF(AND(B66="",C66=""),"",IF(AZ66="有",0,VLOOKUP(C66,非_係数!$B$42:$J$55,9,FALSE)))</f>
        <v/>
      </c>
      <c r="BR66" s="639" t="str">
        <f t="shared" si="28"/>
        <v/>
      </c>
    </row>
    <row r="67" spans="1:70" ht="18.75" customHeight="1" thickBot="1">
      <c r="A67" s="484"/>
      <c r="B67" s="406"/>
      <c r="C67" s="406"/>
      <c r="D67" s="406"/>
      <c r="E67" s="407"/>
      <c r="F67" s="618"/>
      <c r="G67" s="406"/>
      <c r="H67" s="617" t="str">
        <f t="shared" si="83"/>
        <v/>
      </c>
      <c r="I67" s="406"/>
      <c r="J67" s="457" t="str">
        <f t="shared" si="99"/>
        <v/>
      </c>
      <c r="K67" s="406"/>
      <c r="L67" s="594"/>
      <c r="M67" s="406"/>
      <c r="N67" s="406"/>
      <c r="O67" s="456"/>
      <c r="P67" s="456"/>
      <c r="Q67" s="456"/>
      <c r="R67" s="456"/>
      <c r="S67" s="456"/>
      <c r="T67" s="456"/>
      <c r="U67" s="456"/>
      <c r="V67" s="456"/>
      <c r="W67" s="456"/>
      <c r="X67" s="456"/>
      <c r="Y67" s="456"/>
      <c r="Z67" s="456"/>
      <c r="AA67" s="504"/>
      <c r="AB67" s="595" t="str">
        <f t="shared" si="101"/>
        <v/>
      </c>
      <c r="AC67" s="596" t="str">
        <f t="shared" si="85"/>
        <v/>
      </c>
      <c r="AD67" s="597" t="str">
        <f>IF(C67="","",VLOOKUP(C67,非_単位!$N$38:$O$53,2,FALSE))</f>
        <v/>
      </c>
      <c r="AE67" s="598" t="str">
        <f t="shared" si="86"/>
        <v/>
      </c>
      <c r="AF67" s="585" t="str">
        <f t="shared" si="87"/>
        <v/>
      </c>
      <c r="AH67" s="466" t="str">
        <f t="shared" si="69"/>
        <v/>
      </c>
      <c r="AI67" s="466" t="str">
        <f t="shared" si="88"/>
        <v/>
      </c>
      <c r="AJ67" s="466" t="str">
        <f t="shared" si="70"/>
        <v/>
      </c>
      <c r="AK67" s="466" t="str">
        <f t="shared" si="71"/>
        <v/>
      </c>
      <c r="AL67" s="466"/>
      <c r="AM67" s="538" t="str">
        <f t="shared" si="89"/>
        <v/>
      </c>
      <c r="AN67" s="466" t="str">
        <f t="shared" si="72"/>
        <v/>
      </c>
      <c r="AO67" s="466" t="str">
        <f t="shared" si="90"/>
        <v/>
      </c>
      <c r="AP67" s="466"/>
      <c r="AQ67" s="466" t="str">
        <f>IF(C67="","",IF(C67="電気_仮想電力購入契約","",VLOOKUP(C67,非_係数!$B$42:$D$55,2,FALSE)))</f>
        <v/>
      </c>
      <c r="AR67" s="466" t="str">
        <f>IF(AH67="電気",非_電気事業者!$S$4*1000,IF(AH67="熱",非_熱供給事業者!$T$4,""))</f>
        <v/>
      </c>
      <c r="AS67" s="466" t="str">
        <f>IF(N67="","",VLOOKUP(N67,非_単位補正換算!$B$3:$C$16,2,FALSE))</f>
        <v/>
      </c>
      <c r="AT67" s="466" t="str">
        <f t="shared" si="91"/>
        <v/>
      </c>
      <c r="AU67" s="466" t="str">
        <f t="shared" si="73"/>
        <v/>
      </c>
      <c r="AV67" s="466">
        <f t="shared" si="74"/>
        <v>1</v>
      </c>
      <c r="AW67" s="466" t="str">
        <f t="shared" si="75"/>
        <v/>
      </c>
      <c r="AX67" s="535" t="b">
        <f t="shared" si="20"/>
        <v>1</v>
      </c>
      <c r="AY67" s="466" t="str">
        <f t="shared" si="100"/>
        <v/>
      </c>
      <c r="AZ67" s="466" t="str">
        <f t="shared" si="77"/>
        <v/>
      </c>
      <c r="BA67" s="466" t="str">
        <f t="shared" si="92"/>
        <v/>
      </c>
      <c r="BB67" s="466" t="str">
        <f t="shared" si="78"/>
        <v/>
      </c>
      <c r="BC67" s="466" t="str">
        <f t="shared" si="79"/>
        <v/>
      </c>
      <c r="BD67" s="466" t="str">
        <f>IF(BC67&lt;&gt;"義務","",SUMIFS(非_まとめ表行番号!$N$3:$N$20,非_まとめ表行番号!$J$3:$J$20,AY67,非_まとめ表行番号!$K$3:$K$20,AZ67,非_まとめ表行番号!$L$3:$L$20,BA67,非_まとめ表行番号!$M$3:$M$20,BB67))</f>
        <v/>
      </c>
      <c r="BE67" s="466" t="str">
        <f>IF(BC67&lt;&gt;"義務","",SUMIFS(非_まとめ表行番号!$O$3:$O$20,非_まとめ表行番号!$J$3:$J$20,AY67,非_まとめ表行番号!$K$3:$K$20,AZ67,非_まとめ表行番号!$L$3:$L$20,BA67,非_まとめ表行番号!$M$3:$M$20,BB67))</f>
        <v/>
      </c>
      <c r="BF67" s="466" t="str">
        <f t="shared" si="93"/>
        <v/>
      </c>
      <c r="BG67" s="529"/>
      <c r="BH67" s="525" t="str">
        <f>IF(BD67="","",VLOOKUP(BD67,非_まとめ表行番号!$U$3:$V$56,2,FALSE))</f>
        <v/>
      </c>
      <c r="BI67" s="527" t="str">
        <f>IF(D67="","",VLOOKUP(D67,非_燃料種類_選択リスト!$X$2:$Y$14,2,FALSE))</f>
        <v/>
      </c>
      <c r="BJ67" s="527" t="str">
        <f>IF(E67="","",VLOOKUP(E67,非_燃料種類_選択リスト!$X$18:$Y$24,2,FALSE))</f>
        <v/>
      </c>
      <c r="BK67" s="539" t="str">
        <f t="shared" si="94"/>
        <v/>
      </c>
      <c r="BL67" s="527" t="str">
        <f t="shared" si="95"/>
        <v/>
      </c>
      <c r="BM67" s="527" t="str">
        <f t="shared" si="96"/>
        <v/>
      </c>
      <c r="BN67" s="527" t="str">
        <f t="shared" si="97"/>
        <v/>
      </c>
      <c r="BO67" s="636" t="str">
        <f t="shared" si="98"/>
        <v/>
      </c>
      <c r="BQ67" s="639" t="str">
        <f>IF(AND(B67="",C67=""),"",IF(AZ67="有",0,VLOOKUP(C67,非_係数!$B$42:$J$55,9,FALSE)))</f>
        <v/>
      </c>
      <c r="BR67" s="639" t="str">
        <f t="shared" si="28"/>
        <v/>
      </c>
    </row>
    <row r="68" spans="1:70" ht="17.25" customHeight="1" thickTop="1" thickBot="1">
      <c r="A68" s="337" t="s">
        <v>2079</v>
      </c>
      <c r="B68" s="338"/>
      <c r="C68" s="338"/>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45"/>
      <c r="AD68" s="345"/>
      <c r="AE68" s="60"/>
      <c r="AF68" s="424"/>
    </row>
    <row r="69" spans="1:70" ht="18.75" customHeight="1" thickTop="1">
      <c r="A69" s="482"/>
      <c r="B69" s="406"/>
      <c r="C69" s="406"/>
      <c r="D69" s="406"/>
      <c r="E69" s="407"/>
      <c r="F69" s="408"/>
      <c r="G69" s="406"/>
      <c r="H69" s="617" t="str">
        <f>AQ69</f>
        <v/>
      </c>
      <c r="I69" s="406"/>
      <c r="J69" s="457" t="str">
        <f t="shared" ref="J69:J78" si="118">IF(I69="","",IF(I69="目標設定ガスの算定対象外",0,IF(I69="国代替値",AR69,"要記入")))</f>
        <v/>
      </c>
      <c r="K69" s="406"/>
      <c r="L69" s="457"/>
      <c r="M69" s="406"/>
      <c r="N69" s="406"/>
      <c r="O69" s="457"/>
      <c r="P69" s="457"/>
      <c r="Q69" s="457"/>
      <c r="R69" s="457"/>
      <c r="S69" s="457"/>
      <c r="T69" s="457"/>
      <c r="U69" s="457"/>
      <c r="V69" s="457"/>
      <c r="W69" s="457"/>
      <c r="X69" s="457"/>
      <c r="Y69" s="457"/>
      <c r="Z69" s="457"/>
      <c r="AA69" s="504"/>
      <c r="AB69" s="595" t="str">
        <f>IF(COUNT(O69:Z69)=0,"",IF(AA69="",SUM(O69:Z69),SUM(O69:Z69)*AA69))</f>
        <v/>
      </c>
      <c r="AC69" s="596" t="str">
        <f>IF(AT69="","",-1*AT69)</f>
        <v/>
      </c>
      <c r="AD69" s="597" t="str">
        <f>IF(C69="","",VLOOKUP(C69,非_単位!$N$38:$O$53,2,FALSE))</f>
        <v/>
      </c>
      <c r="AE69" s="598" t="str">
        <f>IF(AU69="","",-1*AU69)</f>
        <v/>
      </c>
      <c r="AF69" s="585" t="str">
        <f>IF(AW69="","",-1*AW69)</f>
        <v/>
      </c>
      <c r="AH69" s="466" t="str">
        <f t="shared" ref="AH69:AH78" si="119">IF(C69="","",IF(LEFT(C69,2)="電気","電気","熱"))</f>
        <v/>
      </c>
      <c r="AI69" s="466" t="str">
        <f>IF(AO69="","",IF(AO69="自家消費以外","再エネ_自家消費以外_対象外_種類","再エネ_自家消費_対象外_種類"))</f>
        <v/>
      </c>
      <c r="AJ69" s="466" t="str">
        <f t="shared" ref="AJ69:AJ78" si="120">IF(C69="","","再エネ_種類_選択")</f>
        <v/>
      </c>
      <c r="AK69" s="466" t="str">
        <f t="shared" ref="AK69:AK78" si="121">IF(D69="バイオマス","バイオマス_種類_選択","")</f>
        <v/>
      </c>
      <c r="AL69" s="639" t="str">
        <f>IF(AND(D69="バイオマス",LEFT(B69,5)="自家消費_"),"バイオマス燃料_持続可能性_選択","")</f>
        <v/>
      </c>
      <c r="AM69" s="466" t="str">
        <f t="shared" ref="AM69:AM78" si="122">IF(C69="","",IF(AND(AL69&lt;&gt;"",F69="無"),"環境価値_バイオマス持続可能性無_選択","環境価値_選択"))</f>
        <v/>
      </c>
      <c r="AN69" s="466" t="str">
        <f>IF(C69="","",IF(G69="","",IF(F69="無","再エネ_係数根拠_持続可能性無",IF(G69="有","再エネ_係数根拠_環境価値有","再エネ_係数根拠_環境価値無"))))</f>
        <v/>
      </c>
      <c r="AO69" s="466" t="str">
        <f t="shared" ref="AO69:AO78" si="123">IF(B69="","",IF(LEFT(B69,6)="自家消費以外","自家消費以外","自家消費"))</f>
        <v/>
      </c>
      <c r="AP69" s="466" t="str">
        <f t="shared" ref="AP69:AP78" si="124">IF(AO69="","",IF(AO69="自家消費",IF(AH69&lt;&gt;"熱","",IF(OR(D69="太陽光",D69="地熱",D69="温泉熱",D69="雪氷熱"),"対象","")),""))</f>
        <v/>
      </c>
      <c r="AQ69" s="466" t="str">
        <f>IF(C69="","",IF(AP69="対象","熱量計読取",VLOOKUP(C69,非_係数!$B$42:$D$55,2,FALSE)))</f>
        <v/>
      </c>
      <c r="AR69" s="466" t="str">
        <f>IF(AH69="電気",非_電気事業者!$S$4*1000,IF(AH69="熱",非_熱供給事業者!$T$4,""))</f>
        <v/>
      </c>
      <c r="AS69" s="466" t="str">
        <f>IF(N69="","",VLOOKUP(N69,非_単位補正換算!$B$3:$C$16,2,FALSE))</f>
        <v/>
      </c>
      <c r="AT69" s="466" t="str">
        <f>IF(N69="","",IF(AB69="","",-1*AB69/AS69))</f>
        <v/>
      </c>
      <c r="AU69" s="466" t="str">
        <f t="shared" ref="AU69:AU78" si="125">IF(AT69="","",IF(AP69="対象",AT69,IF(H69="","",AT69*H69)))</f>
        <v/>
      </c>
      <c r="AV69" s="466">
        <v>1</v>
      </c>
      <c r="AW69" s="466" t="str">
        <f t="shared" ref="AW69:AW78" si="126">IF(AT69="","",IF(ISNUMBER(J69),AT69*J69,""))</f>
        <v/>
      </c>
      <c r="AX69" s="535" t="b">
        <f t="shared" si="20"/>
        <v>1</v>
      </c>
      <c r="AY69" s="466" t="str">
        <f t="shared" ref="AY69" si="127">AH69</f>
        <v/>
      </c>
      <c r="AZ69" s="466" t="str">
        <f t="shared" ref="AZ69:AZ78" si="128">IF(G69="","",G69)</f>
        <v/>
      </c>
      <c r="BA69" s="466" t="str">
        <f t="shared" si="92"/>
        <v/>
      </c>
      <c r="BB69" s="466" t="str">
        <f>IF(F69="","",F69)</f>
        <v/>
      </c>
      <c r="BC69" s="466" t="str">
        <f>IF(D69="","",IF(LEFT(D69,2)="任意","任意","義務"))</f>
        <v/>
      </c>
      <c r="BD69" s="466" t="str">
        <f>IF(BC69&lt;&gt;"義務","",SUMIFS(非_まとめ表行番号!$N$3:$N$20,非_まとめ表行番号!$J$3:$J$20,AY69,非_まとめ表行番号!$K$3:$K$20,AZ69,非_まとめ表行番号!$L$3:$L$20,BA69,非_まとめ表行番号!$M$3:$M$20,BB69))</f>
        <v/>
      </c>
      <c r="BE69" s="466" t="str">
        <f>IF(BC69&lt;&gt;"義務","",SUMIFS(非_まとめ表行番号!$O$3:$O$20,非_まとめ表行番号!$J$3:$J$20,AY69,非_まとめ表行番号!$K$3:$K$20,AZ69,非_まとめ表行番号!$L$3:$L$20,BA69,非_まとめ表行番号!$M$3:$M$20,BB69))</f>
        <v/>
      </c>
      <c r="BF69" s="466" t="str">
        <f>IF(M69="無","乗率_除外する排出量","")</f>
        <v/>
      </c>
      <c r="BG69" s="529"/>
      <c r="BH69" s="525" t="str">
        <f>IF(BD69="","",VLOOKUP(BD69,非_まとめ表行番号!$U$3:$V$56,2,FALSE))</f>
        <v/>
      </c>
      <c r="BI69" s="527" t="str">
        <f>IF(D69="","",VLOOKUP(D69,非_燃料種類_選択リスト!$X$2:$Y$14,2,FALSE))</f>
        <v/>
      </c>
      <c r="BJ69" s="527" t="str">
        <f>IF(E69="","",VLOOKUP(E69,非_燃料種類_選択リスト!$X$18:$Y$24,2,FALSE))</f>
        <v/>
      </c>
      <c r="BK69" s="539" t="str">
        <f t="shared" si="94"/>
        <v/>
      </c>
      <c r="BL69" s="527" t="str">
        <f t="shared" ref="BL69" si="129">IF(I69="","",I69)</f>
        <v/>
      </c>
      <c r="BM69" s="527" t="str">
        <f t="shared" ref="BM69" si="130">IF(J69="","",J69)</f>
        <v/>
      </c>
      <c r="BN69" s="527" t="str">
        <f t="shared" ref="BN69" si="131">IF(AC69="","",AC69)</f>
        <v/>
      </c>
      <c r="BO69" s="527" t="str">
        <f>IF(AW69="","",-1)</f>
        <v/>
      </c>
      <c r="BQ69" s="639" t="str">
        <f>IF(AND(B69="",C69=""),"",IF(AZ69="有",0,VLOOKUP(C69,非_係数!$B$42:$J$55,9,FALSE)))</f>
        <v/>
      </c>
      <c r="BR69" s="639" t="str">
        <f t="shared" si="28"/>
        <v/>
      </c>
    </row>
    <row r="70" spans="1:70" ht="18.75" customHeight="1">
      <c r="A70" s="483"/>
      <c r="B70" s="406"/>
      <c r="C70" s="406"/>
      <c r="D70" s="406"/>
      <c r="E70" s="407"/>
      <c r="F70" s="409"/>
      <c r="G70" s="406"/>
      <c r="H70" s="617" t="str">
        <f t="shared" ref="H70:H78" si="132">AQ70</f>
        <v/>
      </c>
      <c r="I70" s="406"/>
      <c r="J70" s="457" t="str">
        <f t="shared" si="118"/>
        <v/>
      </c>
      <c r="K70" s="406"/>
      <c r="L70" s="458"/>
      <c r="M70" s="406"/>
      <c r="N70" s="406"/>
      <c r="O70" s="458"/>
      <c r="P70" s="458"/>
      <c r="Q70" s="458"/>
      <c r="R70" s="458"/>
      <c r="S70" s="458"/>
      <c r="T70" s="458"/>
      <c r="U70" s="458"/>
      <c r="V70" s="458"/>
      <c r="W70" s="458"/>
      <c r="X70" s="458"/>
      <c r="Y70" s="458"/>
      <c r="Z70" s="458"/>
      <c r="AA70" s="504"/>
      <c r="AB70" s="595" t="str">
        <f>IF(COUNT(O70:Z70)=0,"",IF(AA70="",SUM(O70:Z70),SUM(O70:Z70)*AA70))</f>
        <v/>
      </c>
      <c r="AC70" s="596" t="str">
        <f t="shared" ref="AC70:AC78" si="133">IF(AT70="","",-1*AT70)</f>
        <v/>
      </c>
      <c r="AD70" s="597" t="str">
        <f>IF(C70="","",VLOOKUP(C70,非_単位!$N$38:$O$53,2,FALSE))</f>
        <v/>
      </c>
      <c r="AE70" s="598" t="str">
        <f t="shared" ref="AE70:AE78" si="134">IF(AU70="","",-1*AU70)</f>
        <v/>
      </c>
      <c r="AF70" s="585" t="str">
        <f t="shared" ref="AF70:AF78" si="135">IF(AW70="","",-1*AW70)</f>
        <v/>
      </c>
      <c r="AH70" s="466" t="str">
        <f t="shared" si="119"/>
        <v/>
      </c>
      <c r="AI70" s="466" t="str">
        <f t="shared" ref="AI70:AI78" si="136">IF(B70="","",IF(LEFT(B70,6)="自家消費以外","再エネ_自家消費以外_対象外_種類","再エネ_自家消費_対象外_種類"))</f>
        <v/>
      </c>
      <c r="AJ70" s="466" t="str">
        <f t="shared" si="120"/>
        <v/>
      </c>
      <c r="AK70" s="466" t="str">
        <f t="shared" si="121"/>
        <v/>
      </c>
      <c r="AL70" s="639" t="str">
        <f t="shared" ref="AL70:AL78" si="137">IF(AND(D70="バイオマス",LEFT(B70,5)="自家消費_"),"バイオマス燃料_持続可能性_選択","")</f>
        <v/>
      </c>
      <c r="AM70" s="466" t="str">
        <f t="shared" si="122"/>
        <v/>
      </c>
      <c r="AN70" s="466" t="str">
        <f t="shared" ref="AN70:AN78" si="138">IF(C70="","",IF(C70="電気_仮想電力購入契約","再エネ_係数根拠_仮想電力購入契約",IF(G70="","",IF(G70="有","再エネ_係数根拠_環境価値有","再エネ_係数根拠_環境価値無"))))</f>
        <v/>
      </c>
      <c r="AO70" s="466" t="str">
        <f t="shared" si="123"/>
        <v/>
      </c>
      <c r="AP70" s="466" t="str">
        <f t="shared" si="124"/>
        <v/>
      </c>
      <c r="AQ70" s="466" t="str">
        <f>IF(C70="","",IF(AP70="対象","熱量計読取",VLOOKUP(C70,非_係数!$B$42:$D$55,2,FALSE)))</f>
        <v/>
      </c>
      <c r="AR70" s="466" t="str">
        <f>IF(AH70="電気",非_電気事業者!$S$4*1000,IF(AH70="熱",非_熱供給事業者!$T$4,""))</f>
        <v/>
      </c>
      <c r="AS70" s="466" t="str">
        <f>IF(N70="","",VLOOKUP(N70,非_単位補正換算!$B$3:$C$16,2,FALSE))</f>
        <v/>
      </c>
      <c r="AT70" s="466" t="str">
        <f t="shared" ref="AT70:AT78" si="139">IF(N70="","",IF(AB70="","",-1*AB70/AS70))</f>
        <v/>
      </c>
      <c r="AU70" s="466" t="str">
        <f t="shared" si="125"/>
        <v/>
      </c>
      <c r="AV70" s="466">
        <v>1</v>
      </c>
      <c r="AW70" s="466" t="str">
        <f t="shared" si="126"/>
        <v/>
      </c>
      <c r="AX70" s="535" t="b">
        <f t="shared" si="20"/>
        <v>1</v>
      </c>
      <c r="AY70" s="466" t="str">
        <f t="shared" ref="AY70:AY78" si="140">AH70</f>
        <v/>
      </c>
      <c r="AZ70" s="466" t="str">
        <f t="shared" si="128"/>
        <v/>
      </c>
      <c r="BA70" s="466" t="str">
        <f t="shared" si="92"/>
        <v/>
      </c>
      <c r="BB70" s="466" t="str">
        <f>IF(F70="","",F70)</f>
        <v/>
      </c>
      <c r="BC70" s="466" t="str">
        <f>IF(D70="","",IF(LEFT(D70,2)="任意","任意","義務"))</f>
        <v/>
      </c>
      <c r="BD70" s="466" t="str">
        <f>IF(BC70&lt;&gt;"義務","",SUMIFS(非_まとめ表行番号!$N$3:$N$20,非_まとめ表行番号!$J$3:$J$20,AY70,非_まとめ表行番号!$K$3:$K$20,AZ70,非_まとめ表行番号!$L$3:$L$20,BA70,非_まとめ表行番号!$M$3:$M$20,BB70))</f>
        <v/>
      </c>
      <c r="BE70" s="466" t="str">
        <f>IF(BC70&lt;&gt;"義務","",SUMIFS(非_まとめ表行番号!$O$3:$O$20,非_まとめ表行番号!$J$3:$J$20,AY70,非_まとめ表行番号!$K$3:$K$20,AZ70,非_まとめ表行番号!$L$3:$L$20,BA70,非_まとめ表行番号!$M$3:$M$20,BB70))</f>
        <v/>
      </c>
      <c r="BF70" s="466" t="str">
        <f t="shared" ref="BF70:BF78" si="141">IF(M70="無","乗率_除外する排出量","")</f>
        <v/>
      </c>
      <c r="BG70" s="529"/>
      <c r="BH70" s="525" t="str">
        <f>IF(BD70="","",VLOOKUP(BD70,非_まとめ表行番号!$U$3:$V$56,2,FALSE))</f>
        <v/>
      </c>
      <c r="BI70" s="527" t="str">
        <f>IF(D70="","",VLOOKUP(D70,非_燃料種類_選択リスト!$X$2:$Y$14,2,FALSE))</f>
        <v/>
      </c>
      <c r="BJ70" s="527" t="str">
        <f>IF(E70="","",VLOOKUP(E70,非_燃料種類_選択リスト!$X$18:$Y$24,2,FALSE))</f>
        <v/>
      </c>
      <c r="BK70" s="539" t="str">
        <f t="shared" si="94"/>
        <v/>
      </c>
      <c r="BL70" s="527" t="str">
        <f t="shared" ref="BL70:BL78" si="142">IF(I70="","",I70)</f>
        <v/>
      </c>
      <c r="BM70" s="527" t="str">
        <f t="shared" ref="BM70:BM78" si="143">IF(J70="","",J70)</f>
        <v/>
      </c>
      <c r="BN70" s="527" t="str">
        <f t="shared" ref="BN70:BN78" si="144">IF(AC70="","",AC70)</f>
        <v/>
      </c>
      <c r="BO70" s="542" t="str">
        <f t="shared" ref="BO70:BO78" si="145">IF(AW70="","",-1)</f>
        <v/>
      </c>
      <c r="BQ70" s="639" t="str">
        <f>IF(AND(B70="",C70=""),"",IF(AZ70="有",0,VLOOKUP(C70,非_係数!$B$42:$J$55,9,FALSE)))</f>
        <v/>
      </c>
      <c r="BR70" s="639" t="str">
        <f t="shared" si="28"/>
        <v/>
      </c>
    </row>
    <row r="71" spans="1:70" ht="18.75" customHeight="1">
      <c r="A71" s="483"/>
      <c r="B71" s="406"/>
      <c r="C71" s="406"/>
      <c r="D71" s="406"/>
      <c r="E71" s="407"/>
      <c r="F71" s="409"/>
      <c r="G71" s="406"/>
      <c r="H71" s="617" t="str">
        <f t="shared" si="132"/>
        <v/>
      </c>
      <c r="I71" s="406"/>
      <c r="J71" s="457" t="str">
        <f t="shared" si="118"/>
        <v/>
      </c>
      <c r="K71" s="406"/>
      <c r="L71" s="458"/>
      <c r="M71" s="406"/>
      <c r="N71" s="406"/>
      <c r="O71" s="458"/>
      <c r="P71" s="458"/>
      <c r="Q71" s="458"/>
      <c r="R71" s="458"/>
      <c r="S71" s="458"/>
      <c r="T71" s="458"/>
      <c r="U71" s="458"/>
      <c r="V71" s="458"/>
      <c r="W71" s="458"/>
      <c r="X71" s="458"/>
      <c r="Y71" s="458"/>
      <c r="Z71" s="458"/>
      <c r="AA71" s="504"/>
      <c r="AB71" s="595" t="str">
        <f t="shared" ref="AB71:AB78" si="146">IF(COUNT(O71:Z71)=0,"",IF(AA71="",SUM(O71:Z71),SUM(O71:Z71)*AA71))</f>
        <v/>
      </c>
      <c r="AC71" s="596" t="str">
        <f t="shared" si="133"/>
        <v/>
      </c>
      <c r="AD71" s="597" t="str">
        <f>IF(C71="","",VLOOKUP(C71,非_単位!$N$38:$O$53,2,FALSE))</f>
        <v/>
      </c>
      <c r="AE71" s="598" t="str">
        <f t="shared" si="134"/>
        <v/>
      </c>
      <c r="AF71" s="585" t="str">
        <f t="shared" si="135"/>
        <v/>
      </c>
      <c r="AH71" s="466" t="str">
        <f t="shared" si="119"/>
        <v/>
      </c>
      <c r="AI71" s="466" t="str">
        <f t="shared" si="136"/>
        <v/>
      </c>
      <c r="AJ71" s="466" t="str">
        <f t="shared" si="120"/>
        <v/>
      </c>
      <c r="AK71" s="466" t="str">
        <f t="shared" si="121"/>
        <v/>
      </c>
      <c r="AL71" s="639" t="str">
        <f t="shared" si="137"/>
        <v/>
      </c>
      <c r="AM71" s="466" t="str">
        <f t="shared" si="122"/>
        <v/>
      </c>
      <c r="AN71" s="466" t="str">
        <f t="shared" si="138"/>
        <v/>
      </c>
      <c r="AO71" s="466" t="str">
        <f t="shared" si="123"/>
        <v/>
      </c>
      <c r="AP71" s="466" t="str">
        <f t="shared" si="124"/>
        <v/>
      </c>
      <c r="AQ71" s="466" t="str">
        <f>IF(C71="","",IF(AP71="対象","熱量計読取",VLOOKUP(C71,非_係数!$B$42:$D$55,2,FALSE)))</f>
        <v/>
      </c>
      <c r="AR71" s="466" t="str">
        <f>IF(AH71="電気",非_電気事業者!$S$4*1000,IF(AH71="熱",非_熱供給事業者!$T$4,""))</f>
        <v/>
      </c>
      <c r="AS71" s="466" t="str">
        <f>IF(N71="","",VLOOKUP(N71,非_単位補正換算!$B$3:$C$16,2,FALSE))</f>
        <v/>
      </c>
      <c r="AT71" s="466" t="str">
        <f t="shared" si="139"/>
        <v/>
      </c>
      <c r="AU71" s="466" t="str">
        <f t="shared" si="125"/>
        <v/>
      </c>
      <c r="AV71" s="466">
        <v>1</v>
      </c>
      <c r="AW71" s="466" t="str">
        <f t="shared" si="126"/>
        <v/>
      </c>
      <c r="AX71" s="535" t="b">
        <f t="shared" si="20"/>
        <v>1</v>
      </c>
      <c r="AY71" s="466" t="str">
        <f t="shared" si="140"/>
        <v/>
      </c>
      <c r="AZ71" s="466" t="str">
        <f t="shared" si="128"/>
        <v/>
      </c>
      <c r="BA71" s="466" t="str">
        <f t="shared" ref="BA71:BA78" si="147">AO71&amp;IF(C71="電気_仮想電力購入契約","_仮想電力購入契約","")</f>
        <v/>
      </c>
      <c r="BB71" s="466" t="str">
        <f>IF(F71="","",F71)</f>
        <v/>
      </c>
      <c r="BC71" s="466" t="str">
        <f>IF(D71="","",IF(LEFT(D71,2)="任意","任意","義務"))</f>
        <v/>
      </c>
      <c r="BD71" s="466" t="str">
        <f>IF(BC71&lt;&gt;"義務","",SUMIFS(非_まとめ表行番号!$N$3:$N$20,非_まとめ表行番号!$J$3:$J$20,AY71,非_まとめ表行番号!$K$3:$K$20,AZ71,非_まとめ表行番号!$L$3:$L$20,BA71,非_まとめ表行番号!$M$3:$M$20,BB71))</f>
        <v/>
      </c>
      <c r="BE71" s="466" t="str">
        <f>IF(BC71&lt;&gt;"義務","",SUMIFS(非_まとめ表行番号!$O$3:$O$20,非_まとめ表行番号!$J$3:$J$20,AY71,非_まとめ表行番号!$K$3:$K$20,AZ71,非_まとめ表行番号!$L$3:$L$20,BA71,非_まとめ表行番号!$M$3:$M$20,BB71))</f>
        <v/>
      </c>
      <c r="BF71" s="466" t="str">
        <f t="shared" si="141"/>
        <v/>
      </c>
      <c r="BG71" s="529"/>
      <c r="BH71" s="525" t="str">
        <f>IF(BD71="","",VLOOKUP(BD71,非_まとめ表行番号!$U$3:$V$56,2,FALSE))</f>
        <v/>
      </c>
      <c r="BI71" s="527" t="str">
        <f>IF(D71="","",VLOOKUP(D71,非_燃料種類_選択リスト!$X$2:$Y$14,2,FALSE))</f>
        <v/>
      </c>
      <c r="BJ71" s="527" t="str">
        <f>IF(E71="","",VLOOKUP(E71,非_燃料種類_選択リスト!$X$18:$Y$24,2,FALSE))</f>
        <v/>
      </c>
      <c r="BK71" s="539" t="str">
        <f t="shared" si="94"/>
        <v/>
      </c>
      <c r="BL71" s="527" t="str">
        <f t="shared" si="142"/>
        <v/>
      </c>
      <c r="BM71" s="527" t="str">
        <f t="shared" si="143"/>
        <v/>
      </c>
      <c r="BN71" s="527" t="str">
        <f t="shared" si="144"/>
        <v/>
      </c>
      <c r="BO71" s="542" t="str">
        <f t="shared" si="145"/>
        <v/>
      </c>
      <c r="BQ71" s="639" t="str">
        <f>IF(AND(B71="",C71=""),"",IF(AZ71="有",0,VLOOKUP(C71,非_係数!$B$42:$J$55,9,FALSE)))</f>
        <v/>
      </c>
      <c r="BR71" s="639" t="str">
        <f t="shared" si="28"/>
        <v/>
      </c>
    </row>
    <row r="72" spans="1:70" ht="18.75" customHeight="1">
      <c r="A72" s="483"/>
      <c r="B72" s="406"/>
      <c r="C72" s="406"/>
      <c r="D72" s="406"/>
      <c r="E72" s="407"/>
      <c r="F72" s="409"/>
      <c r="G72" s="406"/>
      <c r="H72" s="617" t="str">
        <f t="shared" ref="H72:H75" si="148">AQ72</f>
        <v/>
      </c>
      <c r="I72" s="406"/>
      <c r="J72" s="457" t="str">
        <f t="shared" si="118"/>
        <v/>
      </c>
      <c r="K72" s="406"/>
      <c r="L72" s="458"/>
      <c r="M72" s="406"/>
      <c r="N72" s="406"/>
      <c r="O72" s="458"/>
      <c r="P72" s="458"/>
      <c r="Q72" s="458"/>
      <c r="R72" s="458"/>
      <c r="S72" s="458"/>
      <c r="T72" s="458"/>
      <c r="U72" s="458"/>
      <c r="V72" s="458"/>
      <c r="W72" s="458"/>
      <c r="X72" s="458"/>
      <c r="Y72" s="458"/>
      <c r="Z72" s="458"/>
      <c r="AA72" s="504"/>
      <c r="AB72" s="595" t="str">
        <f t="shared" si="146"/>
        <v/>
      </c>
      <c r="AC72" s="596" t="str">
        <f t="shared" ref="AC72:AC75" si="149">IF(AT72="","",-1*AT72)</f>
        <v/>
      </c>
      <c r="AD72" s="597" t="str">
        <f>IF(C72="","",VLOOKUP(C72,非_単位!$N$38:$O$53,2,FALSE))</f>
        <v/>
      </c>
      <c r="AE72" s="598" t="str">
        <f t="shared" ref="AE72:AE75" si="150">IF(AU72="","",-1*AU72)</f>
        <v/>
      </c>
      <c r="AF72" s="585" t="str">
        <f t="shared" ref="AF72:AF75" si="151">IF(AW72="","",-1*AW72)</f>
        <v/>
      </c>
      <c r="AH72" s="466" t="str">
        <f t="shared" si="119"/>
        <v/>
      </c>
      <c r="AI72" s="466" t="str">
        <f t="shared" si="136"/>
        <v/>
      </c>
      <c r="AJ72" s="466" t="str">
        <f t="shared" si="120"/>
        <v/>
      </c>
      <c r="AK72" s="466" t="str">
        <f t="shared" si="121"/>
        <v/>
      </c>
      <c r="AL72" s="639" t="str">
        <f t="shared" si="137"/>
        <v/>
      </c>
      <c r="AM72" s="466" t="str">
        <f t="shared" si="122"/>
        <v/>
      </c>
      <c r="AN72" s="466" t="str">
        <f t="shared" si="138"/>
        <v/>
      </c>
      <c r="AO72" s="466" t="str">
        <f t="shared" si="123"/>
        <v/>
      </c>
      <c r="AP72" s="466" t="str">
        <f t="shared" si="124"/>
        <v/>
      </c>
      <c r="AQ72" s="466" t="str">
        <f>IF(C72="","",IF(AP72="対象","熱量計読取",VLOOKUP(C72,非_係数!$B$42:$D$55,2,FALSE)))</f>
        <v/>
      </c>
      <c r="AR72" s="466" t="str">
        <f>IF(AH72="電気",非_電気事業者!$S$4*1000,IF(AH72="熱",非_熱供給事業者!$T$4,""))</f>
        <v/>
      </c>
      <c r="AS72" s="466" t="str">
        <f>IF(N72="","",VLOOKUP(N72,非_単位補正換算!$B$3:$C$16,2,FALSE))</f>
        <v/>
      </c>
      <c r="AT72" s="466" t="str">
        <f t="shared" ref="AT72:AT75" si="152">IF(N72="","",IF(AB72="","",-1*AB72/AS72))</f>
        <v/>
      </c>
      <c r="AU72" s="466" t="str">
        <f t="shared" si="125"/>
        <v/>
      </c>
      <c r="AV72" s="466">
        <v>1</v>
      </c>
      <c r="AW72" s="466" t="str">
        <f t="shared" si="126"/>
        <v/>
      </c>
      <c r="AX72" s="535" t="b">
        <f t="shared" ref="AX72:AX78" si="153">_xlfn.ISFORMULA(J72)</f>
        <v>1</v>
      </c>
      <c r="AY72" s="466" t="str">
        <f t="shared" ref="AY72:AY75" si="154">AH72</f>
        <v/>
      </c>
      <c r="AZ72" s="466" t="str">
        <f t="shared" si="128"/>
        <v/>
      </c>
      <c r="BA72" s="466" t="str">
        <f t="shared" si="147"/>
        <v/>
      </c>
      <c r="BB72" s="466" t="str">
        <f t="shared" ref="BB72:BB75" si="155">IF(F72="","",F72)</f>
        <v/>
      </c>
      <c r="BC72" s="466" t="str">
        <f t="shared" ref="BC72:BC78" si="156">IF(D72="","",IF(LEFT(D72,2)="任意","任意","義務"))</f>
        <v/>
      </c>
      <c r="BD72" s="466" t="str">
        <f>IF(BC72&lt;&gt;"義務","",SUMIFS(非_まとめ表行番号!$N$3:$N$20,非_まとめ表行番号!$J$3:$J$20,AY72,非_まとめ表行番号!$K$3:$K$20,AZ72,非_まとめ表行番号!$L$3:$L$20,BA72,非_まとめ表行番号!$M$3:$M$20,BB72))</f>
        <v/>
      </c>
      <c r="BE72" s="466" t="str">
        <f>IF(BC72&lt;&gt;"義務","",SUMIFS(非_まとめ表行番号!$O$3:$O$20,非_まとめ表行番号!$J$3:$J$20,AY72,非_まとめ表行番号!$K$3:$K$20,AZ72,非_まとめ表行番号!$L$3:$L$20,BA72,非_まとめ表行番号!$M$3:$M$20,BB72))</f>
        <v/>
      </c>
      <c r="BF72" s="466" t="str">
        <f t="shared" si="141"/>
        <v/>
      </c>
      <c r="BG72" s="529"/>
      <c r="BH72" s="525" t="str">
        <f>IF(BD72="","",VLOOKUP(BD72,非_まとめ表行番号!$U$3:$V$56,2,FALSE))</f>
        <v/>
      </c>
      <c r="BI72" s="527" t="str">
        <f>IF(D72="","",VLOOKUP(D72,非_燃料種類_選択リスト!$X$2:$Y$14,2,FALSE))</f>
        <v/>
      </c>
      <c r="BJ72" s="527" t="str">
        <f>IF(E72="","",VLOOKUP(E72,非_燃料種類_選択リスト!$X$18:$Y$24,2,FALSE))</f>
        <v/>
      </c>
      <c r="BK72" s="539" t="str">
        <f t="shared" si="94"/>
        <v/>
      </c>
      <c r="BL72" s="527" t="str">
        <f t="shared" si="142"/>
        <v/>
      </c>
      <c r="BM72" s="527" t="str">
        <f t="shared" si="143"/>
        <v/>
      </c>
      <c r="BN72" s="527" t="str">
        <f t="shared" si="144"/>
        <v/>
      </c>
      <c r="BO72" s="542" t="str">
        <f t="shared" si="145"/>
        <v/>
      </c>
      <c r="BQ72" s="639" t="str">
        <f>IF(AND(B72="",C72=""),"",IF(AZ72="有",0,VLOOKUP(C72,非_係数!$B$42:$J$55,9,FALSE)))</f>
        <v/>
      </c>
      <c r="BR72" s="639" t="str">
        <f t="shared" ref="BR72:BR78" si="157">IF(AT72="","",IF(ISNUMBER(BQ72),AT72*BQ72,""))</f>
        <v/>
      </c>
    </row>
    <row r="73" spans="1:70" ht="18.75" customHeight="1">
      <c r="A73" s="483"/>
      <c r="B73" s="406"/>
      <c r="C73" s="406"/>
      <c r="D73" s="406"/>
      <c r="E73" s="407"/>
      <c r="F73" s="409"/>
      <c r="G73" s="406"/>
      <c r="H73" s="617" t="str">
        <f t="shared" si="148"/>
        <v/>
      </c>
      <c r="I73" s="406"/>
      <c r="J73" s="457" t="str">
        <f t="shared" si="118"/>
        <v/>
      </c>
      <c r="K73" s="406"/>
      <c r="L73" s="458"/>
      <c r="M73" s="406"/>
      <c r="N73" s="406"/>
      <c r="O73" s="458"/>
      <c r="P73" s="458"/>
      <c r="Q73" s="458"/>
      <c r="R73" s="458"/>
      <c r="S73" s="458"/>
      <c r="T73" s="458"/>
      <c r="U73" s="458"/>
      <c r="V73" s="458"/>
      <c r="W73" s="458"/>
      <c r="X73" s="458"/>
      <c r="Y73" s="458"/>
      <c r="Z73" s="458"/>
      <c r="AA73" s="504"/>
      <c r="AB73" s="595" t="str">
        <f t="shared" si="146"/>
        <v/>
      </c>
      <c r="AC73" s="596" t="str">
        <f t="shared" si="149"/>
        <v/>
      </c>
      <c r="AD73" s="597" t="str">
        <f>IF(C73="","",VLOOKUP(C73,非_単位!$N$38:$O$53,2,FALSE))</f>
        <v/>
      </c>
      <c r="AE73" s="598" t="str">
        <f t="shared" si="150"/>
        <v/>
      </c>
      <c r="AF73" s="585" t="str">
        <f t="shared" si="151"/>
        <v/>
      </c>
      <c r="AH73" s="466" t="str">
        <f t="shared" si="119"/>
        <v/>
      </c>
      <c r="AI73" s="466" t="str">
        <f t="shared" si="136"/>
        <v/>
      </c>
      <c r="AJ73" s="466" t="str">
        <f t="shared" si="120"/>
        <v/>
      </c>
      <c r="AK73" s="466" t="str">
        <f t="shared" si="121"/>
        <v/>
      </c>
      <c r="AL73" s="639" t="str">
        <f t="shared" si="137"/>
        <v/>
      </c>
      <c r="AM73" s="466" t="str">
        <f t="shared" si="122"/>
        <v/>
      </c>
      <c r="AN73" s="466" t="str">
        <f t="shared" si="138"/>
        <v/>
      </c>
      <c r="AO73" s="466" t="str">
        <f t="shared" si="123"/>
        <v/>
      </c>
      <c r="AP73" s="466" t="str">
        <f t="shared" si="124"/>
        <v/>
      </c>
      <c r="AQ73" s="466" t="str">
        <f>IF(C73="","",IF(AP73="対象","熱量計読取",VLOOKUP(C73,非_係数!$B$42:$D$55,2,FALSE)))</f>
        <v/>
      </c>
      <c r="AR73" s="466" t="str">
        <f>IF(AH73="電気",非_電気事業者!$S$4*1000,IF(AH73="熱",非_熱供給事業者!$T$4,""))</f>
        <v/>
      </c>
      <c r="AS73" s="466" t="str">
        <f>IF(N73="","",VLOOKUP(N73,非_単位補正換算!$B$3:$C$16,2,FALSE))</f>
        <v/>
      </c>
      <c r="AT73" s="466" t="str">
        <f t="shared" si="152"/>
        <v/>
      </c>
      <c r="AU73" s="466" t="str">
        <f t="shared" si="125"/>
        <v/>
      </c>
      <c r="AV73" s="466">
        <v>1</v>
      </c>
      <c r="AW73" s="466" t="str">
        <f t="shared" si="126"/>
        <v/>
      </c>
      <c r="AX73" s="535" t="b">
        <f t="shared" si="153"/>
        <v>1</v>
      </c>
      <c r="AY73" s="466" t="str">
        <f t="shared" si="154"/>
        <v/>
      </c>
      <c r="AZ73" s="466" t="str">
        <f t="shared" si="128"/>
        <v/>
      </c>
      <c r="BA73" s="466" t="str">
        <f t="shared" si="147"/>
        <v/>
      </c>
      <c r="BB73" s="466" t="str">
        <f t="shared" si="155"/>
        <v/>
      </c>
      <c r="BC73" s="466" t="str">
        <f t="shared" si="156"/>
        <v/>
      </c>
      <c r="BD73" s="466" t="str">
        <f>IF(BC73&lt;&gt;"義務","",SUMIFS(非_まとめ表行番号!$N$3:$N$20,非_まとめ表行番号!$J$3:$J$20,AY73,非_まとめ表行番号!$K$3:$K$20,AZ73,非_まとめ表行番号!$L$3:$L$20,BA73,非_まとめ表行番号!$M$3:$M$20,BB73))</f>
        <v/>
      </c>
      <c r="BE73" s="466" t="str">
        <f>IF(BC73&lt;&gt;"義務","",SUMIFS(非_まとめ表行番号!$O$3:$O$20,非_まとめ表行番号!$J$3:$J$20,AY73,非_まとめ表行番号!$K$3:$K$20,AZ73,非_まとめ表行番号!$L$3:$L$20,BA73,非_まとめ表行番号!$M$3:$M$20,BB73))</f>
        <v/>
      </c>
      <c r="BF73" s="466" t="str">
        <f t="shared" si="141"/>
        <v/>
      </c>
      <c r="BG73" s="529"/>
      <c r="BH73" s="525" t="str">
        <f>IF(BD73="","",VLOOKUP(BD73,非_まとめ表行番号!$U$3:$V$56,2,FALSE))</f>
        <v/>
      </c>
      <c r="BI73" s="527" t="str">
        <f>IF(D73="","",VLOOKUP(D73,非_燃料種類_選択リスト!$X$2:$Y$14,2,FALSE))</f>
        <v/>
      </c>
      <c r="BJ73" s="527" t="str">
        <f>IF(E73="","",VLOOKUP(E73,非_燃料種類_選択リスト!$X$18:$Y$24,2,FALSE))</f>
        <v/>
      </c>
      <c r="BK73" s="539" t="str">
        <f t="shared" si="94"/>
        <v/>
      </c>
      <c r="BL73" s="527" t="str">
        <f t="shared" si="142"/>
        <v/>
      </c>
      <c r="BM73" s="527" t="str">
        <f t="shared" si="143"/>
        <v/>
      </c>
      <c r="BN73" s="527" t="str">
        <f t="shared" si="144"/>
        <v/>
      </c>
      <c r="BO73" s="542" t="str">
        <f t="shared" si="145"/>
        <v/>
      </c>
      <c r="BQ73" s="639" t="str">
        <f>IF(AND(B73="",C73=""),"",IF(AZ73="有",0,VLOOKUP(C73,非_係数!$B$42:$J$55,9,FALSE)))</f>
        <v/>
      </c>
      <c r="BR73" s="639" t="str">
        <f t="shared" si="157"/>
        <v/>
      </c>
    </row>
    <row r="74" spans="1:70" ht="18.75" customHeight="1">
      <c r="A74" s="483"/>
      <c r="B74" s="406"/>
      <c r="C74" s="406"/>
      <c r="D74" s="406"/>
      <c r="E74" s="407"/>
      <c r="F74" s="409"/>
      <c r="G74" s="406"/>
      <c r="H74" s="617" t="str">
        <f t="shared" si="148"/>
        <v/>
      </c>
      <c r="I74" s="406"/>
      <c r="J74" s="457" t="str">
        <f t="shared" si="118"/>
        <v/>
      </c>
      <c r="K74" s="406"/>
      <c r="L74" s="458"/>
      <c r="M74" s="406"/>
      <c r="N74" s="406"/>
      <c r="O74" s="458"/>
      <c r="P74" s="458"/>
      <c r="Q74" s="458"/>
      <c r="R74" s="458"/>
      <c r="S74" s="458"/>
      <c r="T74" s="458"/>
      <c r="U74" s="458"/>
      <c r="V74" s="458"/>
      <c r="W74" s="458"/>
      <c r="X74" s="458"/>
      <c r="Y74" s="458"/>
      <c r="Z74" s="458"/>
      <c r="AA74" s="504"/>
      <c r="AB74" s="595" t="str">
        <f t="shared" si="146"/>
        <v/>
      </c>
      <c r="AC74" s="596" t="str">
        <f t="shared" si="149"/>
        <v/>
      </c>
      <c r="AD74" s="597" t="str">
        <f>IF(C74="","",VLOOKUP(C74,非_単位!$N$38:$O$53,2,FALSE))</f>
        <v/>
      </c>
      <c r="AE74" s="598" t="str">
        <f t="shared" si="150"/>
        <v/>
      </c>
      <c r="AF74" s="585" t="str">
        <f t="shared" si="151"/>
        <v/>
      </c>
      <c r="AH74" s="466" t="str">
        <f t="shared" si="119"/>
        <v/>
      </c>
      <c r="AI74" s="466" t="str">
        <f t="shared" si="136"/>
        <v/>
      </c>
      <c r="AJ74" s="466" t="str">
        <f t="shared" si="120"/>
        <v/>
      </c>
      <c r="AK74" s="466" t="str">
        <f t="shared" si="121"/>
        <v/>
      </c>
      <c r="AL74" s="639" t="str">
        <f t="shared" si="137"/>
        <v/>
      </c>
      <c r="AM74" s="466" t="str">
        <f t="shared" si="122"/>
        <v/>
      </c>
      <c r="AN74" s="466" t="str">
        <f t="shared" si="138"/>
        <v/>
      </c>
      <c r="AO74" s="466" t="str">
        <f t="shared" si="123"/>
        <v/>
      </c>
      <c r="AP74" s="466" t="str">
        <f t="shared" si="124"/>
        <v/>
      </c>
      <c r="AQ74" s="466" t="str">
        <f>IF(C74="","",IF(AP74="対象","熱量計読取",VLOOKUP(C74,非_係数!$B$42:$D$55,2,FALSE)))</f>
        <v/>
      </c>
      <c r="AR74" s="466" t="str">
        <f>IF(AH74="電気",非_電気事業者!$S$4*1000,IF(AH74="熱",非_熱供給事業者!$T$4,""))</f>
        <v/>
      </c>
      <c r="AS74" s="466" t="str">
        <f>IF(N74="","",VLOOKUP(N74,非_単位補正換算!$B$3:$C$16,2,FALSE))</f>
        <v/>
      </c>
      <c r="AT74" s="466" t="str">
        <f t="shared" si="152"/>
        <v/>
      </c>
      <c r="AU74" s="466" t="str">
        <f t="shared" si="125"/>
        <v/>
      </c>
      <c r="AV74" s="466">
        <v>1</v>
      </c>
      <c r="AW74" s="466" t="str">
        <f t="shared" si="126"/>
        <v/>
      </c>
      <c r="AX74" s="535" t="b">
        <f t="shared" si="153"/>
        <v>1</v>
      </c>
      <c r="AY74" s="466" t="str">
        <f t="shared" si="154"/>
        <v/>
      </c>
      <c r="AZ74" s="466" t="str">
        <f t="shared" si="128"/>
        <v/>
      </c>
      <c r="BA74" s="466" t="str">
        <f t="shared" si="147"/>
        <v/>
      </c>
      <c r="BB74" s="466" t="str">
        <f t="shared" si="155"/>
        <v/>
      </c>
      <c r="BC74" s="466" t="str">
        <f t="shared" si="156"/>
        <v/>
      </c>
      <c r="BD74" s="466" t="str">
        <f>IF(BC74&lt;&gt;"義務","",SUMIFS(非_まとめ表行番号!$N$3:$N$20,非_まとめ表行番号!$J$3:$J$20,AY74,非_まとめ表行番号!$K$3:$K$20,AZ74,非_まとめ表行番号!$L$3:$L$20,BA74,非_まとめ表行番号!$M$3:$M$20,BB74))</f>
        <v/>
      </c>
      <c r="BE74" s="466" t="str">
        <f>IF(BC74&lt;&gt;"義務","",SUMIFS(非_まとめ表行番号!$O$3:$O$20,非_まとめ表行番号!$J$3:$J$20,AY74,非_まとめ表行番号!$K$3:$K$20,AZ74,非_まとめ表行番号!$L$3:$L$20,BA74,非_まとめ表行番号!$M$3:$M$20,BB74))</f>
        <v/>
      </c>
      <c r="BF74" s="466" t="str">
        <f t="shared" si="141"/>
        <v/>
      </c>
      <c r="BG74" s="529"/>
      <c r="BH74" s="525" t="str">
        <f>IF(BD74="","",VLOOKUP(BD74,非_まとめ表行番号!$U$3:$V$56,2,FALSE))</f>
        <v/>
      </c>
      <c r="BI74" s="527" t="str">
        <f>IF(D74="","",VLOOKUP(D74,非_燃料種類_選択リスト!$X$2:$Y$14,2,FALSE))</f>
        <v/>
      </c>
      <c r="BJ74" s="527" t="str">
        <f>IF(E74="","",VLOOKUP(E74,非_燃料種類_選択リスト!$X$18:$Y$24,2,FALSE))</f>
        <v/>
      </c>
      <c r="BK74" s="539" t="str">
        <f t="shared" si="94"/>
        <v/>
      </c>
      <c r="BL74" s="527" t="str">
        <f t="shared" si="142"/>
        <v/>
      </c>
      <c r="BM74" s="527" t="str">
        <f t="shared" si="143"/>
        <v/>
      </c>
      <c r="BN74" s="527" t="str">
        <f t="shared" si="144"/>
        <v/>
      </c>
      <c r="BO74" s="542" t="str">
        <f t="shared" si="145"/>
        <v/>
      </c>
      <c r="BQ74" s="639" t="str">
        <f>IF(AND(B74="",C74=""),"",IF(AZ74="有",0,VLOOKUP(C74,非_係数!$B$42:$J$55,9,FALSE)))</f>
        <v/>
      </c>
      <c r="BR74" s="639" t="str">
        <f t="shared" si="157"/>
        <v/>
      </c>
    </row>
    <row r="75" spans="1:70" ht="18.75" customHeight="1">
      <c r="A75" s="483"/>
      <c r="B75" s="406"/>
      <c r="C75" s="406"/>
      <c r="D75" s="406"/>
      <c r="E75" s="407"/>
      <c r="F75" s="409"/>
      <c r="G75" s="406"/>
      <c r="H75" s="617" t="str">
        <f t="shared" si="148"/>
        <v/>
      </c>
      <c r="I75" s="406"/>
      <c r="J75" s="457" t="str">
        <f t="shared" si="118"/>
        <v/>
      </c>
      <c r="K75" s="406"/>
      <c r="L75" s="458"/>
      <c r="M75" s="406"/>
      <c r="N75" s="406"/>
      <c r="O75" s="458"/>
      <c r="P75" s="458"/>
      <c r="Q75" s="458"/>
      <c r="R75" s="458"/>
      <c r="S75" s="458"/>
      <c r="T75" s="458"/>
      <c r="U75" s="458"/>
      <c r="V75" s="458"/>
      <c r="W75" s="458"/>
      <c r="X75" s="458"/>
      <c r="Y75" s="458"/>
      <c r="Z75" s="458"/>
      <c r="AA75" s="504"/>
      <c r="AB75" s="595" t="str">
        <f t="shared" si="146"/>
        <v/>
      </c>
      <c r="AC75" s="596" t="str">
        <f t="shared" si="149"/>
        <v/>
      </c>
      <c r="AD75" s="597" t="str">
        <f>IF(C75="","",VLOOKUP(C75,非_単位!$N$38:$O$53,2,FALSE))</f>
        <v/>
      </c>
      <c r="AE75" s="598" t="str">
        <f t="shared" si="150"/>
        <v/>
      </c>
      <c r="AF75" s="585" t="str">
        <f t="shared" si="151"/>
        <v/>
      </c>
      <c r="AH75" s="466" t="str">
        <f t="shared" si="119"/>
        <v/>
      </c>
      <c r="AI75" s="466" t="str">
        <f t="shared" si="136"/>
        <v/>
      </c>
      <c r="AJ75" s="466" t="str">
        <f t="shared" si="120"/>
        <v/>
      </c>
      <c r="AK75" s="466" t="str">
        <f t="shared" si="121"/>
        <v/>
      </c>
      <c r="AL75" s="639" t="str">
        <f t="shared" si="137"/>
        <v/>
      </c>
      <c r="AM75" s="466" t="str">
        <f t="shared" si="122"/>
        <v/>
      </c>
      <c r="AN75" s="466" t="str">
        <f t="shared" si="138"/>
        <v/>
      </c>
      <c r="AO75" s="466" t="str">
        <f t="shared" si="123"/>
        <v/>
      </c>
      <c r="AP75" s="466" t="str">
        <f t="shared" si="124"/>
        <v/>
      </c>
      <c r="AQ75" s="466" t="str">
        <f>IF(C75="","",IF(AP75="対象","熱量計読取",VLOOKUP(C75,非_係数!$B$42:$D$55,2,FALSE)))</f>
        <v/>
      </c>
      <c r="AR75" s="466" t="str">
        <f>IF(AH75="電気",非_電気事業者!$S$4*1000,IF(AH75="熱",非_熱供給事業者!$T$4,""))</f>
        <v/>
      </c>
      <c r="AS75" s="466" t="str">
        <f>IF(N75="","",VLOOKUP(N75,非_単位補正換算!$B$3:$C$16,2,FALSE))</f>
        <v/>
      </c>
      <c r="AT75" s="466" t="str">
        <f t="shared" si="152"/>
        <v/>
      </c>
      <c r="AU75" s="466" t="str">
        <f t="shared" si="125"/>
        <v/>
      </c>
      <c r="AV75" s="466">
        <v>1</v>
      </c>
      <c r="AW75" s="466" t="str">
        <f t="shared" si="126"/>
        <v/>
      </c>
      <c r="AX75" s="535" t="b">
        <f t="shared" si="153"/>
        <v>1</v>
      </c>
      <c r="AY75" s="466" t="str">
        <f t="shared" si="154"/>
        <v/>
      </c>
      <c r="AZ75" s="466" t="str">
        <f t="shared" si="128"/>
        <v/>
      </c>
      <c r="BA75" s="466" t="str">
        <f t="shared" si="147"/>
        <v/>
      </c>
      <c r="BB75" s="466" t="str">
        <f t="shared" si="155"/>
        <v/>
      </c>
      <c r="BC75" s="466" t="str">
        <f t="shared" si="156"/>
        <v/>
      </c>
      <c r="BD75" s="466" t="str">
        <f>IF(BC75&lt;&gt;"義務","",SUMIFS(非_まとめ表行番号!$N$3:$N$20,非_まとめ表行番号!$J$3:$J$20,AY75,非_まとめ表行番号!$K$3:$K$20,AZ75,非_まとめ表行番号!$L$3:$L$20,BA75,非_まとめ表行番号!$M$3:$M$20,BB75))</f>
        <v/>
      </c>
      <c r="BE75" s="466" t="str">
        <f>IF(BC75&lt;&gt;"義務","",SUMIFS(非_まとめ表行番号!$O$3:$O$20,非_まとめ表行番号!$J$3:$J$20,AY75,非_まとめ表行番号!$K$3:$K$20,AZ75,非_まとめ表行番号!$L$3:$L$20,BA75,非_まとめ表行番号!$M$3:$M$20,BB75))</f>
        <v/>
      </c>
      <c r="BF75" s="466" t="str">
        <f t="shared" si="141"/>
        <v/>
      </c>
      <c r="BG75" s="529"/>
      <c r="BH75" s="525" t="str">
        <f>IF(BD75="","",VLOOKUP(BD75,非_まとめ表行番号!$U$3:$V$56,2,FALSE))</f>
        <v/>
      </c>
      <c r="BI75" s="527" t="str">
        <f>IF(D75="","",VLOOKUP(D75,非_燃料種類_選択リスト!$X$2:$Y$14,2,FALSE))</f>
        <v/>
      </c>
      <c r="BJ75" s="527" t="str">
        <f>IF(E75="","",VLOOKUP(E75,非_燃料種類_選択リスト!$X$18:$Y$24,2,FALSE))</f>
        <v/>
      </c>
      <c r="BK75" s="539" t="str">
        <f t="shared" si="94"/>
        <v/>
      </c>
      <c r="BL75" s="527" t="str">
        <f t="shared" si="142"/>
        <v/>
      </c>
      <c r="BM75" s="527" t="str">
        <f t="shared" si="143"/>
        <v/>
      </c>
      <c r="BN75" s="527" t="str">
        <f t="shared" si="144"/>
        <v/>
      </c>
      <c r="BO75" s="542" t="str">
        <f t="shared" si="145"/>
        <v/>
      </c>
      <c r="BQ75" s="639" t="str">
        <f>IF(AND(B75="",C75=""),"",IF(AZ75="有",0,VLOOKUP(C75,非_係数!$B$42:$J$55,9,FALSE)))</f>
        <v/>
      </c>
      <c r="BR75" s="639" t="str">
        <f t="shared" si="157"/>
        <v/>
      </c>
    </row>
    <row r="76" spans="1:70" ht="18.75" customHeight="1">
      <c r="A76" s="483"/>
      <c r="B76" s="406"/>
      <c r="C76" s="406"/>
      <c r="D76" s="406"/>
      <c r="E76" s="407"/>
      <c r="F76" s="409"/>
      <c r="G76" s="406"/>
      <c r="H76" s="617" t="str">
        <f t="shared" si="132"/>
        <v/>
      </c>
      <c r="I76" s="406"/>
      <c r="J76" s="457" t="str">
        <f t="shared" si="118"/>
        <v/>
      </c>
      <c r="K76" s="406"/>
      <c r="L76" s="458"/>
      <c r="M76" s="406"/>
      <c r="N76" s="406"/>
      <c r="O76" s="458"/>
      <c r="P76" s="458"/>
      <c r="Q76" s="458"/>
      <c r="R76" s="458"/>
      <c r="S76" s="458"/>
      <c r="T76" s="458"/>
      <c r="U76" s="458"/>
      <c r="V76" s="458"/>
      <c r="W76" s="458"/>
      <c r="X76" s="458"/>
      <c r="Y76" s="458"/>
      <c r="Z76" s="458"/>
      <c r="AA76" s="504"/>
      <c r="AB76" s="595" t="str">
        <f t="shared" si="146"/>
        <v/>
      </c>
      <c r="AC76" s="596" t="str">
        <f t="shared" si="133"/>
        <v/>
      </c>
      <c r="AD76" s="597" t="str">
        <f>IF(C76="","",VLOOKUP(C76,非_単位!$N$38:$O$53,2,FALSE))</f>
        <v/>
      </c>
      <c r="AE76" s="598" t="str">
        <f t="shared" si="134"/>
        <v/>
      </c>
      <c r="AF76" s="585" t="str">
        <f t="shared" si="135"/>
        <v/>
      </c>
      <c r="AH76" s="466" t="str">
        <f t="shared" si="119"/>
        <v/>
      </c>
      <c r="AI76" s="466" t="str">
        <f t="shared" si="136"/>
        <v/>
      </c>
      <c r="AJ76" s="466" t="str">
        <f t="shared" si="120"/>
        <v/>
      </c>
      <c r="AK76" s="466" t="str">
        <f t="shared" si="121"/>
        <v/>
      </c>
      <c r="AL76" s="639" t="str">
        <f t="shared" si="137"/>
        <v/>
      </c>
      <c r="AM76" s="466" t="str">
        <f t="shared" si="122"/>
        <v/>
      </c>
      <c r="AN76" s="466" t="str">
        <f t="shared" si="138"/>
        <v/>
      </c>
      <c r="AO76" s="466" t="str">
        <f t="shared" si="123"/>
        <v/>
      </c>
      <c r="AP76" s="466" t="str">
        <f t="shared" si="124"/>
        <v/>
      </c>
      <c r="AQ76" s="466" t="str">
        <f>IF(C76="","",IF(AP76="対象","熱量計読取",VLOOKUP(C76,非_係数!$B$42:$D$55,2,FALSE)))</f>
        <v/>
      </c>
      <c r="AR76" s="466" t="str">
        <f>IF(AH76="電気",非_電気事業者!$S$4*1000,IF(AH76="熱",非_熱供給事業者!$T$4,""))</f>
        <v/>
      </c>
      <c r="AS76" s="466" t="str">
        <f>IF(N76="","",VLOOKUP(N76,非_単位補正換算!$B$3:$C$16,2,FALSE))</f>
        <v/>
      </c>
      <c r="AT76" s="466" t="str">
        <f t="shared" si="139"/>
        <v/>
      </c>
      <c r="AU76" s="466" t="str">
        <f t="shared" si="125"/>
        <v/>
      </c>
      <c r="AV76" s="466">
        <v>1</v>
      </c>
      <c r="AW76" s="466" t="str">
        <f t="shared" si="126"/>
        <v/>
      </c>
      <c r="AX76" s="535" t="b">
        <f t="shared" si="153"/>
        <v>1</v>
      </c>
      <c r="AY76" s="466" t="str">
        <f t="shared" si="140"/>
        <v/>
      </c>
      <c r="AZ76" s="466" t="str">
        <f t="shared" si="128"/>
        <v/>
      </c>
      <c r="BA76" s="466" t="str">
        <f t="shared" si="147"/>
        <v/>
      </c>
      <c r="BB76" s="466" t="str">
        <f>IF(F76="","",F76)</f>
        <v/>
      </c>
      <c r="BC76" s="466" t="str">
        <f t="shared" si="156"/>
        <v/>
      </c>
      <c r="BD76" s="466" t="str">
        <f>IF(BC76&lt;&gt;"義務","",SUMIFS(非_まとめ表行番号!$N$3:$N$20,非_まとめ表行番号!$J$3:$J$20,AY76,非_まとめ表行番号!$K$3:$K$20,AZ76,非_まとめ表行番号!$L$3:$L$20,BA76,非_まとめ表行番号!$M$3:$M$20,BB76))</f>
        <v/>
      </c>
      <c r="BE76" s="466" t="str">
        <f>IF(BC76&lt;&gt;"義務","",SUMIFS(非_まとめ表行番号!$O$3:$O$20,非_まとめ表行番号!$J$3:$J$20,AY76,非_まとめ表行番号!$K$3:$K$20,AZ76,非_まとめ表行番号!$L$3:$L$20,BA76,非_まとめ表行番号!$M$3:$M$20,BB76))</f>
        <v/>
      </c>
      <c r="BF76" s="466" t="str">
        <f t="shared" si="141"/>
        <v/>
      </c>
      <c r="BG76" s="529"/>
      <c r="BH76" s="525" t="str">
        <f>IF(BD76="","",VLOOKUP(BD76,非_まとめ表行番号!$U$3:$V$56,2,FALSE))</f>
        <v/>
      </c>
      <c r="BI76" s="527" t="str">
        <f>IF(D76="","",VLOOKUP(D76,非_燃料種類_選択リスト!$X$2:$Y$14,2,FALSE))</f>
        <v/>
      </c>
      <c r="BJ76" s="527" t="str">
        <f>IF(E76="","",VLOOKUP(E76,非_燃料種類_選択リスト!$X$18:$Y$24,2,FALSE))</f>
        <v/>
      </c>
      <c r="BK76" s="539" t="str">
        <f t="shared" si="94"/>
        <v/>
      </c>
      <c r="BL76" s="527" t="str">
        <f t="shared" si="142"/>
        <v/>
      </c>
      <c r="BM76" s="527" t="str">
        <f t="shared" si="143"/>
        <v/>
      </c>
      <c r="BN76" s="527" t="str">
        <f t="shared" si="144"/>
        <v/>
      </c>
      <c r="BO76" s="542" t="str">
        <f t="shared" si="145"/>
        <v/>
      </c>
      <c r="BQ76" s="639" t="str">
        <f>IF(AND(B76="",C76=""),"",IF(AZ76="有",0,VLOOKUP(C76,非_係数!$B$42:$J$55,9,FALSE)))</f>
        <v/>
      </c>
      <c r="BR76" s="639" t="str">
        <f t="shared" si="157"/>
        <v/>
      </c>
    </row>
    <row r="77" spans="1:70" ht="18.75" customHeight="1">
      <c r="A77" s="483"/>
      <c r="B77" s="406"/>
      <c r="C77" s="406"/>
      <c r="D77" s="406"/>
      <c r="E77" s="407"/>
      <c r="F77" s="409"/>
      <c r="G77" s="406"/>
      <c r="H77" s="617" t="str">
        <f t="shared" si="132"/>
        <v/>
      </c>
      <c r="I77" s="406"/>
      <c r="J77" s="457" t="str">
        <f t="shared" si="118"/>
        <v/>
      </c>
      <c r="K77" s="406"/>
      <c r="L77" s="458"/>
      <c r="M77" s="406"/>
      <c r="N77" s="406"/>
      <c r="O77" s="458"/>
      <c r="P77" s="458"/>
      <c r="Q77" s="458"/>
      <c r="R77" s="458"/>
      <c r="S77" s="458"/>
      <c r="T77" s="458"/>
      <c r="U77" s="458"/>
      <c r="V77" s="458"/>
      <c r="W77" s="458"/>
      <c r="X77" s="458"/>
      <c r="Y77" s="458"/>
      <c r="Z77" s="458"/>
      <c r="AA77" s="504"/>
      <c r="AB77" s="595" t="str">
        <f t="shared" si="146"/>
        <v/>
      </c>
      <c r="AC77" s="596" t="str">
        <f t="shared" si="133"/>
        <v/>
      </c>
      <c r="AD77" s="597" t="str">
        <f>IF(C77="","",VLOOKUP(C77,非_単位!$N$38:$O$53,2,FALSE))</f>
        <v/>
      </c>
      <c r="AE77" s="598" t="str">
        <f t="shared" si="134"/>
        <v/>
      </c>
      <c r="AF77" s="585" t="str">
        <f t="shared" si="135"/>
        <v/>
      </c>
      <c r="AH77" s="466" t="str">
        <f t="shared" si="119"/>
        <v/>
      </c>
      <c r="AI77" s="466" t="str">
        <f t="shared" si="136"/>
        <v/>
      </c>
      <c r="AJ77" s="466" t="str">
        <f t="shared" si="120"/>
        <v/>
      </c>
      <c r="AK77" s="466" t="str">
        <f t="shared" si="121"/>
        <v/>
      </c>
      <c r="AL77" s="639" t="str">
        <f t="shared" si="137"/>
        <v/>
      </c>
      <c r="AM77" s="466" t="str">
        <f t="shared" si="122"/>
        <v/>
      </c>
      <c r="AN77" s="466" t="str">
        <f t="shared" si="138"/>
        <v/>
      </c>
      <c r="AO77" s="466" t="str">
        <f t="shared" si="123"/>
        <v/>
      </c>
      <c r="AP77" s="466" t="str">
        <f t="shared" si="124"/>
        <v/>
      </c>
      <c r="AQ77" s="466" t="str">
        <f>IF(C77="","",IF(AP77="対象","熱量計読取",VLOOKUP(C77,非_係数!$B$42:$D$55,2,FALSE)))</f>
        <v/>
      </c>
      <c r="AR77" s="466" t="str">
        <f>IF(AH77="電気",非_電気事業者!$S$4*1000,IF(AH77="熱",非_熱供給事業者!$T$4,""))</f>
        <v/>
      </c>
      <c r="AS77" s="466" t="str">
        <f>IF(N77="","",VLOOKUP(N77,非_単位補正換算!$B$3:$C$16,2,FALSE))</f>
        <v/>
      </c>
      <c r="AT77" s="466" t="str">
        <f t="shared" si="139"/>
        <v/>
      </c>
      <c r="AU77" s="466" t="str">
        <f t="shared" si="125"/>
        <v/>
      </c>
      <c r="AV77" s="466">
        <v>1</v>
      </c>
      <c r="AW77" s="466" t="str">
        <f t="shared" si="126"/>
        <v/>
      </c>
      <c r="AX77" s="535" t="b">
        <f t="shared" si="153"/>
        <v>1</v>
      </c>
      <c r="AY77" s="466" t="str">
        <f t="shared" si="140"/>
        <v/>
      </c>
      <c r="AZ77" s="466" t="str">
        <f t="shared" si="128"/>
        <v/>
      </c>
      <c r="BA77" s="466" t="str">
        <f t="shared" si="147"/>
        <v/>
      </c>
      <c r="BB77" s="466" t="str">
        <f>IF(F77="","",F77)</f>
        <v/>
      </c>
      <c r="BC77" s="466" t="str">
        <f t="shared" si="156"/>
        <v/>
      </c>
      <c r="BD77" s="466" t="str">
        <f>IF(BC77&lt;&gt;"義務","",SUMIFS(非_まとめ表行番号!$N$3:$N$20,非_まとめ表行番号!$J$3:$J$20,AY77,非_まとめ表行番号!$K$3:$K$20,AZ77,非_まとめ表行番号!$L$3:$L$20,BA77,非_まとめ表行番号!$M$3:$M$20,BB77))</f>
        <v/>
      </c>
      <c r="BE77" s="466" t="str">
        <f>IF(BC77&lt;&gt;"義務","",SUMIFS(非_まとめ表行番号!$O$3:$O$20,非_まとめ表行番号!$J$3:$J$20,AY77,非_まとめ表行番号!$K$3:$K$20,AZ77,非_まとめ表行番号!$L$3:$L$20,BA77,非_まとめ表行番号!$M$3:$M$20,BB77))</f>
        <v/>
      </c>
      <c r="BF77" s="466" t="str">
        <f t="shared" si="141"/>
        <v/>
      </c>
      <c r="BG77" s="529"/>
      <c r="BH77" s="525" t="str">
        <f>IF(BD77="","",VLOOKUP(BD77,非_まとめ表行番号!$U$3:$V$56,2,FALSE))</f>
        <v/>
      </c>
      <c r="BI77" s="527" t="str">
        <f>IF(D77="","",VLOOKUP(D77,非_燃料種類_選択リスト!$X$2:$Y$14,2,FALSE))</f>
        <v/>
      </c>
      <c r="BJ77" s="527" t="str">
        <f>IF(E77="","",VLOOKUP(E77,非_燃料種類_選択リスト!$X$18:$Y$24,2,FALSE))</f>
        <v/>
      </c>
      <c r="BK77" s="539" t="str">
        <f t="shared" si="94"/>
        <v/>
      </c>
      <c r="BL77" s="527" t="str">
        <f t="shared" si="142"/>
        <v/>
      </c>
      <c r="BM77" s="527" t="str">
        <f t="shared" si="143"/>
        <v/>
      </c>
      <c r="BN77" s="527" t="str">
        <f t="shared" si="144"/>
        <v/>
      </c>
      <c r="BO77" s="542" t="str">
        <f t="shared" si="145"/>
        <v/>
      </c>
      <c r="BQ77" s="639" t="str">
        <f>IF(AND(B77="",C77=""),"",IF(AZ77="有",0,VLOOKUP(C77,非_係数!$B$42:$J$55,9,FALSE)))</f>
        <v/>
      </c>
      <c r="BR77" s="639" t="str">
        <f t="shared" si="157"/>
        <v/>
      </c>
    </row>
    <row r="78" spans="1:70" ht="18.75" customHeight="1" thickBot="1">
      <c r="A78" s="485"/>
      <c r="B78" s="411"/>
      <c r="C78" s="411"/>
      <c r="D78" s="411"/>
      <c r="E78" s="410"/>
      <c r="F78" s="410"/>
      <c r="G78" s="411"/>
      <c r="H78" s="619" t="str">
        <f t="shared" si="132"/>
        <v/>
      </c>
      <c r="I78" s="411"/>
      <c r="J78" s="459" t="str">
        <f t="shared" si="118"/>
        <v/>
      </c>
      <c r="K78" s="411"/>
      <c r="L78" s="459"/>
      <c r="M78" s="411"/>
      <c r="N78" s="411"/>
      <c r="O78" s="459"/>
      <c r="P78" s="459"/>
      <c r="Q78" s="459"/>
      <c r="R78" s="459"/>
      <c r="S78" s="459"/>
      <c r="T78" s="459"/>
      <c r="U78" s="459"/>
      <c r="V78" s="459"/>
      <c r="W78" s="459"/>
      <c r="X78" s="459"/>
      <c r="Y78" s="459"/>
      <c r="Z78" s="459"/>
      <c r="AA78" s="505"/>
      <c r="AB78" s="599" t="str">
        <f t="shared" si="146"/>
        <v/>
      </c>
      <c r="AC78" s="600" t="str">
        <f t="shared" si="133"/>
        <v/>
      </c>
      <c r="AD78" s="601" t="str">
        <f>IF(C78="","",VLOOKUP(C78,非_単位!$N$38:$O$53,2,FALSE))</f>
        <v/>
      </c>
      <c r="AE78" s="602" t="str">
        <f t="shared" si="134"/>
        <v/>
      </c>
      <c r="AF78" s="593" t="str">
        <f t="shared" si="135"/>
        <v/>
      </c>
      <c r="AH78" s="466" t="str">
        <f t="shared" si="119"/>
        <v/>
      </c>
      <c r="AI78" s="466" t="str">
        <f t="shared" si="136"/>
        <v/>
      </c>
      <c r="AJ78" s="466" t="str">
        <f t="shared" si="120"/>
        <v/>
      </c>
      <c r="AK78" s="466" t="str">
        <f t="shared" si="121"/>
        <v/>
      </c>
      <c r="AL78" s="639" t="str">
        <f t="shared" si="137"/>
        <v/>
      </c>
      <c r="AM78" s="466" t="str">
        <f t="shared" si="122"/>
        <v/>
      </c>
      <c r="AN78" s="466" t="str">
        <f t="shared" si="138"/>
        <v/>
      </c>
      <c r="AO78" s="466" t="str">
        <f t="shared" si="123"/>
        <v/>
      </c>
      <c r="AP78" s="466" t="str">
        <f t="shared" si="124"/>
        <v/>
      </c>
      <c r="AQ78" s="466" t="str">
        <f>IF(C78="","",IF(AP78="対象","熱量計読取",VLOOKUP(C78,非_係数!$B$42:$D$55,2,FALSE)))</f>
        <v/>
      </c>
      <c r="AR78" s="466" t="str">
        <f>IF(AH78="電気",非_電気事業者!$S$4*1000,IF(AH78="熱",非_熱供給事業者!$T$4,""))</f>
        <v/>
      </c>
      <c r="AS78" s="466" t="str">
        <f>IF(N78="","",VLOOKUP(N78,非_単位補正換算!$B$3:$C$16,2,FALSE))</f>
        <v/>
      </c>
      <c r="AT78" s="466" t="str">
        <f t="shared" si="139"/>
        <v/>
      </c>
      <c r="AU78" s="466" t="str">
        <f t="shared" si="125"/>
        <v/>
      </c>
      <c r="AV78" s="466">
        <v>1</v>
      </c>
      <c r="AW78" s="466" t="str">
        <f t="shared" si="126"/>
        <v/>
      </c>
      <c r="AX78" s="535" t="b">
        <f t="shared" si="153"/>
        <v>1</v>
      </c>
      <c r="AY78" s="466" t="str">
        <f t="shared" si="140"/>
        <v/>
      </c>
      <c r="AZ78" s="466" t="str">
        <f t="shared" si="128"/>
        <v/>
      </c>
      <c r="BA78" s="466" t="str">
        <f t="shared" si="147"/>
        <v/>
      </c>
      <c r="BB78" s="466" t="str">
        <f>IF(F78="","",F78)</f>
        <v/>
      </c>
      <c r="BC78" s="466" t="str">
        <f t="shared" si="156"/>
        <v/>
      </c>
      <c r="BD78" s="466" t="str">
        <f>IF(BC78&lt;&gt;"義務","",SUMIFS(非_まとめ表行番号!$N$3:$N$20,非_まとめ表行番号!$J$3:$J$20,AY78,非_まとめ表行番号!$K$3:$K$20,AZ78,非_まとめ表行番号!$L$3:$L$20,BA78,非_まとめ表行番号!$M$3:$M$20,BB78))</f>
        <v/>
      </c>
      <c r="BE78" s="466" t="str">
        <f>IF(BC78&lt;&gt;"義務","",SUMIFS(非_まとめ表行番号!$O$3:$O$20,非_まとめ表行番号!$J$3:$J$20,AY78,非_まとめ表行番号!$K$3:$K$20,AZ78,非_まとめ表行番号!$L$3:$L$20,BA78,非_まとめ表行番号!$M$3:$M$20,BB78))</f>
        <v/>
      </c>
      <c r="BF78" s="466" t="str">
        <f t="shared" si="141"/>
        <v/>
      </c>
      <c r="BG78" s="529"/>
      <c r="BH78" s="525" t="str">
        <f>IF(BD78="","",VLOOKUP(BD78,非_まとめ表行番号!$U$3:$V$56,2,FALSE))</f>
        <v/>
      </c>
      <c r="BI78" s="527" t="str">
        <f>IF(D78="","",VLOOKUP(D78,非_燃料種類_選択リスト!$X$2:$Y$14,2,FALSE))</f>
        <v/>
      </c>
      <c r="BJ78" s="527" t="str">
        <f>IF(E78="","",VLOOKUP(E78,非_燃料種類_選択リスト!$X$18:$Y$24,2,FALSE))</f>
        <v/>
      </c>
      <c r="BK78" s="539" t="str">
        <f t="shared" si="94"/>
        <v/>
      </c>
      <c r="BL78" s="527" t="str">
        <f t="shared" si="142"/>
        <v/>
      </c>
      <c r="BM78" s="527" t="str">
        <f t="shared" si="143"/>
        <v/>
      </c>
      <c r="BN78" s="527" t="str">
        <f t="shared" si="144"/>
        <v/>
      </c>
      <c r="BO78" s="542" t="str">
        <f t="shared" si="145"/>
        <v/>
      </c>
      <c r="BQ78" s="639" t="str">
        <f>IF(AND(B78="",C78=""),"",IF(AZ78="有",0,VLOOKUP(C78,非_係数!$B$42:$J$55,9,FALSE)))</f>
        <v/>
      </c>
      <c r="BR78" s="639" t="str">
        <f t="shared" si="157"/>
        <v/>
      </c>
    </row>
  </sheetData>
  <sheetProtection algorithmName="SHA-512" hashValue="8cEH6EAclaJetTM7j95A9pxQpCG1Gd1FSvdU8zxa7AJxFCXn6yoEIsj26aiim+M7Zp4J5mqrZy1VbrSmd1GIvA==" saltValue="xJReNfjnPZqmnFM52l6fag==" spinCount="100000" sheet="1" objects="1" scenarios="1"/>
  <mergeCells count="34">
    <mergeCell ref="AX4:AX5"/>
    <mergeCell ref="AU4:AU5"/>
    <mergeCell ref="AW4:AW5"/>
    <mergeCell ref="AV4:AV5"/>
    <mergeCell ref="AM4:AM5"/>
    <mergeCell ref="AN4:AN5"/>
    <mergeCell ref="AQ4:AQ5"/>
    <mergeCell ref="AP4:AP5"/>
    <mergeCell ref="AO4:AO5"/>
    <mergeCell ref="AS4:AS5"/>
    <mergeCell ref="AT4:AT5"/>
    <mergeCell ref="K4:K5"/>
    <mergeCell ref="G4:G5"/>
    <mergeCell ref="D4:F4"/>
    <mergeCell ref="AL4:AL5"/>
    <mergeCell ref="AH4:AH5"/>
    <mergeCell ref="AI4:AI5"/>
    <mergeCell ref="N4:N5"/>
    <mergeCell ref="C4:C5"/>
    <mergeCell ref="AJ4:AJ5"/>
    <mergeCell ref="AK4:AK5"/>
    <mergeCell ref="AE1:AF1"/>
    <mergeCell ref="AF4:AF5"/>
    <mergeCell ref="A2:F2"/>
    <mergeCell ref="AE4:AE5"/>
    <mergeCell ref="AE2:AF2"/>
    <mergeCell ref="AC4:AD5"/>
    <mergeCell ref="AA1:AB1"/>
    <mergeCell ref="AB4:AB5"/>
    <mergeCell ref="A4:A5"/>
    <mergeCell ref="B4:B5"/>
    <mergeCell ref="H4:H5"/>
    <mergeCell ref="I4:J4"/>
    <mergeCell ref="L4:M4"/>
  </mergeCells>
  <phoneticPr fontId="5"/>
  <conditionalFormatting sqref="E7:E36">
    <cfRule type="expression" dxfId="23" priority="102">
      <formula>D7="バイオマス"</formula>
    </cfRule>
  </conditionalFormatting>
  <conditionalFormatting sqref="E38:E67">
    <cfRule type="expression" dxfId="22" priority="105">
      <formula>D38="バイオマス"</formula>
    </cfRule>
  </conditionalFormatting>
  <conditionalFormatting sqref="E69:E78">
    <cfRule type="expression" dxfId="21" priority="44">
      <formula>D69="バイオマス"</formula>
    </cfRule>
  </conditionalFormatting>
  <conditionalFormatting sqref="F7:F36">
    <cfRule type="expression" dxfId="20" priority="101">
      <formula>D7="バイオマス"</formula>
    </cfRule>
  </conditionalFormatting>
  <conditionalFormatting sqref="G7:G36">
    <cfRule type="expression" dxfId="19" priority="99">
      <formula>C7="電気_仮想電力購入契約"</formula>
    </cfRule>
  </conditionalFormatting>
  <conditionalFormatting sqref="G38:G67">
    <cfRule type="expression" dxfId="18" priority="103">
      <formula>C38="電気_仮想電力購入契約"</formula>
    </cfRule>
  </conditionalFormatting>
  <conditionalFormatting sqref="G69:G78">
    <cfRule type="expression" dxfId="17" priority="96">
      <formula>C69="電気_仮想電力購入契約"</formula>
    </cfRule>
  </conditionalFormatting>
  <conditionalFormatting sqref="H7:H36">
    <cfRule type="expression" dxfId="16" priority="100">
      <formula>C7="電気_仮想電力購入契約"</formula>
    </cfRule>
  </conditionalFormatting>
  <conditionalFormatting sqref="H38:H67">
    <cfRule type="expression" dxfId="15" priority="106">
      <formula>C38="電気_仮想電力購入契約"</formula>
    </cfRule>
  </conditionalFormatting>
  <conditionalFormatting sqref="H69:H78">
    <cfRule type="expression" dxfId="14" priority="42">
      <formula>C69="電気_仮想電力購入契約"</formula>
    </cfRule>
  </conditionalFormatting>
  <conditionalFormatting sqref="J7:J36">
    <cfRule type="cellIs" dxfId="13" priority="9" operator="equal">
      <formula>"要記入"</formula>
    </cfRule>
  </conditionalFormatting>
  <conditionalFormatting sqref="J38:J67">
    <cfRule type="cellIs" dxfId="12" priority="8" operator="equal">
      <formula>"要記入"</formula>
    </cfRule>
  </conditionalFormatting>
  <conditionalFormatting sqref="J69:J78">
    <cfRule type="cellIs" dxfId="11" priority="7" operator="equal">
      <formula>"要記入"</formula>
    </cfRule>
  </conditionalFormatting>
  <conditionalFormatting sqref="L7:M36">
    <cfRule type="expression" dxfId="10" priority="6">
      <formula>$K7&lt;&gt;"計量器の実測値"</formula>
    </cfRule>
  </conditionalFormatting>
  <conditionalFormatting sqref="L38:M67">
    <cfRule type="expression" dxfId="9" priority="5">
      <formula>$K38&lt;&gt;"計量器の実測値"</formula>
    </cfRule>
  </conditionalFormatting>
  <conditionalFormatting sqref="L69:M78">
    <cfRule type="expression" dxfId="8" priority="4">
      <formula>$K69&lt;&gt;"計量器の実測値"</formula>
    </cfRule>
  </conditionalFormatting>
  <conditionalFormatting sqref="AE7:AE36">
    <cfRule type="expression" dxfId="7" priority="98">
      <formula>C7="電気_仮想電力購入契約"</formula>
    </cfRule>
  </conditionalFormatting>
  <conditionalFormatting sqref="AE38:AE67">
    <cfRule type="expression" dxfId="6" priority="104">
      <formula>C38="電気_仮想電力購入契約"</formula>
    </cfRule>
  </conditionalFormatting>
  <conditionalFormatting sqref="AE69:AE78">
    <cfRule type="expression" dxfId="5" priority="94">
      <formula>C69="電気_仮想電力購入契約"</formula>
    </cfRule>
  </conditionalFormatting>
  <conditionalFormatting sqref="J7:J36 J38:J67 J69:J78">
    <cfRule type="expression" dxfId="4" priority="3">
      <formula>$AX7=FALSE</formula>
    </cfRule>
  </conditionalFormatting>
  <conditionalFormatting sqref="AA7:AA36 AA38:AA67 AA69:AA78">
    <cfRule type="expression" dxfId="3" priority="2">
      <formula>OR($M7="有",$M7="")</formula>
    </cfRule>
  </conditionalFormatting>
  <conditionalFormatting sqref="F69:F78">
    <cfRule type="expression" dxfId="2" priority="1">
      <formula>AND(D69="バイオマス",LEFT(B69,5)="自家消費_")</formula>
    </cfRule>
  </conditionalFormatting>
  <dataValidations count="11">
    <dataValidation type="list" allowBlank="1" showInputMessage="1" showErrorMessage="1" sqref="G38:G67 C38:E67 C69:G78 C7:G36" xr:uid="{00000000-0002-0000-0600-000000000000}">
      <formula1>INDIRECT(AI7)</formula1>
    </dataValidation>
    <dataValidation type="list" allowBlank="1" showInputMessage="1" showErrorMessage="1" sqref="M69:M78 M7:M36 M38:M67" xr:uid="{00000000-0002-0000-0600-000001000000}">
      <formula1>計量器_検定有無_選択</formula1>
    </dataValidation>
    <dataValidation type="list" allowBlank="1" showInputMessage="1" showErrorMessage="1" sqref="N38:N67 N7:N36 N69:N78" xr:uid="{00000000-0002-0000-0600-000002000000}">
      <formula1>INDIRECT(C7&amp;"_単位")</formula1>
    </dataValidation>
    <dataValidation type="list" allowBlank="1" showInputMessage="1" showErrorMessage="1" sqref="I38:I67 I69:I78 I7:I36" xr:uid="{00000000-0002-0000-0600-000003000000}">
      <formula1>INDIRECT(AN7)</formula1>
    </dataValidation>
    <dataValidation type="list" allowBlank="1" showInputMessage="1" showErrorMessage="1" sqref="K69:K78 K38:K67" xr:uid="{00000000-0002-0000-0600-000005000000}">
      <formula1>再エネ_把握方法_選択_事業所外</formula1>
    </dataValidation>
    <dataValidation type="list" allowBlank="1" showInputMessage="1" showErrorMessage="1" sqref="K7:K36" xr:uid="{00000000-0002-0000-0600-000006000000}">
      <formula1>再エネ_把握方法_選択_事業所内</formula1>
    </dataValidation>
    <dataValidation imeMode="disabled" allowBlank="1" showInputMessage="1" showErrorMessage="1" sqref="O7:Z36 O69:Z78 O38:Z67" xr:uid="{00000000-0002-0000-0600-000007000000}"/>
    <dataValidation type="list" allowBlank="1" showInputMessage="1" showErrorMessage="1" sqref="B38:B67" xr:uid="{00000000-0002-0000-0600-000008000000}">
      <formula1>再エネ電気熱_排出活動②</formula1>
    </dataValidation>
    <dataValidation type="list" allowBlank="1" showInputMessage="1" showErrorMessage="1" sqref="B7:B36" xr:uid="{00000000-0002-0000-0600-000009000000}">
      <formula1>再エネ電気熱_排出活動①</formula1>
    </dataValidation>
    <dataValidation type="list" allowBlank="1" showInputMessage="1" showErrorMessage="1" sqref="B69:B78" xr:uid="{00000000-0002-0000-0600-00000A000000}">
      <formula1>再エネ電気熱_排出活動③</formula1>
    </dataValidation>
    <dataValidation type="list" imeMode="disabled" allowBlank="1" showInputMessage="1" showErrorMessage="1" sqref="AA7:AA36 AA69:AA78 AA38:AA67" xr:uid="{00000000-0002-0000-0600-00000B000000}">
      <formula1>INDIRECT(BF7)</formula1>
    </dataValidation>
  </dataValidations>
  <pageMargins left="0.59055118110236227" right="0.39370078740157483" top="0.59055118110236227" bottom="0.59055118110236227" header="0.31496062992125984" footer="0.31496062992125984"/>
  <pageSetup paperSize="9" scale="3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32"/>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sheetView>
  </sheetViews>
  <sheetFormatPr defaultColWidth="9" defaultRowHeight="18" outlineLevelCol="1"/>
  <cols>
    <col min="1" max="1" width="6.25" style="67" customWidth="1"/>
    <col min="2" max="2" width="17.5" style="67" customWidth="1"/>
    <col min="3" max="3" width="23.25" style="67" customWidth="1"/>
    <col min="4" max="4" width="17.375" style="67" customWidth="1"/>
    <col min="5" max="5" width="9.625" style="67" customWidth="1"/>
    <col min="6" max="6" width="13.375" style="67" customWidth="1"/>
    <col min="7" max="7" width="11.25" style="68" hidden="1" customWidth="1" outlineLevel="1"/>
    <col min="8" max="8" width="7.375" style="67" hidden="1" customWidth="1" outlineLevel="1"/>
    <col min="9" max="9" width="10" style="88" customWidth="1" collapsed="1"/>
    <col min="10" max="10" width="14.5" style="88" customWidth="1"/>
    <col min="11" max="11" width="11.5" style="88" customWidth="1"/>
    <col min="12" max="12" width="10.625" style="88" bestFit="1" customWidth="1"/>
    <col min="13" max="13" width="9" style="88"/>
    <col min="14" max="14" width="15.25" style="88" hidden="1" customWidth="1" outlineLevel="1"/>
    <col min="15" max="15" width="32.5" style="88" hidden="1" customWidth="1" outlineLevel="1"/>
    <col min="16" max="16" width="21.625" style="88" hidden="1" customWidth="1" outlineLevel="1"/>
    <col min="17" max="17" width="24.25" style="88" hidden="1" customWidth="1" outlineLevel="1"/>
    <col min="18" max="18" width="9" style="88" collapsed="1"/>
    <col min="19" max="16384" width="9" style="88"/>
  </cols>
  <sheetData>
    <row r="1" spans="1:17">
      <c r="A1" s="3" t="s">
        <v>311</v>
      </c>
      <c r="B1" s="3"/>
      <c r="C1" s="3"/>
      <c r="D1" s="3"/>
      <c r="E1" s="3"/>
      <c r="F1" s="3"/>
      <c r="G1" s="239" t="s">
        <v>865</v>
      </c>
      <c r="H1" s="239" t="s">
        <v>865</v>
      </c>
      <c r="I1" s="900" t="s">
        <v>335</v>
      </c>
      <c r="J1" s="901"/>
      <c r="K1" s="897" t="str">
        <f>IF(事業所概要_算定体制!D13="","",事業所概要_算定体制!D13)</f>
        <v/>
      </c>
      <c r="L1" s="898"/>
      <c r="N1" s="126"/>
      <c r="O1" s="126"/>
      <c r="P1" s="126"/>
      <c r="Q1" s="126"/>
    </row>
    <row r="2" spans="1:17">
      <c r="A2" s="127" t="s">
        <v>306</v>
      </c>
      <c r="B2" s="3"/>
      <c r="C2" s="3"/>
      <c r="D2" s="3"/>
      <c r="E2" s="3"/>
      <c r="F2" s="3"/>
      <c r="G2" s="240">
        <v>0</v>
      </c>
      <c r="I2" s="52"/>
      <c r="J2" s="52"/>
      <c r="K2" s="899" t="str">
        <f>CONCATENATE(事業所概要_算定体制!$B$3,事業所概要_算定体制!$C$3,"年度")</f>
        <v>令和７年度</v>
      </c>
      <c r="L2" s="899"/>
      <c r="N2" s="126"/>
      <c r="O2" s="126"/>
      <c r="P2" s="126"/>
      <c r="Q2" s="126"/>
    </row>
    <row r="3" spans="1:17">
      <c r="A3" s="127"/>
      <c r="B3" s="3"/>
      <c r="C3" s="3"/>
      <c r="D3" s="3"/>
      <c r="E3" s="3"/>
      <c r="F3" s="3"/>
      <c r="G3" s="240"/>
      <c r="H3" s="240"/>
      <c r="I3" s="52"/>
      <c r="J3" s="52"/>
      <c r="K3" s="52"/>
      <c r="L3" s="52"/>
      <c r="N3" s="126"/>
      <c r="O3" s="126"/>
      <c r="P3" s="126"/>
      <c r="Q3" s="126"/>
    </row>
    <row r="4" spans="1:17" ht="18.75" thickBot="1">
      <c r="A4" s="127"/>
      <c r="B4" s="3"/>
      <c r="C4" s="3"/>
      <c r="D4" s="3"/>
      <c r="E4" s="3"/>
      <c r="F4" s="3"/>
      <c r="G4" s="240"/>
      <c r="H4" s="240"/>
      <c r="I4" s="52"/>
      <c r="J4" s="52"/>
      <c r="K4" s="52"/>
      <c r="L4" s="52"/>
      <c r="N4" s="126"/>
      <c r="O4" s="126"/>
      <c r="P4" s="126"/>
      <c r="Q4" s="126"/>
    </row>
    <row r="5" spans="1:17" ht="18.75" customHeight="1">
      <c r="A5" s="888"/>
      <c r="B5" s="891" t="s">
        <v>169</v>
      </c>
      <c r="C5" s="891" t="s">
        <v>86</v>
      </c>
      <c r="D5" s="891"/>
      <c r="E5" s="894" t="s">
        <v>87</v>
      </c>
      <c r="F5" s="861" t="s">
        <v>224</v>
      </c>
      <c r="G5" s="864" t="s">
        <v>877</v>
      </c>
      <c r="H5" s="864"/>
      <c r="I5" s="861" t="s">
        <v>333</v>
      </c>
      <c r="J5" s="861"/>
      <c r="K5" s="861" t="s">
        <v>334</v>
      </c>
      <c r="L5" s="867"/>
      <c r="N5" s="860" t="s">
        <v>90</v>
      </c>
      <c r="O5" s="859" t="s">
        <v>866</v>
      </c>
      <c r="P5" s="860" t="s">
        <v>870</v>
      </c>
      <c r="Q5" s="860" t="s">
        <v>871</v>
      </c>
    </row>
    <row r="6" spans="1:17" ht="51.75" customHeight="1">
      <c r="A6" s="889"/>
      <c r="B6" s="892"/>
      <c r="C6" s="892"/>
      <c r="D6" s="892"/>
      <c r="E6" s="895"/>
      <c r="F6" s="862"/>
      <c r="G6" s="865"/>
      <c r="H6" s="865"/>
      <c r="I6" s="862"/>
      <c r="J6" s="862"/>
      <c r="K6" s="862"/>
      <c r="L6" s="868"/>
      <c r="N6" s="860"/>
      <c r="O6" s="859"/>
      <c r="P6" s="860"/>
      <c r="Q6" s="860"/>
    </row>
    <row r="7" spans="1:17" ht="19.5" customHeight="1" thickBot="1">
      <c r="A7" s="890"/>
      <c r="B7" s="893"/>
      <c r="C7" s="893"/>
      <c r="D7" s="893"/>
      <c r="E7" s="896"/>
      <c r="F7" s="863"/>
      <c r="G7" s="866"/>
      <c r="H7" s="866"/>
      <c r="I7" s="863"/>
      <c r="J7" s="863"/>
      <c r="K7" s="863"/>
      <c r="L7" s="869"/>
      <c r="N7" s="860"/>
      <c r="O7" s="859"/>
      <c r="P7" s="860"/>
      <c r="Q7" s="860"/>
    </row>
    <row r="8" spans="1:17" ht="21">
      <c r="A8" s="870" t="s">
        <v>170</v>
      </c>
      <c r="B8" s="874" t="s">
        <v>171</v>
      </c>
      <c r="C8" s="872" t="s">
        <v>101</v>
      </c>
      <c r="D8" s="873"/>
      <c r="E8" s="412" t="s">
        <v>436</v>
      </c>
      <c r="F8" s="279"/>
      <c r="G8" s="243" t="str">
        <f>IF(F8="","",IF(E8="","",F8/N8))</f>
        <v/>
      </c>
      <c r="H8" s="248" t="s">
        <v>207</v>
      </c>
      <c r="I8" s="271">
        <v>18</v>
      </c>
      <c r="J8" s="255" t="s">
        <v>192</v>
      </c>
      <c r="K8" s="274">
        <v>1.07</v>
      </c>
      <c r="L8" s="256" t="s">
        <v>867</v>
      </c>
      <c r="N8" s="235">
        <f>IF(E8="","",VLOOKUP(E8,非_単位補正換算!$B$3:$C$16,2,FALSE))</f>
        <v>1000</v>
      </c>
      <c r="O8" s="235" t="str">
        <f>"非_単位!$C$"&amp;MATCH(C8,非_単位!B:B,0)&amp;":$D$"&amp;MATCH(C8,非_単位!B:B,0)</f>
        <v>非_単位!$C$56:$D$56</v>
      </c>
      <c r="P8" s="235" t="str">
        <f>IF(G8="","",IF(I8="","",G8*I8))</f>
        <v/>
      </c>
      <c r="Q8" s="235" t="str">
        <f>IF(G8="","",IF(K8="","",G8*K8))</f>
        <v/>
      </c>
    </row>
    <row r="9" spans="1:17" ht="21">
      <c r="A9" s="870"/>
      <c r="B9" s="875"/>
      <c r="C9" s="663" t="s">
        <v>102</v>
      </c>
      <c r="D9" s="665"/>
      <c r="E9" s="412" t="s">
        <v>436</v>
      </c>
      <c r="F9" s="280"/>
      <c r="G9" s="244" t="str">
        <f t="shared" ref="G9:G31" si="0">IF(F9="","",IF(E9="","",F9/N9))</f>
        <v/>
      </c>
      <c r="H9" s="249" t="s">
        <v>207</v>
      </c>
      <c r="I9" s="272">
        <v>26.9</v>
      </c>
      <c r="J9" s="257" t="s">
        <v>192</v>
      </c>
      <c r="K9" s="274">
        <v>1.64</v>
      </c>
      <c r="L9" s="258" t="s">
        <v>867</v>
      </c>
      <c r="N9" s="235">
        <f>IF(E9="","",VLOOKUP(E9,非_単位補正換算!$B$3:$C$16,2,FALSE))</f>
        <v>1000</v>
      </c>
      <c r="O9" s="235" t="str">
        <f>"非_単位!$C$"&amp;MATCH(C9,非_単位!B:B,0)&amp;":$D$"&amp;MATCH(C9,非_単位!B:B,0)</f>
        <v>非_単位!$C$57:$D$57</v>
      </c>
      <c r="P9" s="235" t="str">
        <f t="shared" ref="P9:P31" si="1">IF(G9="","",IF(I9="","",G9*I9))</f>
        <v/>
      </c>
      <c r="Q9" s="235" t="str">
        <f t="shared" ref="Q9:Q18" si="2">IF(G9="","",IF(K9="","",G9*K9))</f>
        <v/>
      </c>
    </row>
    <row r="10" spans="1:17" ht="21">
      <c r="A10" s="870"/>
      <c r="B10" s="875"/>
      <c r="C10" s="663" t="s">
        <v>103</v>
      </c>
      <c r="D10" s="665"/>
      <c r="E10" s="412" t="s">
        <v>436</v>
      </c>
      <c r="F10" s="280"/>
      <c r="G10" s="244" t="str">
        <f t="shared" si="0"/>
        <v/>
      </c>
      <c r="H10" s="249" t="s">
        <v>207</v>
      </c>
      <c r="I10" s="272">
        <v>33.200000000000003</v>
      </c>
      <c r="J10" s="257" t="s">
        <v>192</v>
      </c>
      <c r="K10" s="274">
        <v>1.64</v>
      </c>
      <c r="L10" s="258" t="s">
        <v>867</v>
      </c>
      <c r="N10" s="235">
        <f>IF(E10="","",VLOOKUP(E10,非_単位補正換算!$B$3:$C$16,2,FALSE))</f>
        <v>1000</v>
      </c>
      <c r="O10" s="235" t="str">
        <f>"非_単位!$C$"&amp;MATCH(C10,非_単位!B:B,0)&amp;":$D$"&amp;MATCH(C10,非_単位!B:B,0)</f>
        <v>非_単位!$C$58:$D$58</v>
      </c>
      <c r="P10" s="235" t="str">
        <f t="shared" si="1"/>
        <v/>
      </c>
      <c r="Q10" s="235" t="str">
        <f t="shared" si="2"/>
        <v/>
      </c>
    </row>
    <row r="11" spans="1:17" ht="21">
      <c r="A11" s="870"/>
      <c r="B11" s="875"/>
      <c r="C11" s="663" t="s">
        <v>104</v>
      </c>
      <c r="D11" s="665"/>
      <c r="E11" s="412" t="s">
        <v>436</v>
      </c>
      <c r="F11" s="280"/>
      <c r="G11" s="244" t="str">
        <f t="shared" si="0"/>
        <v/>
      </c>
      <c r="H11" s="249" t="s">
        <v>207</v>
      </c>
      <c r="I11" s="272">
        <v>29.3</v>
      </c>
      <c r="J11" s="257" t="s">
        <v>192</v>
      </c>
      <c r="K11" s="274">
        <v>2.76</v>
      </c>
      <c r="L11" s="258" t="s">
        <v>867</v>
      </c>
      <c r="N11" s="235">
        <f>IF(E11="","",VLOOKUP(E11,非_単位補正換算!$B$3:$C$16,2,FALSE))</f>
        <v>1000</v>
      </c>
      <c r="O11" s="235" t="str">
        <f>"非_単位!$C$"&amp;MATCH(C11,非_単位!B:B,0)&amp;":$D$"&amp;MATCH(C11,非_単位!B:B,0)</f>
        <v>非_単位!$C$59:$D$59</v>
      </c>
      <c r="P11" s="235" t="str">
        <f t="shared" si="1"/>
        <v/>
      </c>
      <c r="Q11" s="235" t="str">
        <f t="shared" si="2"/>
        <v/>
      </c>
    </row>
    <row r="12" spans="1:17" ht="21">
      <c r="A12" s="870"/>
      <c r="B12" s="875"/>
      <c r="C12" s="663" t="s">
        <v>105</v>
      </c>
      <c r="D12" s="665"/>
      <c r="E12" s="412" t="s">
        <v>436</v>
      </c>
      <c r="F12" s="280"/>
      <c r="G12" s="244" t="str">
        <f t="shared" si="0"/>
        <v/>
      </c>
      <c r="H12" s="249" t="s">
        <v>207</v>
      </c>
      <c r="I12" s="272">
        <v>29.3</v>
      </c>
      <c r="J12" s="257" t="s">
        <v>192</v>
      </c>
      <c r="K12" s="274">
        <v>2.57</v>
      </c>
      <c r="L12" s="258" t="s">
        <v>867</v>
      </c>
      <c r="N12" s="235">
        <f>IF(E12="","",VLOOKUP(E12,非_単位補正換算!$B$3:$C$16,2,FALSE))</f>
        <v>1000</v>
      </c>
      <c r="O12" s="235" t="str">
        <f>"非_単位!$C$"&amp;MATCH(C12,非_単位!B:B,0)&amp;":$D$"&amp;MATCH(C12,非_単位!B:B,0)</f>
        <v>非_単位!$C$60:$D$60</v>
      </c>
      <c r="P12" s="235" t="str">
        <f t="shared" si="1"/>
        <v/>
      </c>
      <c r="Q12" s="235" t="str">
        <f t="shared" si="2"/>
        <v/>
      </c>
    </row>
    <row r="13" spans="1:17" ht="69.95" customHeight="1">
      <c r="A13" s="870"/>
      <c r="B13" s="875"/>
      <c r="C13" s="663" t="s">
        <v>106</v>
      </c>
      <c r="D13" s="665"/>
      <c r="E13" s="412" t="s">
        <v>435</v>
      </c>
      <c r="F13" s="280"/>
      <c r="G13" s="244" t="str">
        <f t="shared" si="0"/>
        <v/>
      </c>
      <c r="H13" s="249" t="s">
        <v>8</v>
      </c>
      <c r="I13" s="272">
        <v>40.200000000000003</v>
      </c>
      <c r="J13" s="257" t="s">
        <v>193</v>
      </c>
      <c r="K13" s="274">
        <v>2.64</v>
      </c>
      <c r="L13" s="258" t="s">
        <v>868</v>
      </c>
      <c r="N13" s="235">
        <f>IF(E13="","",VLOOKUP(E13,非_単位補正換算!$B$3:$C$16,2,FALSE))</f>
        <v>1000</v>
      </c>
      <c r="O13" s="235" t="str">
        <f>"非_単位!$C$"&amp;MATCH(C13,非_単位!B:B,0)&amp;":$D$"&amp;MATCH(C13,非_単位!B:B,0)</f>
        <v>非_単位!$C$61:$D$61</v>
      </c>
      <c r="P13" s="235" t="str">
        <f t="shared" si="1"/>
        <v/>
      </c>
      <c r="Q13" s="235" t="str">
        <f t="shared" si="2"/>
        <v/>
      </c>
    </row>
    <row r="14" spans="1:17" ht="41.25" customHeight="1">
      <c r="A14" s="870"/>
      <c r="B14" s="875"/>
      <c r="C14" s="663" t="s">
        <v>107</v>
      </c>
      <c r="D14" s="665"/>
      <c r="E14" s="412" t="s">
        <v>435</v>
      </c>
      <c r="F14" s="280"/>
      <c r="G14" s="244" t="str">
        <f t="shared" si="0"/>
        <v/>
      </c>
      <c r="H14" s="249" t="s">
        <v>8</v>
      </c>
      <c r="I14" s="272">
        <v>38</v>
      </c>
      <c r="J14" s="257" t="s">
        <v>193</v>
      </c>
      <c r="K14" s="274">
        <v>2.62</v>
      </c>
      <c r="L14" s="258" t="s">
        <v>868</v>
      </c>
      <c r="N14" s="235">
        <f>IF(E14="","",VLOOKUP(E14,非_単位補正換算!$B$3:$C$16,2,FALSE))</f>
        <v>1000</v>
      </c>
      <c r="O14" s="235" t="str">
        <f>"非_単位!$C$"&amp;MATCH(C14,非_単位!B:B,0)&amp;":$D$"&amp;MATCH(C14,非_単位!B:B,0)</f>
        <v>非_単位!$C$62:$D$62</v>
      </c>
      <c r="P14" s="235" t="str">
        <f t="shared" si="1"/>
        <v/>
      </c>
      <c r="Q14" s="235" t="str">
        <f t="shared" si="2"/>
        <v/>
      </c>
    </row>
    <row r="15" spans="1:17" ht="24" customHeight="1">
      <c r="A15" s="870"/>
      <c r="B15" s="875"/>
      <c r="C15" s="663" t="s">
        <v>108</v>
      </c>
      <c r="D15" s="665"/>
      <c r="E15" s="412" t="s">
        <v>438</v>
      </c>
      <c r="F15" s="280"/>
      <c r="G15" s="244" t="str">
        <f t="shared" si="0"/>
        <v/>
      </c>
      <c r="H15" s="249" t="s">
        <v>208</v>
      </c>
      <c r="I15" s="272">
        <v>21.2</v>
      </c>
      <c r="J15" s="257" t="s">
        <v>209</v>
      </c>
      <c r="K15" s="275"/>
      <c r="L15" s="259"/>
      <c r="N15" s="235">
        <f>IF(E15="","",VLOOKUP(E15,非_単位補正換算!$B$3:$C$16,2,FALSE))</f>
        <v>1000</v>
      </c>
      <c r="O15" s="235" t="str">
        <f>"非_単位!$C$"&amp;MATCH(C15,非_単位!B:B,0)&amp;":$D$"&amp;MATCH(C15,非_単位!B:B,0)</f>
        <v>非_単位!$C$63:$D$63</v>
      </c>
      <c r="P15" s="235" t="str">
        <f t="shared" si="1"/>
        <v/>
      </c>
      <c r="Q15" s="235" t="str">
        <f t="shared" si="2"/>
        <v/>
      </c>
    </row>
    <row r="16" spans="1:17">
      <c r="A16" s="870"/>
      <c r="B16" s="875"/>
      <c r="C16" s="663" t="s">
        <v>172</v>
      </c>
      <c r="D16" s="665"/>
      <c r="E16" s="412" t="s">
        <v>436</v>
      </c>
      <c r="F16" s="280"/>
      <c r="G16" s="244" t="str">
        <f t="shared" si="0"/>
        <v/>
      </c>
      <c r="H16" s="249" t="s">
        <v>19</v>
      </c>
      <c r="I16" s="272">
        <v>17.100000000000001</v>
      </c>
      <c r="J16" s="257" t="s">
        <v>192</v>
      </c>
      <c r="K16" s="275"/>
      <c r="L16" s="259"/>
      <c r="N16" s="235">
        <f>IF(E16="","",VLOOKUP(E16,非_単位補正換算!$B$3:$C$16,2,FALSE))</f>
        <v>1000</v>
      </c>
      <c r="O16" s="235" t="str">
        <f>"非_単位!$C$"&amp;MATCH(C16,非_単位!B:B,0)&amp;":$D$"&amp;MATCH(C16,非_単位!B:B,0)</f>
        <v>非_単位!$C$64:$D$64</v>
      </c>
      <c r="P16" s="235" t="str">
        <f t="shared" si="1"/>
        <v/>
      </c>
      <c r="Q16" s="235" t="str">
        <f t="shared" si="2"/>
        <v/>
      </c>
    </row>
    <row r="17" spans="1:17">
      <c r="A17" s="870"/>
      <c r="B17" s="875"/>
      <c r="C17" s="902"/>
      <c r="D17" s="903"/>
      <c r="E17" s="412" t="s">
        <v>436</v>
      </c>
      <c r="F17" s="280"/>
      <c r="G17" s="244" t="str">
        <f t="shared" si="0"/>
        <v/>
      </c>
      <c r="H17" s="249" t="str">
        <f>IF(E17="","",E17)</f>
        <v>kg</v>
      </c>
      <c r="I17" s="415"/>
      <c r="J17" s="257" t="str">
        <f>IF(E17="","","GJ/"&amp;E17)</f>
        <v>GJ/kg</v>
      </c>
      <c r="K17" s="417"/>
      <c r="L17" s="258" t="str">
        <f>"t-CO2/"&amp;IF(E17="","入力単位",E17)</f>
        <v>t-CO2/kg</v>
      </c>
      <c r="N17" s="235">
        <f>IF(E17="","",VLOOKUP(E17,非_単位補正換算!$B$3:$C$16,2,FALSE))</f>
        <v>1000</v>
      </c>
      <c r="O17" s="235" t="str">
        <f>"非_単位!$C$"&amp;MATCH(IF(C17="","廃棄物原燃料　自由記入1",C17),非_単位!B:B,0)&amp;":$H$"&amp;MATCH(IF(C17="","廃棄物原燃料　自由記入1",C17),非_単位!B:B,0)</f>
        <v>非_単位!$C$65:$H$65</v>
      </c>
      <c r="P17" s="235" t="str">
        <f t="shared" si="1"/>
        <v/>
      </c>
      <c r="Q17" s="235" t="str">
        <f t="shared" si="2"/>
        <v/>
      </c>
    </row>
    <row r="18" spans="1:17" ht="18" customHeight="1" thickBot="1">
      <c r="A18" s="870"/>
      <c r="B18" s="876"/>
      <c r="C18" s="877"/>
      <c r="D18" s="878"/>
      <c r="E18" s="413" t="s">
        <v>436</v>
      </c>
      <c r="F18" s="281"/>
      <c r="G18" s="245" t="str">
        <f t="shared" si="0"/>
        <v/>
      </c>
      <c r="H18" s="250" t="str">
        <f>IF(E18="","",E18)</f>
        <v>kg</v>
      </c>
      <c r="I18" s="416"/>
      <c r="J18" s="260" t="str">
        <f>IF(E18="","","GJ/"&amp;E18)</f>
        <v>GJ/kg</v>
      </c>
      <c r="K18" s="418"/>
      <c r="L18" s="258" t="str">
        <f>"t-CO2/"&amp;IF(E18="","入力単位",E18)</f>
        <v>t-CO2/kg</v>
      </c>
      <c r="N18" s="235">
        <f>IF(E18="","",VLOOKUP(E18,非_単位補正換算!$B$3:$C$16,2,FALSE))</f>
        <v>1000</v>
      </c>
      <c r="O18" s="235" t="str">
        <f>"非_単位!$C$"&amp;MATCH(IF(C18="","廃棄物原燃料　自由記入2",C18),非_単位!B:B,0)&amp;":$H$"&amp;MATCH(IF(C18="","廃棄物原燃料　自由記入2",C18),非_単位!B:B,0)</f>
        <v>非_単位!$C$66:$H$66</v>
      </c>
      <c r="P18" s="235" t="str">
        <f t="shared" si="1"/>
        <v/>
      </c>
      <c r="Q18" s="235" t="str">
        <f t="shared" si="2"/>
        <v/>
      </c>
    </row>
    <row r="19" spans="1:17" ht="19.5" customHeight="1" thickTop="1">
      <c r="A19" s="870"/>
      <c r="B19" s="881" t="s">
        <v>173</v>
      </c>
      <c r="C19" s="886" t="s">
        <v>174</v>
      </c>
      <c r="D19" s="887"/>
      <c r="E19" s="412" t="s">
        <v>436</v>
      </c>
      <c r="F19" s="620"/>
      <c r="G19" s="246" t="str">
        <f t="shared" si="0"/>
        <v/>
      </c>
      <c r="H19" s="251" t="s">
        <v>19</v>
      </c>
      <c r="I19" s="273">
        <v>13.6</v>
      </c>
      <c r="J19" s="261" t="s">
        <v>192</v>
      </c>
      <c r="K19" s="276"/>
      <c r="L19" s="262"/>
      <c r="N19" s="235">
        <f>IF(E19="","",VLOOKUP(E19,非_単位補正換算!$B$3:$C$16,2,FALSE))</f>
        <v>1000</v>
      </c>
      <c r="O19" s="235" t="str">
        <f>"非_単位!$C$"&amp;MATCH(C19,非_単位!B:B,0)&amp;":$D$"&amp;MATCH(C19,非_単位!B:B,0)</f>
        <v>非_単位!$C$67:$D$67</v>
      </c>
      <c r="P19" s="235" t="str">
        <f t="shared" si="1"/>
        <v/>
      </c>
      <c r="Q19" s="270"/>
    </row>
    <row r="20" spans="1:17">
      <c r="A20" s="870"/>
      <c r="B20" s="882"/>
      <c r="C20" s="884" t="s">
        <v>175</v>
      </c>
      <c r="D20" s="885"/>
      <c r="E20" s="412" t="s">
        <v>436</v>
      </c>
      <c r="F20" s="621"/>
      <c r="G20" s="244" t="str">
        <f t="shared" si="0"/>
        <v/>
      </c>
      <c r="H20" s="252" t="s">
        <v>19</v>
      </c>
      <c r="I20" s="272">
        <v>13.2</v>
      </c>
      <c r="J20" s="263" t="s">
        <v>192</v>
      </c>
      <c r="K20" s="275"/>
      <c r="L20" s="264"/>
      <c r="N20" s="235">
        <f>IF(E20="","",VLOOKUP(E20,非_単位補正換算!$B$3:$C$16,2,FALSE))</f>
        <v>1000</v>
      </c>
      <c r="O20" s="235" t="str">
        <f>"非_単位!$C$"&amp;MATCH(C20,非_単位!B:B,0)&amp;":$D$"&amp;MATCH(C20,非_単位!B:B,0)</f>
        <v>非_単位!$C$68:$D$68</v>
      </c>
      <c r="P20" s="235" t="str">
        <f t="shared" si="1"/>
        <v/>
      </c>
      <c r="Q20" s="270"/>
    </row>
    <row r="21" spans="1:17">
      <c r="A21" s="870"/>
      <c r="B21" s="882"/>
      <c r="C21" s="884" t="s">
        <v>176</v>
      </c>
      <c r="D21" s="885"/>
      <c r="E21" s="412" t="s">
        <v>436</v>
      </c>
      <c r="F21" s="621"/>
      <c r="G21" s="244" t="str">
        <f t="shared" si="0"/>
        <v/>
      </c>
      <c r="H21" s="252" t="s">
        <v>19</v>
      </c>
      <c r="I21" s="272">
        <v>17.100000000000001</v>
      </c>
      <c r="J21" s="263" t="s">
        <v>192</v>
      </c>
      <c r="K21" s="275"/>
      <c r="L21" s="264"/>
      <c r="N21" s="235">
        <f>IF(E21="","",VLOOKUP(E21,非_単位補正換算!$B$3:$C$16,2,FALSE))</f>
        <v>1000</v>
      </c>
      <c r="O21" s="235" t="str">
        <f>"非_単位!$C$"&amp;MATCH(C21,非_単位!B:B,0)&amp;":$D$"&amp;MATCH(C21,非_単位!B:B,0)</f>
        <v>非_単位!$C$69:$D$69</v>
      </c>
      <c r="P21" s="235" t="str">
        <f t="shared" si="1"/>
        <v/>
      </c>
      <c r="Q21" s="270"/>
    </row>
    <row r="22" spans="1:17">
      <c r="A22" s="870"/>
      <c r="B22" s="882"/>
      <c r="C22" s="884" t="s">
        <v>177</v>
      </c>
      <c r="D22" s="885"/>
      <c r="E22" s="412" t="s">
        <v>435</v>
      </c>
      <c r="F22" s="621"/>
      <c r="G22" s="244" t="str">
        <f t="shared" si="0"/>
        <v/>
      </c>
      <c r="H22" s="252" t="s">
        <v>206</v>
      </c>
      <c r="I22" s="272">
        <v>23.4</v>
      </c>
      <c r="J22" s="263" t="s">
        <v>193</v>
      </c>
      <c r="K22" s="275"/>
      <c r="L22" s="264"/>
      <c r="N22" s="235">
        <f>IF(E22="","",VLOOKUP(E22,非_単位補正換算!$B$3:$C$16,2,FALSE))</f>
        <v>1000</v>
      </c>
      <c r="O22" s="235" t="str">
        <f>"非_単位!$C$"&amp;MATCH(C22,非_単位!B:B,0)&amp;":$D$"&amp;MATCH(C22,非_単位!B:B,0)</f>
        <v>非_単位!$C$70:$D$70</v>
      </c>
      <c r="P22" s="235" t="str">
        <f t="shared" si="1"/>
        <v/>
      </c>
      <c r="Q22" s="270"/>
    </row>
    <row r="23" spans="1:17">
      <c r="A23" s="870"/>
      <c r="B23" s="882"/>
      <c r="C23" s="884" t="s">
        <v>1001</v>
      </c>
      <c r="D23" s="885"/>
      <c r="E23" s="412" t="s">
        <v>435</v>
      </c>
      <c r="F23" s="621"/>
      <c r="G23" s="244" t="str">
        <f t="shared" si="0"/>
        <v/>
      </c>
      <c r="H23" s="252" t="s">
        <v>206</v>
      </c>
      <c r="I23" s="272">
        <v>35.6</v>
      </c>
      <c r="J23" s="263" t="s">
        <v>193</v>
      </c>
      <c r="K23" s="275"/>
      <c r="L23" s="264"/>
      <c r="N23" s="235">
        <f>IF(E23="","",VLOOKUP(E23,非_単位補正換算!$B$3:$C$16,2,FALSE))</f>
        <v>1000</v>
      </c>
      <c r="O23" s="235" t="str">
        <f>"非_単位!$C$"&amp;MATCH(C23,非_単位!B:B,0)&amp;":$D$"&amp;MATCH(C23,非_単位!B:B,0)</f>
        <v>非_単位!$C$71:$D$71</v>
      </c>
      <c r="P23" s="235" t="str">
        <f t="shared" si="1"/>
        <v/>
      </c>
      <c r="Q23" s="270"/>
    </row>
    <row r="24" spans="1:17" ht="19.5">
      <c r="A24" s="870"/>
      <c r="B24" s="882"/>
      <c r="C24" s="884" t="s">
        <v>179</v>
      </c>
      <c r="D24" s="885"/>
      <c r="E24" s="412" t="s">
        <v>438</v>
      </c>
      <c r="F24" s="621"/>
      <c r="G24" s="244" t="str">
        <f t="shared" si="0"/>
        <v/>
      </c>
      <c r="H24" s="249" t="s">
        <v>208</v>
      </c>
      <c r="I24" s="272">
        <v>21.2</v>
      </c>
      <c r="J24" s="257" t="s">
        <v>209</v>
      </c>
      <c r="K24" s="275"/>
      <c r="L24" s="265"/>
      <c r="N24" s="235">
        <f>IF(E24="","",VLOOKUP(E24,非_単位補正換算!$B$3:$C$16,2,FALSE))</f>
        <v>1000</v>
      </c>
      <c r="O24" s="235" t="str">
        <f>"非_単位!$C$"&amp;MATCH(C24,非_単位!B:B,0)&amp;":$D$"&amp;MATCH(C24,非_単位!B:B,0)</f>
        <v>非_単位!$C$72:$D$72</v>
      </c>
      <c r="P24" s="235" t="str">
        <f t="shared" si="1"/>
        <v/>
      </c>
      <c r="Q24" s="270"/>
    </row>
    <row r="25" spans="1:17">
      <c r="A25" s="870"/>
      <c r="B25" s="882"/>
      <c r="C25" s="884" t="s">
        <v>180</v>
      </c>
      <c r="D25" s="885"/>
      <c r="E25" s="412" t="s">
        <v>436</v>
      </c>
      <c r="F25" s="621"/>
      <c r="G25" s="244" t="str">
        <f t="shared" si="0"/>
        <v/>
      </c>
      <c r="H25" s="249" t="s">
        <v>210</v>
      </c>
      <c r="I25" s="272">
        <v>13.2</v>
      </c>
      <c r="J25" s="257" t="s">
        <v>192</v>
      </c>
      <c r="K25" s="275"/>
      <c r="L25" s="265"/>
      <c r="N25" s="235">
        <f>IF(E25="","",VLOOKUP(E25,非_単位補正換算!$B$3:$C$16,2,FALSE))</f>
        <v>1000</v>
      </c>
      <c r="O25" s="235" t="str">
        <f>"非_単位!$C$"&amp;MATCH(C25,非_単位!B:B,0)&amp;":$D$"&amp;MATCH(C25,非_単位!B:B,0)</f>
        <v>非_単位!$C$73:$D$73</v>
      </c>
      <c r="P25" s="235" t="str">
        <f t="shared" si="1"/>
        <v/>
      </c>
      <c r="Q25" s="270"/>
    </row>
    <row r="26" spans="1:17">
      <c r="A26" s="870"/>
      <c r="B26" s="882"/>
      <c r="C26" s="906"/>
      <c r="D26" s="907"/>
      <c r="E26" s="412" t="s">
        <v>435</v>
      </c>
      <c r="F26" s="621"/>
      <c r="G26" s="244" t="str">
        <f t="shared" si="0"/>
        <v/>
      </c>
      <c r="H26" s="249" t="str">
        <f>IF(E26="","",E26)</f>
        <v>L</v>
      </c>
      <c r="I26" s="415"/>
      <c r="J26" s="257" t="str">
        <f>IF(E26="","","GJ/"&amp;E26)</f>
        <v>GJ/L</v>
      </c>
      <c r="K26" s="275"/>
      <c r="L26" s="265"/>
      <c r="N26" s="235">
        <f>IF(E26="","",VLOOKUP(E26,非_単位補正換算!$B$3:$C$16,2,FALSE))</f>
        <v>1000</v>
      </c>
      <c r="O26" s="235" t="str">
        <f>"非_単位!$C$"&amp;MATCH(IF(C26="","バイオマス燃料　自由記入1",C26),非_単位!B:B,0)&amp;":$H$"&amp;MATCH(IF(C26="","バイオマス燃料　自由記入1",C26),非_単位!B:B,0)</f>
        <v>非_単位!$C$74:$H$74</v>
      </c>
      <c r="P26" s="235" t="str">
        <f t="shared" si="1"/>
        <v/>
      </c>
      <c r="Q26" s="270"/>
    </row>
    <row r="27" spans="1:17" ht="18.75" thickBot="1">
      <c r="A27" s="870"/>
      <c r="B27" s="883"/>
      <c r="C27" s="908"/>
      <c r="D27" s="909"/>
      <c r="E27" s="413" t="s">
        <v>436</v>
      </c>
      <c r="F27" s="622"/>
      <c r="G27" s="245" t="str">
        <f t="shared" si="0"/>
        <v/>
      </c>
      <c r="H27" s="250" t="str">
        <f>IF(E27="","",E27)</f>
        <v>kg</v>
      </c>
      <c r="I27" s="416"/>
      <c r="J27" s="260" t="str">
        <f>IF(E27="","","GJ/"&amp;E27)</f>
        <v>GJ/kg</v>
      </c>
      <c r="K27" s="277"/>
      <c r="L27" s="266"/>
      <c r="N27" s="235">
        <f>IF(E27="","",VLOOKUP(E27,非_単位補正換算!$B$3:$C$16,2,FALSE))</f>
        <v>1000</v>
      </c>
      <c r="O27" s="235" t="str">
        <f>"非_単位!$C$"&amp;MATCH(IF(C27="","バイオマス燃料　自由記入2",C27),非_単位!B:B,0)&amp;":$H$"&amp;MATCH(IF(C27="","バイオマス燃料　自由記入2",C27),非_単位!B:B,0)</f>
        <v>非_単位!$C$75:$H$75</v>
      </c>
      <c r="P27" s="235" t="str">
        <f t="shared" si="1"/>
        <v/>
      </c>
      <c r="Q27" s="270"/>
    </row>
    <row r="28" spans="1:17" ht="18.75" thickTop="1">
      <c r="A28" s="870"/>
      <c r="B28" s="879" t="s">
        <v>337</v>
      </c>
      <c r="C28" s="910" t="s">
        <v>182</v>
      </c>
      <c r="D28" s="910"/>
      <c r="E28" s="412" t="s">
        <v>436</v>
      </c>
      <c r="F28" s="282"/>
      <c r="G28" s="246" t="str">
        <f t="shared" si="0"/>
        <v/>
      </c>
      <c r="H28" s="253" t="s">
        <v>210</v>
      </c>
      <c r="I28" s="273">
        <v>142</v>
      </c>
      <c r="J28" s="267" t="s">
        <v>192</v>
      </c>
      <c r="K28" s="276"/>
      <c r="L28" s="268"/>
      <c r="N28" s="235">
        <f>IF(E28="","",VLOOKUP(E28,非_単位補正換算!$B$3:$C$16,2,FALSE))</f>
        <v>1000</v>
      </c>
      <c r="O28" s="235" t="str">
        <f>"非_単位!$C$"&amp;MATCH(C28,非_単位!B:B,0)&amp;":$D$"&amp;MATCH(C28,非_単位!B:B,0)</f>
        <v>非_単位!$C$76:$D$76</v>
      </c>
      <c r="P28" s="235" t="str">
        <f t="shared" si="1"/>
        <v/>
      </c>
      <c r="Q28" s="270"/>
    </row>
    <row r="29" spans="1:17">
      <c r="A29" s="870"/>
      <c r="B29" s="875"/>
      <c r="C29" s="905" t="s">
        <v>183</v>
      </c>
      <c r="D29" s="905"/>
      <c r="E29" s="412" t="s">
        <v>436</v>
      </c>
      <c r="F29" s="280"/>
      <c r="G29" s="244" t="str">
        <f t="shared" si="0"/>
        <v/>
      </c>
      <c r="H29" s="249" t="s">
        <v>204</v>
      </c>
      <c r="I29" s="272">
        <v>22.5</v>
      </c>
      <c r="J29" s="257" t="s">
        <v>192</v>
      </c>
      <c r="K29" s="275"/>
      <c r="L29" s="265"/>
      <c r="N29" s="235">
        <f>IF(E29="","",VLOOKUP(E29,非_単位補正換算!$B$3:$C$16,2,FALSE))</f>
        <v>1000</v>
      </c>
      <c r="O29" s="235" t="str">
        <f>"非_単位!$C$"&amp;MATCH(C29,非_単位!B:B,0)&amp;":$D$"&amp;MATCH(C29,非_単位!B:B,0)</f>
        <v>非_単位!$C$77:$D$77</v>
      </c>
      <c r="P29" s="235" t="str">
        <f t="shared" si="1"/>
        <v/>
      </c>
      <c r="Q29" s="270"/>
    </row>
    <row r="30" spans="1:17">
      <c r="A30" s="870"/>
      <c r="B30" s="875"/>
      <c r="C30" s="902"/>
      <c r="D30" s="903"/>
      <c r="E30" s="412" t="s">
        <v>436</v>
      </c>
      <c r="F30" s="280"/>
      <c r="G30" s="244" t="str">
        <f t="shared" si="0"/>
        <v/>
      </c>
      <c r="H30" s="249" t="str">
        <f>IF(E30="","",E30)</f>
        <v>kg</v>
      </c>
      <c r="I30" s="415"/>
      <c r="J30" s="257" t="str">
        <f>IF(E30="","","GJ/"&amp;E30)</f>
        <v>GJ/kg</v>
      </c>
      <c r="K30" s="275"/>
      <c r="L30" s="265"/>
      <c r="N30" s="235">
        <f>IF(E30="","",VLOOKUP(E30,非_単位補正換算!$B$3:$C$16,2,FALSE))</f>
        <v>1000</v>
      </c>
      <c r="O30" s="235" t="str">
        <f>"非_単位!$C$"&amp;MATCH(IF(C30="","その他の非化石燃料　自由記入1",C30),非_単位!B:B,0)&amp;":$H$"&amp;MATCH(IF(C30="","その他の非化石燃料　自由記入1",C30),非_単位!B:B,0)</f>
        <v>非_単位!$C$78:$H$78</v>
      </c>
      <c r="P30" s="235" t="str">
        <f t="shared" si="1"/>
        <v/>
      </c>
      <c r="Q30" s="270"/>
    </row>
    <row r="31" spans="1:17" ht="18.75" thickBot="1">
      <c r="A31" s="871"/>
      <c r="B31" s="880"/>
      <c r="C31" s="911"/>
      <c r="D31" s="911"/>
      <c r="E31" s="414" t="s">
        <v>436</v>
      </c>
      <c r="F31" s="283"/>
      <c r="G31" s="247" t="str">
        <f t="shared" si="0"/>
        <v/>
      </c>
      <c r="H31" s="254" t="str">
        <f>IF(E31="","",E31)</f>
        <v>kg</v>
      </c>
      <c r="I31" s="419"/>
      <c r="J31" s="426" t="str">
        <f>IF(E31="","","GJ/"&amp;E31)</f>
        <v>GJ/kg</v>
      </c>
      <c r="K31" s="278"/>
      <c r="L31" s="269"/>
      <c r="N31" s="235">
        <f>IF(E31="","",VLOOKUP(E31,非_単位補正換算!$B$3:$C$16,2,FALSE))</f>
        <v>1000</v>
      </c>
      <c r="O31" s="235" t="str">
        <f>"非_単位!$C$"&amp;MATCH(IF(C31="","その他の非化石燃料　自由記入2",C31),非_単位!B:B,0)&amp;":$H$"&amp;MATCH(IF(C31="","その他の非化石燃料　自由記入2",C31),非_単位!B:B,0)</f>
        <v>非_単位!$C$79:$H$79</v>
      </c>
      <c r="P31" s="235" t="str">
        <f t="shared" si="1"/>
        <v/>
      </c>
      <c r="Q31" s="270"/>
    </row>
    <row r="32" spans="1:17" ht="24">
      <c r="A32" s="128"/>
      <c r="B32" s="43"/>
      <c r="C32" s="43"/>
      <c r="D32" s="43"/>
      <c r="E32" s="129"/>
      <c r="F32" s="130"/>
      <c r="G32" s="241"/>
      <c r="H32" s="242"/>
      <c r="I32" s="52"/>
      <c r="J32" s="904" t="s">
        <v>135</v>
      </c>
      <c r="K32" s="904"/>
      <c r="L32" s="904"/>
      <c r="N32" s="126"/>
      <c r="O32" s="126"/>
      <c r="P32" s="126"/>
      <c r="Q32" s="126"/>
    </row>
  </sheetData>
  <sheetProtection algorithmName="SHA-512" hashValue="hNww0DWR9jRgHTIatdV9L9yeq2h6g7PQrIBHZyk7Q7oISH9vnT0TqqlflYDE0FdjsV8uEbhrjC94WEFW7zAZMw==" saltValue="lWQcYC2Y3Osnt8ErLJbL9A==" spinCount="100000" sheet="1" objects="1" scenarios="1"/>
  <mergeCells count="44">
    <mergeCell ref="K1:L1"/>
    <mergeCell ref="K2:L2"/>
    <mergeCell ref="I1:J1"/>
    <mergeCell ref="C30:D30"/>
    <mergeCell ref="J32:L32"/>
    <mergeCell ref="C17:D17"/>
    <mergeCell ref="C29:D29"/>
    <mergeCell ref="C26:D26"/>
    <mergeCell ref="C27:D27"/>
    <mergeCell ref="C28:D28"/>
    <mergeCell ref="C31:D31"/>
    <mergeCell ref="C20:D20"/>
    <mergeCell ref="C21:D21"/>
    <mergeCell ref="C22:D22"/>
    <mergeCell ref="C23:D23"/>
    <mergeCell ref="C24:D24"/>
    <mergeCell ref="A5:A7"/>
    <mergeCell ref="B5:B7"/>
    <mergeCell ref="C5:D7"/>
    <mergeCell ref="N5:N7"/>
    <mergeCell ref="E5:E7"/>
    <mergeCell ref="A8:A31"/>
    <mergeCell ref="C8:D8"/>
    <mergeCell ref="C9:D9"/>
    <mergeCell ref="C10:D10"/>
    <mergeCell ref="C11:D11"/>
    <mergeCell ref="C12:D12"/>
    <mergeCell ref="C13:D13"/>
    <mergeCell ref="C14:D14"/>
    <mergeCell ref="C15:D15"/>
    <mergeCell ref="B8:B18"/>
    <mergeCell ref="C18:D18"/>
    <mergeCell ref="B28:B31"/>
    <mergeCell ref="B19:B27"/>
    <mergeCell ref="C25:D25"/>
    <mergeCell ref="C16:D16"/>
    <mergeCell ref="C19:D19"/>
    <mergeCell ref="O5:O7"/>
    <mergeCell ref="P5:P7"/>
    <mergeCell ref="Q5:Q7"/>
    <mergeCell ref="F5:F7"/>
    <mergeCell ref="G5:H7"/>
    <mergeCell ref="I5:J7"/>
    <mergeCell ref="K5:L7"/>
  </mergeCells>
  <phoneticPr fontId="5"/>
  <dataValidations count="4">
    <dataValidation type="list" allowBlank="1" showInputMessage="1" showErrorMessage="1" sqref="E65516:E65549 E131052:E131085 E196588:E196621 E262124:E262157 E327660:E327693 E393196:E393229 E458732:E458765 E524268:E524301 E589804:E589837 E655340:E655373 E720876:E720909 E786412:E786445 E851948:E851981 E917484:E917517 E983020:E983053" xr:uid="{00000000-0002-0000-0700-000000000000}">
      <formula1>#REF!</formula1>
    </dataValidation>
    <dataValidation type="list" allowBlank="1" showInputMessage="1" showErrorMessage="1" sqref="E983054:E983056 E917518:E917520 E851982:E851984 E786446:E786448 E720910:E720912 E655374:E655376 E589838:E589840 E524302:E524304 E458766:E458768 E393230:E393232 E327694:E327696 E262158:E262160 E196622:E196624 E131086:E131088 E65550:E65552" xr:uid="{00000000-0002-0000-0700-000001000000}">
      <formula1>$L$8:$L$14</formula1>
    </dataValidation>
    <dataValidation type="list" allowBlank="1" showInputMessage="1" showErrorMessage="1" sqref="E8:E31" xr:uid="{00000000-0002-0000-0700-000002000000}">
      <formula1>INDIRECT(O8)</formula1>
    </dataValidation>
    <dataValidation imeMode="disabled" allowBlank="1" showInputMessage="1" showErrorMessage="1" sqref="K17:K18 I17:I18 F8:F31 I26:I27 I30:I31" xr:uid="{00000000-0002-0000-0700-000003000000}"/>
  </dataValidations>
  <pageMargins left="0.78740157480314965" right="0.59055118110236227" top="0.78740157480314965" bottom="0.59055118110236227" header="0.31496062992125984" footer="0.31496062992125984"/>
  <pageSetup paperSize="9" scale="60" fitToHeight="0"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9"/>
  <sheetViews>
    <sheetView showGridLines="0" zoomScaleNormal="100" zoomScaleSheetLayoutView="100" workbookViewId="0">
      <pane ySplit="5" topLeftCell="A6" activePane="bottomLeft" state="frozen"/>
      <selection pane="bottomLeft"/>
    </sheetView>
  </sheetViews>
  <sheetFormatPr defaultColWidth="9" defaultRowHeight="18" outlineLevelCol="1"/>
  <cols>
    <col min="1" max="1" width="40.375" style="88" customWidth="1"/>
    <col min="2" max="2" width="17.75" style="88" customWidth="1"/>
    <col min="3" max="3" width="15.625" style="88" customWidth="1"/>
    <col min="4" max="5" width="21" style="88" customWidth="1"/>
    <col min="6" max="6" width="9" style="88"/>
    <col min="7" max="7" width="42.75" style="88" hidden="1" customWidth="1" outlineLevel="1"/>
    <col min="8" max="8" width="9.75" style="88" hidden="1" customWidth="1" outlineLevel="1"/>
    <col min="9" max="9" width="15.875" style="88" hidden="1" customWidth="1" outlineLevel="1"/>
    <col min="10" max="10" width="11.5" style="88" hidden="1" customWidth="1" outlineLevel="1"/>
    <col min="11" max="11" width="16.875" style="88" hidden="1" customWidth="1" outlineLevel="1"/>
    <col min="12" max="12" width="15.75" style="88" hidden="1" customWidth="1" outlineLevel="1"/>
    <col min="13" max="14" width="16" style="88" hidden="1" customWidth="1" outlineLevel="1"/>
    <col min="15" max="15" width="9.875" style="88" hidden="1" customWidth="1" outlineLevel="1"/>
    <col min="16" max="16" width="9" style="88" hidden="1" customWidth="1" outlineLevel="1"/>
    <col min="17" max="17" width="17.25" style="88" hidden="1" customWidth="1" outlineLevel="1"/>
    <col min="18" max="18" width="9" style="88" collapsed="1"/>
    <col min="19" max="16384" width="9" style="88"/>
  </cols>
  <sheetData>
    <row r="1" spans="1:17">
      <c r="A1" s="3" t="s">
        <v>312</v>
      </c>
      <c r="B1" s="52"/>
      <c r="C1" s="52"/>
      <c r="D1" s="132" t="s">
        <v>0</v>
      </c>
      <c r="E1" s="212" t="str">
        <f>IF(事業所概要_算定体制!D13="","",事業所概要_算定体制!D13)</f>
        <v/>
      </c>
    </row>
    <row r="2" spans="1:17">
      <c r="A2" s="52" t="s">
        <v>315</v>
      </c>
      <c r="B2" s="52"/>
      <c r="C2" s="52"/>
      <c r="D2" s="4"/>
      <c r="E2" s="190" t="str">
        <f>CONCATENATE(事業所概要_算定体制!$B$3,事業所概要_算定体制!$C$3,"年度")</f>
        <v>令和７年度</v>
      </c>
      <c r="G2" s="88" t="s">
        <v>981</v>
      </c>
    </row>
    <row r="3" spans="1:17">
      <c r="A3" s="52"/>
      <c r="B3" s="52"/>
      <c r="C3" s="52"/>
      <c r="D3" s="52"/>
      <c r="E3" s="52"/>
      <c r="G3" s="88" t="str">
        <f>IF(AND(COUNT(エネルギーと目標設定ガス!$H$46)&gt;0,COUNT(エネルギーと目標設定ガス!$H$54)&gt;0),"証書等_種類",IF(COUNT(エネルギーと目標設定ガス!$H$46)&gt;0,"証書等_種類_電気なし",IF(COUNT(エネルギーと目標設定ガス!$H$54)&gt;0,"証書等_種類_熱なし","証書等_種類_森林吸収量のみ")))</f>
        <v>証書等_種類_森林吸収量のみ</v>
      </c>
    </row>
    <row r="4" spans="1:17" ht="18.75" thickBot="1">
      <c r="A4" s="52"/>
      <c r="B4" s="52"/>
      <c r="C4" s="52"/>
      <c r="D4" s="52"/>
      <c r="E4" s="52"/>
    </row>
    <row r="5" spans="1:17" ht="39.75" thickBot="1">
      <c r="A5" s="62" t="s">
        <v>316</v>
      </c>
      <c r="B5" s="63" t="s">
        <v>297</v>
      </c>
      <c r="C5" s="63" t="s">
        <v>2075</v>
      </c>
      <c r="D5" s="65" t="s">
        <v>298</v>
      </c>
      <c r="E5" s="64" t="s">
        <v>980</v>
      </c>
      <c r="G5" s="466" t="s">
        <v>953</v>
      </c>
      <c r="H5" s="466" t="s">
        <v>954</v>
      </c>
      <c r="I5" s="466" t="s">
        <v>956</v>
      </c>
      <c r="J5" s="466" t="s">
        <v>957</v>
      </c>
      <c r="K5" s="470" t="s">
        <v>958</v>
      </c>
      <c r="L5" s="470" t="s">
        <v>959</v>
      </c>
      <c r="M5" s="470" t="s">
        <v>961</v>
      </c>
      <c r="N5" s="470" t="s">
        <v>962</v>
      </c>
      <c r="O5" s="524" t="s">
        <v>1012</v>
      </c>
      <c r="P5" s="526" t="s">
        <v>1021</v>
      </c>
      <c r="Q5" s="539" t="s">
        <v>1033</v>
      </c>
    </row>
    <row r="6" spans="1:17">
      <c r="A6" s="630"/>
      <c r="B6" s="631"/>
      <c r="C6" s="624"/>
      <c r="D6" s="632" t="str">
        <f>I6</f>
        <v/>
      </c>
      <c r="E6" s="627" t="str">
        <f>L6</f>
        <v/>
      </c>
      <c r="G6" s="466" t="str">
        <f>IF(A6="","",IF(LEFT(A6,5)="森林吸収量","森林吸収量_単位",A6&amp;"_単位"))</f>
        <v/>
      </c>
      <c r="H6" s="466" t="str">
        <f>IF(A6="","",IF(LEFT(A6,5)="森林吸収量","森林吸収量",IF(A6="グリーン熱証書","熱","電気")))</f>
        <v/>
      </c>
      <c r="I6" s="466" t="str">
        <f>IF(H6="","",IF(H6="電気",非_電気事業者!$S$5*1000,IF(H6="熱",非_熱供給事業者!$T$4,"")))</f>
        <v/>
      </c>
      <c r="J6" s="466" t="str">
        <f>IF(B6="","",VLOOKUP(B6,非_単位補正換算!$B$3:$C$16,2,FALSE))</f>
        <v/>
      </c>
      <c r="K6" s="466" t="str">
        <f>IF(C6="","",IF(J6="","",C6/J6))</f>
        <v/>
      </c>
      <c r="L6" s="466" t="str">
        <f>IF(H6="","",IF(H6="森林吸収量","削減量を入力",IF(K6="","",K6*I6)))</f>
        <v/>
      </c>
      <c r="M6" s="466" t="str">
        <f>IF(A6="","",VLOOKUP($A6,非_まとめ表行番号!$Q$3:$S$8,2,FALSE))</f>
        <v/>
      </c>
      <c r="N6" s="466" t="str">
        <f>IF(A6="","",VLOOKUP($A6,非_まとめ表行番号!$Q$3:$S$8,3,FALSE))</f>
        <v/>
      </c>
      <c r="O6" s="525" t="str">
        <f>IF(A6="","",VLOOKUP(M6,非_まとめ表行番号!$U$3:$V$56,2,FALSE))</f>
        <v/>
      </c>
      <c r="P6" s="526" t="str">
        <f>IF(L6="","",IF(L6&gt;0,-1,1))</f>
        <v/>
      </c>
      <c r="Q6" s="539" t="b">
        <f>_xlfn.ISFORMULA(E6)</f>
        <v>1</v>
      </c>
    </row>
    <row r="7" spans="1:17">
      <c r="A7" s="633"/>
      <c r="B7" s="519"/>
      <c r="C7" s="625"/>
      <c r="D7" s="634" t="str">
        <f t="shared" ref="D7:D58" si="0">I7</f>
        <v/>
      </c>
      <c r="E7" s="628" t="str">
        <f t="shared" ref="E7:E58" si="1">L7</f>
        <v/>
      </c>
      <c r="G7" s="466" t="str">
        <f t="shared" ref="G7:G10" si="2">IF(A7="","",IF(LEFT(A7,5)="森林吸収量","森林吸収量_単位",A7&amp;"_単位"))</f>
        <v/>
      </c>
      <c r="H7" s="466" t="str">
        <f>IF(A7="","",IF(LEFT(A7,5)="森林吸収量","森林吸収量",IF(A7="グリーン熱証書","熱","電気")))</f>
        <v/>
      </c>
      <c r="I7" s="466" t="str">
        <f>IF(H7="","",IF(H7="電気",非_電気事業者!$S$5*1000,IF(H7="熱",非_熱供給事業者!$T$4,"")))</f>
        <v/>
      </c>
      <c r="J7" s="466" t="str">
        <f>IF(B7="","",VLOOKUP(B7,非_単位補正換算!$B$3:$C$16,2,FALSE))</f>
        <v/>
      </c>
      <c r="K7" s="466" t="str">
        <f t="shared" ref="K7:K10" si="3">IF(C7="","",IF(J7="","",C7/J7))</f>
        <v/>
      </c>
      <c r="L7" s="466" t="str">
        <f t="shared" ref="L7:L10" si="4">IF(H7="","",IF(H7="森林吸収量","削減量を入力",IF(K7="","",K7*I7)))</f>
        <v/>
      </c>
      <c r="M7" s="466" t="str">
        <f>IF(A7="","",VLOOKUP($A7,非_まとめ表行番号!$Q$3:$S$8,2,FALSE))</f>
        <v/>
      </c>
      <c r="N7" s="466" t="str">
        <f>IF(A7="","",VLOOKUP($A7,非_まとめ表行番号!$Q$3:$S$8,3,FALSE))</f>
        <v/>
      </c>
      <c r="O7" s="542" t="str">
        <f>IF(A7="","",VLOOKUP(M7,非_まとめ表行番号!$U$3:$V$56,2,FALSE))</f>
        <v/>
      </c>
      <c r="P7" s="526" t="str">
        <f t="shared" ref="P7:P58" si="5">IF(L7="","",IF(L7&gt;0,-1,1))</f>
        <v/>
      </c>
      <c r="Q7" s="539" t="b">
        <f t="shared" ref="Q7:Q58" si="6">_xlfn.ISFORMULA(E7)</f>
        <v>1</v>
      </c>
    </row>
    <row r="8" spans="1:17">
      <c r="A8" s="633"/>
      <c r="B8" s="519"/>
      <c r="C8" s="625"/>
      <c r="D8" s="634" t="str">
        <f t="shared" si="0"/>
        <v/>
      </c>
      <c r="E8" s="628" t="str">
        <f t="shared" si="1"/>
        <v/>
      </c>
      <c r="G8" s="466" t="str">
        <f t="shared" si="2"/>
        <v/>
      </c>
      <c r="H8" s="466" t="str">
        <f>IF(A8="","",IF(LEFT(A8,5)="森林吸収量","森林吸収量",IF(A8="グリーン熱証書","熱","電気")))</f>
        <v/>
      </c>
      <c r="I8" s="466" t="str">
        <f>IF(H8="","",IF(H8="電気",非_電気事業者!$S$5*1000,IF(H8="熱",非_熱供給事業者!$T$4,"")))</f>
        <v/>
      </c>
      <c r="J8" s="466" t="str">
        <f>IF(B8="","",VLOOKUP(B8,非_単位補正換算!$B$3:$C$16,2,FALSE))</f>
        <v/>
      </c>
      <c r="K8" s="466" t="str">
        <f t="shared" si="3"/>
        <v/>
      </c>
      <c r="L8" s="466" t="str">
        <f t="shared" si="4"/>
        <v/>
      </c>
      <c r="M8" s="466" t="str">
        <f>IF(A8="","",VLOOKUP($A8,非_まとめ表行番号!$Q$3:$S$8,2,FALSE))</f>
        <v/>
      </c>
      <c r="N8" s="466" t="str">
        <f>IF(A8="","",VLOOKUP($A8,非_まとめ表行番号!$Q$3:$S$8,3,FALSE))</f>
        <v/>
      </c>
      <c r="O8" s="542" t="str">
        <f>IF(A8="","",VLOOKUP(M8,非_まとめ表行番号!$U$3:$V$56,2,FALSE))</f>
        <v/>
      </c>
      <c r="P8" s="526" t="str">
        <f t="shared" si="5"/>
        <v/>
      </c>
      <c r="Q8" s="539" t="b">
        <f t="shared" si="6"/>
        <v>1</v>
      </c>
    </row>
    <row r="9" spans="1:17">
      <c r="A9" s="633"/>
      <c r="B9" s="519"/>
      <c r="C9" s="625"/>
      <c r="D9" s="634" t="str">
        <f t="shared" si="0"/>
        <v/>
      </c>
      <c r="E9" s="628" t="str">
        <f t="shared" si="1"/>
        <v/>
      </c>
      <c r="G9" s="466" t="str">
        <f t="shared" si="2"/>
        <v/>
      </c>
      <c r="H9" s="466" t="str">
        <f>IF(A9="","",IF(LEFT(A9,5)="森林吸収量","森林吸収量",IF(A9="グリーン熱証書","熱","電気")))</f>
        <v/>
      </c>
      <c r="I9" s="466" t="str">
        <f>IF(H9="","",IF(H9="電気",非_電気事業者!$S$5*1000,IF(H9="熱",非_熱供給事業者!$T$4,"")))</f>
        <v/>
      </c>
      <c r="J9" s="466" t="str">
        <f>IF(B9="","",VLOOKUP(B9,非_単位補正換算!$B$3:$C$16,2,FALSE))</f>
        <v/>
      </c>
      <c r="K9" s="466" t="str">
        <f t="shared" si="3"/>
        <v/>
      </c>
      <c r="L9" s="466" t="str">
        <f t="shared" si="4"/>
        <v/>
      </c>
      <c r="M9" s="466" t="str">
        <f>IF(A9="","",VLOOKUP($A9,非_まとめ表行番号!$Q$3:$S$8,2,FALSE))</f>
        <v/>
      </c>
      <c r="N9" s="466" t="str">
        <f>IF(A9="","",VLOOKUP($A9,非_まとめ表行番号!$Q$3:$S$8,3,FALSE))</f>
        <v/>
      </c>
      <c r="O9" s="542" t="str">
        <f>IF(A9="","",VLOOKUP(M9,非_まとめ表行番号!$U$3:$V$56,2,FALSE))</f>
        <v/>
      </c>
      <c r="P9" s="526" t="str">
        <f t="shared" si="5"/>
        <v/>
      </c>
      <c r="Q9" s="539" t="b">
        <f t="shared" si="6"/>
        <v>1</v>
      </c>
    </row>
    <row r="10" spans="1:17">
      <c r="A10" s="633"/>
      <c r="B10" s="519"/>
      <c r="C10" s="625"/>
      <c r="D10" s="634" t="str">
        <f t="shared" si="0"/>
        <v/>
      </c>
      <c r="E10" s="628" t="str">
        <f t="shared" si="1"/>
        <v/>
      </c>
      <c r="G10" s="466" t="str">
        <f t="shared" si="2"/>
        <v/>
      </c>
      <c r="H10" s="466" t="str">
        <f>IF(A10="","",IF(LEFT(A10,5)="森林吸収量","森林吸収量",IF(A10="グリーン熱証書","熱","電気")))</f>
        <v/>
      </c>
      <c r="I10" s="466" t="str">
        <f>IF(H10="","",IF(H10="電気",非_電気事業者!$S$5*1000,IF(H10="熱",非_熱供給事業者!$T$4,"")))</f>
        <v/>
      </c>
      <c r="J10" s="466" t="str">
        <f>IF(B10="","",VLOOKUP(B10,非_単位補正換算!$B$3:$C$16,2,FALSE))</f>
        <v/>
      </c>
      <c r="K10" s="466" t="str">
        <f t="shared" si="3"/>
        <v/>
      </c>
      <c r="L10" s="466" t="str">
        <f t="shared" si="4"/>
        <v/>
      </c>
      <c r="M10" s="466" t="str">
        <f>IF(A10="","",VLOOKUP($A10,非_まとめ表行番号!$Q$3:$S$8,2,FALSE))</f>
        <v/>
      </c>
      <c r="N10" s="466" t="str">
        <f>IF(A10="","",VLOOKUP($A10,非_まとめ表行番号!$Q$3:$S$8,3,FALSE))</f>
        <v/>
      </c>
      <c r="O10" s="542" t="str">
        <f>IF(A10="","",VLOOKUP(M10,非_まとめ表行番号!$U$3:$V$56,2,FALSE))</f>
        <v/>
      </c>
      <c r="P10" s="526" t="str">
        <f t="shared" si="5"/>
        <v/>
      </c>
      <c r="Q10" s="539" t="b">
        <f t="shared" si="6"/>
        <v>1</v>
      </c>
    </row>
    <row r="11" spans="1:17">
      <c r="A11" s="633"/>
      <c r="B11" s="519"/>
      <c r="C11" s="625"/>
      <c r="D11" s="634" t="str">
        <f t="shared" si="0"/>
        <v/>
      </c>
      <c r="E11" s="628" t="str">
        <f t="shared" si="1"/>
        <v/>
      </c>
      <c r="G11" s="466" t="str">
        <f t="shared" ref="G11:G58" si="7">IF(A11="","",IF(LEFT(A11,5)="森林吸収量","森林吸収量_単位",A11&amp;"_単位"))</f>
        <v/>
      </c>
      <c r="H11" s="466" t="str">
        <f t="shared" ref="H11:H58" si="8">IF(A11="","",IF(LEFT(A11,5)="森林吸収量","森林吸収量",IF(A11="グリーン熱証書","熱","電気")))</f>
        <v/>
      </c>
      <c r="I11" s="466" t="str">
        <f>IF(H11="","",IF(H11="電気",非_電気事業者!$S$5*1000,IF(H11="熱",非_熱供給事業者!$T$4,"")))</f>
        <v/>
      </c>
      <c r="J11" s="466" t="str">
        <f>IF(B11="","",VLOOKUP(B11,非_単位補正換算!$B$3:$C$16,2,FALSE))</f>
        <v/>
      </c>
      <c r="K11" s="466" t="str">
        <f t="shared" ref="K11:K58" si="9">IF(C11="","",IF(J11="","",C11/J11))</f>
        <v/>
      </c>
      <c r="L11" s="466" t="str">
        <f t="shared" ref="L11:L58" si="10">IF(H11="","",IF(H11="森林吸収量","削減量を入力",IF(K11="","",K11*I11)))</f>
        <v/>
      </c>
      <c r="M11" s="466" t="str">
        <f>IF(A11="","",VLOOKUP($A11,非_まとめ表行番号!$Q$3:$S$8,2,FALSE))</f>
        <v/>
      </c>
      <c r="N11" s="466" t="str">
        <f>IF(A11="","",VLOOKUP($A11,非_まとめ表行番号!$Q$3:$S$8,3,FALSE))</f>
        <v/>
      </c>
      <c r="O11" s="542" t="str">
        <f>IF(A11="","",VLOOKUP(M11,非_まとめ表行番号!$U$3:$V$56,2,FALSE))</f>
        <v/>
      </c>
      <c r="P11" s="526" t="str">
        <f t="shared" si="5"/>
        <v/>
      </c>
      <c r="Q11" s="539" t="b">
        <f t="shared" si="6"/>
        <v>1</v>
      </c>
    </row>
    <row r="12" spans="1:17">
      <c r="A12" s="633"/>
      <c r="B12" s="519"/>
      <c r="C12" s="625"/>
      <c r="D12" s="634" t="str">
        <f t="shared" si="0"/>
        <v/>
      </c>
      <c r="E12" s="628" t="str">
        <f t="shared" si="1"/>
        <v/>
      </c>
      <c r="G12" s="466" t="str">
        <f t="shared" si="7"/>
        <v/>
      </c>
      <c r="H12" s="466" t="str">
        <f t="shared" si="8"/>
        <v/>
      </c>
      <c r="I12" s="466" t="str">
        <f>IF(H12="","",IF(H12="電気",非_電気事業者!$S$5*1000,IF(H12="熱",非_熱供給事業者!$T$4,"")))</f>
        <v/>
      </c>
      <c r="J12" s="466" t="str">
        <f>IF(B12="","",VLOOKUP(B12,非_単位補正換算!$B$3:$C$16,2,FALSE))</f>
        <v/>
      </c>
      <c r="K12" s="466" t="str">
        <f t="shared" si="9"/>
        <v/>
      </c>
      <c r="L12" s="466" t="str">
        <f t="shared" si="10"/>
        <v/>
      </c>
      <c r="M12" s="466" t="str">
        <f>IF(A12="","",VLOOKUP($A12,非_まとめ表行番号!$Q$3:$S$8,2,FALSE))</f>
        <v/>
      </c>
      <c r="N12" s="466" t="str">
        <f>IF(A12="","",VLOOKUP($A12,非_まとめ表行番号!$Q$3:$S$8,3,FALSE))</f>
        <v/>
      </c>
      <c r="O12" s="542" t="str">
        <f>IF(A12="","",VLOOKUP(M12,非_まとめ表行番号!$U$3:$V$56,2,FALSE))</f>
        <v/>
      </c>
      <c r="P12" s="526" t="str">
        <f t="shared" si="5"/>
        <v/>
      </c>
      <c r="Q12" s="539" t="b">
        <f t="shared" si="6"/>
        <v>1</v>
      </c>
    </row>
    <row r="13" spans="1:17">
      <c r="A13" s="633"/>
      <c r="B13" s="519"/>
      <c r="C13" s="625"/>
      <c r="D13" s="634" t="str">
        <f t="shared" si="0"/>
        <v/>
      </c>
      <c r="E13" s="628" t="str">
        <f t="shared" si="1"/>
        <v/>
      </c>
      <c r="G13" s="466" t="str">
        <f t="shared" si="7"/>
        <v/>
      </c>
      <c r="H13" s="466" t="str">
        <f t="shared" si="8"/>
        <v/>
      </c>
      <c r="I13" s="466" t="str">
        <f>IF(H13="","",IF(H13="電気",非_電気事業者!$S$5*1000,IF(H13="熱",非_熱供給事業者!$T$4,"")))</f>
        <v/>
      </c>
      <c r="J13" s="466" t="str">
        <f>IF(B13="","",VLOOKUP(B13,非_単位補正換算!$B$3:$C$16,2,FALSE))</f>
        <v/>
      </c>
      <c r="K13" s="466" t="str">
        <f t="shared" si="9"/>
        <v/>
      </c>
      <c r="L13" s="466" t="str">
        <f t="shared" si="10"/>
        <v/>
      </c>
      <c r="M13" s="466" t="str">
        <f>IF(A13="","",VLOOKUP($A13,非_まとめ表行番号!$Q$3:$S$8,2,FALSE))</f>
        <v/>
      </c>
      <c r="N13" s="466" t="str">
        <f>IF(A13="","",VLOOKUP($A13,非_まとめ表行番号!$Q$3:$S$8,3,FALSE))</f>
        <v/>
      </c>
      <c r="O13" s="542" t="str">
        <f>IF(A13="","",VLOOKUP(M13,非_まとめ表行番号!$U$3:$V$56,2,FALSE))</f>
        <v/>
      </c>
      <c r="P13" s="526" t="str">
        <f t="shared" si="5"/>
        <v/>
      </c>
      <c r="Q13" s="539" t="b">
        <f t="shared" si="6"/>
        <v>1</v>
      </c>
    </row>
    <row r="14" spans="1:17">
      <c r="A14" s="633"/>
      <c r="B14" s="519"/>
      <c r="C14" s="625"/>
      <c r="D14" s="634" t="str">
        <f t="shared" si="0"/>
        <v/>
      </c>
      <c r="E14" s="628" t="str">
        <f t="shared" si="1"/>
        <v/>
      </c>
      <c r="G14" s="466" t="str">
        <f t="shared" si="7"/>
        <v/>
      </c>
      <c r="H14" s="466" t="str">
        <f t="shared" si="8"/>
        <v/>
      </c>
      <c r="I14" s="466" t="str">
        <f>IF(H14="","",IF(H14="電気",非_電気事業者!$S$5*1000,IF(H14="熱",非_熱供給事業者!$T$4,"")))</f>
        <v/>
      </c>
      <c r="J14" s="466" t="str">
        <f>IF(B14="","",VLOOKUP(B14,非_単位補正換算!$B$3:$C$16,2,FALSE))</f>
        <v/>
      </c>
      <c r="K14" s="466" t="str">
        <f t="shared" si="9"/>
        <v/>
      </c>
      <c r="L14" s="466" t="str">
        <f t="shared" si="10"/>
        <v/>
      </c>
      <c r="M14" s="466" t="str">
        <f>IF(A14="","",VLOOKUP($A14,非_まとめ表行番号!$Q$3:$S$8,2,FALSE))</f>
        <v/>
      </c>
      <c r="N14" s="466" t="str">
        <f>IF(A14="","",VLOOKUP($A14,非_まとめ表行番号!$Q$3:$S$8,3,FALSE))</f>
        <v/>
      </c>
      <c r="O14" s="542" t="str">
        <f>IF(A14="","",VLOOKUP(M14,非_まとめ表行番号!$U$3:$V$56,2,FALSE))</f>
        <v/>
      </c>
      <c r="P14" s="526" t="str">
        <f t="shared" si="5"/>
        <v/>
      </c>
      <c r="Q14" s="539" t="b">
        <f t="shared" si="6"/>
        <v>1</v>
      </c>
    </row>
    <row r="15" spans="1:17">
      <c r="A15" s="633"/>
      <c r="B15" s="519"/>
      <c r="C15" s="625"/>
      <c r="D15" s="634" t="str">
        <f t="shared" si="0"/>
        <v/>
      </c>
      <c r="E15" s="628" t="str">
        <f t="shared" si="1"/>
        <v/>
      </c>
      <c r="G15" s="466" t="str">
        <f t="shared" si="7"/>
        <v/>
      </c>
      <c r="H15" s="466" t="str">
        <f t="shared" si="8"/>
        <v/>
      </c>
      <c r="I15" s="466" t="str">
        <f>IF(H15="","",IF(H15="電気",非_電気事業者!$S$5*1000,IF(H15="熱",非_熱供給事業者!$T$4,"")))</f>
        <v/>
      </c>
      <c r="J15" s="466" t="str">
        <f>IF(B15="","",VLOOKUP(B15,非_単位補正換算!$B$3:$C$16,2,FALSE))</f>
        <v/>
      </c>
      <c r="K15" s="466" t="str">
        <f t="shared" si="9"/>
        <v/>
      </c>
      <c r="L15" s="466" t="str">
        <f t="shared" si="10"/>
        <v/>
      </c>
      <c r="M15" s="466" t="str">
        <f>IF(A15="","",VLOOKUP($A15,非_まとめ表行番号!$Q$3:$S$8,2,FALSE))</f>
        <v/>
      </c>
      <c r="N15" s="466" t="str">
        <f>IF(A15="","",VLOOKUP($A15,非_まとめ表行番号!$Q$3:$S$8,3,FALSE))</f>
        <v/>
      </c>
      <c r="O15" s="542" t="str">
        <f>IF(A15="","",VLOOKUP(M15,非_まとめ表行番号!$U$3:$V$56,2,FALSE))</f>
        <v/>
      </c>
      <c r="P15" s="526" t="str">
        <f t="shared" si="5"/>
        <v/>
      </c>
      <c r="Q15" s="539" t="b">
        <f t="shared" si="6"/>
        <v>1</v>
      </c>
    </row>
    <row r="16" spans="1:17">
      <c r="A16" s="633"/>
      <c r="B16" s="519"/>
      <c r="C16" s="625"/>
      <c r="D16" s="634" t="str">
        <f t="shared" si="0"/>
        <v/>
      </c>
      <c r="E16" s="628" t="str">
        <f t="shared" si="1"/>
        <v/>
      </c>
      <c r="G16" s="466" t="str">
        <f t="shared" si="7"/>
        <v/>
      </c>
      <c r="H16" s="466" t="str">
        <f t="shared" si="8"/>
        <v/>
      </c>
      <c r="I16" s="466" t="str">
        <f>IF(H16="","",IF(H16="電気",非_電気事業者!$S$5*1000,IF(H16="熱",非_熱供給事業者!$T$4,"")))</f>
        <v/>
      </c>
      <c r="J16" s="466" t="str">
        <f>IF(B16="","",VLOOKUP(B16,非_単位補正換算!$B$3:$C$16,2,FALSE))</f>
        <v/>
      </c>
      <c r="K16" s="466" t="str">
        <f t="shared" si="9"/>
        <v/>
      </c>
      <c r="L16" s="466" t="str">
        <f t="shared" si="10"/>
        <v/>
      </c>
      <c r="M16" s="466" t="str">
        <f>IF(A16="","",VLOOKUP($A16,非_まとめ表行番号!$Q$3:$S$8,2,FALSE))</f>
        <v/>
      </c>
      <c r="N16" s="466" t="str">
        <f>IF(A16="","",VLOOKUP($A16,非_まとめ表行番号!$Q$3:$S$8,3,FALSE))</f>
        <v/>
      </c>
      <c r="O16" s="542" t="str">
        <f>IF(A16="","",VLOOKUP(M16,非_まとめ表行番号!$U$3:$V$56,2,FALSE))</f>
        <v/>
      </c>
      <c r="P16" s="526" t="str">
        <f t="shared" si="5"/>
        <v/>
      </c>
      <c r="Q16" s="539" t="b">
        <f t="shared" si="6"/>
        <v>1</v>
      </c>
    </row>
    <row r="17" spans="1:17">
      <c r="A17" s="633"/>
      <c r="B17" s="519"/>
      <c r="C17" s="625"/>
      <c r="D17" s="634" t="str">
        <f t="shared" si="0"/>
        <v/>
      </c>
      <c r="E17" s="628" t="str">
        <f t="shared" si="1"/>
        <v/>
      </c>
      <c r="G17" s="466" t="str">
        <f t="shared" si="7"/>
        <v/>
      </c>
      <c r="H17" s="466" t="str">
        <f t="shared" si="8"/>
        <v/>
      </c>
      <c r="I17" s="466" t="str">
        <f>IF(H17="","",IF(H17="電気",非_電気事業者!$S$5*1000,IF(H17="熱",非_熱供給事業者!$T$4,"")))</f>
        <v/>
      </c>
      <c r="J17" s="466" t="str">
        <f>IF(B17="","",VLOOKUP(B17,非_単位補正換算!$B$3:$C$16,2,FALSE))</f>
        <v/>
      </c>
      <c r="K17" s="466" t="str">
        <f t="shared" si="9"/>
        <v/>
      </c>
      <c r="L17" s="466" t="str">
        <f t="shared" si="10"/>
        <v/>
      </c>
      <c r="M17" s="466" t="str">
        <f>IF(A17="","",VLOOKUP($A17,非_まとめ表行番号!$Q$3:$S$8,2,FALSE))</f>
        <v/>
      </c>
      <c r="N17" s="466" t="str">
        <f>IF(A17="","",VLOOKUP($A17,非_まとめ表行番号!$Q$3:$S$8,3,FALSE))</f>
        <v/>
      </c>
      <c r="O17" s="542" t="str">
        <f>IF(A17="","",VLOOKUP(M17,非_まとめ表行番号!$U$3:$V$56,2,FALSE))</f>
        <v/>
      </c>
      <c r="P17" s="526" t="str">
        <f t="shared" si="5"/>
        <v/>
      </c>
      <c r="Q17" s="539" t="b">
        <f t="shared" si="6"/>
        <v>1</v>
      </c>
    </row>
    <row r="18" spans="1:17">
      <c r="A18" s="633"/>
      <c r="B18" s="519"/>
      <c r="C18" s="625"/>
      <c r="D18" s="634" t="str">
        <f t="shared" si="0"/>
        <v/>
      </c>
      <c r="E18" s="628" t="str">
        <f t="shared" si="1"/>
        <v/>
      </c>
      <c r="G18" s="466" t="str">
        <f t="shared" si="7"/>
        <v/>
      </c>
      <c r="H18" s="466" t="str">
        <f t="shared" si="8"/>
        <v/>
      </c>
      <c r="I18" s="466" t="str">
        <f>IF(H18="","",IF(H18="電気",非_電気事業者!$S$5*1000,IF(H18="熱",非_熱供給事業者!$T$4,"")))</f>
        <v/>
      </c>
      <c r="J18" s="466" t="str">
        <f>IF(B18="","",VLOOKUP(B18,非_単位補正換算!$B$3:$C$16,2,FALSE))</f>
        <v/>
      </c>
      <c r="K18" s="466" t="str">
        <f t="shared" si="9"/>
        <v/>
      </c>
      <c r="L18" s="466" t="str">
        <f t="shared" si="10"/>
        <v/>
      </c>
      <c r="M18" s="466" t="str">
        <f>IF(A18="","",VLOOKUP($A18,非_まとめ表行番号!$Q$3:$S$8,2,FALSE))</f>
        <v/>
      </c>
      <c r="N18" s="466" t="str">
        <f>IF(A18="","",VLOOKUP($A18,非_まとめ表行番号!$Q$3:$S$8,3,FALSE))</f>
        <v/>
      </c>
      <c r="O18" s="542" t="str">
        <f>IF(A18="","",VLOOKUP(M18,非_まとめ表行番号!$U$3:$V$56,2,FALSE))</f>
        <v/>
      </c>
      <c r="P18" s="526" t="str">
        <f t="shared" si="5"/>
        <v/>
      </c>
      <c r="Q18" s="539" t="b">
        <f t="shared" si="6"/>
        <v>1</v>
      </c>
    </row>
    <row r="19" spans="1:17">
      <c r="A19" s="633"/>
      <c r="B19" s="519"/>
      <c r="C19" s="625"/>
      <c r="D19" s="634" t="str">
        <f t="shared" si="0"/>
        <v/>
      </c>
      <c r="E19" s="628" t="str">
        <f t="shared" si="1"/>
        <v/>
      </c>
      <c r="G19" s="466" t="str">
        <f t="shared" si="7"/>
        <v/>
      </c>
      <c r="H19" s="466" t="str">
        <f t="shared" si="8"/>
        <v/>
      </c>
      <c r="I19" s="466" t="str">
        <f>IF(H19="","",IF(H19="電気",非_電気事業者!$S$5*1000,IF(H19="熱",非_熱供給事業者!$T$4,"")))</f>
        <v/>
      </c>
      <c r="J19" s="466" t="str">
        <f>IF(B19="","",VLOOKUP(B19,非_単位補正換算!$B$3:$C$16,2,FALSE))</f>
        <v/>
      </c>
      <c r="K19" s="466" t="str">
        <f t="shared" si="9"/>
        <v/>
      </c>
      <c r="L19" s="466" t="str">
        <f t="shared" si="10"/>
        <v/>
      </c>
      <c r="M19" s="466" t="str">
        <f>IF(A19="","",VLOOKUP($A19,非_まとめ表行番号!$Q$3:$S$8,2,FALSE))</f>
        <v/>
      </c>
      <c r="N19" s="466" t="str">
        <f>IF(A19="","",VLOOKUP($A19,非_まとめ表行番号!$Q$3:$S$8,3,FALSE))</f>
        <v/>
      </c>
      <c r="O19" s="542" t="str">
        <f>IF(A19="","",VLOOKUP(M19,非_まとめ表行番号!$U$3:$V$56,2,FALSE))</f>
        <v/>
      </c>
      <c r="P19" s="526" t="str">
        <f t="shared" si="5"/>
        <v/>
      </c>
      <c r="Q19" s="539" t="b">
        <f t="shared" si="6"/>
        <v>1</v>
      </c>
    </row>
    <row r="20" spans="1:17">
      <c r="A20" s="633"/>
      <c r="B20" s="519"/>
      <c r="C20" s="625"/>
      <c r="D20" s="634" t="str">
        <f t="shared" si="0"/>
        <v/>
      </c>
      <c r="E20" s="628" t="str">
        <f t="shared" si="1"/>
        <v/>
      </c>
      <c r="G20" s="466" t="str">
        <f t="shared" si="7"/>
        <v/>
      </c>
      <c r="H20" s="466" t="str">
        <f t="shared" si="8"/>
        <v/>
      </c>
      <c r="I20" s="466" t="str">
        <f>IF(H20="","",IF(H20="電気",非_電気事業者!$S$5*1000,IF(H20="熱",非_熱供給事業者!$T$4,"")))</f>
        <v/>
      </c>
      <c r="J20" s="466" t="str">
        <f>IF(B20="","",VLOOKUP(B20,非_単位補正換算!$B$3:$C$16,2,FALSE))</f>
        <v/>
      </c>
      <c r="K20" s="466" t="str">
        <f t="shared" si="9"/>
        <v/>
      </c>
      <c r="L20" s="466" t="str">
        <f t="shared" si="10"/>
        <v/>
      </c>
      <c r="M20" s="466" t="str">
        <f>IF(A20="","",VLOOKUP($A20,非_まとめ表行番号!$Q$3:$S$8,2,FALSE))</f>
        <v/>
      </c>
      <c r="N20" s="466" t="str">
        <f>IF(A20="","",VLOOKUP($A20,非_まとめ表行番号!$Q$3:$S$8,3,FALSE))</f>
        <v/>
      </c>
      <c r="O20" s="542" t="str">
        <f>IF(A20="","",VLOOKUP(M20,非_まとめ表行番号!$U$3:$V$56,2,FALSE))</f>
        <v/>
      </c>
      <c r="P20" s="526" t="str">
        <f t="shared" si="5"/>
        <v/>
      </c>
      <c r="Q20" s="539" t="b">
        <f t="shared" si="6"/>
        <v>1</v>
      </c>
    </row>
    <row r="21" spans="1:17">
      <c r="A21" s="633"/>
      <c r="B21" s="519"/>
      <c r="C21" s="625"/>
      <c r="D21" s="634" t="str">
        <f t="shared" si="0"/>
        <v/>
      </c>
      <c r="E21" s="628" t="str">
        <f t="shared" si="1"/>
        <v/>
      </c>
      <c r="G21" s="466" t="str">
        <f t="shared" si="7"/>
        <v/>
      </c>
      <c r="H21" s="466" t="str">
        <f t="shared" si="8"/>
        <v/>
      </c>
      <c r="I21" s="466" t="str">
        <f>IF(H21="","",IF(H21="電気",非_電気事業者!$S$5*1000,IF(H21="熱",非_熱供給事業者!$T$4,"")))</f>
        <v/>
      </c>
      <c r="J21" s="466" t="str">
        <f>IF(B21="","",VLOOKUP(B21,非_単位補正換算!$B$3:$C$16,2,FALSE))</f>
        <v/>
      </c>
      <c r="K21" s="466" t="str">
        <f t="shared" si="9"/>
        <v/>
      </c>
      <c r="L21" s="466" t="str">
        <f t="shared" si="10"/>
        <v/>
      </c>
      <c r="M21" s="466" t="str">
        <f>IF(A21="","",VLOOKUP($A21,非_まとめ表行番号!$Q$3:$S$8,2,FALSE))</f>
        <v/>
      </c>
      <c r="N21" s="466" t="str">
        <f>IF(A21="","",VLOOKUP($A21,非_まとめ表行番号!$Q$3:$S$8,3,FALSE))</f>
        <v/>
      </c>
      <c r="O21" s="542" t="str">
        <f>IF(A21="","",VLOOKUP(M21,非_まとめ表行番号!$U$3:$V$56,2,FALSE))</f>
        <v/>
      </c>
      <c r="P21" s="526" t="str">
        <f t="shared" si="5"/>
        <v/>
      </c>
      <c r="Q21" s="539" t="b">
        <f t="shared" si="6"/>
        <v>1</v>
      </c>
    </row>
    <row r="22" spans="1:17">
      <c r="A22" s="633"/>
      <c r="B22" s="519"/>
      <c r="C22" s="625"/>
      <c r="D22" s="634" t="str">
        <f t="shared" si="0"/>
        <v/>
      </c>
      <c r="E22" s="628" t="str">
        <f t="shared" si="1"/>
        <v/>
      </c>
      <c r="G22" s="466" t="str">
        <f t="shared" si="7"/>
        <v/>
      </c>
      <c r="H22" s="466" t="str">
        <f t="shared" si="8"/>
        <v/>
      </c>
      <c r="I22" s="466" t="str">
        <f>IF(H22="","",IF(H22="電気",非_電気事業者!$S$5*1000,IF(H22="熱",非_熱供給事業者!$T$4,"")))</f>
        <v/>
      </c>
      <c r="J22" s="466" t="str">
        <f>IF(B22="","",VLOOKUP(B22,非_単位補正換算!$B$3:$C$16,2,FALSE))</f>
        <v/>
      </c>
      <c r="K22" s="466" t="str">
        <f t="shared" si="9"/>
        <v/>
      </c>
      <c r="L22" s="466" t="str">
        <f t="shared" si="10"/>
        <v/>
      </c>
      <c r="M22" s="466" t="str">
        <f>IF(A22="","",VLOOKUP($A22,非_まとめ表行番号!$Q$3:$S$8,2,FALSE))</f>
        <v/>
      </c>
      <c r="N22" s="466" t="str">
        <f>IF(A22="","",VLOOKUP($A22,非_まとめ表行番号!$Q$3:$S$8,3,FALSE))</f>
        <v/>
      </c>
      <c r="O22" s="542" t="str">
        <f>IF(A22="","",VLOOKUP(M22,非_まとめ表行番号!$U$3:$V$56,2,FALSE))</f>
        <v/>
      </c>
      <c r="P22" s="526" t="str">
        <f t="shared" si="5"/>
        <v/>
      </c>
      <c r="Q22" s="539" t="b">
        <f t="shared" si="6"/>
        <v>1</v>
      </c>
    </row>
    <row r="23" spans="1:17">
      <c r="A23" s="633"/>
      <c r="B23" s="519"/>
      <c r="C23" s="625"/>
      <c r="D23" s="634" t="str">
        <f t="shared" si="0"/>
        <v/>
      </c>
      <c r="E23" s="628" t="str">
        <f t="shared" si="1"/>
        <v/>
      </c>
      <c r="G23" s="466" t="str">
        <f t="shared" si="7"/>
        <v/>
      </c>
      <c r="H23" s="466" t="str">
        <f t="shared" si="8"/>
        <v/>
      </c>
      <c r="I23" s="466" t="str">
        <f>IF(H23="","",IF(H23="電気",非_電気事業者!$S$5*1000,IF(H23="熱",非_熱供給事業者!$T$4,"")))</f>
        <v/>
      </c>
      <c r="J23" s="466" t="str">
        <f>IF(B23="","",VLOOKUP(B23,非_単位補正換算!$B$3:$C$16,2,FALSE))</f>
        <v/>
      </c>
      <c r="K23" s="466" t="str">
        <f t="shared" si="9"/>
        <v/>
      </c>
      <c r="L23" s="466" t="str">
        <f t="shared" si="10"/>
        <v/>
      </c>
      <c r="M23" s="466" t="str">
        <f>IF(A23="","",VLOOKUP($A23,非_まとめ表行番号!$Q$3:$S$8,2,FALSE))</f>
        <v/>
      </c>
      <c r="N23" s="466" t="str">
        <f>IF(A23="","",VLOOKUP($A23,非_まとめ表行番号!$Q$3:$S$8,3,FALSE))</f>
        <v/>
      </c>
      <c r="O23" s="542" t="str">
        <f>IF(A23="","",VLOOKUP(M23,非_まとめ表行番号!$U$3:$V$56,2,FALSE))</f>
        <v/>
      </c>
      <c r="P23" s="526" t="str">
        <f t="shared" si="5"/>
        <v/>
      </c>
      <c r="Q23" s="539" t="b">
        <f t="shared" si="6"/>
        <v>1</v>
      </c>
    </row>
    <row r="24" spans="1:17">
      <c r="A24" s="633"/>
      <c r="B24" s="519"/>
      <c r="C24" s="625"/>
      <c r="D24" s="634" t="str">
        <f t="shared" si="0"/>
        <v/>
      </c>
      <c r="E24" s="628" t="str">
        <f t="shared" si="1"/>
        <v/>
      </c>
      <c r="G24" s="466" t="str">
        <f t="shared" si="7"/>
        <v/>
      </c>
      <c r="H24" s="466" t="str">
        <f t="shared" si="8"/>
        <v/>
      </c>
      <c r="I24" s="466" t="str">
        <f>IF(H24="","",IF(H24="電気",非_電気事業者!$S$5*1000,IF(H24="熱",非_熱供給事業者!$T$4,"")))</f>
        <v/>
      </c>
      <c r="J24" s="466" t="str">
        <f>IF(B24="","",VLOOKUP(B24,非_単位補正換算!$B$3:$C$16,2,FALSE))</f>
        <v/>
      </c>
      <c r="K24" s="466" t="str">
        <f t="shared" si="9"/>
        <v/>
      </c>
      <c r="L24" s="466" t="str">
        <f t="shared" si="10"/>
        <v/>
      </c>
      <c r="M24" s="466" t="str">
        <f>IF(A24="","",VLOOKUP($A24,非_まとめ表行番号!$Q$3:$S$8,2,FALSE))</f>
        <v/>
      </c>
      <c r="N24" s="466" t="str">
        <f>IF(A24="","",VLOOKUP($A24,非_まとめ表行番号!$Q$3:$S$8,3,FALSE))</f>
        <v/>
      </c>
      <c r="O24" s="542" t="str">
        <f>IF(A24="","",VLOOKUP(M24,非_まとめ表行番号!$U$3:$V$56,2,FALSE))</f>
        <v/>
      </c>
      <c r="P24" s="526" t="str">
        <f t="shared" si="5"/>
        <v/>
      </c>
      <c r="Q24" s="539" t="b">
        <f t="shared" si="6"/>
        <v>1</v>
      </c>
    </row>
    <row r="25" spans="1:17">
      <c r="A25" s="633"/>
      <c r="B25" s="519"/>
      <c r="C25" s="625"/>
      <c r="D25" s="634" t="str">
        <f t="shared" si="0"/>
        <v/>
      </c>
      <c r="E25" s="628" t="str">
        <f t="shared" si="1"/>
        <v/>
      </c>
      <c r="G25" s="466" t="str">
        <f t="shared" si="7"/>
        <v/>
      </c>
      <c r="H25" s="466" t="str">
        <f t="shared" si="8"/>
        <v/>
      </c>
      <c r="I25" s="466" t="str">
        <f>IF(H25="","",IF(H25="電気",非_電気事業者!$S$5*1000,IF(H25="熱",非_熱供給事業者!$T$4,"")))</f>
        <v/>
      </c>
      <c r="J25" s="466" t="str">
        <f>IF(B25="","",VLOOKUP(B25,非_単位補正換算!$B$3:$C$16,2,FALSE))</f>
        <v/>
      </c>
      <c r="K25" s="466" t="str">
        <f t="shared" si="9"/>
        <v/>
      </c>
      <c r="L25" s="466" t="str">
        <f t="shared" si="10"/>
        <v/>
      </c>
      <c r="M25" s="466" t="str">
        <f>IF(A25="","",VLOOKUP($A25,非_まとめ表行番号!$Q$3:$S$8,2,FALSE))</f>
        <v/>
      </c>
      <c r="N25" s="466" t="str">
        <f>IF(A25="","",VLOOKUP($A25,非_まとめ表行番号!$Q$3:$S$8,3,FALSE))</f>
        <v/>
      </c>
      <c r="O25" s="542" t="str">
        <f>IF(A25="","",VLOOKUP(M25,非_まとめ表行番号!$U$3:$V$56,2,FALSE))</f>
        <v/>
      </c>
      <c r="P25" s="526" t="str">
        <f t="shared" si="5"/>
        <v/>
      </c>
      <c r="Q25" s="539" t="b">
        <f t="shared" si="6"/>
        <v>1</v>
      </c>
    </row>
    <row r="26" spans="1:17">
      <c r="A26" s="633"/>
      <c r="B26" s="519"/>
      <c r="C26" s="625"/>
      <c r="D26" s="634" t="str">
        <f t="shared" si="0"/>
        <v/>
      </c>
      <c r="E26" s="628" t="str">
        <f t="shared" si="1"/>
        <v/>
      </c>
      <c r="G26" s="466" t="str">
        <f t="shared" si="7"/>
        <v/>
      </c>
      <c r="H26" s="466" t="str">
        <f t="shared" si="8"/>
        <v/>
      </c>
      <c r="I26" s="466" t="str">
        <f>IF(H26="","",IF(H26="電気",非_電気事業者!$S$5*1000,IF(H26="熱",非_熱供給事業者!$T$4,"")))</f>
        <v/>
      </c>
      <c r="J26" s="466" t="str">
        <f>IF(B26="","",VLOOKUP(B26,非_単位補正換算!$B$3:$C$16,2,FALSE))</f>
        <v/>
      </c>
      <c r="K26" s="466" t="str">
        <f t="shared" si="9"/>
        <v/>
      </c>
      <c r="L26" s="466" t="str">
        <f t="shared" si="10"/>
        <v/>
      </c>
      <c r="M26" s="466" t="str">
        <f>IF(A26="","",VLOOKUP($A26,非_まとめ表行番号!$Q$3:$S$8,2,FALSE))</f>
        <v/>
      </c>
      <c r="N26" s="466" t="str">
        <f>IF(A26="","",VLOOKUP($A26,非_まとめ表行番号!$Q$3:$S$8,3,FALSE))</f>
        <v/>
      </c>
      <c r="O26" s="542" t="str">
        <f>IF(A26="","",VLOOKUP(M26,非_まとめ表行番号!$U$3:$V$56,2,FALSE))</f>
        <v/>
      </c>
      <c r="P26" s="526" t="str">
        <f t="shared" si="5"/>
        <v/>
      </c>
      <c r="Q26" s="539" t="b">
        <f t="shared" si="6"/>
        <v>1</v>
      </c>
    </row>
    <row r="27" spans="1:17">
      <c r="A27" s="633"/>
      <c r="B27" s="519"/>
      <c r="C27" s="625"/>
      <c r="D27" s="634" t="str">
        <f t="shared" si="0"/>
        <v/>
      </c>
      <c r="E27" s="628" t="str">
        <f t="shared" si="1"/>
        <v/>
      </c>
      <c r="G27" s="466" t="str">
        <f t="shared" si="7"/>
        <v/>
      </c>
      <c r="H27" s="466" t="str">
        <f t="shared" si="8"/>
        <v/>
      </c>
      <c r="I27" s="466" t="str">
        <f>IF(H27="","",IF(H27="電気",非_電気事業者!$S$5*1000,IF(H27="熱",非_熱供給事業者!$T$4,"")))</f>
        <v/>
      </c>
      <c r="J27" s="466" t="str">
        <f>IF(B27="","",VLOOKUP(B27,非_単位補正換算!$B$3:$C$16,2,FALSE))</f>
        <v/>
      </c>
      <c r="K27" s="466" t="str">
        <f t="shared" si="9"/>
        <v/>
      </c>
      <c r="L27" s="466" t="str">
        <f t="shared" si="10"/>
        <v/>
      </c>
      <c r="M27" s="466" t="str">
        <f>IF(A27="","",VLOOKUP($A27,非_まとめ表行番号!$Q$3:$S$8,2,FALSE))</f>
        <v/>
      </c>
      <c r="N27" s="466" t="str">
        <f>IF(A27="","",VLOOKUP($A27,非_まとめ表行番号!$Q$3:$S$8,3,FALSE))</f>
        <v/>
      </c>
      <c r="O27" s="542" t="str">
        <f>IF(A27="","",VLOOKUP(M27,非_まとめ表行番号!$U$3:$V$56,2,FALSE))</f>
        <v/>
      </c>
      <c r="P27" s="526" t="str">
        <f t="shared" si="5"/>
        <v/>
      </c>
      <c r="Q27" s="539" t="b">
        <f t="shared" si="6"/>
        <v>1</v>
      </c>
    </row>
    <row r="28" spans="1:17">
      <c r="A28" s="633"/>
      <c r="B28" s="519"/>
      <c r="C28" s="625"/>
      <c r="D28" s="634" t="str">
        <f t="shared" si="0"/>
        <v/>
      </c>
      <c r="E28" s="628" t="str">
        <f t="shared" si="1"/>
        <v/>
      </c>
      <c r="G28" s="466" t="str">
        <f t="shared" si="7"/>
        <v/>
      </c>
      <c r="H28" s="466" t="str">
        <f t="shared" si="8"/>
        <v/>
      </c>
      <c r="I28" s="466" t="str">
        <f>IF(H28="","",IF(H28="電気",非_電気事業者!$S$5*1000,IF(H28="熱",非_熱供給事業者!$T$4,"")))</f>
        <v/>
      </c>
      <c r="J28" s="466" t="str">
        <f>IF(B28="","",VLOOKUP(B28,非_単位補正換算!$B$3:$C$16,2,FALSE))</f>
        <v/>
      </c>
      <c r="K28" s="466" t="str">
        <f t="shared" si="9"/>
        <v/>
      </c>
      <c r="L28" s="466" t="str">
        <f t="shared" si="10"/>
        <v/>
      </c>
      <c r="M28" s="466" t="str">
        <f>IF(A28="","",VLOOKUP($A28,非_まとめ表行番号!$Q$3:$S$8,2,FALSE))</f>
        <v/>
      </c>
      <c r="N28" s="466" t="str">
        <f>IF(A28="","",VLOOKUP($A28,非_まとめ表行番号!$Q$3:$S$8,3,FALSE))</f>
        <v/>
      </c>
      <c r="O28" s="542" t="str">
        <f>IF(A28="","",VLOOKUP(M28,非_まとめ表行番号!$U$3:$V$56,2,FALSE))</f>
        <v/>
      </c>
      <c r="P28" s="526" t="str">
        <f t="shared" si="5"/>
        <v/>
      </c>
      <c r="Q28" s="539" t="b">
        <f t="shared" si="6"/>
        <v>1</v>
      </c>
    </row>
    <row r="29" spans="1:17">
      <c r="A29" s="633"/>
      <c r="B29" s="519"/>
      <c r="C29" s="625"/>
      <c r="D29" s="634" t="str">
        <f t="shared" si="0"/>
        <v/>
      </c>
      <c r="E29" s="628" t="str">
        <f t="shared" si="1"/>
        <v/>
      </c>
      <c r="G29" s="466" t="str">
        <f t="shared" si="7"/>
        <v/>
      </c>
      <c r="H29" s="466" t="str">
        <f t="shared" si="8"/>
        <v/>
      </c>
      <c r="I29" s="466" t="str">
        <f>IF(H29="","",IF(H29="電気",非_電気事業者!$S$5*1000,IF(H29="熱",非_熱供給事業者!$T$4,"")))</f>
        <v/>
      </c>
      <c r="J29" s="466" t="str">
        <f>IF(B29="","",VLOOKUP(B29,非_単位補正換算!$B$3:$C$16,2,FALSE))</f>
        <v/>
      </c>
      <c r="K29" s="466" t="str">
        <f t="shared" si="9"/>
        <v/>
      </c>
      <c r="L29" s="466" t="str">
        <f t="shared" si="10"/>
        <v/>
      </c>
      <c r="M29" s="466" t="str">
        <f>IF(A29="","",VLOOKUP($A29,非_まとめ表行番号!$Q$3:$S$8,2,FALSE))</f>
        <v/>
      </c>
      <c r="N29" s="466" t="str">
        <f>IF(A29="","",VLOOKUP($A29,非_まとめ表行番号!$Q$3:$S$8,3,FALSE))</f>
        <v/>
      </c>
      <c r="O29" s="542" t="str">
        <f>IF(A29="","",VLOOKUP(M29,非_まとめ表行番号!$U$3:$V$56,2,FALSE))</f>
        <v/>
      </c>
      <c r="P29" s="526" t="str">
        <f t="shared" si="5"/>
        <v/>
      </c>
      <c r="Q29" s="539" t="b">
        <f t="shared" si="6"/>
        <v>1</v>
      </c>
    </row>
    <row r="30" spans="1:17">
      <c r="A30" s="633"/>
      <c r="B30" s="519"/>
      <c r="C30" s="625"/>
      <c r="D30" s="634" t="str">
        <f t="shared" si="0"/>
        <v/>
      </c>
      <c r="E30" s="628" t="str">
        <f t="shared" si="1"/>
        <v/>
      </c>
      <c r="G30" s="466" t="str">
        <f t="shared" si="7"/>
        <v/>
      </c>
      <c r="H30" s="466" t="str">
        <f t="shared" si="8"/>
        <v/>
      </c>
      <c r="I30" s="466" t="str">
        <f>IF(H30="","",IF(H30="電気",非_電気事業者!$S$5*1000,IF(H30="熱",非_熱供給事業者!$T$4,"")))</f>
        <v/>
      </c>
      <c r="J30" s="466" t="str">
        <f>IF(B30="","",VLOOKUP(B30,非_単位補正換算!$B$3:$C$16,2,FALSE))</f>
        <v/>
      </c>
      <c r="K30" s="466" t="str">
        <f t="shared" si="9"/>
        <v/>
      </c>
      <c r="L30" s="466" t="str">
        <f t="shared" si="10"/>
        <v/>
      </c>
      <c r="M30" s="466" t="str">
        <f>IF(A30="","",VLOOKUP($A30,非_まとめ表行番号!$Q$3:$S$8,2,FALSE))</f>
        <v/>
      </c>
      <c r="N30" s="466" t="str">
        <f>IF(A30="","",VLOOKUP($A30,非_まとめ表行番号!$Q$3:$S$8,3,FALSE))</f>
        <v/>
      </c>
      <c r="O30" s="542" t="str">
        <f>IF(A30="","",VLOOKUP(M30,非_まとめ表行番号!$U$3:$V$56,2,FALSE))</f>
        <v/>
      </c>
      <c r="P30" s="526" t="str">
        <f t="shared" si="5"/>
        <v/>
      </c>
      <c r="Q30" s="539" t="b">
        <f t="shared" si="6"/>
        <v>1</v>
      </c>
    </row>
    <row r="31" spans="1:17">
      <c r="A31" s="633"/>
      <c r="B31" s="519"/>
      <c r="C31" s="625"/>
      <c r="D31" s="634" t="str">
        <f t="shared" si="0"/>
        <v/>
      </c>
      <c r="E31" s="628" t="str">
        <f t="shared" si="1"/>
        <v/>
      </c>
      <c r="G31" s="466" t="str">
        <f t="shared" si="7"/>
        <v/>
      </c>
      <c r="H31" s="466" t="str">
        <f t="shared" si="8"/>
        <v/>
      </c>
      <c r="I31" s="466" t="str">
        <f>IF(H31="","",IF(H31="電気",非_電気事業者!$S$5*1000,IF(H31="熱",非_熱供給事業者!$T$4,"")))</f>
        <v/>
      </c>
      <c r="J31" s="466" t="str">
        <f>IF(B31="","",VLOOKUP(B31,非_単位補正換算!$B$3:$C$16,2,FALSE))</f>
        <v/>
      </c>
      <c r="K31" s="466" t="str">
        <f t="shared" si="9"/>
        <v/>
      </c>
      <c r="L31" s="466" t="str">
        <f t="shared" si="10"/>
        <v/>
      </c>
      <c r="M31" s="466" t="str">
        <f>IF(A31="","",VLOOKUP($A31,非_まとめ表行番号!$Q$3:$S$8,2,FALSE))</f>
        <v/>
      </c>
      <c r="N31" s="466" t="str">
        <f>IF(A31="","",VLOOKUP($A31,非_まとめ表行番号!$Q$3:$S$8,3,FALSE))</f>
        <v/>
      </c>
      <c r="O31" s="542" t="str">
        <f>IF(A31="","",VLOOKUP(M31,非_まとめ表行番号!$U$3:$V$56,2,FALSE))</f>
        <v/>
      </c>
      <c r="P31" s="526" t="str">
        <f t="shared" si="5"/>
        <v/>
      </c>
      <c r="Q31" s="539" t="b">
        <f t="shared" si="6"/>
        <v>1</v>
      </c>
    </row>
    <row r="32" spans="1:17">
      <c r="A32" s="633"/>
      <c r="B32" s="519"/>
      <c r="C32" s="625"/>
      <c r="D32" s="634" t="str">
        <f t="shared" si="0"/>
        <v/>
      </c>
      <c r="E32" s="628" t="str">
        <f t="shared" si="1"/>
        <v/>
      </c>
      <c r="G32" s="466" t="str">
        <f t="shared" si="7"/>
        <v/>
      </c>
      <c r="H32" s="466" t="str">
        <f t="shared" si="8"/>
        <v/>
      </c>
      <c r="I32" s="466" t="str">
        <f>IF(H32="","",IF(H32="電気",非_電気事業者!$S$5*1000,IF(H32="熱",非_熱供給事業者!$T$4,"")))</f>
        <v/>
      </c>
      <c r="J32" s="466" t="str">
        <f>IF(B32="","",VLOOKUP(B32,非_単位補正換算!$B$3:$C$16,2,FALSE))</f>
        <v/>
      </c>
      <c r="K32" s="466" t="str">
        <f t="shared" si="9"/>
        <v/>
      </c>
      <c r="L32" s="466" t="str">
        <f t="shared" si="10"/>
        <v/>
      </c>
      <c r="M32" s="466" t="str">
        <f>IF(A32="","",VLOOKUP($A32,非_まとめ表行番号!$Q$3:$S$8,2,FALSE))</f>
        <v/>
      </c>
      <c r="N32" s="466" t="str">
        <f>IF(A32="","",VLOOKUP($A32,非_まとめ表行番号!$Q$3:$S$8,3,FALSE))</f>
        <v/>
      </c>
      <c r="O32" s="542" t="str">
        <f>IF(A32="","",VLOOKUP(M32,非_まとめ表行番号!$U$3:$V$56,2,FALSE))</f>
        <v/>
      </c>
      <c r="P32" s="526" t="str">
        <f t="shared" si="5"/>
        <v/>
      </c>
      <c r="Q32" s="539" t="b">
        <f t="shared" si="6"/>
        <v>1</v>
      </c>
    </row>
    <row r="33" spans="1:17">
      <c r="A33" s="633"/>
      <c r="B33" s="519"/>
      <c r="C33" s="625"/>
      <c r="D33" s="634" t="str">
        <f t="shared" si="0"/>
        <v/>
      </c>
      <c r="E33" s="628" t="str">
        <f t="shared" si="1"/>
        <v/>
      </c>
      <c r="G33" s="466" t="str">
        <f t="shared" si="7"/>
        <v/>
      </c>
      <c r="H33" s="466" t="str">
        <f t="shared" si="8"/>
        <v/>
      </c>
      <c r="I33" s="466" t="str">
        <f>IF(H33="","",IF(H33="電気",非_電気事業者!$S$5*1000,IF(H33="熱",非_熱供給事業者!$T$4,"")))</f>
        <v/>
      </c>
      <c r="J33" s="466" t="str">
        <f>IF(B33="","",VLOOKUP(B33,非_単位補正換算!$B$3:$C$16,2,FALSE))</f>
        <v/>
      </c>
      <c r="K33" s="466" t="str">
        <f t="shared" si="9"/>
        <v/>
      </c>
      <c r="L33" s="466" t="str">
        <f t="shared" si="10"/>
        <v/>
      </c>
      <c r="M33" s="466" t="str">
        <f>IF(A33="","",VLOOKUP($A33,非_まとめ表行番号!$Q$3:$S$8,2,FALSE))</f>
        <v/>
      </c>
      <c r="N33" s="466" t="str">
        <f>IF(A33="","",VLOOKUP($A33,非_まとめ表行番号!$Q$3:$S$8,3,FALSE))</f>
        <v/>
      </c>
      <c r="O33" s="542" t="str">
        <f>IF(A33="","",VLOOKUP(M33,非_まとめ表行番号!$U$3:$V$56,2,FALSE))</f>
        <v/>
      </c>
      <c r="P33" s="526" t="str">
        <f t="shared" si="5"/>
        <v/>
      </c>
      <c r="Q33" s="539" t="b">
        <f t="shared" si="6"/>
        <v>1</v>
      </c>
    </row>
    <row r="34" spans="1:17">
      <c r="A34" s="633"/>
      <c r="B34" s="519"/>
      <c r="C34" s="625"/>
      <c r="D34" s="634" t="str">
        <f t="shared" si="0"/>
        <v/>
      </c>
      <c r="E34" s="628" t="str">
        <f t="shared" si="1"/>
        <v/>
      </c>
      <c r="G34" s="466" t="str">
        <f t="shared" si="7"/>
        <v/>
      </c>
      <c r="H34" s="466" t="str">
        <f t="shared" si="8"/>
        <v/>
      </c>
      <c r="I34" s="466" t="str">
        <f>IF(H34="","",IF(H34="電気",非_電気事業者!$S$5*1000,IF(H34="熱",非_熱供給事業者!$T$4,"")))</f>
        <v/>
      </c>
      <c r="J34" s="466" t="str">
        <f>IF(B34="","",VLOOKUP(B34,非_単位補正換算!$B$3:$C$16,2,FALSE))</f>
        <v/>
      </c>
      <c r="K34" s="466" t="str">
        <f t="shared" si="9"/>
        <v/>
      </c>
      <c r="L34" s="466" t="str">
        <f t="shared" si="10"/>
        <v/>
      </c>
      <c r="M34" s="466" t="str">
        <f>IF(A34="","",VLOOKUP($A34,非_まとめ表行番号!$Q$3:$S$8,2,FALSE))</f>
        <v/>
      </c>
      <c r="N34" s="466" t="str">
        <f>IF(A34="","",VLOOKUP($A34,非_まとめ表行番号!$Q$3:$S$8,3,FALSE))</f>
        <v/>
      </c>
      <c r="O34" s="542" t="str">
        <f>IF(A34="","",VLOOKUP(M34,非_まとめ表行番号!$U$3:$V$56,2,FALSE))</f>
        <v/>
      </c>
      <c r="P34" s="526" t="str">
        <f t="shared" si="5"/>
        <v/>
      </c>
      <c r="Q34" s="539" t="b">
        <f t="shared" si="6"/>
        <v>1</v>
      </c>
    </row>
    <row r="35" spans="1:17">
      <c r="A35" s="633"/>
      <c r="B35" s="519"/>
      <c r="C35" s="625"/>
      <c r="D35" s="634" t="str">
        <f t="shared" si="0"/>
        <v/>
      </c>
      <c r="E35" s="628" t="str">
        <f t="shared" si="1"/>
        <v/>
      </c>
      <c r="G35" s="466" t="str">
        <f t="shared" si="7"/>
        <v/>
      </c>
      <c r="H35" s="466" t="str">
        <f t="shared" si="8"/>
        <v/>
      </c>
      <c r="I35" s="466" t="str">
        <f>IF(H35="","",IF(H35="電気",非_電気事業者!$S$5*1000,IF(H35="熱",非_熱供給事業者!$T$4,"")))</f>
        <v/>
      </c>
      <c r="J35" s="466" t="str">
        <f>IF(B35="","",VLOOKUP(B35,非_単位補正換算!$B$3:$C$16,2,FALSE))</f>
        <v/>
      </c>
      <c r="K35" s="466" t="str">
        <f t="shared" si="9"/>
        <v/>
      </c>
      <c r="L35" s="466" t="str">
        <f t="shared" si="10"/>
        <v/>
      </c>
      <c r="M35" s="466" t="str">
        <f>IF(A35="","",VLOOKUP($A35,非_まとめ表行番号!$Q$3:$S$8,2,FALSE))</f>
        <v/>
      </c>
      <c r="N35" s="466" t="str">
        <f>IF(A35="","",VLOOKUP($A35,非_まとめ表行番号!$Q$3:$S$8,3,FALSE))</f>
        <v/>
      </c>
      <c r="O35" s="542" t="str">
        <f>IF(A35="","",VLOOKUP(M35,非_まとめ表行番号!$U$3:$V$56,2,FALSE))</f>
        <v/>
      </c>
      <c r="P35" s="526" t="str">
        <f t="shared" si="5"/>
        <v/>
      </c>
      <c r="Q35" s="539" t="b">
        <f t="shared" si="6"/>
        <v>1</v>
      </c>
    </row>
    <row r="36" spans="1:17">
      <c r="A36" s="633"/>
      <c r="B36" s="519"/>
      <c r="C36" s="625"/>
      <c r="D36" s="634" t="str">
        <f t="shared" si="0"/>
        <v/>
      </c>
      <c r="E36" s="628" t="str">
        <f t="shared" si="1"/>
        <v/>
      </c>
      <c r="G36" s="466" t="str">
        <f t="shared" si="7"/>
        <v/>
      </c>
      <c r="H36" s="466" t="str">
        <f t="shared" si="8"/>
        <v/>
      </c>
      <c r="I36" s="466" t="str">
        <f>IF(H36="","",IF(H36="電気",非_電気事業者!$S$5*1000,IF(H36="熱",非_熱供給事業者!$T$4,"")))</f>
        <v/>
      </c>
      <c r="J36" s="466" t="str">
        <f>IF(B36="","",VLOOKUP(B36,非_単位補正換算!$B$3:$C$16,2,FALSE))</f>
        <v/>
      </c>
      <c r="K36" s="466" t="str">
        <f t="shared" si="9"/>
        <v/>
      </c>
      <c r="L36" s="466" t="str">
        <f t="shared" si="10"/>
        <v/>
      </c>
      <c r="M36" s="466" t="str">
        <f>IF(A36="","",VLOOKUP($A36,非_まとめ表行番号!$Q$3:$S$8,2,FALSE))</f>
        <v/>
      </c>
      <c r="N36" s="466" t="str">
        <f>IF(A36="","",VLOOKUP($A36,非_まとめ表行番号!$Q$3:$S$8,3,FALSE))</f>
        <v/>
      </c>
      <c r="O36" s="542" t="str">
        <f>IF(A36="","",VLOOKUP(M36,非_まとめ表行番号!$U$3:$V$56,2,FALSE))</f>
        <v/>
      </c>
      <c r="P36" s="526" t="str">
        <f t="shared" si="5"/>
        <v/>
      </c>
      <c r="Q36" s="539" t="b">
        <f t="shared" si="6"/>
        <v>1</v>
      </c>
    </row>
    <row r="37" spans="1:17">
      <c r="A37" s="633"/>
      <c r="B37" s="519"/>
      <c r="C37" s="625"/>
      <c r="D37" s="634" t="str">
        <f t="shared" si="0"/>
        <v/>
      </c>
      <c r="E37" s="628" t="str">
        <f t="shared" si="1"/>
        <v/>
      </c>
      <c r="G37" s="466" t="str">
        <f t="shared" si="7"/>
        <v/>
      </c>
      <c r="H37" s="466" t="str">
        <f t="shared" si="8"/>
        <v/>
      </c>
      <c r="I37" s="466" t="str">
        <f>IF(H37="","",IF(H37="電気",非_電気事業者!$S$5*1000,IF(H37="熱",非_熱供給事業者!$T$4,"")))</f>
        <v/>
      </c>
      <c r="J37" s="466" t="str">
        <f>IF(B37="","",VLOOKUP(B37,非_単位補正換算!$B$3:$C$16,2,FALSE))</f>
        <v/>
      </c>
      <c r="K37" s="466" t="str">
        <f t="shared" si="9"/>
        <v/>
      </c>
      <c r="L37" s="466" t="str">
        <f t="shared" si="10"/>
        <v/>
      </c>
      <c r="M37" s="466" t="str">
        <f>IF(A37="","",VLOOKUP($A37,非_まとめ表行番号!$Q$3:$S$8,2,FALSE))</f>
        <v/>
      </c>
      <c r="N37" s="466" t="str">
        <f>IF(A37="","",VLOOKUP($A37,非_まとめ表行番号!$Q$3:$S$8,3,FALSE))</f>
        <v/>
      </c>
      <c r="O37" s="542" t="str">
        <f>IF(A37="","",VLOOKUP(M37,非_まとめ表行番号!$U$3:$V$56,2,FALSE))</f>
        <v/>
      </c>
      <c r="P37" s="526" t="str">
        <f t="shared" si="5"/>
        <v/>
      </c>
      <c r="Q37" s="539" t="b">
        <f t="shared" si="6"/>
        <v>1</v>
      </c>
    </row>
    <row r="38" spans="1:17">
      <c r="A38" s="633"/>
      <c r="B38" s="519"/>
      <c r="C38" s="625"/>
      <c r="D38" s="634" t="str">
        <f t="shared" si="0"/>
        <v/>
      </c>
      <c r="E38" s="628" t="str">
        <f t="shared" si="1"/>
        <v/>
      </c>
      <c r="G38" s="466" t="str">
        <f t="shared" si="7"/>
        <v/>
      </c>
      <c r="H38" s="466" t="str">
        <f t="shared" si="8"/>
        <v/>
      </c>
      <c r="I38" s="466" t="str">
        <f>IF(H38="","",IF(H38="電気",非_電気事業者!$S$5*1000,IF(H38="熱",非_熱供給事業者!$T$4,"")))</f>
        <v/>
      </c>
      <c r="J38" s="466" t="str">
        <f>IF(B38="","",VLOOKUP(B38,非_単位補正換算!$B$3:$C$16,2,FALSE))</f>
        <v/>
      </c>
      <c r="K38" s="466" t="str">
        <f t="shared" si="9"/>
        <v/>
      </c>
      <c r="L38" s="466" t="str">
        <f t="shared" si="10"/>
        <v/>
      </c>
      <c r="M38" s="466" t="str">
        <f>IF(A38="","",VLOOKUP($A38,非_まとめ表行番号!$Q$3:$S$8,2,FALSE))</f>
        <v/>
      </c>
      <c r="N38" s="466" t="str">
        <f>IF(A38="","",VLOOKUP($A38,非_まとめ表行番号!$Q$3:$S$8,3,FALSE))</f>
        <v/>
      </c>
      <c r="O38" s="542" t="str">
        <f>IF(A38="","",VLOOKUP(M38,非_まとめ表行番号!$U$3:$V$56,2,FALSE))</f>
        <v/>
      </c>
      <c r="P38" s="526" t="str">
        <f t="shared" si="5"/>
        <v/>
      </c>
      <c r="Q38" s="539" t="b">
        <f t="shared" si="6"/>
        <v>1</v>
      </c>
    </row>
    <row r="39" spans="1:17">
      <c r="A39" s="633"/>
      <c r="B39" s="519"/>
      <c r="C39" s="625"/>
      <c r="D39" s="634" t="str">
        <f t="shared" si="0"/>
        <v/>
      </c>
      <c r="E39" s="628" t="str">
        <f t="shared" si="1"/>
        <v/>
      </c>
      <c r="G39" s="466" t="str">
        <f t="shared" si="7"/>
        <v/>
      </c>
      <c r="H39" s="466" t="str">
        <f t="shared" si="8"/>
        <v/>
      </c>
      <c r="I39" s="466" t="str">
        <f>IF(H39="","",IF(H39="電気",非_電気事業者!$S$5*1000,IF(H39="熱",非_熱供給事業者!$T$4,"")))</f>
        <v/>
      </c>
      <c r="J39" s="466" t="str">
        <f>IF(B39="","",VLOOKUP(B39,非_単位補正換算!$B$3:$C$16,2,FALSE))</f>
        <v/>
      </c>
      <c r="K39" s="466" t="str">
        <f t="shared" si="9"/>
        <v/>
      </c>
      <c r="L39" s="466" t="str">
        <f t="shared" si="10"/>
        <v/>
      </c>
      <c r="M39" s="466" t="str">
        <f>IF(A39="","",VLOOKUP($A39,非_まとめ表行番号!$Q$3:$S$8,2,FALSE))</f>
        <v/>
      </c>
      <c r="N39" s="466" t="str">
        <f>IF(A39="","",VLOOKUP($A39,非_まとめ表行番号!$Q$3:$S$8,3,FALSE))</f>
        <v/>
      </c>
      <c r="O39" s="542" t="str">
        <f>IF(A39="","",VLOOKUP(M39,非_まとめ表行番号!$U$3:$V$56,2,FALSE))</f>
        <v/>
      </c>
      <c r="P39" s="526" t="str">
        <f t="shared" si="5"/>
        <v/>
      </c>
      <c r="Q39" s="539" t="b">
        <f t="shared" si="6"/>
        <v>1</v>
      </c>
    </row>
    <row r="40" spans="1:17">
      <c r="A40" s="633"/>
      <c r="B40" s="519"/>
      <c r="C40" s="625"/>
      <c r="D40" s="634" t="str">
        <f t="shared" si="0"/>
        <v/>
      </c>
      <c r="E40" s="628" t="str">
        <f t="shared" si="1"/>
        <v/>
      </c>
      <c r="G40" s="466" t="str">
        <f t="shared" si="7"/>
        <v/>
      </c>
      <c r="H40" s="466" t="str">
        <f t="shared" si="8"/>
        <v/>
      </c>
      <c r="I40" s="466" t="str">
        <f>IF(H40="","",IF(H40="電気",非_電気事業者!$S$5*1000,IF(H40="熱",非_熱供給事業者!$T$4,"")))</f>
        <v/>
      </c>
      <c r="J40" s="466" t="str">
        <f>IF(B40="","",VLOOKUP(B40,非_単位補正換算!$B$3:$C$16,2,FALSE))</f>
        <v/>
      </c>
      <c r="K40" s="466" t="str">
        <f t="shared" si="9"/>
        <v/>
      </c>
      <c r="L40" s="466" t="str">
        <f t="shared" si="10"/>
        <v/>
      </c>
      <c r="M40" s="466" t="str">
        <f>IF(A40="","",VLOOKUP($A40,非_まとめ表行番号!$Q$3:$S$8,2,FALSE))</f>
        <v/>
      </c>
      <c r="N40" s="466" t="str">
        <f>IF(A40="","",VLOOKUP($A40,非_まとめ表行番号!$Q$3:$S$8,3,FALSE))</f>
        <v/>
      </c>
      <c r="O40" s="542" t="str">
        <f>IF(A40="","",VLOOKUP(M40,非_まとめ表行番号!$U$3:$V$56,2,FALSE))</f>
        <v/>
      </c>
      <c r="P40" s="526" t="str">
        <f t="shared" si="5"/>
        <v/>
      </c>
      <c r="Q40" s="539" t="b">
        <f t="shared" si="6"/>
        <v>1</v>
      </c>
    </row>
    <row r="41" spans="1:17">
      <c r="A41" s="633"/>
      <c r="B41" s="519"/>
      <c r="C41" s="625"/>
      <c r="D41" s="634" t="str">
        <f t="shared" si="0"/>
        <v/>
      </c>
      <c r="E41" s="628" t="str">
        <f t="shared" si="1"/>
        <v/>
      </c>
      <c r="G41" s="466" t="str">
        <f t="shared" si="7"/>
        <v/>
      </c>
      <c r="H41" s="466" t="str">
        <f t="shared" si="8"/>
        <v/>
      </c>
      <c r="I41" s="466" t="str">
        <f>IF(H41="","",IF(H41="電気",非_電気事業者!$S$5*1000,IF(H41="熱",非_熱供給事業者!$T$4,"")))</f>
        <v/>
      </c>
      <c r="J41" s="466" t="str">
        <f>IF(B41="","",VLOOKUP(B41,非_単位補正換算!$B$3:$C$16,2,FALSE))</f>
        <v/>
      </c>
      <c r="K41" s="466" t="str">
        <f t="shared" si="9"/>
        <v/>
      </c>
      <c r="L41" s="466" t="str">
        <f t="shared" si="10"/>
        <v/>
      </c>
      <c r="M41" s="466" t="str">
        <f>IF(A41="","",VLOOKUP($A41,非_まとめ表行番号!$Q$3:$S$8,2,FALSE))</f>
        <v/>
      </c>
      <c r="N41" s="466" t="str">
        <f>IF(A41="","",VLOOKUP($A41,非_まとめ表行番号!$Q$3:$S$8,3,FALSE))</f>
        <v/>
      </c>
      <c r="O41" s="542" t="str">
        <f>IF(A41="","",VLOOKUP(M41,非_まとめ表行番号!$U$3:$V$56,2,FALSE))</f>
        <v/>
      </c>
      <c r="P41" s="526" t="str">
        <f t="shared" si="5"/>
        <v/>
      </c>
      <c r="Q41" s="539" t="b">
        <f t="shared" si="6"/>
        <v>1</v>
      </c>
    </row>
    <row r="42" spans="1:17">
      <c r="A42" s="633"/>
      <c r="B42" s="519"/>
      <c r="C42" s="625"/>
      <c r="D42" s="634" t="str">
        <f t="shared" si="0"/>
        <v/>
      </c>
      <c r="E42" s="628" t="str">
        <f t="shared" si="1"/>
        <v/>
      </c>
      <c r="G42" s="466" t="str">
        <f t="shared" si="7"/>
        <v/>
      </c>
      <c r="H42" s="466" t="str">
        <f t="shared" si="8"/>
        <v/>
      </c>
      <c r="I42" s="466" t="str">
        <f>IF(H42="","",IF(H42="電気",非_電気事業者!$S$5*1000,IF(H42="熱",非_熱供給事業者!$T$4,"")))</f>
        <v/>
      </c>
      <c r="J42" s="466" t="str">
        <f>IF(B42="","",VLOOKUP(B42,非_単位補正換算!$B$3:$C$16,2,FALSE))</f>
        <v/>
      </c>
      <c r="K42" s="466" t="str">
        <f t="shared" si="9"/>
        <v/>
      </c>
      <c r="L42" s="466" t="str">
        <f t="shared" si="10"/>
        <v/>
      </c>
      <c r="M42" s="466" t="str">
        <f>IF(A42="","",VLOOKUP($A42,非_まとめ表行番号!$Q$3:$S$8,2,FALSE))</f>
        <v/>
      </c>
      <c r="N42" s="466" t="str">
        <f>IF(A42="","",VLOOKUP($A42,非_まとめ表行番号!$Q$3:$S$8,3,FALSE))</f>
        <v/>
      </c>
      <c r="O42" s="542" t="str">
        <f>IF(A42="","",VLOOKUP(M42,非_まとめ表行番号!$U$3:$V$56,2,FALSE))</f>
        <v/>
      </c>
      <c r="P42" s="526" t="str">
        <f t="shared" si="5"/>
        <v/>
      </c>
      <c r="Q42" s="539" t="b">
        <f t="shared" si="6"/>
        <v>1</v>
      </c>
    </row>
    <row r="43" spans="1:17">
      <c r="A43" s="633"/>
      <c r="B43" s="519"/>
      <c r="C43" s="625"/>
      <c r="D43" s="634" t="str">
        <f t="shared" si="0"/>
        <v/>
      </c>
      <c r="E43" s="628" t="str">
        <f t="shared" si="1"/>
        <v/>
      </c>
      <c r="G43" s="466" t="str">
        <f t="shared" si="7"/>
        <v/>
      </c>
      <c r="H43" s="466" t="str">
        <f t="shared" si="8"/>
        <v/>
      </c>
      <c r="I43" s="466" t="str">
        <f>IF(H43="","",IF(H43="電気",非_電気事業者!$S$5*1000,IF(H43="熱",非_熱供給事業者!$T$4,"")))</f>
        <v/>
      </c>
      <c r="J43" s="466" t="str">
        <f>IF(B43="","",VLOOKUP(B43,非_単位補正換算!$B$3:$C$16,2,FALSE))</f>
        <v/>
      </c>
      <c r="K43" s="466" t="str">
        <f t="shared" si="9"/>
        <v/>
      </c>
      <c r="L43" s="466" t="str">
        <f t="shared" si="10"/>
        <v/>
      </c>
      <c r="M43" s="466" t="str">
        <f>IF(A43="","",VLOOKUP($A43,非_まとめ表行番号!$Q$3:$S$8,2,FALSE))</f>
        <v/>
      </c>
      <c r="N43" s="466" t="str">
        <f>IF(A43="","",VLOOKUP($A43,非_まとめ表行番号!$Q$3:$S$8,3,FALSE))</f>
        <v/>
      </c>
      <c r="O43" s="542" t="str">
        <f>IF(A43="","",VLOOKUP(M43,非_まとめ表行番号!$U$3:$V$56,2,FALSE))</f>
        <v/>
      </c>
      <c r="P43" s="526" t="str">
        <f t="shared" si="5"/>
        <v/>
      </c>
      <c r="Q43" s="539" t="b">
        <f t="shared" si="6"/>
        <v>1</v>
      </c>
    </row>
    <row r="44" spans="1:17">
      <c r="A44" s="633"/>
      <c r="B44" s="519"/>
      <c r="C44" s="625"/>
      <c r="D44" s="634" t="str">
        <f t="shared" si="0"/>
        <v/>
      </c>
      <c r="E44" s="628" t="str">
        <f t="shared" si="1"/>
        <v/>
      </c>
      <c r="G44" s="466" t="str">
        <f t="shared" si="7"/>
        <v/>
      </c>
      <c r="H44" s="466" t="str">
        <f t="shared" si="8"/>
        <v/>
      </c>
      <c r="I44" s="466" t="str">
        <f>IF(H44="","",IF(H44="電気",非_電気事業者!$S$5*1000,IF(H44="熱",非_熱供給事業者!$T$4,"")))</f>
        <v/>
      </c>
      <c r="J44" s="466" t="str">
        <f>IF(B44="","",VLOOKUP(B44,非_単位補正換算!$B$3:$C$16,2,FALSE))</f>
        <v/>
      </c>
      <c r="K44" s="466" t="str">
        <f t="shared" si="9"/>
        <v/>
      </c>
      <c r="L44" s="466" t="str">
        <f t="shared" si="10"/>
        <v/>
      </c>
      <c r="M44" s="466" t="str">
        <f>IF(A44="","",VLOOKUP($A44,非_まとめ表行番号!$Q$3:$S$8,2,FALSE))</f>
        <v/>
      </c>
      <c r="N44" s="466" t="str">
        <f>IF(A44="","",VLOOKUP($A44,非_まとめ表行番号!$Q$3:$S$8,3,FALSE))</f>
        <v/>
      </c>
      <c r="O44" s="542" t="str">
        <f>IF(A44="","",VLOOKUP(M44,非_まとめ表行番号!$U$3:$V$56,2,FALSE))</f>
        <v/>
      </c>
      <c r="P44" s="526" t="str">
        <f t="shared" si="5"/>
        <v/>
      </c>
      <c r="Q44" s="539" t="b">
        <f t="shared" si="6"/>
        <v>1</v>
      </c>
    </row>
    <row r="45" spans="1:17">
      <c r="A45" s="633"/>
      <c r="B45" s="519"/>
      <c r="C45" s="625"/>
      <c r="D45" s="634" t="str">
        <f t="shared" si="0"/>
        <v/>
      </c>
      <c r="E45" s="628" t="str">
        <f t="shared" si="1"/>
        <v/>
      </c>
      <c r="G45" s="466" t="str">
        <f t="shared" si="7"/>
        <v/>
      </c>
      <c r="H45" s="466" t="str">
        <f t="shared" si="8"/>
        <v/>
      </c>
      <c r="I45" s="466" t="str">
        <f>IF(H45="","",IF(H45="電気",非_電気事業者!$S$5*1000,IF(H45="熱",非_熱供給事業者!$T$4,"")))</f>
        <v/>
      </c>
      <c r="J45" s="466" t="str">
        <f>IF(B45="","",VLOOKUP(B45,非_単位補正換算!$B$3:$C$16,2,FALSE))</f>
        <v/>
      </c>
      <c r="K45" s="466" t="str">
        <f t="shared" si="9"/>
        <v/>
      </c>
      <c r="L45" s="466" t="str">
        <f t="shared" si="10"/>
        <v/>
      </c>
      <c r="M45" s="466" t="str">
        <f>IF(A45="","",VLOOKUP($A45,非_まとめ表行番号!$Q$3:$S$8,2,FALSE))</f>
        <v/>
      </c>
      <c r="N45" s="466" t="str">
        <f>IF(A45="","",VLOOKUP($A45,非_まとめ表行番号!$Q$3:$S$8,3,FALSE))</f>
        <v/>
      </c>
      <c r="O45" s="542" t="str">
        <f>IF(A45="","",VLOOKUP(M45,非_まとめ表行番号!$U$3:$V$56,2,FALSE))</f>
        <v/>
      </c>
      <c r="P45" s="526" t="str">
        <f t="shared" si="5"/>
        <v/>
      </c>
      <c r="Q45" s="539" t="b">
        <f t="shared" si="6"/>
        <v>1</v>
      </c>
    </row>
    <row r="46" spans="1:17">
      <c r="A46" s="633"/>
      <c r="B46" s="519"/>
      <c r="C46" s="625"/>
      <c r="D46" s="634" t="str">
        <f t="shared" si="0"/>
        <v/>
      </c>
      <c r="E46" s="628" t="str">
        <f t="shared" si="1"/>
        <v/>
      </c>
      <c r="G46" s="466" t="str">
        <f t="shared" si="7"/>
        <v/>
      </c>
      <c r="H46" s="466" t="str">
        <f t="shared" si="8"/>
        <v/>
      </c>
      <c r="I46" s="466" t="str">
        <f>IF(H46="","",IF(H46="電気",非_電気事業者!$S$5*1000,IF(H46="熱",非_熱供給事業者!$T$4,"")))</f>
        <v/>
      </c>
      <c r="J46" s="466" t="str">
        <f>IF(B46="","",VLOOKUP(B46,非_単位補正換算!$B$3:$C$16,2,FALSE))</f>
        <v/>
      </c>
      <c r="K46" s="466" t="str">
        <f t="shared" si="9"/>
        <v/>
      </c>
      <c r="L46" s="466" t="str">
        <f t="shared" si="10"/>
        <v/>
      </c>
      <c r="M46" s="466" t="str">
        <f>IF(A46="","",VLOOKUP($A46,非_まとめ表行番号!$Q$3:$S$8,2,FALSE))</f>
        <v/>
      </c>
      <c r="N46" s="466" t="str">
        <f>IF(A46="","",VLOOKUP($A46,非_まとめ表行番号!$Q$3:$S$8,3,FALSE))</f>
        <v/>
      </c>
      <c r="O46" s="542" t="str">
        <f>IF(A46="","",VLOOKUP(M46,非_まとめ表行番号!$U$3:$V$56,2,FALSE))</f>
        <v/>
      </c>
      <c r="P46" s="526" t="str">
        <f t="shared" si="5"/>
        <v/>
      </c>
      <c r="Q46" s="539" t="b">
        <f t="shared" si="6"/>
        <v>1</v>
      </c>
    </row>
    <row r="47" spans="1:17">
      <c r="A47" s="633"/>
      <c r="B47" s="519"/>
      <c r="C47" s="625"/>
      <c r="D47" s="634" t="str">
        <f t="shared" si="0"/>
        <v/>
      </c>
      <c r="E47" s="628" t="str">
        <f t="shared" si="1"/>
        <v/>
      </c>
      <c r="G47" s="466" t="str">
        <f t="shared" si="7"/>
        <v/>
      </c>
      <c r="H47" s="466" t="str">
        <f t="shared" si="8"/>
        <v/>
      </c>
      <c r="I47" s="466" t="str">
        <f>IF(H47="","",IF(H47="電気",非_電気事業者!$S$5*1000,IF(H47="熱",非_熱供給事業者!$T$4,"")))</f>
        <v/>
      </c>
      <c r="J47" s="466" t="str">
        <f>IF(B47="","",VLOOKUP(B47,非_単位補正換算!$B$3:$C$16,2,FALSE))</f>
        <v/>
      </c>
      <c r="K47" s="466" t="str">
        <f t="shared" si="9"/>
        <v/>
      </c>
      <c r="L47" s="466" t="str">
        <f t="shared" si="10"/>
        <v/>
      </c>
      <c r="M47" s="466" t="str">
        <f>IF(A47="","",VLOOKUP($A47,非_まとめ表行番号!$Q$3:$S$8,2,FALSE))</f>
        <v/>
      </c>
      <c r="N47" s="466" t="str">
        <f>IF(A47="","",VLOOKUP($A47,非_まとめ表行番号!$Q$3:$S$8,3,FALSE))</f>
        <v/>
      </c>
      <c r="O47" s="542" t="str">
        <f>IF(A47="","",VLOOKUP(M47,非_まとめ表行番号!$U$3:$V$56,2,FALSE))</f>
        <v/>
      </c>
      <c r="P47" s="526" t="str">
        <f t="shared" si="5"/>
        <v/>
      </c>
      <c r="Q47" s="539" t="b">
        <f t="shared" si="6"/>
        <v>1</v>
      </c>
    </row>
    <row r="48" spans="1:17">
      <c r="A48" s="633"/>
      <c r="B48" s="519"/>
      <c r="C48" s="625"/>
      <c r="D48" s="634" t="str">
        <f t="shared" si="0"/>
        <v/>
      </c>
      <c r="E48" s="628" t="str">
        <f t="shared" si="1"/>
        <v/>
      </c>
      <c r="G48" s="466" t="str">
        <f t="shared" si="7"/>
        <v/>
      </c>
      <c r="H48" s="466" t="str">
        <f t="shared" si="8"/>
        <v/>
      </c>
      <c r="I48" s="466" t="str">
        <f>IF(H48="","",IF(H48="電気",非_電気事業者!$S$5*1000,IF(H48="熱",非_熱供給事業者!$T$4,"")))</f>
        <v/>
      </c>
      <c r="J48" s="466" t="str">
        <f>IF(B48="","",VLOOKUP(B48,非_単位補正換算!$B$3:$C$16,2,FALSE))</f>
        <v/>
      </c>
      <c r="K48" s="466" t="str">
        <f t="shared" si="9"/>
        <v/>
      </c>
      <c r="L48" s="466" t="str">
        <f t="shared" si="10"/>
        <v/>
      </c>
      <c r="M48" s="466" t="str">
        <f>IF(A48="","",VLOOKUP($A48,非_まとめ表行番号!$Q$3:$S$8,2,FALSE))</f>
        <v/>
      </c>
      <c r="N48" s="466" t="str">
        <f>IF(A48="","",VLOOKUP($A48,非_まとめ表行番号!$Q$3:$S$8,3,FALSE))</f>
        <v/>
      </c>
      <c r="O48" s="542" t="str">
        <f>IF(A48="","",VLOOKUP(M48,非_まとめ表行番号!$U$3:$V$56,2,FALSE))</f>
        <v/>
      </c>
      <c r="P48" s="526" t="str">
        <f t="shared" si="5"/>
        <v/>
      </c>
      <c r="Q48" s="539" t="b">
        <f t="shared" si="6"/>
        <v>1</v>
      </c>
    </row>
    <row r="49" spans="1:17">
      <c r="A49" s="633"/>
      <c r="B49" s="519"/>
      <c r="C49" s="625"/>
      <c r="D49" s="634" t="str">
        <f t="shared" si="0"/>
        <v/>
      </c>
      <c r="E49" s="628" t="str">
        <f t="shared" si="1"/>
        <v/>
      </c>
      <c r="G49" s="466" t="str">
        <f t="shared" si="7"/>
        <v/>
      </c>
      <c r="H49" s="466" t="str">
        <f t="shared" si="8"/>
        <v/>
      </c>
      <c r="I49" s="466" t="str">
        <f>IF(H49="","",IF(H49="電気",非_電気事業者!$S$5*1000,IF(H49="熱",非_熱供給事業者!$T$4,"")))</f>
        <v/>
      </c>
      <c r="J49" s="466" t="str">
        <f>IF(B49="","",VLOOKUP(B49,非_単位補正換算!$B$3:$C$16,2,FALSE))</f>
        <v/>
      </c>
      <c r="K49" s="466" t="str">
        <f t="shared" si="9"/>
        <v/>
      </c>
      <c r="L49" s="466" t="str">
        <f t="shared" si="10"/>
        <v/>
      </c>
      <c r="M49" s="466" t="str">
        <f>IF(A49="","",VLOOKUP($A49,非_まとめ表行番号!$Q$3:$S$8,2,FALSE))</f>
        <v/>
      </c>
      <c r="N49" s="466" t="str">
        <f>IF(A49="","",VLOOKUP($A49,非_まとめ表行番号!$Q$3:$S$8,3,FALSE))</f>
        <v/>
      </c>
      <c r="O49" s="542" t="str">
        <f>IF(A49="","",VLOOKUP(M49,非_まとめ表行番号!$U$3:$V$56,2,FALSE))</f>
        <v/>
      </c>
      <c r="P49" s="526" t="str">
        <f t="shared" si="5"/>
        <v/>
      </c>
      <c r="Q49" s="539" t="b">
        <f t="shared" si="6"/>
        <v>1</v>
      </c>
    </row>
    <row r="50" spans="1:17">
      <c r="A50" s="633"/>
      <c r="B50" s="519"/>
      <c r="C50" s="625"/>
      <c r="D50" s="634" t="str">
        <f t="shared" si="0"/>
        <v/>
      </c>
      <c r="E50" s="628" t="str">
        <f t="shared" si="1"/>
        <v/>
      </c>
      <c r="G50" s="466" t="str">
        <f t="shared" ref="G50:G53" si="11">IF(A50="","",IF(LEFT(A50,5)="森林吸収量","森林吸収量_単位",A50&amp;"_単位"))</f>
        <v/>
      </c>
      <c r="H50" s="466" t="str">
        <f t="shared" ref="H50:H53" si="12">IF(A50="","",IF(LEFT(A50,5)="森林吸収量","森林吸収量",IF(A50="グリーン熱証書","熱","電気")))</f>
        <v/>
      </c>
      <c r="I50" s="466" t="str">
        <f>IF(H50="","",IF(H50="電気",非_電気事業者!$S$5*1000,IF(H50="熱",非_熱供給事業者!$T$4,"")))</f>
        <v/>
      </c>
      <c r="J50" s="466" t="str">
        <f>IF(B50="","",VLOOKUP(B50,非_単位補正換算!$B$3:$C$16,2,FALSE))</f>
        <v/>
      </c>
      <c r="K50" s="466" t="str">
        <f t="shared" ref="K50:K53" si="13">IF(C50="","",IF(J50="","",C50/J50))</f>
        <v/>
      </c>
      <c r="L50" s="466" t="str">
        <f t="shared" ref="L50:L53" si="14">IF(H50="","",IF(H50="森林吸収量","削減量を入力",IF(K50="","",K50*I50)))</f>
        <v/>
      </c>
      <c r="M50" s="466" t="str">
        <f>IF(A50="","",VLOOKUP($A50,非_まとめ表行番号!$Q$3:$S$8,2,FALSE))</f>
        <v/>
      </c>
      <c r="N50" s="466" t="str">
        <f>IF(A50="","",VLOOKUP($A50,非_まとめ表行番号!$Q$3:$S$8,3,FALSE))</f>
        <v/>
      </c>
      <c r="O50" s="542" t="str">
        <f>IF(A50="","",VLOOKUP(M50,非_まとめ表行番号!$U$3:$V$56,2,FALSE))</f>
        <v/>
      </c>
      <c r="P50" s="526" t="str">
        <f t="shared" si="5"/>
        <v/>
      </c>
      <c r="Q50" s="539" t="b">
        <f t="shared" si="6"/>
        <v>1</v>
      </c>
    </row>
    <row r="51" spans="1:17">
      <c r="A51" s="633"/>
      <c r="B51" s="519"/>
      <c r="C51" s="625"/>
      <c r="D51" s="634" t="str">
        <f t="shared" si="0"/>
        <v/>
      </c>
      <c r="E51" s="628" t="str">
        <f t="shared" si="1"/>
        <v/>
      </c>
      <c r="G51" s="466" t="str">
        <f t="shared" si="11"/>
        <v/>
      </c>
      <c r="H51" s="466" t="str">
        <f t="shared" si="12"/>
        <v/>
      </c>
      <c r="I51" s="466" t="str">
        <f>IF(H51="","",IF(H51="電気",非_電気事業者!$S$5*1000,IF(H51="熱",非_熱供給事業者!$T$4,"")))</f>
        <v/>
      </c>
      <c r="J51" s="466" t="str">
        <f>IF(B51="","",VLOOKUP(B51,非_単位補正換算!$B$3:$C$16,2,FALSE))</f>
        <v/>
      </c>
      <c r="K51" s="466" t="str">
        <f t="shared" si="13"/>
        <v/>
      </c>
      <c r="L51" s="466" t="str">
        <f t="shared" si="14"/>
        <v/>
      </c>
      <c r="M51" s="466" t="str">
        <f>IF(A51="","",VLOOKUP($A51,非_まとめ表行番号!$Q$3:$S$8,2,FALSE))</f>
        <v/>
      </c>
      <c r="N51" s="466" t="str">
        <f>IF(A51="","",VLOOKUP($A51,非_まとめ表行番号!$Q$3:$S$8,3,FALSE))</f>
        <v/>
      </c>
      <c r="O51" s="542" t="str">
        <f>IF(A51="","",VLOOKUP(M51,非_まとめ表行番号!$U$3:$V$56,2,FALSE))</f>
        <v/>
      </c>
      <c r="P51" s="526" t="str">
        <f t="shared" si="5"/>
        <v/>
      </c>
      <c r="Q51" s="539" t="b">
        <f t="shared" si="6"/>
        <v>1</v>
      </c>
    </row>
    <row r="52" spans="1:17">
      <c r="A52" s="633"/>
      <c r="B52" s="519"/>
      <c r="C52" s="625"/>
      <c r="D52" s="634" t="str">
        <f t="shared" si="0"/>
        <v/>
      </c>
      <c r="E52" s="628" t="str">
        <f t="shared" si="1"/>
        <v/>
      </c>
      <c r="G52" s="466" t="str">
        <f t="shared" si="11"/>
        <v/>
      </c>
      <c r="H52" s="466" t="str">
        <f t="shared" si="12"/>
        <v/>
      </c>
      <c r="I52" s="466" t="str">
        <f>IF(H52="","",IF(H52="電気",非_電気事業者!$S$5*1000,IF(H52="熱",非_熱供給事業者!$T$4,"")))</f>
        <v/>
      </c>
      <c r="J52" s="466" t="str">
        <f>IF(B52="","",VLOOKUP(B52,非_単位補正換算!$B$3:$C$16,2,FALSE))</f>
        <v/>
      </c>
      <c r="K52" s="466" t="str">
        <f t="shared" si="13"/>
        <v/>
      </c>
      <c r="L52" s="466" t="str">
        <f t="shared" si="14"/>
        <v/>
      </c>
      <c r="M52" s="466" t="str">
        <f>IF(A52="","",VLOOKUP($A52,非_まとめ表行番号!$Q$3:$S$8,2,FALSE))</f>
        <v/>
      </c>
      <c r="N52" s="466" t="str">
        <f>IF(A52="","",VLOOKUP($A52,非_まとめ表行番号!$Q$3:$S$8,3,FALSE))</f>
        <v/>
      </c>
      <c r="O52" s="542" t="str">
        <f>IF(A52="","",VLOOKUP(M52,非_まとめ表行番号!$U$3:$V$56,2,FALSE))</f>
        <v/>
      </c>
      <c r="P52" s="526" t="str">
        <f t="shared" si="5"/>
        <v/>
      </c>
      <c r="Q52" s="539" t="b">
        <f t="shared" si="6"/>
        <v>1</v>
      </c>
    </row>
    <row r="53" spans="1:17">
      <c r="A53" s="633"/>
      <c r="B53" s="519"/>
      <c r="C53" s="625"/>
      <c r="D53" s="634" t="str">
        <f t="shared" si="0"/>
        <v/>
      </c>
      <c r="E53" s="628" t="str">
        <f t="shared" si="1"/>
        <v/>
      </c>
      <c r="G53" s="466" t="str">
        <f t="shared" si="11"/>
        <v/>
      </c>
      <c r="H53" s="466" t="str">
        <f t="shared" si="12"/>
        <v/>
      </c>
      <c r="I53" s="466" t="str">
        <f>IF(H53="","",IF(H53="電気",非_電気事業者!$S$5*1000,IF(H53="熱",非_熱供給事業者!$T$4,"")))</f>
        <v/>
      </c>
      <c r="J53" s="466" t="str">
        <f>IF(B53="","",VLOOKUP(B53,非_単位補正換算!$B$3:$C$16,2,FALSE))</f>
        <v/>
      </c>
      <c r="K53" s="466" t="str">
        <f t="shared" si="13"/>
        <v/>
      </c>
      <c r="L53" s="466" t="str">
        <f t="shared" si="14"/>
        <v/>
      </c>
      <c r="M53" s="466" t="str">
        <f>IF(A53="","",VLOOKUP($A53,非_まとめ表行番号!$Q$3:$S$8,2,FALSE))</f>
        <v/>
      </c>
      <c r="N53" s="466" t="str">
        <f>IF(A53="","",VLOOKUP($A53,非_まとめ表行番号!$Q$3:$S$8,3,FALSE))</f>
        <v/>
      </c>
      <c r="O53" s="542" t="str">
        <f>IF(A53="","",VLOOKUP(M53,非_まとめ表行番号!$U$3:$V$56,2,FALSE))</f>
        <v/>
      </c>
      <c r="P53" s="526" t="str">
        <f t="shared" si="5"/>
        <v/>
      </c>
      <c r="Q53" s="539" t="b">
        <f t="shared" si="6"/>
        <v>1</v>
      </c>
    </row>
    <row r="54" spans="1:17">
      <c r="A54" s="633"/>
      <c r="B54" s="519"/>
      <c r="C54" s="625"/>
      <c r="D54" s="634" t="str">
        <f t="shared" si="0"/>
        <v/>
      </c>
      <c r="E54" s="628" t="str">
        <f t="shared" si="1"/>
        <v/>
      </c>
      <c r="G54" s="466" t="str">
        <f t="shared" ref="G54:G55" si="15">IF(A54="","",IF(LEFT(A54,5)="森林吸収量","森林吸収量_単位",A54&amp;"_単位"))</f>
        <v/>
      </c>
      <c r="H54" s="466" t="str">
        <f t="shared" ref="H54:H55" si="16">IF(A54="","",IF(LEFT(A54,5)="森林吸収量","森林吸収量",IF(A54="グリーン熱証書","熱","電気")))</f>
        <v/>
      </c>
      <c r="I54" s="466" t="str">
        <f>IF(H54="","",IF(H54="電気",非_電気事業者!$S$5*1000,IF(H54="熱",非_熱供給事業者!$T$4,"")))</f>
        <v/>
      </c>
      <c r="J54" s="466" t="str">
        <f>IF(B54="","",VLOOKUP(B54,非_単位補正換算!$B$3:$C$16,2,FALSE))</f>
        <v/>
      </c>
      <c r="K54" s="466" t="str">
        <f t="shared" ref="K54:K55" si="17">IF(C54="","",IF(J54="","",C54/J54))</f>
        <v/>
      </c>
      <c r="L54" s="466" t="str">
        <f t="shared" ref="L54:L55" si="18">IF(H54="","",IF(H54="森林吸収量","削減量を入力",IF(K54="","",K54*I54)))</f>
        <v/>
      </c>
      <c r="M54" s="466" t="str">
        <f>IF(A54="","",VLOOKUP($A54,非_まとめ表行番号!$Q$3:$S$8,2,FALSE))</f>
        <v/>
      </c>
      <c r="N54" s="466" t="str">
        <f>IF(A54="","",VLOOKUP($A54,非_まとめ表行番号!$Q$3:$S$8,3,FALSE))</f>
        <v/>
      </c>
      <c r="O54" s="542" t="str">
        <f>IF(A54="","",VLOOKUP(M54,非_まとめ表行番号!$U$3:$V$56,2,FALSE))</f>
        <v/>
      </c>
      <c r="P54" s="526" t="str">
        <f t="shared" si="5"/>
        <v/>
      </c>
      <c r="Q54" s="539" t="b">
        <f t="shared" si="6"/>
        <v>1</v>
      </c>
    </row>
    <row r="55" spans="1:17">
      <c r="A55" s="633"/>
      <c r="B55" s="519"/>
      <c r="C55" s="625"/>
      <c r="D55" s="634" t="str">
        <f t="shared" si="0"/>
        <v/>
      </c>
      <c r="E55" s="628" t="str">
        <f t="shared" si="1"/>
        <v/>
      </c>
      <c r="G55" s="466" t="str">
        <f t="shared" si="15"/>
        <v/>
      </c>
      <c r="H55" s="466" t="str">
        <f t="shared" si="16"/>
        <v/>
      </c>
      <c r="I55" s="466" t="str">
        <f>IF(H55="","",IF(H55="電気",非_電気事業者!$S$5*1000,IF(H55="熱",非_熱供給事業者!$T$4,"")))</f>
        <v/>
      </c>
      <c r="J55" s="466" t="str">
        <f>IF(B55="","",VLOOKUP(B55,非_単位補正換算!$B$3:$C$16,2,FALSE))</f>
        <v/>
      </c>
      <c r="K55" s="466" t="str">
        <f t="shared" si="17"/>
        <v/>
      </c>
      <c r="L55" s="466" t="str">
        <f t="shared" si="18"/>
        <v/>
      </c>
      <c r="M55" s="466" t="str">
        <f>IF(A55="","",VLOOKUP($A55,非_まとめ表行番号!$Q$3:$S$8,2,FALSE))</f>
        <v/>
      </c>
      <c r="N55" s="466" t="str">
        <f>IF(A55="","",VLOOKUP($A55,非_まとめ表行番号!$Q$3:$S$8,3,FALSE))</f>
        <v/>
      </c>
      <c r="O55" s="542" t="str">
        <f>IF(A55="","",VLOOKUP(M55,非_まとめ表行番号!$U$3:$V$56,2,FALSE))</f>
        <v/>
      </c>
      <c r="P55" s="526" t="str">
        <f t="shared" si="5"/>
        <v/>
      </c>
      <c r="Q55" s="539" t="b">
        <f t="shared" si="6"/>
        <v>1</v>
      </c>
    </row>
    <row r="56" spans="1:17">
      <c r="A56" s="633"/>
      <c r="B56" s="519"/>
      <c r="C56" s="625"/>
      <c r="D56" s="634" t="str">
        <f t="shared" si="0"/>
        <v/>
      </c>
      <c r="E56" s="628" t="str">
        <f t="shared" si="1"/>
        <v/>
      </c>
      <c r="G56" s="466" t="str">
        <f t="shared" si="7"/>
        <v/>
      </c>
      <c r="H56" s="466" t="str">
        <f t="shared" si="8"/>
        <v/>
      </c>
      <c r="I56" s="466" t="str">
        <f>IF(H56="","",IF(H56="電気",非_電気事業者!$S$5*1000,IF(H56="熱",非_熱供給事業者!$T$4,"")))</f>
        <v/>
      </c>
      <c r="J56" s="466" t="str">
        <f>IF(B56="","",VLOOKUP(B56,非_単位補正換算!$B$3:$C$16,2,FALSE))</f>
        <v/>
      </c>
      <c r="K56" s="466" t="str">
        <f t="shared" si="9"/>
        <v/>
      </c>
      <c r="L56" s="466" t="str">
        <f t="shared" si="10"/>
        <v/>
      </c>
      <c r="M56" s="466" t="str">
        <f>IF(A56="","",VLOOKUP($A56,非_まとめ表行番号!$Q$3:$S$8,2,FALSE))</f>
        <v/>
      </c>
      <c r="N56" s="466" t="str">
        <f>IF(A56="","",VLOOKUP($A56,非_まとめ表行番号!$Q$3:$S$8,3,FALSE))</f>
        <v/>
      </c>
      <c r="O56" s="542" t="str">
        <f>IF(A56="","",VLOOKUP(M56,非_まとめ表行番号!$U$3:$V$56,2,FALSE))</f>
        <v/>
      </c>
      <c r="P56" s="526" t="str">
        <f t="shared" si="5"/>
        <v/>
      </c>
      <c r="Q56" s="539" t="b">
        <f t="shared" si="6"/>
        <v>1</v>
      </c>
    </row>
    <row r="57" spans="1:17">
      <c r="A57" s="633"/>
      <c r="B57" s="519"/>
      <c r="C57" s="625"/>
      <c r="D57" s="634" t="str">
        <f t="shared" si="0"/>
        <v/>
      </c>
      <c r="E57" s="628" t="str">
        <f t="shared" si="1"/>
        <v/>
      </c>
      <c r="G57" s="466" t="str">
        <f t="shared" si="7"/>
        <v/>
      </c>
      <c r="H57" s="466" t="str">
        <f t="shared" si="8"/>
        <v/>
      </c>
      <c r="I57" s="466" t="str">
        <f>IF(H57="","",IF(H57="電気",非_電気事業者!$S$5*1000,IF(H57="熱",非_熱供給事業者!$T$4,"")))</f>
        <v/>
      </c>
      <c r="J57" s="466" t="str">
        <f>IF(B57="","",VLOOKUP(B57,非_単位補正換算!$B$3:$C$16,2,FALSE))</f>
        <v/>
      </c>
      <c r="K57" s="466" t="str">
        <f t="shared" si="9"/>
        <v/>
      </c>
      <c r="L57" s="466" t="str">
        <f t="shared" si="10"/>
        <v/>
      </c>
      <c r="M57" s="466" t="str">
        <f>IF(A57="","",VLOOKUP($A57,非_まとめ表行番号!$Q$3:$S$8,2,FALSE))</f>
        <v/>
      </c>
      <c r="N57" s="466" t="str">
        <f>IF(A57="","",VLOOKUP($A57,非_まとめ表行番号!$Q$3:$S$8,3,FALSE))</f>
        <v/>
      </c>
      <c r="O57" s="542" t="str">
        <f>IF(A57="","",VLOOKUP(M57,非_まとめ表行番号!$U$3:$V$56,2,FALSE))</f>
        <v/>
      </c>
      <c r="P57" s="526" t="str">
        <f t="shared" si="5"/>
        <v/>
      </c>
      <c r="Q57" s="539" t="b">
        <f t="shared" si="6"/>
        <v>1</v>
      </c>
    </row>
    <row r="58" spans="1:17" ht="18.75" thickBot="1">
      <c r="A58" s="613"/>
      <c r="B58" s="411"/>
      <c r="C58" s="626"/>
      <c r="D58" s="619" t="str">
        <f t="shared" si="0"/>
        <v/>
      </c>
      <c r="E58" s="629" t="str">
        <f t="shared" si="1"/>
        <v/>
      </c>
      <c r="G58" s="466" t="str">
        <f t="shared" si="7"/>
        <v/>
      </c>
      <c r="H58" s="466" t="str">
        <f t="shared" si="8"/>
        <v/>
      </c>
      <c r="I58" s="466" t="str">
        <f>IF(H58="","",IF(H58="電気",非_電気事業者!$S$5*1000,IF(H58="熱",非_熱供給事業者!$T$4,"")))</f>
        <v/>
      </c>
      <c r="J58" s="466" t="str">
        <f>IF(B58="","",VLOOKUP(B58,非_単位補正換算!$B$3:$C$16,2,FALSE))</f>
        <v/>
      </c>
      <c r="K58" s="466" t="str">
        <f t="shared" si="9"/>
        <v/>
      </c>
      <c r="L58" s="466" t="str">
        <f t="shared" si="10"/>
        <v/>
      </c>
      <c r="M58" s="466" t="str">
        <f>IF(A58="","",VLOOKUP($A58,非_まとめ表行番号!$Q$3:$S$8,2,FALSE))</f>
        <v/>
      </c>
      <c r="N58" s="466" t="str">
        <f>IF(A58="","",VLOOKUP($A58,非_まとめ表行番号!$Q$3:$S$8,3,FALSE))</f>
        <v/>
      </c>
      <c r="O58" s="542" t="str">
        <f>IF(A58="","",VLOOKUP(M58,非_まとめ表行番号!$U$3:$V$56,2,FALSE))</f>
        <v/>
      </c>
      <c r="P58" s="526" t="str">
        <f t="shared" si="5"/>
        <v/>
      </c>
      <c r="Q58" s="539" t="b">
        <f t="shared" si="6"/>
        <v>1</v>
      </c>
    </row>
    <row r="59" spans="1:17">
      <c r="A59" s="52"/>
      <c r="B59" s="52"/>
      <c r="C59" s="52"/>
      <c r="D59" s="52"/>
      <c r="E59" s="422" t="s">
        <v>966</v>
      </c>
    </row>
  </sheetData>
  <sheetProtection algorithmName="SHA-512" hashValue="jrHi3QT93M0rM2aJgfOS11Fp7T7sezVg8g2bPyJEBanW0m+th+gMyn7g1fU2bboFdbJQOPiStEN7XkUvFOHzUQ==" saltValue="p3CFP8D1Otg9Xa5tMt9sGA==" spinCount="100000" sheet="1" objects="1" scenarios="1"/>
  <phoneticPr fontId="5"/>
  <conditionalFormatting sqref="B6:D58">
    <cfRule type="expression" dxfId="1" priority="3">
      <formula>LEFT($A6,5)="森林吸収量"</formula>
    </cfRule>
  </conditionalFormatting>
  <conditionalFormatting sqref="E6:E58">
    <cfRule type="expression" dxfId="0" priority="1">
      <formula>Q6=FALSE</formula>
    </cfRule>
  </conditionalFormatting>
  <dataValidations count="3">
    <dataValidation type="list" allowBlank="1" showInputMessage="1" showErrorMessage="1" sqref="B6:B58" xr:uid="{00000000-0002-0000-0800-000000000000}">
      <formula1>INDIRECT(G6)</formula1>
    </dataValidation>
    <dataValidation imeMode="disabled" allowBlank="1" showInputMessage="1" showErrorMessage="1" sqref="E6:E58 C6:C58" xr:uid="{00000000-0002-0000-0800-000001000000}"/>
    <dataValidation type="list" allowBlank="1" showInputMessage="1" showErrorMessage="1" sqref="A6:A58" xr:uid="{00000000-0002-0000-0800-000002000000}">
      <formula1>INDIRECT($G$3)</formula1>
    </dataValidation>
  </dataValidations>
  <pageMargins left="0.78740157480314965" right="0.59055118110236227" top="0.78740157480314965" bottom="0.59055118110236227" header="0.31496062992125984" footer="0.31496062992125984"/>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119</vt:i4>
      </vt:variant>
    </vt:vector>
  </HeadingPairs>
  <TitlesOfParts>
    <vt:vector size="140" baseType="lpstr">
      <vt:lpstr>事業所概要_算定体制</vt:lpstr>
      <vt:lpstr>事業所境界と監視点図面</vt:lpstr>
      <vt:lpstr>監視点一覧</vt:lpstr>
      <vt:lpstr>床面積</vt:lpstr>
      <vt:lpstr>燃料</vt:lpstr>
      <vt:lpstr>電気・熱_都市ガス</vt:lpstr>
      <vt:lpstr>再エネ電気・熱</vt:lpstr>
      <vt:lpstr>非化石燃料</vt:lpstr>
      <vt:lpstr>証書_森林吸収量</vt:lpstr>
      <vt:lpstr>エネルギーと目標設定ガス</vt:lpstr>
      <vt:lpstr>その他ガス</vt:lpstr>
      <vt:lpstr>参考</vt:lpstr>
      <vt:lpstr>非_燃料種類_選択リスト</vt:lpstr>
      <vt:lpstr>非_選択リスト</vt:lpstr>
      <vt:lpstr>非_まとめ表行番号</vt:lpstr>
      <vt:lpstr>非_係数</vt:lpstr>
      <vt:lpstr>非_単位</vt:lpstr>
      <vt:lpstr>非_単位補正換算</vt:lpstr>
      <vt:lpstr>非_電気事業者</vt:lpstr>
      <vt:lpstr>非_都市ガス事業者</vt:lpstr>
      <vt:lpstr>非_熱供給事業者</vt:lpstr>
      <vt:lpstr>A重油_単位</vt:lpstr>
      <vt:lpstr>Ｂ・Ｃ重油_単位</vt:lpstr>
      <vt:lpstr>FIT非化石証書_単位</vt:lpstr>
      <vt:lpstr>エネルギーと目標設定ガス!Print_Area</vt:lpstr>
      <vt:lpstr>その他ガス!Print_Area</vt:lpstr>
      <vt:lpstr>監視点一覧!Print_Area</vt:lpstr>
      <vt:lpstr>再エネ電気・熱!Print_Area</vt:lpstr>
      <vt:lpstr>参考!Print_Area</vt:lpstr>
      <vt:lpstr>事業所概要_算定体制!Print_Area</vt:lpstr>
      <vt:lpstr>事業所境界と監視点図面!Print_Area</vt:lpstr>
      <vt:lpstr>床面積!Print_Area</vt:lpstr>
      <vt:lpstr>証書_森林吸収量!Print_Area</vt:lpstr>
      <vt:lpstr>電気・熱_都市ガス!Print_Area</vt:lpstr>
      <vt:lpstr>燃料!Print_Area</vt:lpstr>
      <vt:lpstr>非化石燃料!Print_Area</vt:lpstr>
      <vt:lpstr>グリーン電力証書_単位</vt:lpstr>
      <vt:lpstr>グリーン熱証書_単位</vt:lpstr>
      <vt:lpstr>コークス炉ガス_単位</vt:lpstr>
      <vt:lpstr>コールタール_単位</vt:lpstr>
      <vt:lpstr>ジェット燃料油_単位</vt:lpstr>
      <vt:lpstr>その他の燃料①_単位</vt:lpstr>
      <vt:lpstr>その他の燃料②_単位</vt:lpstr>
      <vt:lpstr>その他可燃性天然ガス_単位</vt:lpstr>
      <vt:lpstr>ナフサ_単位</vt:lpstr>
      <vt:lpstr>バイオマス_種類_選択</vt:lpstr>
      <vt:lpstr>バイオマス燃料_持続可能性_選択</vt:lpstr>
      <vt:lpstr>一般送配電_種類</vt:lpstr>
      <vt:lpstr>一般送配電以外_種類</vt:lpstr>
      <vt:lpstr>一般炭_国産一般炭_単位</vt:lpstr>
      <vt:lpstr>一般炭_輸入一般炭_単位</vt:lpstr>
      <vt:lpstr>液化石油ガス_LPG_その他_単位</vt:lpstr>
      <vt:lpstr>液化石油ガス_LPG_ブタン_単位</vt:lpstr>
      <vt:lpstr>液化石油ガス_LPG_プロパン_単位</vt:lpstr>
      <vt:lpstr>液化石油ガス_LPG_プロパン・ブタン混合_単位</vt:lpstr>
      <vt:lpstr>液化天然ガス_ＬＮＧ_単位</vt:lpstr>
      <vt:lpstr>外部供給_種類</vt:lpstr>
      <vt:lpstr>外部供給以外_種類</vt:lpstr>
      <vt:lpstr>環境価値_バイオマス持続可能性無_選択</vt:lpstr>
      <vt:lpstr>環境価値_仮想電力購入契約_選択</vt:lpstr>
      <vt:lpstr>環境価値_選択</vt:lpstr>
      <vt:lpstr>監視点用燃料種類_選択</vt:lpstr>
      <vt:lpstr>揮発油_ガソリン_単位</vt:lpstr>
      <vt:lpstr>計量器_検定有無_選択</vt:lpstr>
      <vt:lpstr>軽油_単位</vt:lpstr>
      <vt:lpstr>原油_コンデンセート_ＮＧＬ_単位</vt:lpstr>
      <vt:lpstr>原油_コンデンセートを除く_単位</vt:lpstr>
      <vt:lpstr>原料炭_コークス炉用原料炭_単位</vt:lpstr>
      <vt:lpstr>原料炭_吹込用原料炭_単位</vt:lpstr>
      <vt:lpstr>原料炭_輸入原料炭_単位</vt:lpstr>
      <vt:lpstr>高炉ガス_発電用_単位</vt:lpstr>
      <vt:lpstr>高炉ガス_発電用以外_単位</vt:lpstr>
      <vt:lpstr>再エネ_係数根拠_仮想電力購入契約</vt:lpstr>
      <vt:lpstr>再エネ_係数根拠_環境価値無</vt:lpstr>
      <vt:lpstr>再エネ_係数根拠_環境価値有</vt:lpstr>
      <vt:lpstr>再エネ_係数根拠_持続可能性無</vt:lpstr>
      <vt:lpstr>再エネ_事業所外_電気_種類</vt:lpstr>
      <vt:lpstr>再エネ_事業所外_熱_種類</vt:lpstr>
      <vt:lpstr>再エネ_事業所内_電気_種類</vt:lpstr>
      <vt:lpstr>再エネ_事業所内_熱_種類</vt:lpstr>
      <vt:lpstr>再エネ_自家消費_対象外_種類</vt:lpstr>
      <vt:lpstr>再エネ_自家消費以外_対象外_種類</vt:lpstr>
      <vt:lpstr>再エネ_種類_選択</vt:lpstr>
      <vt:lpstr>再エネ_把握方法_選択_事業所外</vt:lpstr>
      <vt:lpstr>再エネ_把握方法_選択_事業所内</vt:lpstr>
      <vt:lpstr>再エネ電気熱_排出活動①</vt:lpstr>
      <vt:lpstr>再エネ電気熱_排出活動②</vt:lpstr>
      <vt:lpstr>再エネ電気熱_排出活動③</vt:lpstr>
      <vt:lpstr>使用量把握方法_選択</vt:lpstr>
      <vt:lpstr>事業所種別_選択</vt:lpstr>
      <vt:lpstr>自己電気熱_係数根拠_選択</vt:lpstr>
      <vt:lpstr>実績検証状況_選択</vt:lpstr>
      <vt:lpstr>床面積_把握方法_選択</vt:lpstr>
      <vt:lpstr>床面積_変更の有無_選択</vt:lpstr>
      <vt:lpstr>証書等_種類</vt:lpstr>
      <vt:lpstr>証書等_種類_森林吸収量のみ</vt:lpstr>
      <vt:lpstr>証書等_種類_電気なし</vt:lpstr>
      <vt:lpstr>証書等_種類_熱なし</vt:lpstr>
      <vt:lpstr>乗率_除外する排出量</vt:lpstr>
      <vt:lpstr>乗率_排出量</vt:lpstr>
      <vt:lpstr>石炭コークス_単位</vt:lpstr>
      <vt:lpstr>石油アスファルト_単位</vt:lpstr>
      <vt:lpstr>石油コークス_単位</vt:lpstr>
      <vt:lpstr>石油系炭化水素ガス_単位</vt:lpstr>
      <vt:lpstr>選択肢なし</vt:lpstr>
      <vt:lpstr>転炉ガス_単位</vt:lpstr>
      <vt:lpstr>電気_「オンサイト型PPA_自家発電_非燃料由来の非化石電気」以外からの買電_単位</vt:lpstr>
      <vt:lpstr>電気_オフサイト型PPA_単位</vt:lpstr>
      <vt:lpstr>電気_オンサイト型PPA_単位</vt:lpstr>
      <vt:lpstr>電気_メニュー_選択</vt:lpstr>
      <vt:lpstr>電気_仮想電力購入契約_単位</vt:lpstr>
      <vt:lpstr>電気_自ら生成した電気_単位</vt:lpstr>
      <vt:lpstr>電気_自家発電_単位</vt:lpstr>
      <vt:lpstr>電気_自己託送_非燃料由来の非化石電気_単位</vt:lpstr>
      <vt:lpstr>電気_自己託送_非燃料由来の非化石電気以外_単位</vt:lpstr>
      <vt:lpstr>電気_電気事業者からの買電_単位</vt:lpstr>
      <vt:lpstr>電気_非燃料由来の非化石電気_単位</vt:lpstr>
      <vt:lpstr>電気熱_係数根拠_選択</vt:lpstr>
      <vt:lpstr>電気熱ガス_契約メニュー有無_選択</vt:lpstr>
      <vt:lpstr>電気熱ガス_排出活動①</vt:lpstr>
      <vt:lpstr>電気熱ガス_排出活動②</vt:lpstr>
      <vt:lpstr>都市ガス_メーター種_選択</vt:lpstr>
      <vt:lpstr>都市ガス_メニュー_選択</vt:lpstr>
      <vt:lpstr>都市ガス_係数根拠_選択</vt:lpstr>
      <vt:lpstr>都市ガス_種類</vt:lpstr>
      <vt:lpstr>都市ガス_単位</vt:lpstr>
      <vt:lpstr>灯油_単位</vt:lpstr>
      <vt:lpstr>熱_メニュー_選択</vt:lpstr>
      <vt:lpstr>熱_温水_単位</vt:lpstr>
      <vt:lpstr>熱_産業用以外の蒸気_単位</vt:lpstr>
      <vt:lpstr>熱_産業用蒸気_単位</vt:lpstr>
      <vt:lpstr>熱_自ら生成した熱_単位</vt:lpstr>
      <vt:lpstr>熱_種類</vt:lpstr>
      <vt:lpstr>熱_冷水_単位</vt:lpstr>
      <vt:lpstr>燃料_排出活動①</vt:lpstr>
      <vt:lpstr>燃料_排出活動②</vt:lpstr>
      <vt:lpstr>燃料種選択</vt:lpstr>
      <vt:lpstr>非FIT非化石証書_再生可能エネルギー指定_単位</vt:lpstr>
      <vt:lpstr>無煙炭_輸入無煙炭_単位</vt:lpstr>
      <vt:lpstr>和暦年度_選択</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丸川純</cp:lastModifiedBy>
  <dcterms:created xsi:type="dcterms:W3CDTF">2025-08-26T04:19:21Z</dcterms:created>
  <dcterms:modified xsi:type="dcterms:W3CDTF">2026-03-13T05:14:33Z</dcterms:modified>
  <cp:category/>
</cp:coreProperties>
</file>