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T:\04_設計検討\10_計画書_算定資料\"/>
    </mc:Choice>
  </mc:AlternateContent>
  <xr:revisionPtr revIDLastSave="0" documentId="13_ncr:1_{A8E18209-3E67-493C-8801-AEC9A54D5A66}" xr6:coauthVersionLast="47" xr6:coauthVersionMax="47" xr10:uidLastSave="{00000000-0000-0000-0000-000000000000}"/>
  <workbookProtection workbookAlgorithmName="SHA-512" workbookHashValue="OMXDFPCcOCl7m5Jb05zuRr4mqUiKOqlGuQPFUmaoUxNbIngxq4PU5vRwQyMOhz1yuklYe2geNp7mpLvazGsrHw==" workbookSaltValue="HoM87jvSoAXZ2l8ubCGv6g==" workbookSpinCount="100000" lockStructure="1"/>
  <bookViews>
    <workbookView xWindow="-120" yWindow="-120" windowWidth="29040" windowHeight="15720" tabRatio="898" xr2:uid="{00000000-000D-0000-FFFF-FFFF00000000}"/>
  </bookViews>
  <sheets>
    <sheet name="事業所概要_算定体制" sheetId="15" r:id="rId1"/>
    <sheet name="燃料" sheetId="10" r:id="rId2"/>
    <sheet name="電気・熱_都市ガス" sheetId="13" r:id="rId3"/>
    <sheet name="再エネ電気・熱" sheetId="14" r:id="rId4"/>
    <sheet name="非化石燃料" sheetId="11" r:id="rId5"/>
    <sheet name="証書_森林吸収量" sheetId="7" r:id="rId6"/>
    <sheet name="エネルギーと目標設定ガス" sheetId="19" r:id="rId7"/>
    <sheet name="その他ガス" sheetId="8" r:id="rId8"/>
    <sheet name="参考" sheetId="29" r:id="rId9"/>
    <sheet name="非_燃料種類_選択リスト" sheetId="23" state="hidden" r:id="rId10"/>
    <sheet name="非_選択リスト" sheetId="20" state="hidden" r:id="rId11"/>
    <sheet name="非_まとめ表行番号" sheetId="28" state="hidden" r:id="rId12"/>
    <sheet name="非_係数" sheetId="24" state="hidden" r:id="rId13"/>
    <sheet name="非_単位" sheetId="25" state="hidden" r:id="rId14"/>
    <sheet name="非_単位補正換算" sheetId="27" state="hidden" r:id="rId15"/>
    <sheet name="非_電気事業者" sheetId="31" state="hidden" r:id="rId16"/>
    <sheet name="非_都市ガス事業者" sheetId="30" state="hidden" r:id="rId17"/>
    <sheet name="非_熱供給事業者" sheetId="32" state="hidden" r:id="rId18"/>
  </sheets>
  <definedNames>
    <definedName name="_xlnm._FilterDatabase" localSheetId="11" hidden="1">非_まとめ表行番号!#REF!</definedName>
    <definedName name="_xlnm._FilterDatabase" localSheetId="12" hidden="1">非_係数!$A$59:$A$71</definedName>
    <definedName name="_xlnm._FilterDatabase" localSheetId="15" hidden="1">非_電気事業者!$B$8:$S$8</definedName>
    <definedName name="A重油_単位">非_単位!$C$9:$D$9</definedName>
    <definedName name="Ｂ・Ｃ重油_単位">非_単位!$C$10:$D$10</definedName>
    <definedName name="FIT非化石証書_単位">非_単位!$C$84:$D$84</definedName>
    <definedName name="_xlnm.Print_Area" localSheetId="6">エネルギーと目標設定ガス!$A$1:$K$107</definedName>
    <definedName name="_xlnm.Print_Area" localSheetId="7">その他ガス!$A$1:$K$99</definedName>
    <definedName name="_xlnm.Print_Area" localSheetId="3">再エネ電気・熱!$A$1:$T$64</definedName>
    <definedName name="_xlnm.Print_Area" localSheetId="8">参考!$A$1:$I$58</definedName>
    <definedName name="_xlnm.Print_Area" localSheetId="0">事業所概要_算定体制!$A$1:$P$29</definedName>
    <definedName name="_xlnm.Print_Area" localSheetId="5">証書_森林吸収量!$A$1:$E$59</definedName>
    <definedName name="_xlnm.Print_Area" localSheetId="2">電気・熱_都市ガス!$A$1:$W$72</definedName>
    <definedName name="_xlnm.Print_Area" localSheetId="1">燃料!$A$1:$O$59</definedName>
    <definedName name="_xlnm.Print_Area" localSheetId="4">非化石燃料!$A$1:$L$32</definedName>
    <definedName name="_xlnm.Print_Titles" localSheetId="2">電気・熱_都市ガス!$1:$5</definedName>
    <definedName name="グリーン電力証書_単位">非_単位!$C$82:$D$82</definedName>
    <definedName name="グリーン熱証書_単位">非_単位!$C$83:$D$83</definedName>
    <definedName name="コークス炉ガス_単位">非_単位!$C$28:$H$28</definedName>
    <definedName name="コールタール_単位">非_単位!$C$27:$D$27</definedName>
    <definedName name="ジェット燃料油_単位">非_単位!$C$32:$D$32</definedName>
    <definedName name="その他の燃料①_単位">非_単位!$O$33</definedName>
    <definedName name="その他の燃料②_単位">非_単位!$O$34</definedName>
    <definedName name="その他可燃性天然ガス_単位">非_単位!$C$19:$H$19</definedName>
    <definedName name="ナフサ_単位">非_単位!$C$6:$D$6</definedName>
    <definedName name="バイオマス_種類_選択">非_燃料種類_選択リスト!$T$3:$T$9</definedName>
    <definedName name="バイオマス燃料_持続可能性_選択">非_選択リスト!$Y$3:$Y$4</definedName>
    <definedName name="一般送配電_種類">非_燃料種類_選択リスト!$K$3:$K$4</definedName>
    <definedName name="一般送配電以外_種類">非_燃料種類_選択リスト!$K$7</definedName>
    <definedName name="一般炭_国産一般炭_単位">非_単位!$C$24:$D$24</definedName>
    <definedName name="一般炭_輸入一般炭_単位">非_単位!$C$23:$D$23</definedName>
    <definedName name="液化石油ガス_LPG_その他_単位">非_単位!$C$16:$F$16</definedName>
    <definedName name="液化石油ガス_LPG_ブタン_単位">非_単位!$C$15:$F$15</definedName>
    <definedName name="液化石油ガス_LPG_プロパン_単位">非_単位!$C$14:$F$14</definedName>
    <definedName name="液化石油ガス_LPG_プロパン・ブタン混合_単位">非_単位!$C$13:$F$13</definedName>
    <definedName name="液化天然ガス_ＬＮＧ_単位">非_単位!$C$18:$D$18</definedName>
    <definedName name="外部供給_種類">非_燃料種類_選択リスト!$K$29:$K$30</definedName>
    <definedName name="外部供給以外_種類">非_燃料種類_選択リスト!$K$19:$K$26</definedName>
    <definedName name="環境価値_バイオマス持続可能性無_選択">非_選択リスト!$AA$10</definedName>
    <definedName name="環境価値_仮想電力購入契約_選択">非_選択リスト!$AA$7</definedName>
    <definedName name="環境価値_選択">非_選択リスト!$AA$3:$AA$4</definedName>
    <definedName name="監視点用燃料種類_選択">非_選択リスト!$I$3:$I$33</definedName>
    <definedName name="揮発油_ガソリン_単位">非_単位!$C$5:$D$5</definedName>
    <definedName name="計量器_検定有無_選択">非_選択リスト!$O$3:$O$4</definedName>
    <definedName name="軽油_単位">非_単位!$C$8:$D$8</definedName>
    <definedName name="原油_コンデンセート_ＮＧＬ_単位">非_単位!$C$4:$D$4</definedName>
    <definedName name="原油_コンデンセートを除く_単位">非_単位!$C$3:$D$3</definedName>
    <definedName name="原料炭_コークス炉用原料炭_単位">非_単位!$C$21:$D$21</definedName>
    <definedName name="原料炭_吹込用原料炭_単位">非_単位!$C$22:$D$22</definedName>
    <definedName name="原料炭_輸入原料炭_単位">非_単位!$C$20:$D$20</definedName>
    <definedName name="高炉ガス_発電用_単位">非_単位!$C$30:$H$30</definedName>
    <definedName name="高炉ガス_発電用以外_単位">非_単位!$C$29:$H$29</definedName>
    <definedName name="再エネ_係数根拠_仮想電力購入契約">非_選択リスト!$AC$9:$AC$11</definedName>
    <definedName name="再エネ_係数根拠_環境価値無">非_選択リスト!$AC$6</definedName>
    <definedName name="再エネ_係数根拠_環境価値有">非_選択リスト!$AC$3</definedName>
    <definedName name="再エネ_係数根拠_持続可能性無">非_選択リスト!$AC$14</definedName>
    <definedName name="再エネ_事業所外_電気_種類">非_燃料種類_選択リスト!$P$14:$P$17</definedName>
    <definedName name="再エネ_事業所外_熱_種類">非_燃料種類_選択リスト!$P$20:$P$23</definedName>
    <definedName name="再エネ_事業所内_電気_種類">非_燃料種類_選択リスト!$P$3:$P$5</definedName>
    <definedName name="再エネ_事業所内_熱_種類">非_燃料種類_選択リスト!$P$8:$P$11</definedName>
    <definedName name="再エネ_自家消費_対象外_種類">非_燃料種類_選択リスト!$P$26:$P$32</definedName>
    <definedName name="再エネ_自家消費以外_対象外_種類">非_燃料種類_選択リスト!$P$35:$P$41</definedName>
    <definedName name="再エネ_種類_選択">非_燃料種類_選択リスト!$R$3:$R$14</definedName>
    <definedName name="再エネ_把握方法_選択_事業所外">非_選択リスト!$AE$9:$AE$11</definedName>
    <definedName name="再エネ_把握方法_選択_事業所内">非_選択リスト!$AE$3:$AE$5</definedName>
    <definedName name="再エネ電気熱_排出活動①">非_燃料種類_選択リスト!$N$3:$N$4</definedName>
    <definedName name="再エネ電気熱_排出活動②">非_燃料種類_選択リスト!$N$8:$N$9</definedName>
    <definedName name="再エネ電気熱_排出活動③">非_燃料種類_選択リスト!$N$12:$N$19</definedName>
    <definedName name="使用量把握方法_選択">非_選択リスト!$Q$3:$Q$5</definedName>
    <definedName name="事業所種別_選択">非_選択リスト!$G$3:$G$6</definedName>
    <definedName name="自己電気熱_係数根拠_選択">非_選択リスト!$U$12</definedName>
    <definedName name="実績検証状況_選択">非_選択リスト!$E$3:$E$4</definedName>
    <definedName name="床面積_把握方法_選択">非_選択リスト!$K$3:$K$5</definedName>
    <definedName name="床面積_変更の有無_選択">非_選択リスト!$M$3:$M$4</definedName>
    <definedName name="証書等_種類">非_燃料種類_選択リスト!$V$3:$V$8</definedName>
    <definedName name="証書等_種類_森林吸収量のみ">非_燃料種類_選択リスト!$V$23:$V$24</definedName>
    <definedName name="証書等_種類_電気なし">非_燃料種類_選択リスト!$V$18:$V$20</definedName>
    <definedName name="証書等_種類_熱なし">非_燃料種類_選択リスト!$V$11:$V$15</definedName>
    <definedName name="乗率_除外する排出量">非_選択リスト!$AG$8:$AG$10</definedName>
    <definedName name="乗率_排出量">非_選択リスト!$AG$3:$AG$5</definedName>
    <definedName name="石炭コークス_単位">非_単位!$C$26:$D$26</definedName>
    <definedName name="石油アスファルト_単位">非_単位!$C$11:$D$11</definedName>
    <definedName name="石油コークス_単位">非_単位!$C$12:$D$12</definedName>
    <definedName name="石油系炭化水素ガス_単位">非_単位!$C$17:$F$17</definedName>
    <definedName name="選択肢なし">非_選択リスト!$AI$3</definedName>
    <definedName name="転炉ガス_単位">非_単位!$C$31:$H$31</definedName>
    <definedName name="電気_「オンサイト型PPA_自家発電_非燃料由来の非化石電気」以外からの買電_単位">非_単位!$C$45:$D$45</definedName>
    <definedName name="電気_オフサイト型PPA_単位">非_単位!$C$39:$D$39</definedName>
    <definedName name="電気_オンサイト型PPA_単位">非_単位!$C$42:$D$42</definedName>
    <definedName name="電気_メニュー_選択">非_電気事業者!$F$9:$F$36</definedName>
    <definedName name="電気_仮想電力購入契約_単位">非_単位!$C$46:$D$46</definedName>
    <definedName name="電気_供給事業者_選択">非_電気事業者!$D$9                           : INDEX(非_電気事業者!$D$9:$D$800,       IFERROR(LOOKUP(2,1/(非_電気事業者!$D$9:$D$800&lt;&gt;""),ROW(非_電気事業者!$D$9:$D$800)-ROW(非_電気事業者!$D$9)+1),1) )</definedName>
    <definedName name="電気_自ら生成した電気_単位">非_単位!$C$52:$D$52</definedName>
    <definedName name="電気_自家発電_単位">非_単位!$C$43:$D$43</definedName>
    <definedName name="電気_自己託送_非燃料由来の非化石電気_単位">非_単位!$C$40:$D$40</definedName>
    <definedName name="電気_自己託送_非燃料由来の非化石電気以外_単位">非_単位!$C$41:$D$41</definedName>
    <definedName name="電気_電気事業者からの買電_単位">非_単位!$C$38:$D$38</definedName>
    <definedName name="電気_非燃料由来の非化石電気_単位">非_単位!$C$44:$D$44</definedName>
    <definedName name="電気熱_係数根拠_選択">非_選択リスト!$U$3:$U$5</definedName>
    <definedName name="電気熱ガス_契約メニュー有無_選択">非_選択リスト!$S$3:$S$4</definedName>
    <definedName name="電気熱ガス_排出活動①">非_燃料種類_選択リスト!$I$3:$I$6</definedName>
    <definedName name="電気熱ガス_排出活動②">非_燃料種類_選択リスト!$I$9:$I$13</definedName>
    <definedName name="都市ガス_メーター種_選択">非_選択リスト!$W$3:$W$4</definedName>
    <definedName name="都市ガス_メニュー_選択">非_都市ガス事業者!$F$8:$F$14</definedName>
    <definedName name="都市ガス_供給事業者_選択">非_都市ガス事業者!$D$8                            : INDEX(非_都市ガス事業者!$D$8:$D$50,IFERROR(LOOKUP(2,1/(非_都市ガス事業者!$D$8:$D$50&lt;&gt;""),ROW(非_都市ガス事業者!$D$8:$D$50)-ROW(非_都市ガス事業者!$D$8)+1),1) )</definedName>
    <definedName name="都市ガス_係数根拠_選択">非_選択リスト!$U$8:$U$9</definedName>
    <definedName name="都市ガス_種類">非_燃料種類_選択リスト!$K$16</definedName>
    <definedName name="都市ガス_単位">非_単位!$C$53:$H$53</definedName>
    <definedName name="灯油_単位">非_単位!$C$7:$D$7</definedName>
    <definedName name="熱_メニュー_選択">非_熱供給事業者!$G$8:$G$14</definedName>
    <definedName name="熱_温水_単位">非_単位!$C$49:$D$49</definedName>
    <definedName name="熱_供給事業者_選択">非_熱供給事業者!$E$8                           : INDEX(非_熱供給事業者!$E$8:$E$80,IFERROR(LOOKUP(2,1/(非_熱供給事業者!$E$8:$E$80&lt;&gt;""),ROW(非_熱供給事業者!$E$8:$E$80)-ROW(非_熱供給事業者!$E$8)+1),1) )</definedName>
    <definedName name="熱_産業用以外の蒸気_単位">非_単位!$C$48:$D$48</definedName>
    <definedName name="熱_産業用蒸気_単位">非_単位!$C$47:$D$47</definedName>
    <definedName name="熱_自ら生成した熱_単位">非_単位!$C$51:$D$51</definedName>
    <definedName name="熱_種類">非_燃料種類_選択リスト!$K$10:$K$13</definedName>
    <definedName name="熱_冷水_単位">非_単位!$C$50:$D$50</definedName>
    <definedName name="燃料_排出活動①">非_燃料種類_選択リスト!$C$3</definedName>
    <definedName name="燃料_排出活動②">非_燃料種類_選択リスト!$C$6:$C$9</definedName>
    <definedName name="燃料種選択">非_燃料種類_選択リスト!$F$3:$F$34</definedName>
    <definedName name="非FIT非化石証書_再生可能エネルギー指定_単位">非_単位!$C$85:$D$85</definedName>
    <definedName name="無煙炭_輸入無煙炭_単位">非_単位!$C$25:$D$25</definedName>
    <definedName name="和暦年度_選択">非_選択リスト!$C$3:$C$7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9" i="27" l="1"/>
  <c r="D58" i="27"/>
  <c r="Z64" i="14"/>
  <c r="Z63" i="14"/>
  <c r="Z62" i="14"/>
  <c r="Z61" i="14"/>
  <c r="Z60" i="14"/>
  <c r="Z59" i="14"/>
  <c r="Z58" i="14"/>
  <c r="Z57" i="14"/>
  <c r="Z56" i="14"/>
  <c r="Z55" i="14"/>
  <c r="BE7" i="14"/>
  <c r="Y64" i="14"/>
  <c r="Y63" i="14"/>
  <c r="Y62" i="14"/>
  <c r="Y61" i="14"/>
  <c r="Y60" i="14"/>
  <c r="Y59" i="14"/>
  <c r="Y58" i="14"/>
  <c r="Y57" i="14"/>
  <c r="Y56" i="14"/>
  <c r="Y55" i="14"/>
  <c r="Z7" i="14"/>
  <c r="BF64" i="14"/>
  <c r="BF63" i="14"/>
  <c r="BF62" i="14"/>
  <c r="BF61" i="14"/>
  <c r="BF60" i="14"/>
  <c r="BF59" i="14"/>
  <c r="BF58" i="14"/>
  <c r="BF57" i="14"/>
  <c r="BF56" i="14"/>
  <c r="BF55" i="14"/>
  <c r="BF53" i="14"/>
  <c r="BF52" i="14"/>
  <c r="BF51" i="14"/>
  <c r="BF50" i="14"/>
  <c r="BF49" i="14"/>
  <c r="BF48" i="14"/>
  <c r="BF47" i="14"/>
  <c r="BF46" i="14"/>
  <c r="BF45" i="14"/>
  <c r="BF44" i="14"/>
  <c r="BF43" i="14"/>
  <c r="BF42" i="14"/>
  <c r="BF41" i="14"/>
  <c r="BF40" i="14"/>
  <c r="BF39" i="14"/>
  <c r="BF38" i="14"/>
  <c r="BF37" i="14"/>
  <c r="BF36" i="14"/>
  <c r="BF35" i="14"/>
  <c r="BF34" i="14"/>
  <c r="BF33" i="14"/>
  <c r="BF32" i="14"/>
  <c r="BF29" i="14"/>
  <c r="BF28" i="14"/>
  <c r="BF27" i="14"/>
  <c r="BF26" i="14"/>
  <c r="BF25" i="14"/>
  <c r="BF24" i="14"/>
  <c r="BF23" i="14"/>
  <c r="BF22" i="14"/>
  <c r="BF21" i="14"/>
  <c r="BF20" i="14"/>
  <c r="BF19" i="14"/>
  <c r="BF18" i="14"/>
  <c r="BF17" i="14"/>
  <c r="BF16" i="14"/>
  <c r="BF15" i="14"/>
  <c r="BF14" i="14"/>
  <c r="BF13" i="14"/>
  <c r="BF12" i="14"/>
  <c r="BF11" i="14"/>
  <c r="BE64" i="14" l="1"/>
  <c r="BE63" i="14"/>
  <c r="BE62" i="14"/>
  <c r="BE61" i="14"/>
  <c r="BE60" i="14"/>
  <c r="BE59" i="14"/>
  <c r="BE58" i="14"/>
  <c r="BE57" i="14"/>
  <c r="BE56" i="14"/>
  <c r="BE53" i="14"/>
  <c r="BE52" i="14"/>
  <c r="BE51" i="14"/>
  <c r="BE50" i="14"/>
  <c r="BE49" i="14"/>
  <c r="BE48" i="14"/>
  <c r="BE47" i="14"/>
  <c r="BE46" i="14"/>
  <c r="BE45" i="14"/>
  <c r="BE44" i="14"/>
  <c r="BE43" i="14"/>
  <c r="BE42" i="14"/>
  <c r="BE41" i="14"/>
  <c r="BE40" i="14"/>
  <c r="BE39" i="14"/>
  <c r="BE38" i="14"/>
  <c r="BE37" i="14"/>
  <c r="BE36" i="14"/>
  <c r="BE35" i="14"/>
  <c r="BE34" i="14"/>
  <c r="BE33" i="14"/>
  <c r="BE32" i="14"/>
  <c r="BE31" i="14"/>
  <c r="BE29" i="14"/>
  <c r="BE28" i="14"/>
  <c r="BE27" i="14"/>
  <c r="BE26" i="14"/>
  <c r="BE25" i="14"/>
  <c r="BE24" i="14"/>
  <c r="BE23" i="14"/>
  <c r="BE22" i="14"/>
  <c r="BE21" i="14"/>
  <c r="BE20" i="14"/>
  <c r="BE19" i="14"/>
  <c r="BE18" i="14"/>
  <c r="BE17" i="14"/>
  <c r="BE16" i="14"/>
  <c r="BE15" i="14"/>
  <c r="BE14" i="14"/>
  <c r="BE13" i="14"/>
  <c r="BE12" i="14"/>
  <c r="BE11" i="14"/>
  <c r="BE8" i="14"/>
  <c r="AQ72" i="13" l="1"/>
  <c r="AQ71" i="13"/>
  <c r="AQ70" i="13"/>
  <c r="AQ69" i="13"/>
  <c r="AQ68" i="13"/>
  <c r="AQ67" i="13"/>
  <c r="AQ66" i="13"/>
  <c r="AQ65" i="13"/>
  <c r="AQ64" i="13"/>
  <c r="AQ63" i="13"/>
  <c r="AQ62" i="13"/>
  <c r="AQ61" i="13"/>
  <c r="AQ60" i="13"/>
  <c r="AQ59" i="13"/>
  <c r="AQ58" i="13"/>
  <c r="AQ57" i="13"/>
  <c r="AQ56" i="13"/>
  <c r="AQ55" i="13"/>
  <c r="AQ54" i="13"/>
  <c r="AQ53" i="13"/>
  <c r="AQ52" i="13"/>
  <c r="AQ51" i="13"/>
  <c r="AQ50" i="13"/>
  <c r="AQ49" i="13"/>
  <c r="AQ48" i="13"/>
  <c r="AQ46" i="13"/>
  <c r="AQ45" i="13"/>
  <c r="AQ44" i="13"/>
  <c r="AQ43" i="13"/>
  <c r="AQ42" i="13"/>
  <c r="AQ41" i="13"/>
  <c r="AQ40" i="13"/>
  <c r="AQ39" i="13"/>
  <c r="AQ38" i="13"/>
  <c r="AQ37" i="13"/>
  <c r="AQ36" i="13"/>
  <c r="AQ35" i="13"/>
  <c r="AQ34" i="13"/>
  <c r="AQ33" i="13"/>
  <c r="AQ32" i="13"/>
  <c r="AQ31" i="13"/>
  <c r="AQ30" i="13"/>
  <c r="AQ29" i="13"/>
  <c r="AQ28" i="13"/>
  <c r="AQ27" i="13"/>
  <c r="AQ26" i="13"/>
  <c r="AQ25" i="13"/>
  <c r="AQ24" i="13"/>
  <c r="AQ23" i="13"/>
  <c r="AQ22" i="13"/>
  <c r="AQ21" i="13"/>
  <c r="AQ20" i="13"/>
  <c r="AQ19" i="13"/>
  <c r="AQ18" i="13"/>
  <c r="AQ17" i="13"/>
  <c r="AQ16" i="13"/>
  <c r="AQ15" i="13"/>
  <c r="AQ14" i="13"/>
  <c r="AQ13" i="13"/>
  <c r="AQ12" i="13"/>
  <c r="AQ11" i="13"/>
  <c r="AQ10" i="13"/>
  <c r="AQ9" i="13"/>
  <c r="AQ8" i="13"/>
  <c r="G55" i="24"/>
  <c r="G33" i="24"/>
  <c r="D61" i="27"/>
  <c r="D60" i="27"/>
  <c r="D55" i="27"/>
  <c r="D54" i="27"/>
  <c r="D53" i="27"/>
  <c r="D52" i="27"/>
  <c r="BC53" i="14" l="1"/>
  <c r="BC52" i="14"/>
  <c r="BC51" i="14"/>
  <c r="BC50" i="14"/>
  <c r="BC49" i="14"/>
  <c r="BC48" i="14"/>
  <c r="BC47" i="14"/>
  <c r="BC46" i="14"/>
  <c r="BC45" i="14"/>
  <c r="BC44" i="14"/>
  <c r="BC43" i="14"/>
  <c r="BC42" i="14"/>
  <c r="BC41" i="14"/>
  <c r="BC40" i="14"/>
  <c r="BC39" i="14"/>
  <c r="BC38" i="14"/>
  <c r="BC37" i="14"/>
  <c r="BC36" i="14"/>
  <c r="BC35" i="14"/>
  <c r="BC34" i="14"/>
  <c r="BC33" i="14"/>
  <c r="BC32" i="14"/>
  <c r="D8" i="30" l="1"/>
  <c r="D200" i="30"/>
  <c r="D199" i="30"/>
  <c r="D198" i="30"/>
  <c r="D197" i="30"/>
  <c r="D196" i="30"/>
  <c r="D195" i="30"/>
  <c r="D194" i="30"/>
  <c r="D193" i="30"/>
  <c r="D192" i="30"/>
  <c r="D191" i="30"/>
  <c r="D190" i="30"/>
  <c r="D189" i="30"/>
  <c r="D188" i="30"/>
  <c r="D187" i="30"/>
  <c r="D186" i="30"/>
  <c r="D185" i="30"/>
  <c r="D184" i="30"/>
  <c r="D183" i="30"/>
  <c r="D182" i="30"/>
  <c r="D181" i="30"/>
  <c r="D180" i="30"/>
  <c r="D179" i="30"/>
  <c r="D178" i="30"/>
  <c r="D177" i="30"/>
  <c r="D176" i="30"/>
  <c r="D175" i="30"/>
  <c r="D174" i="30"/>
  <c r="D173" i="30"/>
  <c r="D172" i="30"/>
  <c r="D171" i="30"/>
  <c r="D170" i="30"/>
  <c r="D169" i="30"/>
  <c r="D168" i="30"/>
  <c r="D167" i="30"/>
  <c r="D166" i="30"/>
  <c r="D165" i="30"/>
  <c r="D164" i="30"/>
  <c r="D163" i="30"/>
  <c r="D162" i="30"/>
  <c r="D161" i="30"/>
  <c r="D160" i="30"/>
  <c r="D159" i="30"/>
  <c r="D158" i="30"/>
  <c r="D157" i="30"/>
  <c r="D156" i="30"/>
  <c r="D155" i="30"/>
  <c r="D154" i="30"/>
  <c r="D153" i="30"/>
  <c r="D152" i="30"/>
  <c r="D151" i="30"/>
  <c r="D150" i="30"/>
  <c r="D149" i="30"/>
  <c r="D148" i="30"/>
  <c r="D147" i="30"/>
  <c r="D146" i="30"/>
  <c r="D145" i="30"/>
  <c r="D144" i="30"/>
  <c r="D143" i="30"/>
  <c r="D142" i="30"/>
  <c r="D141" i="30"/>
  <c r="D140" i="30"/>
  <c r="D139" i="30"/>
  <c r="D138" i="30"/>
  <c r="D137" i="30"/>
  <c r="D136" i="30"/>
  <c r="D135" i="30"/>
  <c r="D134" i="30"/>
  <c r="D133" i="30"/>
  <c r="D132" i="30"/>
  <c r="D131" i="30"/>
  <c r="D130" i="30"/>
  <c r="D129" i="30"/>
  <c r="D128" i="30"/>
  <c r="D127" i="30"/>
  <c r="D126" i="30"/>
  <c r="D125" i="30"/>
  <c r="D124" i="30"/>
  <c r="D123" i="30"/>
  <c r="D122" i="30"/>
  <c r="D121" i="30"/>
  <c r="D120" i="30"/>
  <c r="D119" i="30"/>
  <c r="D118" i="30"/>
  <c r="D117" i="30"/>
  <c r="D116" i="30"/>
  <c r="D115" i="30"/>
  <c r="D114" i="30"/>
  <c r="D113" i="30"/>
  <c r="D112" i="30"/>
  <c r="D111" i="30"/>
  <c r="D110" i="30"/>
  <c r="D109" i="30"/>
  <c r="D108" i="30"/>
  <c r="D107" i="30"/>
  <c r="D106" i="30"/>
  <c r="D105" i="30"/>
  <c r="D104" i="30"/>
  <c r="D103" i="30"/>
  <c r="D102" i="30"/>
  <c r="D101" i="30"/>
  <c r="D100" i="30"/>
  <c r="D99" i="30"/>
  <c r="D98" i="30"/>
  <c r="D97" i="30"/>
  <c r="D96" i="30"/>
  <c r="D95" i="30"/>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S200" i="32" l="1"/>
  <c r="S199" i="32"/>
  <c r="S198" i="32"/>
  <c r="S197" i="32"/>
  <c r="S196" i="32"/>
  <c r="S195" i="32"/>
  <c r="S194" i="32"/>
  <c r="S193" i="32"/>
  <c r="S192" i="32"/>
  <c r="S191" i="32"/>
  <c r="S190" i="32"/>
  <c r="S189" i="32"/>
  <c r="S188" i="32"/>
  <c r="S187" i="32"/>
  <c r="S186" i="32"/>
  <c r="S185" i="32"/>
  <c r="S184" i="32"/>
  <c r="S183" i="32"/>
  <c r="S182" i="32"/>
  <c r="S181" i="32"/>
  <c r="S180" i="32"/>
  <c r="S179" i="32"/>
  <c r="S178" i="32"/>
  <c r="S177" i="32"/>
  <c r="S176" i="32"/>
  <c r="S175" i="32"/>
  <c r="S174" i="32"/>
  <c r="S173" i="32"/>
  <c r="S172" i="32"/>
  <c r="S171" i="32"/>
  <c r="S170" i="32"/>
  <c r="S169" i="32"/>
  <c r="S168" i="32"/>
  <c r="S167" i="32"/>
  <c r="S166" i="32"/>
  <c r="S165" i="32"/>
  <c r="S164" i="32"/>
  <c r="S163" i="32"/>
  <c r="S162" i="32"/>
  <c r="S161" i="32"/>
  <c r="S160" i="32"/>
  <c r="S159" i="32"/>
  <c r="S158" i="32"/>
  <c r="S157" i="32"/>
  <c r="S156" i="32"/>
  <c r="S155" i="32"/>
  <c r="S154" i="32"/>
  <c r="S153" i="32"/>
  <c r="S152" i="32"/>
  <c r="S151" i="32"/>
  <c r="S150" i="32"/>
  <c r="S149" i="32"/>
  <c r="S148" i="32"/>
  <c r="S147" i="32"/>
  <c r="S146" i="32"/>
  <c r="S145" i="32"/>
  <c r="S144" i="32"/>
  <c r="S143" i="32"/>
  <c r="S142" i="32"/>
  <c r="S141" i="32"/>
  <c r="S140" i="32"/>
  <c r="S139" i="32"/>
  <c r="S138" i="32"/>
  <c r="S137" i="32"/>
  <c r="S136" i="32"/>
  <c r="S135" i="32"/>
  <c r="S134" i="32"/>
  <c r="S133" i="32"/>
  <c r="S132" i="32"/>
  <c r="S131" i="32"/>
  <c r="S130" i="32"/>
  <c r="S129" i="32"/>
  <c r="S128" i="32"/>
  <c r="S127" i="32"/>
  <c r="S126" i="32"/>
  <c r="S125" i="32"/>
  <c r="S124" i="32"/>
  <c r="S123" i="32"/>
  <c r="S122" i="32"/>
  <c r="S121" i="32"/>
  <c r="S120" i="32"/>
  <c r="S119" i="32"/>
  <c r="S118" i="32"/>
  <c r="S117" i="32"/>
  <c r="S116" i="32"/>
  <c r="S115" i="32"/>
  <c r="S114" i="32"/>
  <c r="S113" i="32"/>
  <c r="S112" i="32"/>
  <c r="S111" i="32"/>
  <c r="S110" i="32"/>
  <c r="S109" i="32"/>
  <c r="S108" i="32"/>
  <c r="S107" i="32"/>
  <c r="S106" i="32"/>
  <c r="S105" i="32"/>
  <c r="S104" i="32"/>
  <c r="S103" i="32"/>
  <c r="S102" i="32"/>
  <c r="S101" i="32"/>
  <c r="S100" i="32"/>
  <c r="S99" i="32"/>
  <c r="S98" i="32"/>
  <c r="S97" i="32"/>
  <c r="S96" i="32"/>
  <c r="S95" i="32"/>
  <c r="S94" i="32"/>
  <c r="S93" i="32"/>
  <c r="S92" i="32"/>
  <c r="S91" i="32"/>
  <c r="S90" i="32"/>
  <c r="S89" i="32"/>
  <c r="S88" i="32"/>
  <c r="S87" i="32"/>
  <c r="S86" i="32"/>
  <c r="S85" i="32"/>
  <c r="S84" i="32"/>
  <c r="S83" i="32"/>
  <c r="S82" i="32"/>
  <c r="S81" i="32"/>
  <c r="S80" i="32"/>
  <c r="S79" i="32"/>
  <c r="S78" i="32"/>
  <c r="S77" i="32"/>
  <c r="S76" i="32"/>
  <c r="S75" i="32"/>
  <c r="S74" i="32"/>
  <c r="S73" i="32"/>
  <c r="S72" i="32"/>
  <c r="S71" i="32"/>
  <c r="S70" i="32"/>
  <c r="S69" i="32"/>
  <c r="S68" i="32"/>
  <c r="S67" i="32"/>
  <c r="S66" i="32"/>
  <c r="S65" i="32"/>
  <c r="S64" i="32"/>
  <c r="S63" i="32"/>
  <c r="S62" i="32"/>
  <c r="S61" i="32"/>
  <c r="S60" i="32"/>
  <c r="S59" i="32"/>
  <c r="S58" i="32"/>
  <c r="S57" i="32"/>
  <c r="S56" i="32"/>
  <c r="S55" i="32"/>
  <c r="S54" i="32"/>
  <c r="S53" i="32"/>
  <c r="S52" i="32"/>
  <c r="S51" i="32"/>
  <c r="S50" i="32"/>
  <c r="S49" i="32"/>
  <c r="S48" i="32"/>
  <c r="S47" i="32"/>
  <c r="S46" i="32"/>
  <c r="S45" i="32"/>
  <c r="E200" i="32"/>
  <c r="E199" i="32"/>
  <c r="E198" i="32"/>
  <c r="E197" i="32"/>
  <c r="E196" i="32"/>
  <c r="E195" i="32"/>
  <c r="E194" i="32"/>
  <c r="E193" i="32"/>
  <c r="E192" i="32"/>
  <c r="E191" i="32"/>
  <c r="E190" i="32"/>
  <c r="E189" i="32"/>
  <c r="E188" i="32"/>
  <c r="E187" i="32"/>
  <c r="E186" i="32"/>
  <c r="E185" i="32"/>
  <c r="E184" i="32"/>
  <c r="E183" i="32"/>
  <c r="E182" i="32"/>
  <c r="E181" i="32"/>
  <c r="E180" i="32"/>
  <c r="E179" i="32"/>
  <c r="E178" i="32"/>
  <c r="E177" i="32"/>
  <c r="E176" i="32"/>
  <c r="E175" i="32"/>
  <c r="E174" i="32"/>
  <c r="E173" i="32"/>
  <c r="E172" i="32"/>
  <c r="E171" i="32"/>
  <c r="E170" i="32"/>
  <c r="E169" i="32"/>
  <c r="E168" i="32"/>
  <c r="E167" i="32"/>
  <c r="E166" i="32"/>
  <c r="E165" i="32"/>
  <c r="E164" i="32"/>
  <c r="E163" i="32"/>
  <c r="E162" i="32"/>
  <c r="E161" i="32"/>
  <c r="E160" i="32"/>
  <c r="E159" i="32"/>
  <c r="E158" i="32"/>
  <c r="E157" i="32"/>
  <c r="E156" i="32"/>
  <c r="E155" i="32"/>
  <c r="E154" i="32"/>
  <c r="E153" i="32"/>
  <c r="E152" i="32"/>
  <c r="E151" i="32"/>
  <c r="E150" i="32"/>
  <c r="E149" i="32"/>
  <c r="E148" i="32"/>
  <c r="E147" i="32"/>
  <c r="E146" i="32"/>
  <c r="E145" i="32"/>
  <c r="E144" i="32"/>
  <c r="E143" i="32"/>
  <c r="E142" i="32"/>
  <c r="E141" i="32"/>
  <c r="E140" i="32"/>
  <c r="E139" i="32"/>
  <c r="E138" i="32"/>
  <c r="E137" i="32"/>
  <c r="E136" i="32"/>
  <c r="E135" i="32"/>
  <c r="E134" i="32"/>
  <c r="E133" i="32"/>
  <c r="E132" i="32"/>
  <c r="E131" i="32"/>
  <c r="E130" i="32"/>
  <c r="E129" i="32"/>
  <c r="E128" i="32"/>
  <c r="E127" i="32"/>
  <c r="E126" i="32"/>
  <c r="E125" i="32"/>
  <c r="E124" i="32"/>
  <c r="E123" i="32"/>
  <c r="E122" i="32"/>
  <c r="E121" i="32"/>
  <c r="E120" i="32"/>
  <c r="E119" i="32"/>
  <c r="E118" i="32"/>
  <c r="E117" i="32"/>
  <c r="E116" i="32"/>
  <c r="E115" i="32"/>
  <c r="E114" i="32"/>
  <c r="E113" i="32"/>
  <c r="E112" i="32"/>
  <c r="E111" i="32"/>
  <c r="E110" i="32"/>
  <c r="E109" i="32"/>
  <c r="E108" i="32"/>
  <c r="E107" i="32"/>
  <c r="E106" i="32"/>
  <c r="E105" i="32"/>
  <c r="E104" i="32"/>
  <c r="E103" i="32"/>
  <c r="E102" i="32"/>
  <c r="E101" i="32"/>
  <c r="E100" i="32"/>
  <c r="E99" i="32"/>
  <c r="E98" i="32"/>
  <c r="E97" i="32"/>
  <c r="E96" i="32"/>
  <c r="E95" i="32"/>
  <c r="E94" i="32"/>
  <c r="E93" i="32"/>
  <c r="E92" i="32"/>
  <c r="E91" i="32"/>
  <c r="E90" i="32"/>
  <c r="E89" i="32"/>
  <c r="E88" i="32"/>
  <c r="E87" i="32"/>
  <c r="E86" i="32"/>
  <c r="E85" i="32"/>
  <c r="E84" i="32"/>
  <c r="E83" i="32"/>
  <c r="E82" i="32"/>
  <c r="E81" i="32"/>
  <c r="E80" i="32"/>
  <c r="E79" i="32"/>
  <c r="E78" i="32"/>
  <c r="E77" i="32"/>
  <c r="E76" i="32"/>
  <c r="E75" i="32"/>
  <c r="E74" i="32"/>
  <c r="E73" i="32"/>
  <c r="E72" i="32"/>
  <c r="E71" i="32"/>
  <c r="E70" i="32"/>
  <c r="E69" i="32"/>
  <c r="E68" i="32"/>
  <c r="E67" i="32"/>
  <c r="E66" i="32"/>
  <c r="E65" i="32"/>
  <c r="E64"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E8" i="32"/>
  <c r="AA200" i="30"/>
  <c r="AA199" i="30"/>
  <c r="AA198" i="30"/>
  <c r="AA197" i="30"/>
  <c r="AA196" i="30"/>
  <c r="AA195" i="30"/>
  <c r="AA194" i="30"/>
  <c r="AA193" i="30"/>
  <c r="AA192" i="30"/>
  <c r="AA191" i="30"/>
  <c r="AA190" i="30"/>
  <c r="AA189" i="30"/>
  <c r="AA188" i="30"/>
  <c r="AA187" i="30"/>
  <c r="AA186" i="30"/>
  <c r="AA185" i="30"/>
  <c r="AA184" i="30"/>
  <c r="AA183" i="30"/>
  <c r="AA182" i="30"/>
  <c r="AA181" i="30"/>
  <c r="AA180" i="30"/>
  <c r="AA179" i="30"/>
  <c r="AA178" i="30"/>
  <c r="AA177" i="30"/>
  <c r="AA176" i="30"/>
  <c r="AA175" i="30"/>
  <c r="AA174" i="30"/>
  <c r="AA173" i="30"/>
  <c r="AA172" i="30"/>
  <c r="AA171" i="30"/>
  <c r="AA170" i="30"/>
  <c r="AA169" i="30"/>
  <c r="AA168" i="30"/>
  <c r="AA167" i="30"/>
  <c r="AA166" i="30"/>
  <c r="AA165" i="30"/>
  <c r="AA164" i="30"/>
  <c r="AA163" i="30"/>
  <c r="AA162" i="30"/>
  <c r="AA161" i="30"/>
  <c r="AA160" i="30"/>
  <c r="AA159" i="30"/>
  <c r="AA158" i="30"/>
  <c r="AA157" i="30"/>
  <c r="AA156" i="30"/>
  <c r="AA155" i="30"/>
  <c r="AA154" i="30"/>
  <c r="AA153" i="30"/>
  <c r="AA152" i="30"/>
  <c r="AA151" i="30"/>
  <c r="AA150" i="30"/>
  <c r="AA149" i="30"/>
  <c r="AA148" i="30"/>
  <c r="AA147" i="30"/>
  <c r="AA146" i="30"/>
  <c r="AA145" i="30"/>
  <c r="AA144" i="30"/>
  <c r="AA143" i="30"/>
  <c r="AA142" i="30"/>
  <c r="AA141" i="30"/>
  <c r="AA140" i="30"/>
  <c r="AA139" i="30"/>
  <c r="AA138" i="30"/>
  <c r="AA137" i="30"/>
  <c r="AA136" i="30"/>
  <c r="AA135" i="30"/>
  <c r="AA134" i="30"/>
  <c r="AA133" i="30"/>
  <c r="AA132" i="30"/>
  <c r="AA131" i="30"/>
  <c r="AA130" i="30"/>
  <c r="AA129" i="30"/>
  <c r="AA128" i="30"/>
  <c r="AA127" i="30"/>
  <c r="AA126" i="30"/>
  <c r="AA125" i="30"/>
  <c r="AA124" i="30"/>
  <c r="AA123" i="30"/>
  <c r="AA122" i="30"/>
  <c r="AA121" i="30"/>
  <c r="AA120" i="30"/>
  <c r="AA119" i="30"/>
  <c r="AA118" i="30"/>
  <c r="AA117" i="30"/>
  <c r="AA116" i="30"/>
  <c r="AA115" i="30"/>
  <c r="AA114" i="30"/>
  <c r="AA113" i="30"/>
  <c r="AA112" i="30"/>
  <c r="AA111" i="30"/>
  <c r="AA110" i="30"/>
  <c r="AA109" i="30"/>
  <c r="AA108" i="30"/>
  <c r="AA107" i="30"/>
  <c r="AA106" i="30"/>
  <c r="AA105" i="30"/>
  <c r="AA104" i="30"/>
  <c r="AA103" i="30"/>
  <c r="AA102" i="30"/>
  <c r="AA101" i="30"/>
  <c r="AA100" i="30"/>
  <c r="AA99" i="30"/>
  <c r="AA98" i="30"/>
  <c r="AA97" i="30"/>
  <c r="AA96" i="30"/>
  <c r="AA95" i="30"/>
  <c r="AA94" i="30"/>
  <c r="AA93" i="30"/>
  <c r="AA92" i="30"/>
  <c r="AA91" i="30"/>
  <c r="AA90" i="30"/>
  <c r="AA89" i="30"/>
  <c r="AA88" i="30"/>
  <c r="AA87" i="30"/>
  <c r="AA86" i="30"/>
  <c r="AA85" i="30"/>
  <c r="AA84" i="30"/>
  <c r="AA83" i="30"/>
  <c r="AA82" i="30"/>
  <c r="AA81" i="30"/>
  <c r="AA80" i="30"/>
  <c r="AA79" i="30"/>
  <c r="AA78" i="30"/>
  <c r="AA77" i="30"/>
  <c r="AA76" i="30"/>
  <c r="AA75" i="30"/>
  <c r="AA74" i="30"/>
  <c r="AA73" i="30"/>
  <c r="AA72" i="30"/>
  <c r="AA71" i="30"/>
  <c r="AA70" i="30"/>
  <c r="AA69" i="30"/>
  <c r="AA68" i="30"/>
  <c r="AA67" i="30"/>
  <c r="AA66" i="30"/>
  <c r="AA65" i="30"/>
  <c r="AA64" i="30"/>
  <c r="AA63" i="30"/>
  <c r="AA62" i="30"/>
  <c r="AA61" i="30"/>
  <c r="AA60" i="30"/>
  <c r="AA59" i="30"/>
  <c r="AA58" i="30"/>
  <c r="AA57" i="30"/>
  <c r="AA56" i="30"/>
  <c r="AA55" i="30"/>
  <c r="AA54" i="30"/>
  <c r="AA53" i="30"/>
  <c r="AA52" i="30"/>
  <c r="AA51" i="30"/>
  <c r="AA50" i="30"/>
  <c r="AA49" i="30"/>
  <c r="AA48" i="30"/>
  <c r="AA47" i="30"/>
  <c r="AA46" i="30"/>
  <c r="AA45" i="30"/>
  <c r="AA44" i="30"/>
  <c r="AA43" i="30"/>
  <c r="AA42" i="30"/>
  <c r="AA41" i="30"/>
  <c r="AA40" i="30"/>
  <c r="AA39" i="30"/>
  <c r="AA38" i="30"/>
  <c r="AA37" i="30"/>
  <c r="AA36" i="30"/>
  <c r="AA35" i="30"/>
  <c r="AA34" i="30"/>
  <c r="AA33" i="30"/>
  <c r="AA32" i="30"/>
  <c r="AA31" i="30"/>
  <c r="AA30" i="30"/>
  <c r="O200" i="30"/>
  <c r="O199" i="30"/>
  <c r="O198" i="30"/>
  <c r="O197" i="30"/>
  <c r="O196" i="30"/>
  <c r="O195" i="30"/>
  <c r="O194" i="30"/>
  <c r="O193" i="30"/>
  <c r="O192" i="30"/>
  <c r="O191" i="30"/>
  <c r="O190" i="30"/>
  <c r="O189" i="30"/>
  <c r="O188" i="30"/>
  <c r="O187" i="30"/>
  <c r="O186" i="30"/>
  <c r="O185" i="30"/>
  <c r="O184" i="30"/>
  <c r="O183" i="30"/>
  <c r="O182" i="30"/>
  <c r="O181" i="30"/>
  <c r="O180" i="30"/>
  <c r="O179" i="30"/>
  <c r="O178" i="30"/>
  <c r="O177" i="30"/>
  <c r="O176" i="30"/>
  <c r="O175" i="30"/>
  <c r="O174" i="30"/>
  <c r="O173" i="30"/>
  <c r="O172" i="30"/>
  <c r="O171" i="30"/>
  <c r="O170" i="30"/>
  <c r="O169" i="30"/>
  <c r="O168" i="30"/>
  <c r="O167" i="30"/>
  <c r="O166" i="30"/>
  <c r="O165" i="30"/>
  <c r="O164" i="30"/>
  <c r="O163" i="30"/>
  <c r="O162" i="30"/>
  <c r="O161" i="30"/>
  <c r="O160" i="30"/>
  <c r="O159" i="30"/>
  <c r="O158" i="30"/>
  <c r="O157" i="30"/>
  <c r="O156" i="30"/>
  <c r="O155" i="30"/>
  <c r="O154" i="30"/>
  <c r="O153" i="30"/>
  <c r="O152" i="30"/>
  <c r="O151" i="30"/>
  <c r="O150" i="30"/>
  <c r="O149" i="30"/>
  <c r="O148" i="30"/>
  <c r="O147" i="30"/>
  <c r="O146" i="30"/>
  <c r="O145" i="30"/>
  <c r="O144" i="30"/>
  <c r="O143" i="30"/>
  <c r="O142" i="30"/>
  <c r="O141" i="30"/>
  <c r="O140" i="30"/>
  <c r="O139" i="30"/>
  <c r="O138" i="30"/>
  <c r="O137" i="30"/>
  <c r="O136" i="30"/>
  <c r="O135" i="30"/>
  <c r="O134" i="30"/>
  <c r="O133" i="30"/>
  <c r="O132" i="30"/>
  <c r="O131" i="30"/>
  <c r="O130" i="30"/>
  <c r="O129" i="30"/>
  <c r="O128" i="30"/>
  <c r="O127" i="30"/>
  <c r="O126" i="30"/>
  <c r="O125" i="30"/>
  <c r="O124" i="30"/>
  <c r="O123" i="30"/>
  <c r="O122" i="30"/>
  <c r="O121" i="30"/>
  <c r="O120" i="30"/>
  <c r="O119" i="30"/>
  <c r="O118" i="30"/>
  <c r="O117" i="30"/>
  <c r="O116" i="30"/>
  <c r="O115" i="30"/>
  <c r="O114" i="30"/>
  <c r="O113" i="30"/>
  <c r="O112" i="30"/>
  <c r="O111" i="30"/>
  <c r="O110" i="30"/>
  <c r="O109" i="30"/>
  <c r="O108" i="30"/>
  <c r="O107" i="30"/>
  <c r="O106" i="30"/>
  <c r="O105" i="30"/>
  <c r="O104" i="30"/>
  <c r="O103" i="30"/>
  <c r="O102" i="30"/>
  <c r="O101" i="30"/>
  <c r="O100" i="30"/>
  <c r="O99" i="30"/>
  <c r="O98" i="30"/>
  <c r="O97" i="30"/>
  <c r="O96" i="30"/>
  <c r="O95" i="30"/>
  <c r="O94" i="30"/>
  <c r="O93" i="30"/>
  <c r="O92" i="30"/>
  <c r="O91" i="30"/>
  <c r="O90" i="30"/>
  <c r="O89" i="30"/>
  <c r="O88" i="30"/>
  <c r="O87" i="30"/>
  <c r="O86" i="30"/>
  <c r="O85" i="30"/>
  <c r="O84" i="30"/>
  <c r="O83" i="30"/>
  <c r="O82" i="30"/>
  <c r="O81" i="30"/>
  <c r="O80" i="30"/>
  <c r="O79" i="30"/>
  <c r="O78" i="30"/>
  <c r="O77" i="30"/>
  <c r="O76" i="30"/>
  <c r="O75" i="30"/>
  <c r="O74" i="30"/>
  <c r="O73" i="30"/>
  <c r="O72" i="30"/>
  <c r="O71" i="30"/>
  <c r="O70" i="30"/>
  <c r="O69" i="30"/>
  <c r="O68" i="30"/>
  <c r="O67" i="30"/>
  <c r="O66" i="30"/>
  <c r="O65" i="30"/>
  <c r="O64" i="30"/>
  <c r="O63" i="30"/>
  <c r="O62" i="30"/>
  <c r="O61" i="30"/>
  <c r="O60" i="30"/>
  <c r="O59" i="30"/>
  <c r="O58" i="30"/>
  <c r="O57" i="30"/>
  <c r="O56" i="30"/>
  <c r="O55" i="30"/>
  <c r="O54" i="30"/>
  <c r="O53" i="30"/>
  <c r="O52" i="30"/>
  <c r="O51" i="30"/>
  <c r="O50" i="30"/>
  <c r="O49" i="30"/>
  <c r="O48" i="30"/>
  <c r="O47" i="30"/>
  <c r="O46" i="30"/>
  <c r="O45" i="30"/>
  <c r="O44" i="30"/>
  <c r="O43" i="30"/>
  <c r="O42" i="30"/>
  <c r="O41" i="30"/>
  <c r="O40" i="30"/>
  <c r="O39" i="30"/>
  <c r="O38" i="30"/>
  <c r="O37" i="30"/>
  <c r="O36" i="30"/>
  <c r="O35" i="30"/>
  <c r="O34" i="30"/>
  <c r="O33" i="30"/>
  <c r="O32" i="30"/>
  <c r="O31" i="30"/>
  <c r="O30" i="30"/>
  <c r="O29" i="30"/>
  <c r="O28" i="30"/>
  <c r="O27" i="30"/>
  <c r="O26" i="30"/>
  <c r="O25" i="30"/>
  <c r="O24" i="30"/>
  <c r="O23" i="30"/>
  <c r="O22" i="30"/>
  <c r="O21" i="30"/>
  <c r="O20" i="30"/>
  <c r="O19" i="30"/>
  <c r="O18" i="30"/>
  <c r="O17" i="30"/>
  <c r="O16" i="30"/>
  <c r="O15" i="30"/>
  <c r="O14" i="30"/>
  <c r="O13" i="30"/>
  <c r="O12" i="30"/>
  <c r="O11" i="30"/>
  <c r="O10" i="30"/>
  <c r="O9" i="30"/>
  <c r="D556" i="31"/>
  <c r="D555" i="31"/>
  <c r="D554" i="31"/>
  <c r="D553" i="31"/>
  <c r="D552" i="31"/>
  <c r="D551" i="31"/>
  <c r="D550" i="31"/>
  <c r="D549" i="31"/>
  <c r="D548" i="31"/>
  <c r="D547" i="31"/>
  <c r="D546" i="31"/>
  <c r="D545" i="31"/>
  <c r="D544" i="31"/>
  <c r="D543" i="31"/>
  <c r="D542" i="31"/>
  <c r="D541" i="31"/>
  <c r="D540" i="31"/>
  <c r="D539" i="31"/>
  <c r="D538" i="31"/>
  <c r="D537" i="31"/>
  <c r="D536" i="31"/>
  <c r="D535" i="31"/>
  <c r="D534" i="31"/>
  <c r="D533" i="31"/>
  <c r="D532" i="31"/>
  <c r="D531" i="31"/>
  <c r="D530" i="31"/>
  <c r="D529" i="31"/>
  <c r="D528" i="31"/>
  <c r="D527" i="31"/>
  <c r="D526" i="31"/>
  <c r="D525" i="31"/>
  <c r="D524" i="31"/>
  <c r="D523" i="31"/>
  <c r="D522" i="31"/>
  <c r="D521" i="31"/>
  <c r="D520" i="31"/>
  <c r="D519" i="31"/>
  <c r="D518" i="31"/>
  <c r="D517" i="31"/>
  <c r="D516" i="31"/>
  <c r="D515" i="31"/>
  <c r="D514" i="31"/>
  <c r="D513" i="31"/>
  <c r="D512" i="31"/>
  <c r="D511" i="31"/>
  <c r="D510" i="31"/>
  <c r="D509" i="31"/>
  <c r="D508" i="31"/>
  <c r="D507" i="31"/>
  <c r="D506" i="31"/>
  <c r="D505" i="31"/>
  <c r="D504" i="31"/>
  <c r="D503" i="31"/>
  <c r="D502" i="31"/>
  <c r="D501" i="31"/>
  <c r="D500" i="31"/>
  <c r="D499" i="31"/>
  <c r="D498" i="31"/>
  <c r="D497" i="31"/>
  <c r="D496" i="31"/>
  <c r="D495" i="31"/>
  <c r="D494" i="31"/>
  <c r="D493" i="31"/>
  <c r="D492" i="31"/>
  <c r="D491" i="31"/>
  <c r="D490" i="31"/>
  <c r="D489" i="31"/>
  <c r="D488" i="31"/>
  <c r="D487" i="31"/>
  <c r="D486" i="31"/>
  <c r="D485" i="31"/>
  <c r="D484" i="31"/>
  <c r="D483" i="31"/>
  <c r="D482" i="31"/>
  <c r="D481" i="31"/>
  <c r="D480" i="31"/>
  <c r="D479" i="31"/>
  <c r="D478" i="31"/>
  <c r="D477" i="31"/>
  <c r="D476" i="31"/>
  <c r="D475" i="31"/>
  <c r="D474" i="31"/>
  <c r="D473" i="31"/>
  <c r="D472" i="31"/>
  <c r="D471" i="31"/>
  <c r="D470" i="31"/>
  <c r="D469" i="31"/>
  <c r="D468" i="31"/>
  <c r="D467" i="31"/>
  <c r="D466" i="31"/>
  <c r="D465" i="31"/>
  <c r="D464" i="31"/>
  <c r="D463" i="31"/>
  <c r="D462" i="31"/>
  <c r="D461" i="31"/>
  <c r="D460" i="31"/>
  <c r="D459" i="31"/>
  <c r="D458" i="31"/>
  <c r="D457" i="31"/>
  <c r="D456" i="31"/>
  <c r="D455" i="31"/>
  <c r="D454" i="31"/>
  <c r="D453" i="31"/>
  <c r="D452" i="31"/>
  <c r="D451" i="31"/>
  <c r="D450" i="31"/>
  <c r="D449" i="31"/>
  <c r="D448" i="31"/>
  <c r="D447" i="31"/>
  <c r="D446" i="31"/>
  <c r="D445" i="31"/>
  <c r="D444" i="31"/>
  <c r="D443" i="31"/>
  <c r="D442" i="31"/>
  <c r="D441" i="31"/>
  <c r="D440" i="31"/>
  <c r="D439" i="31"/>
  <c r="D438" i="31"/>
  <c r="D437" i="31"/>
  <c r="D436" i="31"/>
  <c r="D435" i="31"/>
  <c r="D434" i="31"/>
  <c r="D433" i="31"/>
  <c r="D432" i="31"/>
  <c r="D431" i="31"/>
  <c r="D430" i="31"/>
  <c r="D429" i="31"/>
  <c r="D428" i="31"/>
  <c r="D427" i="31"/>
  <c r="D426" i="31"/>
  <c r="D425" i="31"/>
  <c r="D424" i="31"/>
  <c r="D423" i="31"/>
  <c r="D422" i="31"/>
  <c r="D421" i="31"/>
  <c r="D420" i="31"/>
  <c r="D419" i="31"/>
  <c r="D418" i="31"/>
  <c r="D417" i="31"/>
  <c r="D416" i="31"/>
  <c r="D415" i="31"/>
  <c r="D414" i="31"/>
  <c r="D413" i="31"/>
  <c r="D412" i="31"/>
  <c r="D411" i="31"/>
  <c r="D410" i="31"/>
  <c r="D409" i="31"/>
  <c r="D408" i="31"/>
  <c r="D407" i="31"/>
  <c r="D406" i="31"/>
  <c r="D405" i="31"/>
  <c r="D404" i="31"/>
  <c r="D403" i="31"/>
  <c r="D402" i="31"/>
  <c r="D401" i="31"/>
  <c r="D400" i="31"/>
  <c r="D399" i="31"/>
  <c r="D398" i="31"/>
  <c r="D397" i="31"/>
  <c r="D396" i="31"/>
  <c r="D395" i="31"/>
  <c r="D394" i="31"/>
  <c r="D393" i="31"/>
  <c r="D392" i="31"/>
  <c r="D391" i="31"/>
  <c r="D390" i="31"/>
  <c r="D389" i="31"/>
  <c r="D388" i="31"/>
  <c r="D387" i="31"/>
  <c r="D386" i="31"/>
  <c r="D385" i="31"/>
  <c r="D384" i="31"/>
  <c r="D383" i="31"/>
  <c r="D382" i="31"/>
  <c r="D381" i="31"/>
  <c r="D380" i="31"/>
  <c r="D379" i="31"/>
  <c r="D378" i="31"/>
  <c r="D377" i="31"/>
  <c r="D376" i="31"/>
  <c r="D375" i="31"/>
  <c r="D374" i="31"/>
  <c r="D373" i="31"/>
  <c r="D372" i="31"/>
  <c r="D371" i="31"/>
  <c r="D370" i="31"/>
  <c r="D369" i="31"/>
  <c r="D368" i="31"/>
  <c r="D367" i="31"/>
  <c r="D366" i="31"/>
  <c r="D365" i="31"/>
  <c r="D364" i="31"/>
  <c r="D363" i="31"/>
  <c r="D362" i="31"/>
  <c r="D361" i="31"/>
  <c r="D360" i="31"/>
  <c r="D359" i="31"/>
  <c r="D358" i="31"/>
  <c r="D357" i="31"/>
  <c r="D356" i="31"/>
  <c r="D355" i="31"/>
  <c r="D354" i="31"/>
  <c r="D353" i="31"/>
  <c r="D352" i="31"/>
  <c r="D351" i="31"/>
  <c r="D350" i="31"/>
  <c r="D349" i="31"/>
  <c r="D348" i="31"/>
  <c r="D347" i="31"/>
  <c r="D346" i="31"/>
  <c r="D345" i="31"/>
  <c r="D344" i="31"/>
  <c r="D343" i="31"/>
  <c r="D342" i="31"/>
  <c r="D341" i="31"/>
  <c r="D340" i="31"/>
  <c r="D339" i="31"/>
  <c r="D338" i="31"/>
  <c r="D337" i="31"/>
  <c r="D336" i="31"/>
  <c r="D335" i="31"/>
  <c r="D334" i="31"/>
  <c r="D333" i="31"/>
  <c r="D332" i="31"/>
  <c r="D331" i="31"/>
  <c r="D330" i="31"/>
  <c r="D329" i="31"/>
  <c r="D328" i="31"/>
  <c r="D327" i="31"/>
  <c r="D326" i="31"/>
  <c r="D325" i="31"/>
  <c r="D324" i="31"/>
  <c r="D323" i="31"/>
  <c r="D322" i="31"/>
  <c r="D321" i="31"/>
  <c r="D320" i="31"/>
  <c r="D319" i="31"/>
  <c r="D318" i="31"/>
  <c r="D317" i="31"/>
  <c r="D316" i="31"/>
  <c r="D315" i="31"/>
  <c r="D314" i="31"/>
  <c r="D313" i="31"/>
  <c r="D312" i="31"/>
  <c r="D311" i="31"/>
  <c r="D310" i="31"/>
  <c r="D309" i="31"/>
  <c r="D308" i="31"/>
  <c r="D307" i="31"/>
  <c r="D306" i="31"/>
  <c r="D305" i="31"/>
  <c r="D304" i="31"/>
  <c r="D303" i="31"/>
  <c r="D302" i="31"/>
  <c r="D301" i="31"/>
  <c r="D300" i="31"/>
  <c r="D299" i="31"/>
  <c r="D298" i="31"/>
  <c r="D297" i="31"/>
  <c r="D296" i="31"/>
  <c r="D295" i="31"/>
  <c r="D294" i="31"/>
  <c r="D293" i="31"/>
  <c r="D292" i="31"/>
  <c r="D291" i="31"/>
  <c r="D290" i="31"/>
  <c r="D289" i="31"/>
  <c r="D288" i="31"/>
  <c r="D287" i="31"/>
  <c r="D286" i="31"/>
  <c r="D285" i="31"/>
  <c r="D284" i="31"/>
  <c r="D283" i="31"/>
  <c r="D282" i="31"/>
  <c r="D281" i="31"/>
  <c r="D280" i="31"/>
  <c r="D279" i="31"/>
  <c r="D278" i="31"/>
  <c r="D277" i="31"/>
  <c r="D276" i="31"/>
  <c r="D275" i="31"/>
  <c r="D274" i="31"/>
  <c r="D273" i="31"/>
  <c r="D272" i="31"/>
  <c r="D271" i="31"/>
  <c r="D270" i="31"/>
  <c r="D269" i="31"/>
  <c r="D268" i="31"/>
  <c r="D267" i="31"/>
  <c r="D266" i="31"/>
  <c r="D265" i="31"/>
  <c r="D264" i="31"/>
  <c r="D263" i="31"/>
  <c r="D262" i="31"/>
  <c r="D261" i="31"/>
  <c r="D260" i="31"/>
  <c r="D259" i="31"/>
  <c r="D258" i="31"/>
  <c r="D257" i="31"/>
  <c r="D256" i="31"/>
  <c r="D255" i="31"/>
  <c r="D254" i="31"/>
  <c r="D253" i="31"/>
  <c r="D252" i="31"/>
  <c r="D251" i="31"/>
  <c r="D250" i="31"/>
  <c r="D249" i="31"/>
  <c r="D248" i="31"/>
  <c r="D247" i="31"/>
  <c r="D246" i="31"/>
  <c r="D245" i="31"/>
  <c r="D244" i="31"/>
  <c r="D243" i="31"/>
  <c r="D242" i="31"/>
  <c r="D241" i="31"/>
  <c r="D240" i="31"/>
  <c r="D239" i="31"/>
  <c r="D238" i="31"/>
  <c r="D237" i="31"/>
  <c r="D236" i="31"/>
  <c r="D235" i="31"/>
  <c r="D234" i="31"/>
  <c r="D233" i="31"/>
  <c r="D232" i="31"/>
  <c r="D231" i="31"/>
  <c r="D230" i="31"/>
  <c r="D229" i="31"/>
  <c r="D228" i="31"/>
  <c r="D227" i="31"/>
  <c r="D226" i="31"/>
  <c r="D225" i="31"/>
  <c r="D224" i="31"/>
  <c r="D223" i="31"/>
  <c r="D222" i="31"/>
  <c r="D221" i="31"/>
  <c r="D220" i="31"/>
  <c r="D219" i="31"/>
  <c r="D218" i="31"/>
  <c r="D217" i="31"/>
  <c r="D216" i="31"/>
  <c r="D215" i="31"/>
  <c r="D214" i="31"/>
  <c r="D213" i="31"/>
  <c r="D212" i="31"/>
  <c r="D211" i="31"/>
  <c r="D210" i="31"/>
  <c r="D209" i="31"/>
  <c r="D208" i="31"/>
  <c r="D207" i="31"/>
  <c r="D206" i="31"/>
  <c r="D205" i="31"/>
  <c r="D204" i="31"/>
  <c r="D203" i="31"/>
  <c r="D202" i="31"/>
  <c r="D201" i="31"/>
  <c r="D200" i="31"/>
  <c r="D199" i="31"/>
  <c r="D198" i="31"/>
  <c r="D197" i="31"/>
  <c r="D196" i="31"/>
  <c r="D195" i="31"/>
  <c r="D194" i="31"/>
  <c r="D193" i="31"/>
  <c r="D192" i="31"/>
  <c r="D191" i="31"/>
  <c r="D190" i="31"/>
  <c r="D189" i="31"/>
  <c r="D188" i="31"/>
  <c r="D187" i="31"/>
  <c r="D186" i="31"/>
  <c r="D185" i="31"/>
  <c r="D184" i="31"/>
  <c r="D183" i="31"/>
  <c r="D182" i="31"/>
  <c r="D181" i="31"/>
  <c r="D180" i="31"/>
  <c r="D179" i="31"/>
  <c r="D178" i="31"/>
  <c r="D177" i="31"/>
  <c r="D176" i="31"/>
  <c r="D175" i="31"/>
  <c r="D174" i="31"/>
  <c r="D173" i="31"/>
  <c r="D172" i="31"/>
  <c r="D171" i="31"/>
  <c r="D170" i="31"/>
  <c r="D169" i="31"/>
  <c r="D168" i="31"/>
  <c r="D167" i="31"/>
  <c r="D166" i="31"/>
  <c r="D165" i="31"/>
  <c r="D164" i="31"/>
  <c r="D163" i="31"/>
  <c r="D162" i="31"/>
  <c r="D161" i="31"/>
  <c r="D160" i="31"/>
  <c r="D159" i="31"/>
  <c r="D158" i="31"/>
  <c r="D157" i="31"/>
  <c r="D156" i="31"/>
  <c r="D155" i="31"/>
  <c r="D154" i="31"/>
  <c r="D153" i="31"/>
  <c r="D152" i="31"/>
  <c r="D151" i="31"/>
  <c r="D150" i="31"/>
  <c r="D149" i="31"/>
  <c r="D148" i="31"/>
  <c r="D147" i="31"/>
  <c r="D146" i="31"/>
  <c r="D145" i="31"/>
  <c r="D144" i="31"/>
  <c r="D143" i="31"/>
  <c r="D142" i="31"/>
  <c r="D141" i="31"/>
  <c r="D140" i="31"/>
  <c r="D139" i="31"/>
  <c r="D138" i="31"/>
  <c r="D137" i="31"/>
  <c r="D136" i="31"/>
  <c r="D135" i="31"/>
  <c r="D134" i="31"/>
  <c r="D133" i="31"/>
  <c r="D132" i="31"/>
  <c r="D131" i="31"/>
  <c r="D130" i="31"/>
  <c r="D129" i="31"/>
  <c r="D128" i="31"/>
  <c r="D127" i="31"/>
  <c r="D126" i="31"/>
  <c r="D125" i="31"/>
  <c r="D124" i="31"/>
  <c r="D123" i="31"/>
  <c r="D122" i="31"/>
  <c r="D121" i="31"/>
  <c r="D120" i="31"/>
  <c r="D119" i="31"/>
  <c r="D118" i="31"/>
  <c r="D117" i="31"/>
  <c r="D116" i="31"/>
  <c r="D115" i="31"/>
  <c r="D114" i="31"/>
  <c r="D113" i="31"/>
  <c r="D112" i="31"/>
  <c r="D111" i="31"/>
  <c r="D110" i="31"/>
  <c r="D109" i="31"/>
  <c r="D108" i="31"/>
  <c r="D107" i="31"/>
  <c r="D106" i="31"/>
  <c r="D105" i="31"/>
  <c r="D104" i="31"/>
  <c r="D103" i="31"/>
  <c r="D102" i="31"/>
  <c r="D101" i="31"/>
  <c r="D100" i="31"/>
  <c r="D99" i="31"/>
  <c r="D98" i="31"/>
  <c r="D97" i="31"/>
  <c r="D96" i="31"/>
  <c r="D95" i="31"/>
  <c r="D94" i="31"/>
  <c r="D93" i="31"/>
  <c r="D92" i="31"/>
  <c r="D91" i="31"/>
  <c r="D90" i="31"/>
  <c r="D89" i="31"/>
  <c r="D88" i="31"/>
  <c r="D87" i="31"/>
  <c r="D86" i="31"/>
  <c r="D85" i="31"/>
  <c r="D84" i="31"/>
  <c r="D83" i="31"/>
  <c r="D82" i="31"/>
  <c r="D81" i="31"/>
  <c r="D80" i="31"/>
  <c r="D79" i="31"/>
  <c r="D78" i="31"/>
  <c r="D77" i="31"/>
  <c r="D76" i="31"/>
  <c r="D75" i="31"/>
  <c r="D74" i="31"/>
  <c r="D73" i="31"/>
  <c r="D72" i="31"/>
  <c r="D71" i="31"/>
  <c r="D70" i="31"/>
  <c r="D69" i="31"/>
  <c r="D68" i="31"/>
  <c r="D67" i="31"/>
  <c r="D66" i="31"/>
  <c r="D65" i="31"/>
  <c r="D64" i="31"/>
  <c r="D63" i="31"/>
  <c r="D62" i="31"/>
  <c r="D61" i="31"/>
  <c r="D60" i="31"/>
  <c r="D59" i="31"/>
  <c r="D58" i="31"/>
  <c r="D57" i="31"/>
  <c r="D56" i="31"/>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2000" i="31"/>
  <c r="D1999" i="31"/>
  <c r="D1998" i="31"/>
  <c r="D1997" i="31"/>
  <c r="D1996" i="31"/>
  <c r="D1995" i="31"/>
  <c r="D1994" i="31"/>
  <c r="D1993" i="31"/>
  <c r="D1992" i="31"/>
  <c r="D1991" i="31"/>
  <c r="D1990" i="31"/>
  <c r="D1989" i="31"/>
  <c r="D1988" i="31"/>
  <c r="D1987" i="31"/>
  <c r="D1986" i="31"/>
  <c r="D1985" i="31"/>
  <c r="D1984" i="31"/>
  <c r="D1983" i="31"/>
  <c r="D1982" i="31"/>
  <c r="D1981" i="31"/>
  <c r="D1980" i="31"/>
  <c r="D1979" i="31"/>
  <c r="D1978" i="31"/>
  <c r="D1977" i="31"/>
  <c r="D1976" i="31"/>
  <c r="D1975" i="31"/>
  <c r="D1974" i="31"/>
  <c r="D1973" i="31"/>
  <c r="D1972" i="31"/>
  <c r="D1971" i="31"/>
  <c r="D1970" i="31"/>
  <c r="D1969" i="31"/>
  <c r="D1968" i="31"/>
  <c r="D1967" i="31"/>
  <c r="D1966" i="31"/>
  <c r="D1965" i="31"/>
  <c r="D1964" i="31"/>
  <c r="D1963" i="31"/>
  <c r="D1962" i="31"/>
  <c r="D1961" i="31"/>
  <c r="D1960" i="31"/>
  <c r="D1959" i="31"/>
  <c r="D1958" i="31"/>
  <c r="D1957" i="31"/>
  <c r="D1956" i="31"/>
  <c r="D1955" i="31"/>
  <c r="D1954" i="31"/>
  <c r="D1953" i="31"/>
  <c r="D1952" i="31"/>
  <c r="D1951" i="31"/>
  <c r="D1950" i="31"/>
  <c r="D1949" i="31"/>
  <c r="D1948" i="31"/>
  <c r="D1947" i="31"/>
  <c r="D1946" i="31"/>
  <c r="D1945" i="31"/>
  <c r="D1944" i="31"/>
  <c r="D1943" i="31"/>
  <c r="D1942" i="31"/>
  <c r="D1941" i="31"/>
  <c r="D1940" i="31"/>
  <c r="D1939" i="31"/>
  <c r="D1938" i="31"/>
  <c r="D1937" i="31"/>
  <c r="D1936" i="31"/>
  <c r="D1935" i="31"/>
  <c r="D1934" i="31"/>
  <c r="D1933" i="31"/>
  <c r="D1932" i="31"/>
  <c r="D1931" i="31"/>
  <c r="D1930" i="31"/>
  <c r="D1929" i="31"/>
  <c r="D1928" i="31"/>
  <c r="D1927" i="31"/>
  <c r="D1926" i="31"/>
  <c r="D1925" i="31"/>
  <c r="D1924" i="31"/>
  <c r="D1923" i="31"/>
  <c r="D1922" i="31"/>
  <c r="D1921" i="31"/>
  <c r="D1920" i="31"/>
  <c r="D1919" i="31"/>
  <c r="D1918" i="31"/>
  <c r="D1917" i="31"/>
  <c r="D1916" i="31"/>
  <c r="D1915" i="31"/>
  <c r="D1914" i="31"/>
  <c r="D1913" i="31"/>
  <c r="D1912" i="31"/>
  <c r="D1911" i="31"/>
  <c r="D1910" i="31"/>
  <c r="D1909" i="31"/>
  <c r="D1908" i="31"/>
  <c r="D1907" i="31"/>
  <c r="D1906" i="31"/>
  <c r="D1905" i="31"/>
  <c r="D1904" i="31"/>
  <c r="D1903" i="31"/>
  <c r="D1902" i="31"/>
  <c r="D1901" i="31"/>
  <c r="D1900" i="31"/>
  <c r="D1899" i="31"/>
  <c r="D1898" i="31"/>
  <c r="D1897" i="31"/>
  <c r="D1896" i="31"/>
  <c r="D1895" i="31"/>
  <c r="D1894" i="31"/>
  <c r="D1893" i="31"/>
  <c r="D1892" i="31"/>
  <c r="D1891" i="31"/>
  <c r="D1890" i="31"/>
  <c r="D1889" i="31"/>
  <c r="D1888" i="31"/>
  <c r="D1887" i="31"/>
  <c r="D1886" i="31"/>
  <c r="D1885" i="31"/>
  <c r="D1884" i="31"/>
  <c r="D1883" i="31"/>
  <c r="D1882" i="31"/>
  <c r="D1881" i="31"/>
  <c r="D1880" i="31"/>
  <c r="D1879" i="31"/>
  <c r="D1878" i="31"/>
  <c r="D1877" i="31"/>
  <c r="D1876" i="31"/>
  <c r="D1875" i="31"/>
  <c r="D1874" i="31"/>
  <c r="D1873" i="31"/>
  <c r="D1872" i="31"/>
  <c r="D1871" i="31"/>
  <c r="D1870" i="31"/>
  <c r="D1869" i="31"/>
  <c r="D1868" i="31"/>
  <c r="D1867" i="31"/>
  <c r="D1866" i="31"/>
  <c r="D1865" i="31"/>
  <c r="D1864" i="31"/>
  <c r="D1863" i="31"/>
  <c r="D1862" i="31"/>
  <c r="D1861" i="31"/>
  <c r="D1860" i="31"/>
  <c r="D1859" i="31"/>
  <c r="D1858" i="31"/>
  <c r="D1857" i="31"/>
  <c r="D1856" i="31"/>
  <c r="D1855" i="31"/>
  <c r="D1854" i="31"/>
  <c r="D1853" i="31"/>
  <c r="D1852" i="31"/>
  <c r="D1851" i="31"/>
  <c r="D1850" i="31"/>
  <c r="D1849" i="31"/>
  <c r="D1848" i="31"/>
  <c r="D1847" i="31"/>
  <c r="D1846" i="31"/>
  <c r="D1845" i="31"/>
  <c r="D1844" i="31"/>
  <c r="D1843" i="31"/>
  <c r="D1842" i="31"/>
  <c r="D1841" i="31"/>
  <c r="D1840" i="31"/>
  <c r="D1839" i="31"/>
  <c r="D1838" i="31"/>
  <c r="D1837" i="31"/>
  <c r="D1836" i="31"/>
  <c r="D1835" i="31"/>
  <c r="D1834" i="31"/>
  <c r="D1833" i="31"/>
  <c r="D1832" i="31"/>
  <c r="D1831" i="31"/>
  <c r="D1830" i="31"/>
  <c r="D1829" i="31"/>
  <c r="D1828" i="31"/>
  <c r="D1827" i="31"/>
  <c r="D1826" i="31"/>
  <c r="D1825" i="31"/>
  <c r="D1824" i="31"/>
  <c r="D1823" i="31"/>
  <c r="D1822" i="31"/>
  <c r="D1821" i="31"/>
  <c r="D1820" i="31"/>
  <c r="D1819" i="31"/>
  <c r="D1818" i="31"/>
  <c r="D1817" i="31"/>
  <c r="D1816" i="31"/>
  <c r="D1815" i="31"/>
  <c r="D1814" i="31"/>
  <c r="D1813" i="31"/>
  <c r="D1812" i="31"/>
  <c r="D1811" i="31"/>
  <c r="D1810" i="31"/>
  <c r="D1809" i="31"/>
  <c r="D1808" i="31"/>
  <c r="D1807" i="31"/>
  <c r="D1806" i="31"/>
  <c r="D1805" i="31"/>
  <c r="D1804" i="31"/>
  <c r="D1803" i="31"/>
  <c r="D1802" i="31"/>
  <c r="D1801" i="31"/>
  <c r="D1800" i="31"/>
  <c r="D1799" i="31"/>
  <c r="D1798" i="31"/>
  <c r="D1797" i="31"/>
  <c r="D1796" i="31"/>
  <c r="D1795" i="31"/>
  <c r="D1794" i="31"/>
  <c r="D1793" i="31"/>
  <c r="D1792" i="31"/>
  <c r="D1791" i="31"/>
  <c r="D1790" i="31"/>
  <c r="D1789" i="31"/>
  <c r="D1788" i="31"/>
  <c r="D1787" i="31"/>
  <c r="D1786" i="31"/>
  <c r="D1785" i="31"/>
  <c r="D1784" i="31"/>
  <c r="D1783" i="31"/>
  <c r="D1782" i="31"/>
  <c r="D1781" i="31"/>
  <c r="D1780" i="31"/>
  <c r="D1779" i="31"/>
  <c r="D1778" i="31"/>
  <c r="D1777" i="31"/>
  <c r="D1776" i="31"/>
  <c r="D1775" i="31"/>
  <c r="D1774" i="31"/>
  <c r="D1773" i="31"/>
  <c r="D1772" i="31"/>
  <c r="D1771" i="31"/>
  <c r="D1770" i="31"/>
  <c r="D1769" i="31"/>
  <c r="D1768" i="31"/>
  <c r="D1767" i="31"/>
  <c r="D1766" i="31"/>
  <c r="D1765" i="31"/>
  <c r="D1764" i="31"/>
  <c r="D1763" i="31"/>
  <c r="D1762" i="31"/>
  <c r="D1761" i="31"/>
  <c r="D1760" i="31"/>
  <c r="D1759" i="31"/>
  <c r="D1758" i="31"/>
  <c r="D1757" i="31"/>
  <c r="D1756" i="31"/>
  <c r="D1755" i="31"/>
  <c r="D1754" i="31"/>
  <c r="D1753" i="31"/>
  <c r="D1752" i="31"/>
  <c r="D1751" i="31"/>
  <c r="D1750" i="31"/>
  <c r="D1749" i="31"/>
  <c r="D1748" i="31"/>
  <c r="D1747" i="31"/>
  <c r="D1746" i="31"/>
  <c r="D1745" i="31"/>
  <c r="D1744" i="31"/>
  <c r="D1743" i="31"/>
  <c r="D1742" i="31"/>
  <c r="D1741" i="31"/>
  <c r="D1740" i="31"/>
  <c r="D1739" i="31"/>
  <c r="D1738" i="31"/>
  <c r="D1737" i="31"/>
  <c r="D1736" i="31"/>
  <c r="D1735" i="31"/>
  <c r="D1734" i="31"/>
  <c r="D1733" i="31"/>
  <c r="D1732" i="31"/>
  <c r="D1731" i="31"/>
  <c r="D1730" i="31"/>
  <c r="D1729" i="31"/>
  <c r="D1728" i="31"/>
  <c r="D1727" i="31"/>
  <c r="D1726" i="31"/>
  <c r="D1725" i="31"/>
  <c r="D1724" i="31"/>
  <c r="D1723" i="31"/>
  <c r="D1722" i="31"/>
  <c r="D1721" i="31"/>
  <c r="D1720" i="31"/>
  <c r="D1719" i="31"/>
  <c r="D1718" i="31"/>
  <c r="D1717" i="31"/>
  <c r="D1716" i="31"/>
  <c r="D1715" i="31"/>
  <c r="D1714" i="31"/>
  <c r="D1713" i="31"/>
  <c r="D1712" i="31"/>
  <c r="D1711" i="31"/>
  <c r="D1710" i="31"/>
  <c r="D1709" i="31"/>
  <c r="D1708" i="31"/>
  <c r="D1707" i="31"/>
  <c r="D1706" i="31"/>
  <c r="D1705" i="31"/>
  <c r="D1704" i="31"/>
  <c r="D1703" i="31"/>
  <c r="D1702" i="31"/>
  <c r="D1701" i="31"/>
  <c r="D1700" i="31"/>
  <c r="D1699" i="31"/>
  <c r="D1698" i="31"/>
  <c r="D1697" i="31"/>
  <c r="D1696" i="31"/>
  <c r="D1695" i="31"/>
  <c r="D1694" i="31"/>
  <c r="D1693" i="31"/>
  <c r="D1692" i="31"/>
  <c r="D1691" i="31"/>
  <c r="D1690" i="31"/>
  <c r="D1689" i="31"/>
  <c r="D1688" i="31"/>
  <c r="D1687" i="31"/>
  <c r="D1686" i="31"/>
  <c r="D1685" i="31"/>
  <c r="D1684" i="31"/>
  <c r="D1683" i="31"/>
  <c r="D1682" i="31"/>
  <c r="D1681" i="31"/>
  <c r="D1680" i="31"/>
  <c r="D1679" i="31"/>
  <c r="D1678" i="31"/>
  <c r="D1677" i="31"/>
  <c r="D1676" i="31"/>
  <c r="D1675" i="31"/>
  <c r="D1674" i="31"/>
  <c r="D1673" i="31"/>
  <c r="D1672" i="31"/>
  <c r="D1671" i="31"/>
  <c r="D1670" i="31"/>
  <c r="D1669" i="31"/>
  <c r="D1668" i="31"/>
  <c r="D1667" i="31"/>
  <c r="D1666" i="31"/>
  <c r="D1665" i="31"/>
  <c r="D1664" i="31"/>
  <c r="D1663" i="31"/>
  <c r="D1662" i="31"/>
  <c r="D1661" i="31"/>
  <c r="D1660" i="31"/>
  <c r="D1659" i="31"/>
  <c r="D1658" i="31"/>
  <c r="D1657" i="31"/>
  <c r="D1656" i="31"/>
  <c r="D1655" i="31"/>
  <c r="D1654" i="31"/>
  <c r="D1653" i="31"/>
  <c r="D1652" i="31"/>
  <c r="D1651" i="31"/>
  <c r="D1650" i="31"/>
  <c r="D1649" i="31"/>
  <c r="D1648" i="31"/>
  <c r="D1647" i="31"/>
  <c r="D1646" i="31"/>
  <c r="D1645" i="31"/>
  <c r="D1644" i="31"/>
  <c r="D1643" i="31"/>
  <c r="D1642" i="31"/>
  <c r="D1641" i="31"/>
  <c r="D1640" i="31"/>
  <c r="D1639" i="31"/>
  <c r="D1638" i="31"/>
  <c r="D1637" i="31"/>
  <c r="D1636" i="31"/>
  <c r="D1635" i="31"/>
  <c r="D1634" i="31"/>
  <c r="D1633" i="31"/>
  <c r="D1632" i="31"/>
  <c r="D1631" i="31"/>
  <c r="D1630" i="31"/>
  <c r="D1629" i="31"/>
  <c r="D1628" i="31"/>
  <c r="D1627" i="31"/>
  <c r="D1626" i="31"/>
  <c r="D1625" i="31"/>
  <c r="D1624" i="31"/>
  <c r="D1623" i="31"/>
  <c r="D1622" i="31"/>
  <c r="D1621" i="31"/>
  <c r="D1620" i="31"/>
  <c r="D1619" i="31"/>
  <c r="D1618" i="31"/>
  <c r="D1617" i="31"/>
  <c r="D1616" i="31"/>
  <c r="D1615" i="31"/>
  <c r="D1614" i="31"/>
  <c r="D1613" i="31"/>
  <c r="D1612" i="31"/>
  <c r="D1611" i="31"/>
  <c r="D1610" i="31"/>
  <c r="D1609" i="31"/>
  <c r="D1608" i="31"/>
  <c r="D1607" i="31"/>
  <c r="D1606" i="31"/>
  <c r="D1605" i="31"/>
  <c r="D1604" i="31"/>
  <c r="D1603" i="31"/>
  <c r="D1602" i="31"/>
  <c r="D1601" i="31"/>
  <c r="D1600" i="31"/>
  <c r="D1599" i="31"/>
  <c r="D1598" i="31"/>
  <c r="D1597" i="31"/>
  <c r="D1596" i="31"/>
  <c r="D1595" i="31"/>
  <c r="D1594" i="31"/>
  <c r="D1593" i="31"/>
  <c r="D1592" i="31"/>
  <c r="D1591" i="31"/>
  <c r="D1590" i="31"/>
  <c r="D1589" i="31"/>
  <c r="D1588" i="31"/>
  <c r="D1587" i="31"/>
  <c r="D1586" i="31"/>
  <c r="D1585" i="31"/>
  <c r="D1584" i="31"/>
  <c r="D1583" i="31"/>
  <c r="D1582" i="31"/>
  <c r="D1581" i="31"/>
  <c r="D1580" i="31"/>
  <c r="D1579" i="31"/>
  <c r="D1578" i="31"/>
  <c r="D1577" i="31"/>
  <c r="D1576" i="31"/>
  <c r="D1575" i="31"/>
  <c r="D1574" i="31"/>
  <c r="D1573" i="31"/>
  <c r="D1572" i="31"/>
  <c r="D1571" i="31"/>
  <c r="D1570" i="31"/>
  <c r="D1569" i="31"/>
  <c r="D1568" i="31"/>
  <c r="D1567" i="31"/>
  <c r="D1566" i="31"/>
  <c r="D1565" i="31"/>
  <c r="D1564" i="31"/>
  <c r="D1563" i="31"/>
  <c r="D1562" i="31"/>
  <c r="D1561" i="31"/>
  <c r="D1560" i="31"/>
  <c r="D1559" i="31"/>
  <c r="D1558" i="31"/>
  <c r="D1557" i="31"/>
  <c r="D1556" i="31"/>
  <c r="D1555" i="31"/>
  <c r="D1554" i="31"/>
  <c r="D1553" i="31"/>
  <c r="D1552" i="31"/>
  <c r="D1551" i="31"/>
  <c r="D1550" i="31"/>
  <c r="D1549" i="31"/>
  <c r="D1548" i="31"/>
  <c r="D1547" i="31"/>
  <c r="D1546" i="31"/>
  <c r="D1545" i="31"/>
  <c r="D1544" i="31"/>
  <c r="D1543" i="31"/>
  <c r="D1542" i="31"/>
  <c r="D1541" i="31"/>
  <c r="D1540" i="31"/>
  <c r="D1539" i="31"/>
  <c r="D1538" i="31"/>
  <c r="D1537" i="31"/>
  <c r="D1536" i="31"/>
  <c r="D1535" i="31"/>
  <c r="D1534" i="31"/>
  <c r="D1533" i="31"/>
  <c r="D1532" i="31"/>
  <c r="D1531" i="31"/>
  <c r="D1530" i="31"/>
  <c r="D1529" i="31"/>
  <c r="D1528" i="31"/>
  <c r="D1527" i="31"/>
  <c r="D1526" i="31"/>
  <c r="D1525" i="31"/>
  <c r="D1524" i="31"/>
  <c r="D1523" i="31"/>
  <c r="D1522" i="31"/>
  <c r="D1521" i="31"/>
  <c r="D1520" i="31"/>
  <c r="D1519" i="31"/>
  <c r="D1518" i="31"/>
  <c r="D1517" i="31"/>
  <c r="D1516" i="31"/>
  <c r="D1515" i="31"/>
  <c r="D1514" i="31"/>
  <c r="D1513" i="31"/>
  <c r="D1512" i="31"/>
  <c r="D1511" i="31"/>
  <c r="D1510" i="31"/>
  <c r="D1509" i="31"/>
  <c r="D1508" i="31"/>
  <c r="D1507" i="31"/>
  <c r="D1506" i="31"/>
  <c r="D1505" i="31"/>
  <c r="D1504" i="31"/>
  <c r="D1503" i="31"/>
  <c r="D1502" i="31"/>
  <c r="D1501" i="31"/>
  <c r="D1500" i="31"/>
  <c r="D1499" i="31"/>
  <c r="D1498" i="31"/>
  <c r="D1497" i="31"/>
  <c r="D1496" i="31"/>
  <c r="D1495" i="31"/>
  <c r="D1494" i="31"/>
  <c r="D1493" i="31"/>
  <c r="D1492" i="31"/>
  <c r="D1491" i="31"/>
  <c r="D1490" i="31"/>
  <c r="D1489" i="31"/>
  <c r="D1488" i="31"/>
  <c r="D1487" i="31"/>
  <c r="D1486" i="31"/>
  <c r="D1485" i="31"/>
  <c r="D1484" i="31"/>
  <c r="D1483" i="31"/>
  <c r="D1482" i="31"/>
  <c r="D1481" i="31"/>
  <c r="D1480" i="31"/>
  <c r="D1479" i="31"/>
  <c r="D1478" i="31"/>
  <c r="D1477" i="31"/>
  <c r="D1476" i="31"/>
  <c r="D1475" i="31"/>
  <c r="D1474" i="31"/>
  <c r="D1473" i="31"/>
  <c r="D1472" i="31"/>
  <c r="D1471" i="31"/>
  <c r="D1470" i="31"/>
  <c r="D1469" i="31"/>
  <c r="D1468" i="31"/>
  <c r="D1467" i="31"/>
  <c r="D1466" i="31"/>
  <c r="D1465" i="31"/>
  <c r="D1464" i="31"/>
  <c r="D1463" i="31"/>
  <c r="D1462" i="31"/>
  <c r="D1461" i="31"/>
  <c r="D1460" i="31"/>
  <c r="D1459" i="31"/>
  <c r="D1458" i="31"/>
  <c r="D1457" i="31"/>
  <c r="D1456" i="31"/>
  <c r="D1455" i="31"/>
  <c r="D1454" i="31"/>
  <c r="D1453" i="31"/>
  <c r="D1452" i="31"/>
  <c r="D1451" i="31"/>
  <c r="D1450" i="31"/>
  <c r="D1449" i="31"/>
  <c r="D1448" i="31"/>
  <c r="D1447" i="31"/>
  <c r="D1446" i="31"/>
  <c r="D1445" i="31"/>
  <c r="D1444" i="31"/>
  <c r="D1443" i="31"/>
  <c r="D1442" i="31"/>
  <c r="D1441" i="31"/>
  <c r="D1440" i="31"/>
  <c r="D1439" i="31"/>
  <c r="D1438" i="31"/>
  <c r="D1437" i="31"/>
  <c r="D1436" i="31"/>
  <c r="D1435" i="31"/>
  <c r="D1434" i="31"/>
  <c r="D1433" i="31"/>
  <c r="D1432" i="31"/>
  <c r="D1431" i="31"/>
  <c r="D1430" i="31"/>
  <c r="D1429" i="31"/>
  <c r="D1428" i="31"/>
  <c r="D1427" i="31"/>
  <c r="D1426" i="31"/>
  <c r="D1425" i="31"/>
  <c r="D1424" i="31"/>
  <c r="D1423" i="31"/>
  <c r="D1422" i="31"/>
  <c r="D1421" i="31"/>
  <c r="D1420" i="31"/>
  <c r="D1419" i="31"/>
  <c r="D1418" i="31"/>
  <c r="D1417" i="31"/>
  <c r="D1416" i="31"/>
  <c r="D1415" i="31"/>
  <c r="D1414" i="31"/>
  <c r="D1413" i="31"/>
  <c r="D1412" i="31"/>
  <c r="D1411" i="31"/>
  <c r="D1410" i="31"/>
  <c r="D1409" i="31"/>
  <c r="D1408" i="31"/>
  <c r="D1407" i="31"/>
  <c r="D1406" i="31"/>
  <c r="D1405" i="31"/>
  <c r="D1404" i="31"/>
  <c r="D1403" i="31"/>
  <c r="D1402" i="31"/>
  <c r="D1401" i="31"/>
  <c r="D1400" i="31"/>
  <c r="D1399" i="31"/>
  <c r="D1398" i="31"/>
  <c r="D1397" i="31"/>
  <c r="D1396" i="31"/>
  <c r="D1395" i="31"/>
  <c r="D1394" i="31"/>
  <c r="D1393" i="31"/>
  <c r="D1392" i="31"/>
  <c r="D1391" i="31"/>
  <c r="D1390" i="31"/>
  <c r="D1389" i="31"/>
  <c r="D1388" i="31"/>
  <c r="D1387" i="31"/>
  <c r="D1386" i="31"/>
  <c r="D1385" i="31"/>
  <c r="D1384" i="31"/>
  <c r="D1383" i="31"/>
  <c r="D1382" i="31"/>
  <c r="D1381" i="31"/>
  <c r="D1380" i="31"/>
  <c r="D1379" i="31"/>
  <c r="D1378" i="31"/>
  <c r="D1377" i="31"/>
  <c r="D1376" i="31"/>
  <c r="D1375" i="31"/>
  <c r="D1374" i="31"/>
  <c r="D1373" i="31"/>
  <c r="D1372" i="31"/>
  <c r="D1371" i="31"/>
  <c r="D1370" i="31"/>
  <c r="D1369" i="31"/>
  <c r="D1368" i="31"/>
  <c r="D1367" i="31"/>
  <c r="D1366" i="31"/>
  <c r="D1365" i="31"/>
  <c r="D1364" i="31"/>
  <c r="D1363" i="31"/>
  <c r="D1362" i="31"/>
  <c r="D1361" i="31"/>
  <c r="D1360" i="31"/>
  <c r="D1359" i="31"/>
  <c r="D1358" i="31"/>
  <c r="D1357" i="31"/>
  <c r="D1356" i="31"/>
  <c r="D1355" i="31"/>
  <c r="D1354" i="31"/>
  <c r="D1353" i="31"/>
  <c r="D1352" i="31"/>
  <c r="D1351" i="31"/>
  <c r="D1350" i="31"/>
  <c r="D1349" i="31"/>
  <c r="D1348" i="31"/>
  <c r="D1347" i="31"/>
  <c r="D1346" i="31"/>
  <c r="D1345" i="31"/>
  <c r="D1344" i="31"/>
  <c r="D1343" i="31"/>
  <c r="D1342" i="31"/>
  <c r="D1341" i="31"/>
  <c r="D1340" i="31"/>
  <c r="D1339" i="31"/>
  <c r="D1338" i="31"/>
  <c r="D1337" i="31"/>
  <c r="D1336" i="31"/>
  <c r="D1335" i="31"/>
  <c r="D1334" i="31"/>
  <c r="D1333" i="31"/>
  <c r="D1332" i="31"/>
  <c r="D1331" i="31"/>
  <c r="D1330" i="31"/>
  <c r="D1329" i="31"/>
  <c r="D1328" i="31"/>
  <c r="D1327" i="31"/>
  <c r="D1326" i="31"/>
  <c r="D1325" i="31"/>
  <c r="D1324" i="31"/>
  <c r="D1323" i="31"/>
  <c r="D1322" i="31"/>
  <c r="D1321" i="31"/>
  <c r="D1320" i="31"/>
  <c r="D1319" i="31"/>
  <c r="D1318" i="31"/>
  <c r="D1317" i="31"/>
  <c r="D1316" i="31"/>
  <c r="D1315" i="31"/>
  <c r="D1314" i="31"/>
  <c r="D1313" i="31"/>
  <c r="D1312" i="31"/>
  <c r="D1311" i="31"/>
  <c r="D1310" i="31"/>
  <c r="D1309" i="31"/>
  <c r="D1308" i="31"/>
  <c r="D1307" i="31"/>
  <c r="D1306" i="31"/>
  <c r="D1305" i="31"/>
  <c r="D1304" i="31"/>
  <c r="D1303" i="31"/>
  <c r="D1302" i="31"/>
  <c r="D1301" i="31"/>
  <c r="D1300" i="31"/>
  <c r="D1299" i="31"/>
  <c r="D1298" i="31"/>
  <c r="D1297" i="31"/>
  <c r="D1296" i="31"/>
  <c r="D1295" i="31"/>
  <c r="D1294" i="31"/>
  <c r="D1293" i="31"/>
  <c r="D1292" i="31"/>
  <c r="D1291" i="31"/>
  <c r="D1290" i="31"/>
  <c r="D1289" i="31"/>
  <c r="D1288" i="31"/>
  <c r="D1287" i="31"/>
  <c r="D1286" i="31"/>
  <c r="D1285" i="31"/>
  <c r="D1284" i="31"/>
  <c r="D1283" i="31"/>
  <c r="D1282" i="31"/>
  <c r="D1281" i="31"/>
  <c r="D1280" i="31"/>
  <c r="D1279" i="31"/>
  <c r="D1278" i="31"/>
  <c r="D1277" i="31"/>
  <c r="D1276" i="31"/>
  <c r="D1275" i="31"/>
  <c r="D1274" i="31"/>
  <c r="D1273" i="31"/>
  <c r="D1272" i="31"/>
  <c r="D1271" i="31"/>
  <c r="D1270" i="31"/>
  <c r="D1269" i="31"/>
  <c r="D1268" i="31"/>
  <c r="D1267" i="31"/>
  <c r="D1266" i="31"/>
  <c r="D1265" i="31"/>
  <c r="D1264" i="31"/>
  <c r="D1263" i="31"/>
  <c r="D1262" i="31"/>
  <c r="D1261" i="31"/>
  <c r="D1260" i="31"/>
  <c r="D1259" i="31"/>
  <c r="D1258" i="31"/>
  <c r="D1257" i="31"/>
  <c r="D1256" i="31"/>
  <c r="D1255" i="31"/>
  <c r="D1254" i="31"/>
  <c r="D1253" i="31"/>
  <c r="D1252" i="31"/>
  <c r="D1251" i="31"/>
  <c r="D1250" i="31"/>
  <c r="D1249" i="31"/>
  <c r="D1248" i="31"/>
  <c r="D1247" i="31"/>
  <c r="D1246" i="31"/>
  <c r="D1245" i="31"/>
  <c r="D1244" i="31"/>
  <c r="D1243" i="31"/>
  <c r="D1242" i="31"/>
  <c r="D1241" i="31"/>
  <c r="D1240" i="31"/>
  <c r="D1239" i="31"/>
  <c r="D1238" i="31"/>
  <c r="D1237" i="31"/>
  <c r="D1236" i="31"/>
  <c r="D1235" i="31"/>
  <c r="D1234" i="31"/>
  <c r="D1233" i="31"/>
  <c r="D1232" i="31"/>
  <c r="D1231" i="31"/>
  <c r="D1230" i="31"/>
  <c r="D1229" i="31"/>
  <c r="D1228" i="31"/>
  <c r="D1227" i="31"/>
  <c r="D1226" i="31"/>
  <c r="D1225" i="31"/>
  <c r="D1224" i="31"/>
  <c r="D1223" i="31"/>
  <c r="D1222" i="31"/>
  <c r="D1221" i="31"/>
  <c r="D1220" i="31"/>
  <c r="D1219" i="31"/>
  <c r="D1218" i="31"/>
  <c r="D1217" i="31"/>
  <c r="D1216" i="31"/>
  <c r="D1215" i="31"/>
  <c r="D1214" i="31"/>
  <c r="D1213" i="31"/>
  <c r="D1212" i="31"/>
  <c r="D1211" i="31"/>
  <c r="D1210" i="31"/>
  <c r="D1209" i="31"/>
  <c r="D1208" i="31"/>
  <c r="D1207" i="31"/>
  <c r="D1206" i="31"/>
  <c r="D1205" i="31"/>
  <c r="D1204" i="31"/>
  <c r="D1203" i="31"/>
  <c r="D1202" i="31"/>
  <c r="D1201" i="31"/>
  <c r="D1200" i="31"/>
  <c r="D1199" i="31"/>
  <c r="D1198" i="31"/>
  <c r="D1197" i="31"/>
  <c r="D1196" i="31"/>
  <c r="D1195" i="31"/>
  <c r="D1194" i="31"/>
  <c r="D1193" i="31"/>
  <c r="D1192" i="31"/>
  <c r="D1191" i="31"/>
  <c r="D1190" i="31"/>
  <c r="D1189" i="31"/>
  <c r="D1188" i="31"/>
  <c r="D1187" i="31"/>
  <c r="D1186" i="31"/>
  <c r="D1185" i="31"/>
  <c r="D1184" i="31"/>
  <c r="D1183" i="31"/>
  <c r="D1182" i="31"/>
  <c r="D1181" i="31"/>
  <c r="D1180" i="31"/>
  <c r="D1179" i="31"/>
  <c r="D1178" i="31"/>
  <c r="D1177" i="31"/>
  <c r="D1176" i="31"/>
  <c r="D1175" i="31"/>
  <c r="D1174" i="31"/>
  <c r="D1173" i="31"/>
  <c r="D1172" i="31"/>
  <c r="D1171" i="31"/>
  <c r="D1170" i="31"/>
  <c r="D1169" i="31"/>
  <c r="D1168" i="31"/>
  <c r="D1167" i="31"/>
  <c r="D1166" i="31"/>
  <c r="D1165" i="31"/>
  <c r="D1164" i="31"/>
  <c r="D1163" i="31"/>
  <c r="D1162" i="31"/>
  <c r="D1161" i="31"/>
  <c r="D1160" i="31"/>
  <c r="D1159" i="31"/>
  <c r="D1158" i="31"/>
  <c r="D1157" i="31"/>
  <c r="D1156" i="31"/>
  <c r="D1155" i="31"/>
  <c r="D1154" i="31"/>
  <c r="D1153" i="31"/>
  <c r="D1152" i="31"/>
  <c r="D1151" i="31"/>
  <c r="D1150" i="31"/>
  <c r="D1149" i="31"/>
  <c r="D1148" i="31"/>
  <c r="D1147" i="31"/>
  <c r="D1146" i="31"/>
  <c r="D1145" i="31"/>
  <c r="D1144" i="31"/>
  <c r="D1143" i="31"/>
  <c r="D1142" i="31"/>
  <c r="D1141" i="31"/>
  <c r="D1140" i="31"/>
  <c r="D1139" i="31"/>
  <c r="D1138" i="31"/>
  <c r="D1137" i="31"/>
  <c r="D1136" i="31"/>
  <c r="D1135" i="31"/>
  <c r="D1134" i="31"/>
  <c r="D1133" i="31"/>
  <c r="D1132" i="31"/>
  <c r="D1131" i="31"/>
  <c r="D1130" i="31"/>
  <c r="D1129" i="31"/>
  <c r="D1128" i="31"/>
  <c r="D1127" i="31"/>
  <c r="D1126" i="31"/>
  <c r="D1125" i="31"/>
  <c r="D1124" i="31"/>
  <c r="D1123" i="31"/>
  <c r="D1122" i="31"/>
  <c r="D1121" i="31"/>
  <c r="D1120" i="31"/>
  <c r="D1119" i="31"/>
  <c r="D1118" i="31"/>
  <c r="D1117" i="31"/>
  <c r="D1116" i="31"/>
  <c r="D1115" i="31"/>
  <c r="D1114" i="31"/>
  <c r="D1113" i="31"/>
  <c r="D1112" i="31"/>
  <c r="D1111" i="31"/>
  <c r="D1110" i="31"/>
  <c r="D1109" i="31"/>
  <c r="D1108" i="31"/>
  <c r="D1107" i="31"/>
  <c r="D1106" i="31"/>
  <c r="D1105" i="31"/>
  <c r="D1104" i="31"/>
  <c r="D1103" i="31"/>
  <c r="D1102" i="31"/>
  <c r="D1101" i="31"/>
  <c r="D1100" i="31"/>
  <c r="D1099" i="31"/>
  <c r="D1098" i="31"/>
  <c r="D1097" i="31"/>
  <c r="D1096" i="31"/>
  <c r="D1095" i="31"/>
  <c r="D1094" i="31"/>
  <c r="D1093" i="31"/>
  <c r="D1092" i="31"/>
  <c r="D1091" i="31"/>
  <c r="D1090" i="31"/>
  <c r="D1089" i="31"/>
  <c r="D1088" i="31"/>
  <c r="D1087" i="31"/>
  <c r="D1086" i="31"/>
  <c r="D1085" i="31"/>
  <c r="D1084" i="31"/>
  <c r="D1083" i="31"/>
  <c r="D1082" i="31"/>
  <c r="D1081" i="31"/>
  <c r="D1080" i="31"/>
  <c r="D1079" i="31"/>
  <c r="D1078" i="31"/>
  <c r="D1077" i="31"/>
  <c r="D1076" i="31"/>
  <c r="D1075" i="31"/>
  <c r="D1074" i="31"/>
  <c r="D1073" i="31"/>
  <c r="D1072" i="31"/>
  <c r="D1071" i="31"/>
  <c r="D1070" i="31"/>
  <c r="D1069" i="31"/>
  <c r="D1068" i="31"/>
  <c r="D1067" i="31"/>
  <c r="D1066" i="31"/>
  <c r="D1065" i="31"/>
  <c r="D1064" i="31"/>
  <c r="D1063" i="31"/>
  <c r="D1062" i="31"/>
  <c r="D1061" i="31"/>
  <c r="D1060" i="31"/>
  <c r="D1059" i="31"/>
  <c r="D1058" i="31"/>
  <c r="D1057" i="31"/>
  <c r="D1056" i="31"/>
  <c r="D1055" i="31"/>
  <c r="D1054" i="31"/>
  <c r="D1053" i="31"/>
  <c r="D1052" i="31"/>
  <c r="D1051" i="31"/>
  <c r="D1050" i="31"/>
  <c r="D1049" i="31"/>
  <c r="D1048" i="31"/>
  <c r="D1047" i="31"/>
  <c r="D1046" i="31"/>
  <c r="D1045" i="31"/>
  <c r="D1044" i="31"/>
  <c r="D1043" i="31"/>
  <c r="D1042" i="31"/>
  <c r="D1041" i="31"/>
  <c r="D1040" i="31"/>
  <c r="D1039" i="31"/>
  <c r="D1038" i="31"/>
  <c r="D1037" i="31"/>
  <c r="D1036" i="31"/>
  <c r="D1035" i="31"/>
  <c r="D1034" i="31"/>
  <c r="D1033" i="31"/>
  <c r="D1032" i="31"/>
  <c r="D1031" i="31"/>
  <c r="D1030" i="31"/>
  <c r="D1029" i="31"/>
  <c r="D1028" i="31"/>
  <c r="D1027" i="31"/>
  <c r="D1026" i="31"/>
  <c r="D1025" i="31"/>
  <c r="D1024" i="31"/>
  <c r="D1023" i="31"/>
  <c r="D1022" i="31"/>
  <c r="D1021" i="31"/>
  <c r="D1020" i="31"/>
  <c r="D1019" i="31"/>
  <c r="D1018" i="31"/>
  <c r="D1017" i="31"/>
  <c r="D1016" i="31"/>
  <c r="D1015" i="31"/>
  <c r="D1014" i="31"/>
  <c r="D1013" i="31"/>
  <c r="D1012" i="31"/>
  <c r="D1011" i="31"/>
  <c r="D1010" i="31"/>
  <c r="D1009" i="31"/>
  <c r="D1008" i="31"/>
  <c r="D1007" i="31"/>
  <c r="D1006" i="31"/>
  <c r="D1005" i="31"/>
  <c r="D1004" i="31"/>
  <c r="D1003" i="31"/>
  <c r="D1002" i="31"/>
  <c r="D1001" i="31"/>
  <c r="D1000" i="31"/>
  <c r="D999" i="31"/>
  <c r="D998" i="31"/>
  <c r="D997" i="31"/>
  <c r="D996" i="31"/>
  <c r="D995" i="31"/>
  <c r="D994" i="31"/>
  <c r="D993" i="31"/>
  <c r="D992" i="31"/>
  <c r="D991" i="31"/>
  <c r="D990" i="31"/>
  <c r="D989" i="31"/>
  <c r="D988" i="31"/>
  <c r="D987" i="31"/>
  <c r="D986" i="31"/>
  <c r="D985" i="31"/>
  <c r="D984" i="31"/>
  <c r="D983" i="31"/>
  <c r="D982" i="31"/>
  <c r="D981" i="31"/>
  <c r="D980" i="31"/>
  <c r="D979" i="31"/>
  <c r="D978" i="31"/>
  <c r="D977" i="31"/>
  <c r="D976" i="31"/>
  <c r="D975" i="31"/>
  <c r="D974" i="31"/>
  <c r="D973" i="31"/>
  <c r="D972" i="31"/>
  <c r="D971" i="31"/>
  <c r="D970" i="31"/>
  <c r="D969" i="31"/>
  <c r="D968" i="31"/>
  <c r="D967" i="31"/>
  <c r="D966" i="31"/>
  <c r="D965" i="31"/>
  <c r="D964" i="31"/>
  <c r="D963" i="31"/>
  <c r="D962" i="31"/>
  <c r="D961" i="31"/>
  <c r="D960" i="31"/>
  <c r="D959" i="31"/>
  <c r="D958" i="31"/>
  <c r="D957" i="31"/>
  <c r="D956" i="31"/>
  <c r="D955" i="31"/>
  <c r="D954" i="31"/>
  <c r="D953" i="31"/>
  <c r="D952" i="31"/>
  <c r="D951" i="31"/>
  <c r="D950" i="31"/>
  <c r="D949" i="31"/>
  <c r="D948" i="31"/>
  <c r="D947" i="31"/>
  <c r="D946" i="31"/>
  <c r="D945" i="31"/>
  <c r="D944" i="31"/>
  <c r="D943" i="31"/>
  <c r="D942" i="31"/>
  <c r="D941" i="31"/>
  <c r="D940" i="31"/>
  <c r="D939" i="31"/>
  <c r="D938" i="31"/>
  <c r="D937" i="31"/>
  <c r="D936" i="31"/>
  <c r="D935" i="31"/>
  <c r="D934" i="31"/>
  <c r="D933" i="31"/>
  <c r="D932" i="31"/>
  <c r="D931" i="31"/>
  <c r="D930" i="31"/>
  <c r="D929" i="31"/>
  <c r="D928" i="31"/>
  <c r="D927" i="31"/>
  <c r="D926" i="31"/>
  <c r="D925" i="31"/>
  <c r="D924" i="31"/>
  <c r="D923" i="31"/>
  <c r="D922" i="31"/>
  <c r="D921" i="31"/>
  <c r="D920" i="31"/>
  <c r="D919" i="31"/>
  <c r="D918" i="31"/>
  <c r="D917" i="31"/>
  <c r="D916" i="31"/>
  <c r="D915" i="31"/>
  <c r="D914" i="31"/>
  <c r="D913" i="31"/>
  <c r="D912" i="31"/>
  <c r="D911" i="31"/>
  <c r="D910" i="31"/>
  <c r="D909" i="31"/>
  <c r="D908" i="31"/>
  <c r="D907" i="31"/>
  <c r="D906" i="31"/>
  <c r="D905" i="31"/>
  <c r="D904" i="31"/>
  <c r="D903" i="31"/>
  <c r="D902" i="31"/>
  <c r="D901" i="31"/>
  <c r="D900" i="31"/>
  <c r="D899" i="31"/>
  <c r="D898" i="31"/>
  <c r="D897" i="31"/>
  <c r="D896" i="31"/>
  <c r="D895" i="31"/>
  <c r="D894" i="31"/>
  <c r="D893" i="31"/>
  <c r="D892" i="31"/>
  <c r="D891" i="31"/>
  <c r="D890" i="31"/>
  <c r="D889" i="31"/>
  <c r="D888" i="31"/>
  <c r="D887" i="31"/>
  <c r="D886" i="31"/>
  <c r="D885" i="31"/>
  <c r="D884" i="31"/>
  <c r="D883" i="31"/>
  <c r="D882" i="31"/>
  <c r="D881" i="31"/>
  <c r="D880" i="31"/>
  <c r="D879" i="31"/>
  <c r="D878" i="31"/>
  <c r="D877" i="31"/>
  <c r="D876" i="31"/>
  <c r="D875" i="31"/>
  <c r="D874" i="31"/>
  <c r="D873" i="31"/>
  <c r="D872" i="31"/>
  <c r="D871" i="31"/>
  <c r="D870" i="31"/>
  <c r="D869" i="31"/>
  <c r="D868" i="31"/>
  <c r="D867" i="31"/>
  <c r="D866" i="31"/>
  <c r="D865" i="31"/>
  <c r="D864" i="31"/>
  <c r="D863" i="31"/>
  <c r="D862" i="31"/>
  <c r="D861" i="31"/>
  <c r="D860" i="31"/>
  <c r="D859" i="31"/>
  <c r="D858" i="31"/>
  <c r="D857" i="31"/>
  <c r="D856" i="31"/>
  <c r="D855" i="31"/>
  <c r="D854" i="31"/>
  <c r="D853" i="31"/>
  <c r="D852" i="31"/>
  <c r="D851" i="31"/>
  <c r="D850" i="31"/>
  <c r="D849" i="31"/>
  <c r="D848" i="31"/>
  <c r="D847" i="31"/>
  <c r="D846" i="31"/>
  <c r="D845" i="31"/>
  <c r="D844" i="31"/>
  <c r="D843" i="31"/>
  <c r="D842" i="31"/>
  <c r="D841" i="31"/>
  <c r="D840" i="31"/>
  <c r="D839" i="31"/>
  <c r="D838" i="31"/>
  <c r="D837" i="31"/>
  <c r="D836" i="31"/>
  <c r="D835" i="31"/>
  <c r="D834" i="31"/>
  <c r="D833" i="31"/>
  <c r="D832" i="31"/>
  <c r="D831" i="31"/>
  <c r="D830" i="31"/>
  <c r="D829" i="31"/>
  <c r="D828" i="31"/>
  <c r="D827" i="31"/>
  <c r="D826" i="31"/>
  <c r="D825" i="31"/>
  <c r="D824" i="31"/>
  <c r="D823" i="31"/>
  <c r="D822" i="31"/>
  <c r="D821" i="31"/>
  <c r="D820" i="31"/>
  <c r="D819" i="31"/>
  <c r="D818" i="31"/>
  <c r="D817" i="31"/>
  <c r="D816" i="31"/>
  <c r="D815" i="31"/>
  <c r="D814" i="31"/>
  <c r="D813" i="31"/>
  <c r="D812" i="31"/>
  <c r="D811" i="31"/>
  <c r="D810" i="31"/>
  <c r="D809" i="31"/>
  <c r="D808" i="31"/>
  <c r="D807" i="31"/>
  <c r="D806" i="31"/>
  <c r="D805" i="31"/>
  <c r="D804" i="31"/>
  <c r="D803" i="31"/>
  <c r="D802" i="31"/>
  <c r="D801" i="31"/>
  <c r="D800" i="31"/>
  <c r="D799" i="31"/>
  <c r="D798" i="31"/>
  <c r="D797" i="31"/>
  <c r="D796" i="31"/>
  <c r="D795" i="31"/>
  <c r="D794" i="31"/>
  <c r="D793" i="31"/>
  <c r="D792" i="31"/>
  <c r="D791" i="31"/>
  <c r="D790" i="31"/>
  <c r="D789" i="31"/>
  <c r="D788" i="31"/>
  <c r="D787" i="31"/>
  <c r="D786" i="31"/>
  <c r="D785" i="31"/>
  <c r="D784" i="31"/>
  <c r="D783" i="31"/>
  <c r="D782" i="31"/>
  <c r="D781" i="31"/>
  <c r="D780" i="31"/>
  <c r="D779" i="31"/>
  <c r="D778" i="31"/>
  <c r="D777" i="31"/>
  <c r="D776" i="31"/>
  <c r="D775" i="31"/>
  <c r="D774" i="31"/>
  <c r="D773" i="31"/>
  <c r="D772" i="31"/>
  <c r="D771" i="31"/>
  <c r="D770" i="31"/>
  <c r="D769" i="31"/>
  <c r="D768" i="31"/>
  <c r="D767" i="31"/>
  <c r="D766" i="31"/>
  <c r="D765" i="31"/>
  <c r="D764" i="31"/>
  <c r="D763" i="31"/>
  <c r="D762" i="31"/>
  <c r="D761" i="31"/>
  <c r="D760" i="31"/>
  <c r="D759" i="31"/>
  <c r="D758" i="31"/>
  <c r="D757" i="31"/>
  <c r="D756" i="31"/>
  <c r="D755" i="31"/>
  <c r="D754" i="31"/>
  <c r="D753" i="31"/>
  <c r="D752" i="31"/>
  <c r="D751" i="31"/>
  <c r="D750" i="31"/>
  <c r="D749" i="31"/>
  <c r="D748" i="31"/>
  <c r="D747" i="31"/>
  <c r="D746" i="31"/>
  <c r="D745" i="31"/>
  <c r="D744" i="31"/>
  <c r="D743" i="31"/>
  <c r="D742" i="31"/>
  <c r="D741" i="31"/>
  <c r="D740" i="31"/>
  <c r="D739" i="31"/>
  <c r="D738" i="31"/>
  <c r="D737" i="31"/>
  <c r="D736" i="31"/>
  <c r="D735" i="31"/>
  <c r="D734" i="31"/>
  <c r="D733" i="31"/>
  <c r="D732" i="31"/>
  <c r="D731" i="31"/>
  <c r="D730" i="31"/>
  <c r="D729" i="31"/>
  <c r="D728" i="31"/>
  <c r="D727" i="31"/>
  <c r="D726" i="31"/>
  <c r="D725" i="31"/>
  <c r="D724" i="31"/>
  <c r="D723" i="31"/>
  <c r="D722" i="31"/>
  <c r="D721" i="31"/>
  <c r="D720" i="31"/>
  <c r="D719" i="31"/>
  <c r="D718" i="31"/>
  <c r="D717" i="31"/>
  <c r="D716" i="31"/>
  <c r="D715" i="31"/>
  <c r="D714" i="31"/>
  <c r="D713" i="31"/>
  <c r="D712" i="31"/>
  <c r="D711" i="31"/>
  <c r="D710" i="31"/>
  <c r="D709" i="31"/>
  <c r="D708" i="31"/>
  <c r="D707" i="31"/>
  <c r="D706" i="31"/>
  <c r="D705" i="31"/>
  <c r="D704" i="31"/>
  <c r="D703" i="31"/>
  <c r="D702" i="31"/>
  <c r="D701" i="31"/>
  <c r="D700" i="31"/>
  <c r="D699" i="31"/>
  <c r="D698" i="31"/>
  <c r="D697" i="31"/>
  <c r="D696" i="31"/>
  <c r="D695" i="31"/>
  <c r="D694" i="31"/>
  <c r="D693" i="31"/>
  <c r="D692" i="31"/>
  <c r="D691" i="31"/>
  <c r="D690" i="31"/>
  <c r="D689" i="31"/>
  <c r="D688" i="31"/>
  <c r="D687" i="31"/>
  <c r="D686" i="31"/>
  <c r="D685" i="31"/>
  <c r="D684" i="31"/>
  <c r="D683" i="31"/>
  <c r="D682" i="31"/>
  <c r="D681" i="31"/>
  <c r="D680" i="31"/>
  <c r="D679" i="31"/>
  <c r="D678" i="31"/>
  <c r="D677" i="31"/>
  <c r="D676" i="31"/>
  <c r="D675" i="31"/>
  <c r="D674" i="31"/>
  <c r="D673" i="31"/>
  <c r="D672" i="31"/>
  <c r="D671" i="31"/>
  <c r="D670" i="31"/>
  <c r="D669" i="31"/>
  <c r="D668" i="31"/>
  <c r="D667" i="31"/>
  <c r="D666" i="31"/>
  <c r="D665" i="31"/>
  <c r="D664" i="31"/>
  <c r="D663" i="31"/>
  <c r="D662" i="31"/>
  <c r="D661" i="31"/>
  <c r="D660" i="31"/>
  <c r="D659" i="31"/>
  <c r="D658" i="31"/>
  <c r="D657" i="31"/>
  <c r="D656" i="31"/>
  <c r="D655" i="31"/>
  <c r="D654" i="31"/>
  <c r="D653" i="31"/>
  <c r="D652" i="31"/>
  <c r="D651" i="31"/>
  <c r="D650" i="31"/>
  <c r="D649" i="31"/>
  <c r="D648" i="31"/>
  <c r="D647" i="31"/>
  <c r="D646" i="31"/>
  <c r="D645" i="31"/>
  <c r="D644" i="31"/>
  <c r="D643" i="31"/>
  <c r="D642" i="31"/>
  <c r="D641" i="31"/>
  <c r="D640" i="31"/>
  <c r="D639" i="31"/>
  <c r="D638" i="31"/>
  <c r="D637" i="31"/>
  <c r="D636" i="31"/>
  <c r="D635" i="31"/>
  <c r="D634" i="31"/>
  <c r="D633" i="31"/>
  <c r="D632" i="31"/>
  <c r="D631" i="31"/>
  <c r="D630" i="31"/>
  <c r="D629" i="31"/>
  <c r="D628" i="31"/>
  <c r="D627" i="31"/>
  <c r="D626" i="31"/>
  <c r="D625" i="31"/>
  <c r="D624" i="31"/>
  <c r="D623" i="31"/>
  <c r="D622" i="31"/>
  <c r="D621" i="31"/>
  <c r="D620" i="31"/>
  <c r="D619" i="31"/>
  <c r="D618" i="31"/>
  <c r="D617" i="31"/>
  <c r="D616" i="31"/>
  <c r="D615" i="31"/>
  <c r="D614" i="31"/>
  <c r="D613" i="31"/>
  <c r="D612" i="31"/>
  <c r="D611" i="31"/>
  <c r="D610" i="31"/>
  <c r="D609" i="31"/>
  <c r="D608" i="31"/>
  <c r="D607" i="31"/>
  <c r="D606" i="31"/>
  <c r="D605" i="31"/>
  <c r="D604" i="31"/>
  <c r="D603" i="31"/>
  <c r="D602" i="31"/>
  <c r="D601" i="31"/>
  <c r="D600" i="31"/>
  <c r="D599" i="31"/>
  <c r="D598" i="31"/>
  <c r="D597" i="31"/>
  <c r="D596" i="31"/>
  <c r="D595" i="31"/>
  <c r="D594" i="31"/>
  <c r="D593" i="31"/>
  <c r="D592" i="31"/>
  <c r="D591" i="31"/>
  <c r="D590" i="31"/>
  <c r="D589" i="31"/>
  <c r="D588" i="31"/>
  <c r="D587" i="31"/>
  <c r="D586" i="31"/>
  <c r="D585" i="31"/>
  <c r="D584" i="31"/>
  <c r="D583" i="31"/>
  <c r="D582" i="31"/>
  <c r="D581" i="31"/>
  <c r="D580" i="31"/>
  <c r="D579" i="31"/>
  <c r="D578" i="31"/>
  <c r="D577" i="31"/>
  <c r="D576" i="31"/>
  <c r="D575" i="31"/>
  <c r="D574" i="31"/>
  <c r="D573" i="31"/>
  <c r="D572" i="31"/>
  <c r="D571" i="31"/>
  <c r="D570" i="31"/>
  <c r="D569" i="31"/>
  <c r="D568" i="31"/>
  <c r="D567" i="31"/>
  <c r="D566" i="31"/>
  <c r="D565" i="31"/>
  <c r="D564" i="31"/>
  <c r="D563" i="31"/>
  <c r="D562" i="31"/>
  <c r="D561" i="31"/>
  <c r="D560" i="31"/>
  <c r="D559" i="31"/>
  <c r="D558" i="31"/>
  <c r="D557" i="31"/>
  <c r="R2000" i="31"/>
  <c r="R1999" i="31"/>
  <c r="R1998" i="31"/>
  <c r="R1997" i="31"/>
  <c r="R1996" i="31"/>
  <c r="R1995" i="31"/>
  <c r="R1994" i="31"/>
  <c r="R1993" i="31"/>
  <c r="R1992" i="31"/>
  <c r="R1991" i="31"/>
  <c r="R1990" i="31"/>
  <c r="R1989" i="31"/>
  <c r="R1988" i="31"/>
  <c r="R1987" i="31"/>
  <c r="R1986" i="31"/>
  <c r="R1985" i="31"/>
  <c r="R1984" i="31"/>
  <c r="R1983" i="31"/>
  <c r="R1982" i="31"/>
  <c r="R1981" i="31"/>
  <c r="R1980" i="31"/>
  <c r="R1979" i="31"/>
  <c r="R1978" i="31"/>
  <c r="R1977" i="31"/>
  <c r="R1976" i="31"/>
  <c r="R1975" i="31"/>
  <c r="R1974" i="31"/>
  <c r="R1973" i="31"/>
  <c r="R1972" i="31"/>
  <c r="R1971" i="31"/>
  <c r="R1970" i="31"/>
  <c r="R1969" i="31"/>
  <c r="R1968" i="31"/>
  <c r="R1967" i="31"/>
  <c r="R1966" i="31"/>
  <c r="R1965" i="31"/>
  <c r="R1964" i="31"/>
  <c r="R1963" i="31"/>
  <c r="R1962" i="31"/>
  <c r="R1961" i="31"/>
  <c r="R1960" i="31"/>
  <c r="R1959" i="31"/>
  <c r="R1958" i="31"/>
  <c r="R1957" i="31"/>
  <c r="R1956" i="31"/>
  <c r="R1955" i="31"/>
  <c r="R1954" i="31"/>
  <c r="R1953" i="31"/>
  <c r="R1952" i="31"/>
  <c r="R1951" i="31"/>
  <c r="R1950" i="31"/>
  <c r="R1949" i="31"/>
  <c r="R1948" i="31"/>
  <c r="R1947" i="31"/>
  <c r="R1946" i="31"/>
  <c r="R1945" i="31"/>
  <c r="R1944" i="31"/>
  <c r="R1943" i="31"/>
  <c r="R1942" i="31"/>
  <c r="R1941" i="31"/>
  <c r="R1940" i="31"/>
  <c r="R1939" i="31"/>
  <c r="R1938" i="31"/>
  <c r="R1937" i="31"/>
  <c r="R1936" i="31"/>
  <c r="R1935" i="31"/>
  <c r="R1934" i="31"/>
  <c r="R1933" i="31"/>
  <c r="R1932" i="31"/>
  <c r="R1931" i="31"/>
  <c r="R1930" i="31"/>
  <c r="R1929" i="31"/>
  <c r="R1928" i="31"/>
  <c r="R1927" i="31"/>
  <c r="R1926" i="31"/>
  <c r="R1925" i="31"/>
  <c r="R1924" i="31"/>
  <c r="R1923" i="31"/>
  <c r="R1922" i="31"/>
  <c r="R1921" i="31"/>
  <c r="R1920" i="31"/>
  <c r="R1919" i="31"/>
  <c r="R1918" i="31"/>
  <c r="R1917" i="31"/>
  <c r="R1916" i="31"/>
  <c r="R1915" i="31"/>
  <c r="R1914" i="31"/>
  <c r="R1913" i="31"/>
  <c r="R1912" i="31"/>
  <c r="R1911" i="31"/>
  <c r="R1910" i="31"/>
  <c r="R1909" i="31"/>
  <c r="R1908" i="31"/>
  <c r="R1907" i="31"/>
  <c r="R1906" i="31"/>
  <c r="R1905" i="31"/>
  <c r="R1904" i="31"/>
  <c r="R1903" i="31"/>
  <c r="R1902" i="31"/>
  <c r="R1901" i="31"/>
  <c r="R1900" i="31"/>
  <c r="R1899" i="31"/>
  <c r="R1898" i="31"/>
  <c r="R1897" i="31"/>
  <c r="R1896" i="31"/>
  <c r="R1895" i="31"/>
  <c r="R1894" i="31"/>
  <c r="R1893" i="31"/>
  <c r="R1892" i="31"/>
  <c r="R1891" i="31"/>
  <c r="R1890" i="31"/>
  <c r="R1889" i="31"/>
  <c r="R1888" i="31"/>
  <c r="R1887" i="31"/>
  <c r="R1886" i="31"/>
  <c r="R1885" i="31"/>
  <c r="R1884" i="31"/>
  <c r="R1883" i="31"/>
  <c r="R1882" i="31"/>
  <c r="R1881" i="31"/>
  <c r="R1880" i="31"/>
  <c r="R1879" i="31"/>
  <c r="R1878" i="31"/>
  <c r="R1877" i="31"/>
  <c r="R1876" i="31"/>
  <c r="R1875" i="31"/>
  <c r="R1874" i="31"/>
  <c r="R1873" i="31"/>
  <c r="R1872" i="31"/>
  <c r="R1871" i="31"/>
  <c r="R1870" i="31"/>
  <c r="R1869" i="31"/>
  <c r="R1868" i="31"/>
  <c r="R1867" i="31"/>
  <c r="R1866" i="31"/>
  <c r="R1865" i="31"/>
  <c r="R1864" i="31"/>
  <c r="R1863" i="31"/>
  <c r="R1862" i="31"/>
  <c r="R1861" i="31"/>
  <c r="R1860" i="31"/>
  <c r="R1859" i="31"/>
  <c r="R1858" i="31"/>
  <c r="R1857" i="31"/>
  <c r="R1856" i="31"/>
  <c r="R1855" i="31"/>
  <c r="R1854" i="31"/>
  <c r="R1853" i="31"/>
  <c r="R1852" i="31"/>
  <c r="R1851" i="31"/>
  <c r="R1850" i="31"/>
  <c r="R1849" i="31"/>
  <c r="R1848" i="31"/>
  <c r="R1847" i="31"/>
  <c r="R1846" i="31"/>
  <c r="R1845" i="31"/>
  <c r="R1844" i="31"/>
  <c r="R1843" i="31"/>
  <c r="R1842" i="31"/>
  <c r="R1841" i="31"/>
  <c r="R1840" i="31"/>
  <c r="R1839" i="31"/>
  <c r="R1838" i="31"/>
  <c r="R1837" i="31"/>
  <c r="R1836" i="31"/>
  <c r="R1835" i="31"/>
  <c r="R1834" i="31"/>
  <c r="R1833" i="31"/>
  <c r="R1832" i="31"/>
  <c r="R1831" i="31"/>
  <c r="R1830" i="31"/>
  <c r="R1829" i="31"/>
  <c r="R1828" i="31"/>
  <c r="R1827" i="31"/>
  <c r="R1826" i="31"/>
  <c r="R1825" i="31"/>
  <c r="R1824" i="31"/>
  <c r="R1823" i="31"/>
  <c r="R1822" i="31"/>
  <c r="R1821" i="31"/>
  <c r="R1820" i="31"/>
  <c r="R1819" i="31"/>
  <c r="R1818" i="31"/>
  <c r="R1817" i="31"/>
  <c r="R1816" i="31"/>
  <c r="R1815" i="31"/>
  <c r="R1814" i="31"/>
  <c r="R1813" i="31"/>
  <c r="R1812" i="31"/>
  <c r="R1811" i="31"/>
  <c r="R1810" i="31"/>
  <c r="R1809" i="31"/>
  <c r="R1808" i="31"/>
  <c r="R1807" i="31"/>
  <c r="R1806" i="31"/>
  <c r="R1805" i="31"/>
  <c r="R1804" i="31"/>
  <c r="R1803" i="31"/>
  <c r="R1802" i="31"/>
  <c r="R1801" i="31"/>
  <c r="R1800" i="31"/>
  <c r="R1799" i="31"/>
  <c r="R1798" i="31"/>
  <c r="R1797" i="31"/>
  <c r="R1796" i="31"/>
  <c r="R1795" i="31"/>
  <c r="R1794" i="31"/>
  <c r="R1793" i="31"/>
  <c r="R1792" i="31"/>
  <c r="R1791" i="31"/>
  <c r="R1790" i="31"/>
  <c r="R1789" i="31"/>
  <c r="R1788" i="31"/>
  <c r="R1787" i="31"/>
  <c r="R1786" i="31"/>
  <c r="R1785" i="31"/>
  <c r="R1784" i="31"/>
  <c r="R1783" i="31"/>
  <c r="R1782" i="31"/>
  <c r="R1781" i="31"/>
  <c r="R1780" i="31"/>
  <c r="R1779" i="31"/>
  <c r="R1778" i="31"/>
  <c r="R1777" i="31"/>
  <c r="R1776" i="31"/>
  <c r="R1775" i="31"/>
  <c r="R1774" i="31"/>
  <c r="R1773" i="31"/>
  <c r="R1772" i="31"/>
  <c r="R1771" i="31"/>
  <c r="R1770" i="31"/>
  <c r="R1769" i="31"/>
  <c r="R1768" i="31"/>
  <c r="R1767" i="31"/>
  <c r="R1766" i="31"/>
  <c r="R1765" i="31"/>
  <c r="R1764" i="31"/>
  <c r="R1763" i="31"/>
  <c r="R1762" i="31"/>
  <c r="R1761" i="31"/>
  <c r="R1760" i="31"/>
  <c r="R1759" i="31"/>
  <c r="R1758" i="31"/>
  <c r="R1757" i="31"/>
  <c r="R1756" i="31"/>
  <c r="R1755" i="31"/>
  <c r="R1754" i="31"/>
  <c r="R1753" i="31"/>
  <c r="R1752" i="31"/>
  <c r="R1751" i="31"/>
  <c r="R1750" i="31"/>
  <c r="R1749" i="31"/>
  <c r="R1748" i="31"/>
  <c r="R1747" i="31"/>
  <c r="R1746" i="31"/>
  <c r="R1745" i="31"/>
  <c r="R1744" i="31"/>
  <c r="R1743" i="31"/>
  <c r="R1742" i="31"/>
  <c r="R1741" i="31"/>
  <c r="R1740" i="31"/>
  <c r="R1739" i="31"/>
  <c r="R1738" i="31"/>
  <c r="R1737" i="31"/>
  <c r="R1736" i="31"/>
  <c r="R1735" i="31"/>
  <c r="R1734" i="31"/>
  <c r="R1733" i="31"/>
  <c r="R1732" i="31"/>
  <c r="R1731" i="31"/>
  <c r="R1730" i="31"/>
  <c r="R1729" i="31"/>
  <c r="R1728" i="31"/>
  <c r="R1727" i="31"/>
  <c r="R1726" i="31"/>
  <c r="R1725" i="31"/>
  <c r="R1724" i="31"/>
  <c r="R1723" i="31"/>
  <c r="R1722" i="31"/>
  <c r="R1721" i="31"/>
  <c r="R1720" i="31"/>
  <c r="R1719" i="31"/>
  <c r="R1718" i="31"/>
  <c r="R1717" i="31"/>
  <c r="R1716" i="31"/>
  <c r="R1715" i="31"/>
  <c r="R1714" i="31"/>
  <c r="R1713" i="31"/>
  <c r="R1712" i="31"/>
  <c r="R1711" i="31"/>
  <c r="R1710" i="31"/>
  <c r="R1709" i="31"/>
  <c r="R1708" i="31"/>
  <c r="R1707" i="31"/>
  <c r="R1706" i="31"/>
  <c r="R1705" i="31"/>
  <c r="R1704" i="31"/>
  <c r="R1703" i="31"/>
  <c r="R1702" i="31"/>
  <c r="R1701" i="31"/>
  <c r="R1700" i="31"/>
  <c r="R1699" i="31"/>
  <c r="R1698" i="31"/>
  <c r="R1697" i="31"/>
  <c r="R1696" i="31"/>
  <c r="R1695" i="31"/>
  <c r="R1694" i="31"/>
  <c r="R1693" i="31"/>
  <c r="R1692" i="31"/>
  <c r="R1691" i="31"/>
  <c r="R1690" i="31"/>
  <c r="R1689" i="31"/>
  <c r="R1688" i="31"/>
  <c r="R1687" i="31"/>
  <c r="R1686" i="31"/>
  <c r="R1685" i="31"/>
  <c r="R1684" i="31"/>
  <c r="R1683" i="31"/>
  <c r="R1682" i="31"/>
  <c r="R1681" i="31"/>
  <c r="R1680" i="31"/>
  <c r="R1679" i="31"/>
  <c r="R1678" i="31"/>
  <c r="R1677" i="31"/>
  <c r="R1676" i="31"/>
  <c r="R1675" i="31"/>
  <c r="R1674" i="31"/>
  <c r="R1673" i="31"/>
  <c r="R1672" i="31"/>
  <c r="R1671" i="31"/>
  <c r="R1670" i="31"/>
  <c r="R1669" i="31"/>
  <c r="R1668" i="31"/>
  <c r="R1667" i="31"/>
  <c r="R1666" i="31"/>
  <c r="R1665" i="31"/>
  <c r="R1664" i="31"/>
  <c r="R1663" i="31"/>
  <c r="R1662" i="31"/>
  <c r="R1661" i="31"/>
  <c r="R1660" i="31"/>
  <c r="R1659" i="31"/>
  <c r="R1658" i="31"/>
  <c r="R1657" i="31"/>
  <c r="R1656" i="31"/>
  <c r="R1655" i="31"/>
  <c r="R1654" i="31"/>
  <c r="R1653" i="31"/>
  <c r="R1652" i="31"/>
  <c r="R1651" i="31"/>
  <c r="R1650" i="31"/>
  <c r="R1649" i="31"/>
  <c r="R1648" i="31"/>
  <c r="R1647" i="31"/>
  <c r="R1646" i="31"/>
  <c r="R1645" i="31"/>
  <c r="R1644" i="31"/>
  <c r="R1643" i="31"/>
  <c r="R1642" i="31"/>
  <c r="R1641" i="31"/>
  <c r="R1640" i="31"/>
  <c r="R1639" i="31"/>
  <c r="R1638" i="31"/>
  <c r="R1637" i="31"/>
  <c r="R1636" i="31"/>
  <c r="R1635" i="31"/>
  <c r="R1634" i="31"/>
  <c r="R1633" i="31"/>
  <c r="R1632" i="31"/>
  <c r="R1631" i="31"/>
  <c r="R1630" i="31"/>
  <c r="R1629" i="31"/>
  <c r="R1628" i="31"/>
  <c r="R1627" i="31"/>
  <c r="R1626" i="31"/>
  <c r="R1625" i="31"/>
  <c r="R1624" i="31"/>
  <c r="R1623" i="31"/>
  <c r="R1622" i="31"/>
  <c r="R1621" i="31"/>
  <c r="R1620" i="31"/>
  <c r="R1619" i="31"/>
  <c r="R1618" i="31"/>
  <c r="R1617" i="31"/>
  <c r="R1616" i="31"/>
  <c r="R1615" i="31"/>
  <c r="R1614" i="31"/>
  <c r="R1613" i="31"/>
  <c r="R1612" i="31"/>
  <c r="R1611" i="31"/>
  <c r="R1610" i="31"/>
  <c r="R1609" i="31"/>
  <c r="R1608" i="31"/>
  <c r="R1607" i="31"/>
  <c r="R1606" i="31"/>
  <c r="R1605" i="31"/>
  <c r="R1604" i="31"/>
  <c r="R1603" i="31"/>
  <c r="R1602" i="31"/>
  <c r="R1601" i="31"/>
  <c r="R1600" i="31"/>
  <c r="R1599" i="31"/>
  <c r="R1598" i="31"/>
  <c r="R1597" i="31"/>
  <c r="R1596" i="31"/>
  <c r="R1595" i="31"/>
  <c r="R1594" i="31"/>
  <c r="R1593" i="31"/>
  <c r="R1592" i="31"/>
  <c r="R1591" i="31"/>
  <c r="R1590" i="31"/>
  <c r="R1589" i="31"/>
  <c r="R1588" i="31"/>
  <c r="R1587" i="31"/>
  <c r="R1586" i="31"/>
  <c r="R1585" i="31"/>
  <c r="R1584" i="31"/>
  <c r="R1583" i="31"/>
  <c r="R1582" i="31"/>
  <c r="R1581" i="31"/>
  <c r="R1580" i="31"/>
  <c r="R1579" i="31"/>
  <c r="R1578" i="31"/>
  <c r="R1577" i="31"/>
  <c r="R1576" i="31"/>
  <c r="R1575" i="31"/>
  <c r="R1574" i="31"/>
  <c r="R1573" i="31"/>
  <c r="R1572" i="31"/>
  <c r="R1571" i="31"/>
  <c r="R1570" i="31"/>
  <c r="R1569" i="31"/>
  <c r="R1568" i="31"/>
  <c r="R1567" i="31"/>
  <c r="R1566" i="31"/>
  <c r="R1565" i="31"/>
  <c r="R1564" i="31"/>
  <c r="R1563" i="31"/>
  <c r="R1562" i="31"/>
  <c r="R1561" i="31"/>
  <c r="R1560" i="31"/>
  <c r="R1559" i="31"/>
  <c r="R1558" i="31"/>
  <c r="R1557" i="31"/>
  <c r="R1556" i="31"/>
  <c r="R1555" i="31"/>
  <c r="R1554" i="31"/>
  <c r="R1553" i="31"/>
  <c r="R1552" i="31"/>
  <c r="R1551" i="31"/>
  <c r="R1550" i="31"/>
  <c r="R1549" i="31"/>
  <c r="R1548" i="31"/>
  <c r="R1547" i="31"/>
  <c r="R1546" i="31"/>
  <c r="R1545" i="31"/>
  <c r="R1544" i="31"/>
  <c r="R1543" i="31"/>
  <c r="R1542" i="31"/>
  <c r="R1541" i="31"/>
  <c r="R1540" i="31"/>
  <c r="R1539" i="31"/>
  <c r="R1538" i="31"/>
  <c r="R1537" i="31"/>
  <c r="R1536" i="31"/>
  <c r="R1535" i="31"/>
  <c r="R1534" i="31"/>
  <c r="R1533" i="31"/>
  <c r="R1532" i="31"/>
  <c r="R1531" i="31"/>
  <c r="R1530" i="31"/>
  <c r="R1529" i="31"/>
  <c r="R1528" i="31"/>
  <c r="R1527" i="31"/>
  <c r="R1526" i="31"/>
  <c r="R1525" i="31"/>
  <c r="R1524" i="31"/>
  <c r="R1523" i="31"/>
  <c r="R1522" i="31"/>
  <c r="R1521" i="31"/>
  <c r="R1520" i="31"/>
  <c r="R1519" i="31"/>
  <c r="R1518" i="31"/>
  <c r="R1517" i="31"/>
  <c r="R1516" i="31"/>
  <c r="R1515" i="31"/>
  <c r="R1514" i="31"/>
  <c r="R1513" i="31"/>
  <c r="R1512" i="31"/>
  <c r="R1511" i="31"/>
  <c r="R1510" i="31"/>
  <c r="R1509" i="31"/>
  <c r="R1508" i="31"/>
  <c r="R1507" i="31"/>
  <c r="R1506" i="31"/>
  <c r="R1505" i="31"/>
  <c r="R1504" i="31"/>
  <c r="R1503" i="31"/>
  <c r="R1502" i="31"/>
  <c r="R1501" i="31"/>
  <c r="R1500" i="31"/>
  <c r="R1499" i="31"/>
  <c r="R1498" i="31"/>
  <c r="R1497" i="31"/>
  <c r="R1496" i="31"/>
  <c r="R1495" i="31"/>
  <c r="R1494" i="31"/>
  <c r="R1493" i="31"/>
  <c r="R1492" i="31"/>
  <c r="R1491" i="31"/>
  <c r="R1490" i="31"/>
  <c r="R1489" i="31"/>
  <c r="R1488" i="31"/>
  <c r="R1487" i="31"/>
  <c r="R1486" i="31"/>
  <c r="R1485" i="31"/>
  <c r="R1484" i="31"/>
  <c r="R1483" i="31"/>
  <c r="R1482" i="31"/>
  <c r="R1481" i="31"/>
  <c r="R1480" i="31"/>
  <c r="R1479" i="31"/>
  <c r="R1478" i="31"/>
  <c r="R1477" i="31"/>
  <c r="R1476" i="31"/>
  <c r="R1475" i="31"/>
  <c r="R1474" i="31"/>
  <c r="R1473" i="31"/>
  <c r="R1472" i="31"/>
  <c r="R1471" i="31"/>
  <c r="R1470" i="31"/>
  <c r="R1469" i="31"/>
  <c r="R1468" i="31"/>
  <c r="R1467" i="31"/>
  <c r="R1466" i="31"/>
  <c r="R1465" i="31"/>
  <c r="R1464" i="31"/>
  <c r="R1463" i="31"/>
  <c r="R1462" i="31"/>
  <c r="R1461" i="31"/>
  <c r="R1460" i="31"/>
  <c r="R1459" i="31"/>
  <c r="R1458" i="31"/>
  <c r="R1457" i="31"/>
  <c r="R1456" i="31"/>
  <c r="R1455" i="31"/>
  <c r="R1454" i="31"/>
  <c r="R1453" i="31"/>
  <c r="R1452" i="31"/>
  <c r="R1451" i="31"/>
  <c r="R1450" i="31"/>
  <c r="R1449" i="31"/>
  <c r="R1448" i="31"/>
  <c r="R1447" i="31"/>
  <c r="R1446" i="31"/>
  <c r="R1445" i="31"/>
  <c r="R1444" i="31"/>
  <c r="R1443" i="31"/>
  <c r="R1442" i="31"/>
  <c r="R1441" i="31"/>
  <c r="R1440" i="31"/>
  <c r="R1439" i="31"/>
  <c r="R1438" i="31"/>
  <c r="R1437" i="31"/>
  <c r="R1436" i="31"/>
  <c r="R1435" i="31"/>
  <c r="R1434" i="31"/>
  <c r="R1433" i="31"/>
  <c r="R1432" i="31"/>
  <c r="R1431" i="31"/>
  <c r="R1430" i="31"/>
  <c r="R1429" i="31"/>
  <c r="R1428" i="31"/>
  <c r="R1427" i="31"/>
  <c r="R1426" i="31"/>
  <c r="R1425" i="31"/>
  <c r="R1424" i="31"/>
  <c r="R1423" i="31"/>
  <c r="R1422" i="31"/>
  <c r="R1421" i="31"/>
  <c r="R1420" i="31"/>
  <c r="R1419" i="31"/>
  <c r="R1418" i="31"/>
  <c r="R1417" i="31"/>
  <c r="R1416" i="31"/>
  <c r="R1415" i="31"/>
  <c r="R1414" i="31"/>
  <c r="R1413" i="31"/>
  <c r="R1412" i="31"/>
  <c r="R1411" i="31"/>
  <c r="R1410" i="31"/>
  <c r="R1409" i="31"/>
  <c r="R1408" i="31"/>
  <c r="R1407" i="31"/>
  <c r="R1406" i="31"/>
  <c r="R1405" i="31"/>
  <c r="R1404" i="31"/>
  <c r="R1403" i="31"/>
  <c r="R1402" i="31"/>
  <c r="R1401" i="31"/>
  <c r="R1400" i="31"/>
  <c r="R1399" i="31"/>
  <c r="R1398" i="31"/>
  <c r="R1397" i="31"/>
  <c r="R1396" i="31"/>
  <c r="R1395" i="31"/>
  <c r="R1394" i="31"/>
  <c r="R1393" i="31"/>
  <c r="R1392" i="31"/>
  <c r="R1391" i="31"/>
  <c r="R1390" i="31"/>
  <c r="R1389" i="31"/>
  <c r="R1388" i="31"/>
  <c r="R1387" i="31"/>
  <c r="R1386" i="31"/>
  <c r="R1385" i="31"/>
  <c r="R1384" i="31"/>
  <c r="R1383" i="31"/>
  <c r="R1382" i="31"/>
  <c r="R1381" i="31"/>
  <c r="R1380" i="31"/>
  <c r="R1379" i="31"/>
  <c r="R1378" i="31"/>
  <c r="R1377" i="31"/>
  <c r="R1376" i="31"/>
  <c r="R1375" i="31"/>
  <c r="R1374" i="31"/>
  <c r="R1373" i="31"/>
  <c r="R1372" i="31"/>
  <c r="R1371" i="31"/>
  <c r="R1370" i="31"/>
  <c r="R1369" i="31"/>
  <c r="R1368" i="31"/>
  <c r="R1367" i="31"/>
  <c r="R1366" i="31"/>
  <c r="R1365" i="31"/>
  <c r="R1364" i="31"/>
  <c r="R1363" i="31"/>
  <c r="R1362" i="31"/>
  <c r="R1361" i="31"/>
  <c r="R1360" i="31"/>
  <c r="R1359" i="31"/>
  <c r="R1358" i="31"/>
  <c r="R1357" i="31"/>
  <c r="O58" i="7" l="1"/>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I50" i="13"/>
  <c r="I52" i="13"/>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AP72" i="13" l="1"/>
  <c r="AP71" i="13"/>
  <c r="AP70" i="13"/>
  <c r="AP69" i="13"/>
  <c r="AP68" i="13"/>
  <c r="AP67" i="13"/>
  <c r="AP66" i="13"/>
  <c r="AP65" i="13"/>
  <c r="AP64" i="13"/>
  <c r="AP63" i="13"/>
  <c r="AP62" i="13"/>
  <c r="AP61" i="13"/>
  <c r="AP60" i="13"/>
  <c r="AP59" i="13"/>
  <c r="AP58" i="13"/>
  <c r="AP57" i="13"/>
  <c r="AP56" i="13"/>
  <c r="AP55" i="13"/>
  <c r="AP54" i="13"/>
  <c r="AP53" i="13"/>
  <c r="AP52" i="13"/>
  <c r="AP51" i="13"/>
  <c r="AP50" i="13"/>
  <c r="AP49" i="13"/>
  <c r="AP48" i="13"/>
  <c r="AP46" i="13"/>
  <c r="AP45" i="13"/>
  <c r="AP44" i="13"/>
  <c r="AP43" i="13"/>
  <c r="AP42" i="13"/>
  <c r="AP41" i="13"/>
  <c r="AP40" i="13"/>
  <c r="AP39" i="13"/>
  <c r="AP38" i="13"/>
  <c r="AP37" i="13"/>
  <c r="AP36" i="13"/>
  <c r="AP35" i="13"/>
  <c r="AP34" i="13"/>
  <c r="AP33" i="13"/>
  <c r="AP32" i="13"/>
  <c r="AP31" i="13"/>
  <c r="AP30" i="13"/>
  <c r="AP29" i="13"/>
  <c r="AP28" i="13"/>
  <c r="AP27" i="13"/>
  <c r="AP26" i="13"/>
  <c r="AP25" i="13"/>
  <c r="AP24" i="13"/>
  <c r="AP23" i="13"/>
  <c r="AP22" i="13"/>
  <c r="AP21" i="13"/>
  <c r="AP20" i="13"/>
  <c r="AP19" i="13"/>
  <c r="AP18" i="13"/>
  <c r="AP17" i="13"/>
  <c r="AP16" i="13"/>
  <c r="AP15" i="13"/>
  <c r="AP14" i="13"/>
  <c r="AP13" i="13"/>
  <c r="AP12" i="13"/>
  <c r="AP11" i="13"/>
  <c r="AP10" i="13"/>
  <c r="AP9" i="13"/>
  <c r="AP8" i="13"/>
  <c r="AP7" i="13"/>
  <c r="AA32" i="14"/>
  <c r="AA33" i="14"/>
  <c r="AA34" i="14"/>
  <c r="AA35" i="14"/>
  <c r="AA36" i="14"/>
  <c r="AA37" i="14"/>
  <c r="AA38" i="14"/>
  <c r="AA39" i="14"/>
  <c r="AA40" i="14"/>
  <c r="AA41" i="14"/>
  <c r="AA42" i="14"/>
  <c r="AA43" i="14"/>
  <c r="AA44" i="14"/>
  <c r="AA45" i="14"/>
  <c r="AA46" i="14"/>
  <c r="AA47" i="14"/>
  <c r="AA48" i="14"/>
  <c r="AA49" i="14"/>
  <c r="AA50" i="14"/>
  <c r="AA51" i="14"/>
  <c r="AA52" i="14"/>
  <c r="AA53" i="14"/>
  <c r="AA31" i="14"/>
  <c r="AN7" i="14"/>
  <c r="I64" i="14" l="1"/>
  <c r="AL64" i="14"/>
  <c r="AL63" i="14"/>
  <c r="AL62" i="14"/>
  <c r="AL61" i="14"/>
  <c r="AL60" i="14"/>
  <c r="AL59" i="14"/>
  <c r="AL58" i="14"/>
  <c r="AL57" i="14"/>
  <c r="AL56" i="14"/>
  <c r="AL55" i="14"/>
  <c r="AL53" i="14"/>
  <c r="AL52" i="14"/>
  <c r="AL51" i="14"/>
  <c r="AL50" i="14"/>
  <c r="AL49" i="14"/>
  <c r="AL48" i="14"/>
  <c r="AL47" i="14"/>
  <c r="AL46" i="14"/>
  <c r="AL45" i="14"/>
  <c r="AL44" i="14"/>
  <c r="AL43" i="14"/>
  <c r="AL42" i="14"/>
  <c r="AL41" i="14"/>
  <c r="AL40" i="14"/>
  <c r="AL39" i="14"/>
  <c r="AL38" i="14"/>
  <c r="AL37" i="14"/>
  <c r="AL36" i="14"/>
  <c r="AL35" i="14"/>
  <c r="AL34" i="14"/>
  <c r="AL33" i="14"/>
  <c r="AL32" i="14"/>
  <c r="AL31" i="14"/>
  <c r="AL29" i="14"/>
  <c r="AL28" i="14"/>
  <c r="AL27" i="14"/>
  <c r="AL26" i="14"/>
  <c r="AL25" i="14"/>
  <c r="AL24" i="14"/>
  <c r="AL23" i="14"/>
  <c r="AL22" i="14"/>
  <c r="AL21" i="14"/>
  <c r="AL20" i="14"/>
  <c r="AL19" i="14"/>
  <c r="AL18" i="14"/>
  <c r="AL17" i="14"/>
  <c r="AL16" i="14"/>
  <c r="AL15" i="14"/>
  <c r="AL14" i="14"/>
  <c r="AL13" i="14"/>
  <c r="AL12" i="14"/>
  <c r="AL11" i="14"/>
  <c r="AL10" i="14"/>
  <c r="AL9" i="14"/>
  <c r="AL8" i="14"/>
  <c r="AL7" i="14"/>
  <c r="AI7" i="13"/>
  <c r="AI72" i="13"/>
  <c r="AI71" i="13"/>
  <c r="AI70" i="13"/>
  <c r="AI69" i="13"/>
  <c r="AI68" i="13"/>
  <c r="AI67" i="13"/>
  <c r="AI66" i="13"/>
  <c r="AI65" i="13"/>
  <c r="AI64" i="13"/>
  <c r="AI63" i="13"/>
  <c r="AI62" i="13"/>
  <c r="AI61" i="13"/>
  <c r="AI60" i="13"/>
  <c r="AI59" i="13"/>
  <c r="AI58" i="13"/>
  <c r="AI57" i="13"/>
  <c r="AI56" i="13"/>
  <c r="AI55" i="13"/>
  <c r="AI54" i="13"/>
  <c r="AI53" i="13"/>
  <c r="AI52" i="13"/>
  <c r="AI51" i="13"/>
  <c r="AI50" i="13"/>
  <c r="AI49" i="13"/>
  <c r="AI48" i="13"/>
  <c r="AI46" i="13"/>
  <c r="AI45" i="13"/>
  <c r="AI44" i="13"/>
  <c r="AI43" i="13"/>
  <c r="AI42" i="13"/>
  <c r="AI41" i="13"/>
  <c r="AI40" i="13"/>
  <c r="AI39" i="13"/>
  <c r="AI38" i="13"/>
  <c r="AI37" i="13"/>
  <c r="AI36" i="13"/>
  <c r="AI35" i="13"/>
  <c r="AI34" i="13"/>
  <c r="AI33" i="13"/>
  <c r="AI32" i="13"/>
  <c r="AI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X64" i="14" l="1"/>
  <c r="AW64" i="14"/>
  <c r="AX63" i="14"/>
  <c r="AW63" i="14"/>
  <c r="AX62" i="14"/>
  <c r="AW62" i="14"/>
  <c r="AX61" i="14"/>
  <c r="AW61" i="14"/>
  <c r="AX60" i="14"/>
  <c r="AW60" i="14"/>
  <c r="AX59" i="14"/>
  <c r="AW59" i="14"/>
  <c r="AX58" i="14"/>
  <c r="AW58" i="14"/>
  <c r="AX57" i="14"/>
  <c r="AW57" i="14"/>
  <c r="AX56" i="14"/>
  <c r="AW56" i="14"/>
  <c r="AX55" i="14"/>
  <c r="AW55" i="14"/>
  <c r="AX53" i="14"/>
  <c r="AW53" i="14"/>
  <c r="AX52" i="14"/>
  <c r="AW52" i="14"/>
  <c r="AX51" i="14"/>
  <c r="AW51" i="14"/>
  <c r="AX50" i="14"/>
  <c r="AW50" i="14"/>
  <c r="AX49" i="14"/>
  <c r="AW49" i="14"/>
  <c r="AX48" i="14"/>
  <c r="AW48" i="14"/>
  <c r="AX47" i="14"/>
  <c r="AW47" i="14"/>
  <c r="AX46" i="14"/>
  <c r="AW46" i="14"/>
  <c r="AX45" i="14"/>
  <c r="AW45" i="14"/>
  <c r="AX44" i="14"/>
  <c r="AW44" i="14"/>
  <c r="AX43" i="14"/>
  <c r="AW43" i="14"/>
  <c r="AX42" i="14"/>
  <c r="AW42" i="14"/>
  <c r="AX41" i="14"/>
  <c r="AW41" i="14"/>
  <c r="AX40" i="14"/>
  <c r="AW40" i="14"/>
  <c r="AX39" i="14"/>
  <c r="AW39" i="14"/>
  <c r="AX38" i="14"/>
  <c r="AW38" i="14"/>
  <c r="AX37" i="14"/>
  <c r="AW37" i="14"/>
  <c r="AX36" i="14"/>
  <c r="AW36" i="14"/>
  <c r="AX35" i="14"/>
  <c r="AW35" i="14"/>
  <c r="AX34" i="14"/>
  <c r="AW34" i="14"/>
  <c r="AX33" i="14"/>
  <c r="AW33" i="14"/>
  <c r="AX32" i="14"/>
  <c r="AW32" i="14"/>
  <c r="AX31" i="14"/>
  <c r="AW31" i="14"/>
  <c r="AX29" i="14"/>
  <c r="AW29" i="14"/>
  <c r="AX28" i="14"/>
  <c r="AW28" i="14"/>
  <c r="AX27" i="14"/>
  <c r="AW27" i="14"/>
  <c r="AX26" i="14"/>
  <c r="AW26" i="14"/>
  <c r="AX25" i="14"/>
  <c r="AW25" i="14"/>
  <c r="AX24" i="14"/>
  <c r="AW24" i="14"/>
  <c r="AX23" i="14"/>
  <c r="AW23" i="14"/>
  <c r="AX22" i="14"/>
  <c r="AW22" i="14"/>
  <c r="AX21" i="14"/>
  <c r="AW21" i="14"/>
  <c r="AX20" i="14"/>
  <c r="AW20" i="14"/>
  <c r="AX19" i="14"/>
  <c r="AW19" i="14"/>
  <c r="AX18" i="14"/>
  <c r="AW18" i="14"/>
  <c r="AX17" i="14"/>
  <c r="AW17" i="14"/>
  <c r="AX16" i="14"/>
  <c r="AW16" i="14"/>
  <c r="AX15" i="14"/>
  <c r="AW15" i="14"/>
  <c r="AX14" i="14"/>
  <c r="AW14" i="14"/>
  <c r="AX13" i="14"/>
  <c r="AW13" i="14"/>
  <c r="AX12" i="14"/>
  <c r="AW12" i="14"/>
  <c r="AX11" i="14"/>
  <c r="AW11" i="14"/>
  <c r="AX10" i="14"/>
  <c r="AW10" i="14"/>
  <c r="AX9" i="14"/>
  <c r="AW9" i="14"/>
  <c r="AX8" i="14"/>
  <c r="AW8" i="14"/>
  <c r="AX7" i="14"/>
  <c r="AW7" i="14"/>
  <c r="BA64" i="14"/>
  <c r="AZ64" i="14"/>
  <c r="AZ63" i="14"/>
  <c r="AZ62" i="14"/>
  <c r="AZ61" i="14"/>
  <c r="AZ60" i="14"/>
  <c r="AZ59" i="14"/>
  <c r="AZ58" i="14"/>
  <c r="AZ57" i="14"/>
  <c r="AZ56" i="14"/>
  <c r="AZ55" i="14"/>
  <c r="AZ53" i="14"/>
  <c r="AZ52" i="14"/>
  <c r="AZ51" i="14"/>
  <c r="AZ50" i="14"/>
  <c r="AZ49" i="14"/>
  <c r="AZ48" i="14"/>
  <c r="AZ47" i="14"/>
  <c r="AZ46" i="14"/>
  <c r="AZ45" i="14"/>
  <c r="AZ44" i="14"/>
  <c r="AZ43" i="14"/>
  <c r="AZ42" i="14"/>
  <c r="AZ41" i="14"/>
  <c r="AZ40" i="14"/>
  <c r="AZ39" i="14"/>
  <c r="AZ38" i="14"/>
  <c r="AZ37" i="14"/>
  <c r="AZ36" i="14"/>
  <c r="AZ35" i="14"/>
  <c r="AZ34" i="14"/>
  <c r="AZ33" i="14"/>
  <c r="AZ32" i="14"/>
  <c r="AZ31" i="14"/>
  <c r="AZ29" i="14"/>
  <c r="AZ28" i="14"/>
  <c r="AZ27" i="14"/>
  <c r="AZ26" i="14"/>
  <c r="AZ25" i="14"/>
  <c r="AZ24" i="14"/>
  <c r="AZ23" i="14"/>
  <c r="AZ22" i="14"/>
  <c r="AZ21" i="14"/>
  <c r="AZ20" i="14"/>
  <c r="AZ19" i="14"/>
  <c r="AZ18" i="14"/>
  <c r="AZ17" i="14"/>
  <c r="AZ16" i="14"/>
  <c r="AZ15" i="14"/>
  <c r="AZ14" i="14"/>
  <c r="AZ13" i="14"/>
  <c r="AZ12" i="14"/>
  <c r="AZ11" i="14"/>
  <c r="AZ10" i="14"/>
  <c r="AZ9" i="14"/>
  <c r="AZ8" i="14"/>
  <c r="AZ7" i="14"/>
  <c r="BD72" i="13"/>
  <c r="BA72" i="13"/>
  <c r="AZ72" i="13"/>
  <c r="BD71" i="13"/>
  <c r="BA71" i="13"/>
  <c r="AZ71" i="13"/>
  <c r="BD70" i="13"/>
  <c r="BA70" i="13"/>
  <c r="AZ70" i="13"/>
  <c r="BD69" i="13"/>
  <c r="BA69" i="13"/>
  <c r="AZ69" i="13"/>
  <c r="BD68" i="13"/>
  <c r="BA68" i="13"/>
  <c r="AZ68" i="13"/>
  <c r="BD67" i="13"/>
  <c r="BA67" i="13"/>
  <c r="AZ67" i="13"/>
  <c r="BD66" i="13"/>
  <c r="BA66" i="13"/>
  <c r="AZ66" i="13"/>
  <c r="BD65" i="13"/>
  <c r="BA65" i="13"/>
  <c r="AZ65" i="13"/>
  <c r="BD64" i="13"/>
  <c r="BA64" i="13"/>
  <c r="AZ64" i="13"/>
  <c r="BD63" i="13"/>
  <c r="BA63" i="13"/>
  <c r="AZ63" i="13"/>
  <c r="BD62" i="13"/>
  <c r="BA62" i="13"/>
  <c r="AZ62" i="13"/>
  <c r="BD61" i="13"/>
  <c r="BA61" i="13"/>
  <c r="AZ61" i="13"/>
  <c r="BD60" i="13"/>
  <c r="BA60" i="13"/>
  <c r="AZ60" i="13"/>
  <c r="BD59" i="13"/>
  <c r="BA59" i="13"/>
  <c r="AZ59" i="13"/>
  <c r="BD58" i="13"/>
  <c r="BA58" i="13"/>
  <c r="AZ58" i="13"/>
  <c r="BD57" i="13"/>
  <c r="BA57" i="13"/>
  <c r="AZ57" i="13"/>
  <c r="BD56" i="13"/>
  <c r="BA56" i="13"/>
  <c r="AZ56" i="13"/>
  <c r="BD55" i="13"/>
  <c r="BA55" i="13"/>
  <c r="AZ55" i="13"/>
  <c r="BD54" i="13"/>
  <c r="BA54" i="13"/>
  <c r="AZ54" i="13"/>
  <c r="BD53" i="13"/>
  <c r="BA53" i="13"/>
  <c r="AZ53" i="13"/>
  <c r="BD52" i="13"/>
  <c r="BA52" i="13"/>
  <c r="AZ52" i="13"/>
  <c r="BD51" i="13"/>
  <c r="BA51" i="13"/>
  <c r="AZ51" i="13"/>
  <c r="BD50" i="13"/>
  <c r="BA50" i="13"/>
  <c r="AZ50" i="13"/>
  <c r="BD49" i="13"/>
  <c r="BA49" i="13"/>
  <c r="AZ49" i="13"/>
  <c r="BD48" i="13"/>
  <c r="BA48" i="13"/>
  <c r="AZ48" i="13"/>
  <c r="BD46" i="13"/>
  <c r="BA46" i="13"/>
  <c r="AZ46" i="13"/>
  <c r="BD45" i="13"/>
  <c r="BA45" i="13"/>
  <c r="AZ45" i="13"/>
  <c r="BD44" i="13"/>
  <c r="BA44" i="13"/>
  <c r="AZ44" i="13"/>
  <c r="BD43" i="13"/>
  <c r="BA43" i="13"/>
  <c r="AZ43" i="13"/>
  <c r="BD42" i="13"/>
  <c r="BA42" i="13"/>
  <c r="AZ42" i="13"/>
  <c r="BD41" i="13"/>
  <c r="BA41" i="13"/>
  <c r="AZ41" i="13"/>
  <c r="BD40" i="13"/>
  <c r="BA40" i="13"/>
  <c r="AZ40" i="13"/>
  <c r="BD39" i="13"/>
  <c r="BA39" i="13"/>
  <c r="AZ39" i="13"/>
  <c r="BD38" i="13"/>
  <c r="BA38" i="13"/>
  <c r="AZ38" i="13"/>
  <c r="BD37" i="13"/>
  <c r="BA37" i="13"/>
  <c r="AZ37" i="13"/>
  <c r="BD36" i="13"/>
  <c r="BA36" i="13"/>
  <c r="AZ36" i="13"/>
  <c r="BD35" i="13"/>
  <c r="BA35" i="13"/>
  <c r="AZ35" i="13"/>
  <c r="BD34" i="13"/>
  <c r="BA34" i="13"/>
  <c r="AZ34" i="13"/>
  <c r="BD33" i="13"/>
  <c r="BA33" i="13"/>
  <c r="AZ33" i="13"/>
  <c r="BD32" i="13"/>
  <c r="BA32" i="13"/>
  <c r="AZ32" i="13"/>
  <c r="BD31" i="13"/>
  <c r="BA31" i="13"/>
  <c r="AZ31" i="13"/>
  <c r="BD30" i="13"/>
  <c r="BA30" i="13"/>
  <c r="AZ30" i="13"/>
  <c r="BD29" i="13"/>
  <c r="BA29" i="13"/>
  <c r="AZ29" i="13"/>
  <c r="BD28" i="13"/>
  <c r="BA28" i="13"/>
  <c r="AZ28" i="13"/>
  <c r="BD27" i="13"/>
  <c r="BA27" i="13"/>
  <c r="AZ27" i="13"/>
  <c r="BD26" i="13"/>
  <c r="BA26" i="13"/>
  <c r="AZ26" i="13"/>
  <c r="BD25" i="13"/>
  <c r="BA25" i="13"/>
  <c r="AZ25" i="13"/>
  <c r="BD24" i="13"/>
  <c r="BA24" i="13"/>
  <c r="AZ24" i="13"/>
  <c r="BD23" i="13"/>
  <c r="BA23" i="13"/>
  <c r="AZ23" i="13"/>
  <c r="BD22" i="13"/>
  <c r="BA22" i="13"/>
  <c r="AZ22" i="13"/>
  <c r="BD21" i="13"/>
  <c r="BA21" i="13"/>
  <c r="AZ21" i="13"/>
  <c r="BD20" i="13"/>
  <c r="BA20" i="13"/>
  <c r="AZ20" i="13"/>
  <c r="BD19" i="13"/>
  <c r="BA19" i="13"/>
  <c r="AZ19" i="13"/>
  <c r="BD18" i="13"/>
  <c r="BA18" i="13"/>
  <c r="AZ18" i="13"/>
  <c r="BD17" i="13"/>
  <c r="BA17" i="13"/>
  <c r="AZ17" i="13"/>
  <c r="BD16" i="13"/>
  <c r="BA16" i="13"/>
  <c r="AZ16" i="13"/>
  <c r="BD15" i="13"/>
  <c r="BA15" i="13"/>
  <c r="AZ15" i="13"/>
  <c r="BD14" i="13"/>
  <c r="BA14" i="13"/>
  <c r="AZ14" i="13"/>
  <c r="BD13" i="13"/>
  <c r="BA13" i="13"/>
  <c r="AZ13" i="13"/>
  <c r="BD12" i="13"/>
  <c r="BA12" i="13"/>
  <c r="AZ12" i="13"/>
  <c r="BD11" i="13"/>
  <c r="BA11" i="13"/>
  <c r="AZ11" i="13"/>
  <c r="BD10" i="13"/>
  <c r="BA10" i="13"/>
  <c r="AZ10" i="13"/>
  <c r="BD9" i="13"/>
  <c r="BA9" i="13"/>
  <c r="AZ9" i="13"/>
  <c r="BD8" i="13"/>
  <c r="BA8" i="13"/>
  <c r="AZ8" i="13"/>
  <c r="BD7" i="13"/>
  <c r="BA7" i="13"/>
  <c r="AZ7" i="13"/>
  <c r="P64" i="14" l="1"/>
  <c r="P63" i="14"/>
  <c r="P62" i="14"/>
  <c r="P61" i="14"/>
  <c r="P60" i="14"/>
  <c r="P59" i="14"/>
  <c r="P58" i="14"/>
  <c r="P57" i="14"/>
  <c r="P56" i="14"/>
  <c r="P55" i="14"/>
  <c r="P53" i="14"/>
  <c r="P52" i="14"/>
  <c r="P51" i="14"/>
  <c r="P50" i="14"/>
  <c r="P49" i="14"/>
  <c r="P48" i="14"/>
  <c r="P47" i="14"/>
  <c r="P46" i="14"/>
  <c r="P45" i="14"/>
  <c r="P44" i="14"/>
  <c r="P43" i="14"/>
  <c r="P42" i="14"/>
  <c r="P41" i="14"/>
  <c r="P40" i="14"/>
  <c r="P39" i="14"/>
  <c r="P38" i="14"/>
  <c r="P37" i="14"/>
  <c r="P36" i="14"/>
  <c r="P35" i="14"/>
  <c r="P34" i="14"/>
  <c r="P33" i="14"/>
  <c r="P32" i="14"/>
  <c r="P31" i="14"/>
  <c r="P29" i="14"/>
  <c r="P28" i="14"/>
  <c r="P27" i="14"/>
  <c r="P26" i="14"/>
  <c r="P25" i="14"/>
  <c r="P24" i="14"/>
  <c r="P23" i="14"/>
  <c r="P22" i="14"/>
  <c r="P21" i="14"/>
  <c r="P20" i="14"/>
  <c r="P19" i="14"/>
  <c r="P18" i="14"/>
  <c r="P17" i="14"/>
  <c r="P16" i="14"/>
  <c r="P15" i="14"/>
  <c r="P14" i="14"/>
  <c r="P13" i="14"/>
  <c r="P12" i="14"/>
  <c r="P11" i="14"/>
  <c r="P10" i="14"/>
  <c r="P9" i="14"/>
  <c r="P8" i="14"/>
  <c r="P7" i="14"/>
  <c r="S7" i="13"/>
  <c r="I46" i="13"/>
  <c r="I45" i="13"/>
  <c r="I44" i="13"/>
  <c r="I43" i="13"/>
  <c r="I42" i="13"/>
  <c r="I41" i="13"/>
  <c r="I40" i="13"/>
  <c r="I39" i="13"/>
  <c r="I38" i="13"/>
  <c r="I37" i="13"/>
  <c r="S72" i="13" l="1"/>
  <c r="S71" i="13"/>
  <c r="S70" i="13"/>
  <c r="S69" i="13"/>
  <c r="S68" i="13"/>
  <c r="S67" i="13"/>
  <c r="S66" i="13"/>
  <c r="S65" i="13"/>
  <c r="S64" i="13"/>
  <c r="S63" i="13"/>
  <c r="S62" i="13"/>
  <c r="S61" i="13"/>
  <c r="S60" i="13"/>
  <c r="S59" i="13"/>
  <c r="S58" i="13"/>
  <c r="S57" i="13"/>
  <c r="S56" i="13"/>
  <c r="S55" i="13"/>
  <c r="S54" i="13"/>
  <c r="S53" i="13"/>
  <c r="S52" i="13"/>
  <c r="S51" i="13"/>
  <c r="S50" i="13"/>
  <c r="S49" i="13"/>
  <c r="S48" i="13"/>
  <c r="S46" i="13"/>
  <c r="S45" i="13"/>
  <c r="S44" i="13"/>
  <c r="S43" i="13"/>
  <c r="S42" i="13"/>
  <c r="S41" i="13"/>
  <c r="S40" i="13"/>
  <c r="S39" i="13"/>
  <c r="S38" i="13"/>
  <c r="S37" i="13"/>
  <c r="S36" i="13"/>
  <c r="S35" i="13"/>
  <c r="S34" i="13"/>
  <c r="S33" i="13"/>
  <c r="S32" i="13"/>
  <c r="S31" i="13"/>
  <c r="S30" i="13"/>
  <c r="S29" i="13"/>
  <c r="S28" i="13"/>
  <c r="S27" i="13"/>
  <c r="S26" i="13"/>
  <c r="S25" i="13"/>
  <c r="S24" i="13"/>
  <c r="S23" i="13"/>
  <c r="S22" i="13"/>
  <c r="S21" i="13"/>
  <c r="S20" i="13"/>
  <c r="S19" i="13"/>
  <c r="S18" i="13"/>
  <c r="S17" i="13"/>
  <c r="S16" i="13"/>
  <c r="S15" i="13"/>
  <c r="S14" i="13"/>
  <c r="S13" i="13"/>
  <c r="S12" i="13"/>
  <c r="S11" i="13"/>
  <c r="S10" i="13"/>
  <c r="S9" i="13"/>
  <c r="S8" i="13"/>
  <c r="I7" i="10"/>
  <c r="I59" i="10"/>
  <c r="I58" i="10"/>
  <c r="I57" i="10"/>
  <c r="I56" i="10"/>
  <c r="I55" i="10"/>
  <c r="I54" i="10"/>
  <c r="I53" i="10"/>
  <c r="I52" i="10"/>
  <c r="I51" i="10"/>
  <c r="I50" i="10"/>
  <c r="I49" i="10"/>
  <c r="I48" i="10"/>
  <c r="I47" i="10"/>
  <c r="I46" i="10"/>
  <c r="I45" i="10"/>
  <c r="I40" i="10"/>
  <c r="I43" i="10"/>
  <c r="I42" i="10"/>
  <c r="I41"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Q3" i="15"/>
  <c r="I33" i="14" l="1"/>
  <c r="BA33" i="14" s="1"/>
  <c r="I49" i="13"/>
  <c r="I51" i="13" l="1"/>
  <c r="I53" i="13"/>
  <c r="I54" i="13"/>
  <c r="I55" i="13"/>
  <c r="I56" i="13"/>
  <c r="I57" i="13"/>
  <c r="I58" i="13"/>
  <c r="I59" i="13"/>
  <c r="I60" i="13"/>
  <c r="I61" i="13"/>
  <c r="I62" i="13"/>
  <c r="I63" i="13"/>
  <c r="I64" i="13"/>
  <c r="I65" i="13"/>
  <c r="I66" i="13"/>
  <c r="I67" i="13"/>
  <c r="I68" i="13"/>
  <c r="I69" i="13"/>
  <c r="I70" i="13"/>
  <c r="I71" i="13"/>
  <c r="I72" i="13"/>
  <c r="AT32" i="14" l="1"/>
  <c r="AT33" i="14"/>
  <c r="AT34" i="14"/>
  <c r="AT35" i="14"/>
  <c r="AT36" i="14"/>
  <c r="AT37" i="14"/>
  <c r="AT38" i="14"/>
  <c r="AT39" i="14"/>
  <c r="AT40" i="14"/>
  <c r="AT41" i="14"/>
  <c r="AT42" i="14"/>
  <c r="AT43" i="14"/>
  <c r="AT44" i="14"/>
  <c r="AT45" i="14"/>
  <c r="AT46" i="14"/>
  <c r="AT47" i="14"/>
  <c r="AT48" i="14"/>
  <c r="AT49" i="14"/>
  <c r="AT50" i="14"/>
  <c r="AT51" i="14"/>
  <c r="AT52" i="14"/>
  <c r="AT53" i="14"/>
  <c r="AT31" i="14"/>
  <c r="AT56" i="14"/>
  <c r="AT57" i="14"/>
  <c r="AT58" i="14"/>
  <c r="AT59" i="14"/>
  <c r="AT60" i="14"/>
  <c r="AT61" i="14"/>
  <c r="AT62" i="14"/>
  <c r="AT63" i="14"/>
  <c r="AT64" i="14"/>
  <c r="AT55" i="14"/>
  <c r="AT8" i="14"/>
  <c r="AT9" i="14"/>
  <c r="AT10" i="14"/>
  <c r="AT11" i="14"/>
  <c r="AT12" i="14"/>
  <c r="AT13" i="14"/>
  <c r="AT14" i="14"/>
  <c r="AT15" i="14"/>
  <c r="AT16" i="14"/>
  <c r="AT17" i="14"/>
  <c r="AT18" i="14"/>
  <c r="AT19" i="14"/>
  <c r="AT20" i="14"/>
  <c r="AT21" i="14"/>
  <c r="AT22" i="14"/>
  <c r="AT23" i="14"/>
  <c r="AT24" i="14"/>
  <c r="AT25" i="14"/>
  <c r="AT26" i="14"/>
  <c r="AT27" i="14"/>
  <c r="AT28" i="14"/>
  <c r="AT29" i="14"/>
  <c r="AT7" i="14"/>
  <c r="AW49" i="13" l="1"/>
  <c r="AW50" i="13"/>
  <c r="AW51" i="13"/>
  <c r="AW52" i="13"/>
  <c r="AW53" i="13"/>
  <c r="AW54" i="13"/>
  <c r="AW55" i="13"/>
  <c r="AW56" i="13"/>
  <c r="AW57" i="13"/>
  <c r="AW58" i="13"/>
  <c r="AW59" i="13"/>
  <c r="AW60" i="13"/>
  <c r="AW61" i="13"/>
  <c r="AW62" i="13"/>
  <c r="AW63" i="13"/>
  <c r="AW64" i="13"/>
  <c r="AW65" i="13"/>
  <c r="AW66" i="13"/>
  <c r="AW67" i="13"/>
  <c r="AW68" i="13"/>
  <c r="AW69" i="13"/>
  <c r="AW70" i="13"/>
  <c r="AW71" i="13"/>
  <c r="AW72" i="13"/>
  <c r="AW48" i="13"/>
  <c r="AW8" i="13"/>
  <c r="AW9" i="13"/>
  <c r="AW10" i="13"/>
  <c r="AW11" i="13"/>
  <c r="AW12" i="13"/>
  <c r="AW13" i="13"/>
  <c r="AW14" i="13"/>
  <c r="AW15" i="13"/>
  <c r="AW16" i="13"/>
  <c r="AW17" i="13"/>
  <c r="AW18" i="13"/>
  <c r="AW19" i="13"/>
  <c r="AW20" i="13"/>
  <c r="AW21" i="13"/>
  <c r="AW22" i="13"/>
  <c r="AW23" i="13"/>
  <c r="AW24" i="13"/>
  <c r="AW25" i="13"/>
  <c r="AW26" i="13"/>
  <c r="AW27" i="13"/>
  <c r="AW28" i="13"/>
  <c r="AW29" i="13"/>
  <c r="AW30" i="13"/>
  <c r="AW31" i="13"/>
  <c r="AW32" i="13"/>
  <c r="AW33" i="13"/>
  <c r="AW34" i="13"/>
  <c r="AW35" i="13"/>
  <c r="AW36" i="13"/>
  <c r="AW37" i="13"/>
  <c r="AW38" i="13"/>
  <c r="AW39" i="13"/>
  <c r="AW40" i="13"/>
  <c r="AW41" i="13"/>
  <c r="AW42" i="13"/>
  <c r="AW43" i="13"/>
  <c r="AW44" i="13"/>
  <c r="AW45" i="13"/>
  <c r="AW46" i="13"/>
  <c r="AW7" i="13"/>
  <c r="AF46" i="10"/>
  <c r="AF47" i="10"/>
  <c r="AF48" i="10"/>
  <c r="AF49" i="10"/>
  <c r="AF50" i="10"/>
  <c r="AF51" i="10"/>
  <c r="AF52" i="10"/>
  <c r="AF53" i="10"/>
  <c r="AF54" i="10"/>
  <c r="AF55" i="10"/>
  <c r="AF56" i="10"/>
  <c r="AF57" i="10"/>
  <c r="AF58" i="10"/>
  <c r="AF59" i="10"/>
  <c r="AF45" i="10"/>
  <c r="AF8" i="10"/>
  <c r="AF9" i="10"/>
  <c r="AF10" i="10"/>
  <c r="AF11" i="10"/>
  <c r="AF12" i="10"/>
  <c r="AF13" i="10"/>
  <c r="AF14" i="10"/>
  <c r="AF15" i="10"/>
  <c r="AF16" i="10"/>
  <c r="AF17" i="10"/>
  <c r="AF18" i="10"/>
  <c r="AF19" i="10"/>
  <c r="AF20" i="10"/>
  <c r="AF21" i="10"/>
  <c r="AF22" i="10"/>
  <c r="AF23" i="10"/>
  <c r="AF24" i="10"/>
  <c r="AF25" i="10"/>
  <c r="AF26" i="10"/>
  <c r="AF27" i="10"/>
  <c r="AF28" i="10"/>
  <c r="AF29" i="10"/>
  <c r="AF30" i="10"/>
  <c r="AF31" i="10"/>
  <c r="AF32" i="10"/>
  <c r="AF33" i="10"/>
  <c r="AF34" i="10"/>
  <c r="AF35" i="10"/>
  <c r="AF36" i="10"/>
  <c r="AF37" i="10"/>
  <c r="AF38" i="10"/>
  <c r="AF39" i="10"/>
  <c r="AF40" i="10"/>
  <c r="AF41" i="10"/>
  <c r="AF42" i="10"/>
  <c r="AF43" i="10"/>
  <c r="AF7" i="10"/>
  <c r="AT41" i="13" l="1"/>
  <c r="AV41" i="13"/>
  <c r="AT42" i="13"/>
  <c r="AV42" i="13"/>
  <c r="AT43" i="13"/>
  <c r="AV43" i="13"/>
  <c r="AT44" i="13"/>
  <c r="AV44" i="13"/>
  <c r="AT45" i="13"/>
  <c r="AV45" i="13"/>
  <c r="AT46" i="13"/>
  <c r="AV46" i="13"/>
  <c r="AJ41" i="13"/>
  <c r="AO41" i="13"/>
  <c r="AY41" i="13" s="1"/>
  <c r="AJ42" i="13"/>
  <c r="AO42" i="13"/>
  <c r="AY42" i="13" s="1"/>
  <c r="AJ43" i="13"/>
  <c r="AO43" i="13"/>
  <c r="AY43" i="13" s="1"/>
  <c r="AJ44" i="13"/>
  <c r="AO44" i="13"/>
  <c r="AY44" i="13" s="1"/>
  <c r="AJ45" i="13"/>
  <c r="AO45" i="13"/>
  <c r="AY45" i="13" s="1"/>
  <c r="AJ46" i="13"/>
  <c r="AO46" i="13"/>
  <c r="AY46" i="13" s="1"/>
  <c r="Y41" i="13"/>
  <c r="Z41" i="13"/>
  <c r="Y42" i="13"/>
  <c r="Z42" i="13"/>
  <c r="Y43" i="13"/>
  <c r="Z43" i="13"/>
  <c r="Y44" i="13"/>
  <c r="Z44" i="13"/>
  <c r="Y45" i="13"/>
  <c r="Z45" i="13"/>
  <c r="Y46" i="13"/>
  <c r="Z46" i="13"/>
  <c r="U41" i="13"/>
  <c r="U42" i="13"/>
  <c r="U43" i="13"/>
  <c r="U44" i="13"/>
  <c r="U45" i="13"/>
  <c r="U46" i="13"/>
  <c r="AT68" i="13"/>
  <c r="AV68" i="13"/>
  <c r="AT69" i="13"/>
  <c r="AV69" i="13"/>
  <c r="AT70" i="13"/>
  <c r="AV70" i="13"/>
  <c r="AJ68" i="13"/>
  <c r="AO68" i="13"/>
  <c r="AY68" i="13" s="1"/>
  <c r="AJ69" i="13"/>
  <c r="AO69" i="13"/>
  <c r="AY69" i="13" s="1"/>
  <c r="AJ70" i="13"/>
  <c r="AO70" i="13"/>
  <c r="AY70" i="13" s="1"/>
  <c r="Y68" i="13"/>
  <c r="Z68" i="13"/>
  <c r="Y69" i="13"/>
  <c r="Z69" i="13"/>
  <c r="Y70" i="13"/>
  <c r="Z70" i="13"/>
  <c r="AE70" i="13"/>
  <c r="U68" i="13"/>
  <c r="U69" i="13"/>
  <c r="U70" i="13"/>
  <c r="AT37" i="13"/>
  <c r="AV37" i="13"/>
  <c r="AT38" i="13"/>
  <c r="AV38" i="13"/>
  <c r="AT39" i="13"/>
  <c r="AV39" i="13"/>
  <c r="AT40" i="13"/>
  <c r="AV40" i="13"/>
  <c r="AJ37" i="13"/>
  <c r="AO37" i="13"/>
  <c r="AY37" i="13" s="1"/>
  <c r="AJ38" i="13"/>
  <c r="AO38" i="13"/>
  <c r="AY38" i="13" s="1"/>
  <c r="AJ39" i="13"/>
  <c r="AO39" i="13"/>
  <c r="AY39" i="13" s="1"/>
  <c r="AJ40" i="13"/>
  <c r="AO40" i="13"/>
  <c r="AY40" i="13" s="1"/>
  <c r="Y37" i="13"/>
  <c r="Z37" i="13"/>
  <c r="Y38" i="13"/>
  <c r="Z38" i="13"/>
  <c r="Y39" i="13"/>
  <c r="Z39" i="13"/>
  <c r="Y40" i="13"/>
  <c r="Z40" i="13"/>
  <c r="U37" i="13"/>
  <c r="U38" i="13"/>
  <c r="U39" i="13"/>
  <c r="U40" i="13"/>
  <c r="Y58" i="10"/>
  <c r="AA58" i="10"/>
  <c r="AC58" i="10"/>
  <c r="AE58" i="10"/>
  <c r="Q58" i="10"/>
  <c r="R58" i="10"/>
  <c r="S58" i="10"/>
  <c r="W58" i="10"/>
  <c r="X58" i="10" s="1"/>
  <c r="K58" i="10"/>
  <c r="L58" i="10"/>
  <c r="N58" i="10"/>
  <c r="Y42" i="10"/>
  <c r="AA42" i="10"/>
  <c r="AC42" i="10"/>
  <c r="AE42" i="10"/>
  <c r="Q42" i="10"/>
  <c r="R42" i="10"/>
  <c r="S42" i="10"/>
  <c r="W42" i="10"/>
  <c r="X42" i="10" s="1"/>
  <c r="K42" i="10"/>
  <c r="L42" i="10"/>
  <c r="N42" i="10"/>
  <c r="Y41" i="10"/>
  <c r="AA41" i="10"/>
  <c r="AC41" i="10"/>
  <c r="AE41" i="10"/>
  <c r="Q41" i="10"/>
  <c r="R41" i="10"/>
  <c r="S41" i="10"/>
  <c r="W41" i="10"/>
  <c r="X41" i="10" s="1"/>
  <c r="K41" i="10"/>
  <c r="L41" i="10"/>
  <c r="N41" i="10"/>
  <c r="G50" i="7"/>
  <c r="H50" i="7"/>
  <c r="L50" i="7" s="1"/>
  <c r="J50" i="7"/>
  <c r="K50" i="7"/>
  <c r="M50" i="7"/>
  <c r="N50" i="7"/>
  <c r="G51" i="7"/>
  <c r="H51" i="7"/>
  <c r="I51" i="7" s="1"/>
  <c r="D51" i="7" s="1"/>
  <c r="J51" i="7"/>
  <c r="K51" i="7"/>
  <c r="M51" i="7"/>
  <c r="N51" i="7"/>
  <c r="G52" i="7"/>
  <c r="H52" i="7"/>
  <c r="I52" i="7" s="1"/>
  <c r="D52" i="7" s="1"/>
  <c r="J52" i="7"/>
  <c r="K52" i="7"/>
  <c r="M52" i="7"/>
  <c r="N52" i="7"/>
  <c r="G53" i="7"/>
  <c r="H53" i="7"/>
  <c r="L53" i="7" s="1"/>
  <c r="I53" i="7"/>
  <c r="D53" i="7" s="1"/>
  <c r="J53" i="7"/>
  <c r="K53" i="7"/>
  <c r="M53" i="7"/>
  <c r="N53" i="7"/>
  <c r="G44" i="13" l="1"/>
  <c r="BB44" i="13" s="1"/>
  <c r="AF44" i="13"/>
  <c r="AD44" i="13"/>
  <c r="AB44" i="13"/>
  <c r="H44" i="13"/>
  <c r="BC44" i="13" s="1"/>
  <c r="G38" i="13"/>
  <c r="BB38" i="13" s="1"/>
  <c r="AF38" i="13"/>
  <c r="AB38" i="13"/>
  <c r="AD38" i="13"/>
  <c r="H38" i="13"/>
  <c r="BC38" i="13" s="1"/>
  <c r="G70" i="13"/>
  <c r="BB70" i="13" s="1"/>
  <c r="AF70" i="13"/>
  <c r="AD70" i="13"/>
  <c r="AB70" i="13"/>
  <c r="H70" i="13"/>
  <c r="BC70" i="13" s="1"/>
  <c r="AH43" i="13"/>
  <c r="L43" i="13" s="1"/>
  <c r="G43" i="13"/>
  <c r="BB43" i="13" s="1"/>
  <c r="AB43" i="13"/>
  <c r="AF43" i="13"/>
  <c r="AD43" i="13"/>
  <c r="H43" i="13"/>
  <c r="BC43" i="13" s="1"/>
  <c r="AH39" i="13"/>
  <c r="L39" i="13" s="1"/>
  <c r="G39" i="13"/>
  <c r="BB39" i="13" s="1"/>
  <c r="AF39" i="13"/>
  <c r="AD39" i="13"/>
  <c r="AB39" i="13"/>
  <c r="H39" i="13"/>
  <c r="BC39" i="13" s="1"/>
  <c r="AA37" i="13"/>
  <c r="G37" i="13"/>
  <c r="BB37" i="13" s="1"/>
  <c r="AF37" i="13"/>
  <c r="AD37" i="13"/>
  <c r="AB37" i="13"/>
  <c r="H37" i="13"/>
  <c r="BC37" i="13" s="1"/>
  <c r="G69" i="13"/>
  <c r="BB69" i="13" s="1"/>
  <c r="AF69" i="13"/>
  <c r="AD69" i="13"/>
  <c r="AB69" i="13"/>
  <c r="H69" i="13"/>
  <c r="BC69" i="13" s="1"/>
  <c r="G46" i="13"/>
  <c r="BB46" i="13" s="1"/>
  <c r="AB46" i="13"/>
  <c r="AF46" i="13"/>
  <c r="AD46" i="13"/>
  <c r="H46" i="13"/>
  <c r="BC46" i="13" s="1"/>
  <c r="AC42" i="13"/>
  <c r="G42" i="13"/>
  <c r="BB42" i="13" s="1"/>
  <c r="AB42" i="13"/>
  <c r="AF42" i="13"/>
  <c r="AD42" i="13"/>
  <c r="H42" i="13"/>
  <c r="BC42" i="13" s="1"/>
  <c r="L51" i="7"/>
  <c r="G40" i="13"/>
  <c r="BB40" i="13" s="1"/>
  <c r="AD40" i="13"/>
  <c r="AF40" i="13"/>
  <c r="AB40" i="13"/>
  <c r="H40" i="13"/>
  <c r="BC40" i="13" s="1"/>
  <c r="G68" i="13"/>
  <c r="BB68" i="13" s="1"/>
  <c r="AB68" i="13"/>
  <c r="AF68" i="13"/>
  <c r="AD68" i="13"/>
  <c r="H68" i="13"/>
  <c r="BC68" i="13" s="1"/>
  <c r="L52" i="7"/>
  <c r="G45" i="13"/>
  <c r="BB45" i="13" s="1"/>
  <c r="AD45" i="13"/>
  <c r="AF45" i="13"/>
  <c r="AB45" i="13"/>
  <c r="H45" i="13"/>
  <c r="BC45" i="13" s="1"/>
  <c r="AG41" i="13"/>
  <c r="K41" i="13" s="1"/>
  <c r="BE41" i="13" s="1"/>
  <c r="G41" i="13"/>
  <c r="BB41" i="13" s="1"/>
  <c r="AB41" i="13"/>
  <c r="AF41" i="13"/>
  <c r="AD41" i="13"/>
  <c r="H41" i="13"/>
  <c r="BC41" i="13" s="1"/>
  <c r="E51" i="7"/>
  <c r="P51" i="7"/>
  <c r="E52" i="7"/>
  <c r="P52" i="7"/>
  <c r="E50" i="7"/>
  <c r="P50" i="7"/>
  <c r="E53" i="7"/>
  <c r="P53" i="7"/>
  <c r="AE46" i="13"/>
  <c r="AE44" i="13"/>
  <c r="AC44" i="13"/>
  <c r="AA44" i="13"/>
  <c r="I50" i="7"/>
  <c r="D50" i="7" s="1"/>
  <c r="AA68" i="13"/>
  <c r="AH70" i="13"/>
  <c r="L70" i="13" s="1"/>
  <c r="AC68" i="13"/>
  <c r="AC46" i="13"/>
  <c r="AA46" i="13"/>
  <c r="AC70" i="13"/>
  <c r="AA45" i="13"/>
  <c r="AA43" i="13"/>
  <c r="AC43" i="13"/>
  <c r="T42" i="10"/>
  <c r="V42" i="10" s="1"/>
  <c r="O42" i="10" s="1"/>
  <c r="AS46" i="13"/>
  <c r="AA42" i="13"/>
  <c r="AK42" i="13"/>
  <c r="AL42" i="13" s="1"/>
  <c r="T42" i="13" s="1"/>
  <c r="BF42" i="13" s="1"/>
  <c r="AG43" i="13"/>
  <c r="K43" i="13" s="1"/>
  <c r="BE43" i="13" s="1"/>
  <c r="AE43" i="13"/>
  <c r="AK46" i="13"/>
  <c r="AL46" i="13" s="1"/>
  <c r="AR46" i="13" s="1"/>
  <c r="AU46" i="13" s="1"/>
  <c r="AE68" i="13"/>
  <c r="AH44" i="13"/>
  <c r="L44" i="13" s="1"/>
  <c r="AS43" i="13"/>
  <c r="AH68" i="13"/>
  <c r="L68" i="13" s="1"/>
  <c r="AG68" i="13"/>
  <c r="K68" i="13" s="1"/>
  <c r="BE68" i="13" s="1"/>
  <c r="AG44" i="13"/>
  <c r="K44" i="13" s="1"/>
  <c r="BE44" i="13" s="1"/>
  <c r="AK41" i="13"/>
  <c r="AL41" i="13" s="1"/>
  <c r="AS42" i="13"/>
  <c r="AS41" i="13"/>
  <c r="AK45" i="13"/>
  <c r="AL45" i="13" s="1"/>
  <c r="AN45" i="13" s="1"/>
  <c r="BG45" i="13" s="1"/>
  <c r="AS45" i="13"/>
  <c r="AK44" i="13"/>
  <c r="AL44" i="13" s="1"/>
  <c r="T44" i="13" s="1"/>
  <c r="BF44" i="13" s="1"/>
  <c r="AH45" i="13"/>
  <c r="L45" i="13" s="1"/>
  <c r="AG45" i="13"/>
  <c r="K45" i="13" s="1"/>
  <c r="BE45" i="13" s="1"/>
  <c r="AH42" i="13"/>
  <c r="L42" i="13" s="1"/>
  <c r="AG42" i="13"/>
  <c r="K42" i="13" s="1"/>
  <c r="BE42" i="13" s="1"/>
  <c r="AE45" i="13"/>
  <c r="AS44" i="13"/>
  <c r="AE42" i="13"/>
  <c r="AC45" i="13"/>
  <c r="AK43" i="13"/>
  <c r="AL43" i="13" s="1"/>
  <c r="AN43" i="13" s="1"/>
  <c r="BG43" i="13" s="1"/>
  <c r="AG39" i="13"/>
  <c r="K39" i="13" s="1"/>
  <c r="BE39" i="13" s="1"/>
  <c r="T58" i="10"/>
  <c r="Z58" i="10" s="1"/>
  <c r="AB58" i="10" s="1"/>
  <c r="AD58" i="10" s="1"/>
  <c r="AH46" i="13"/>
  <c r="L46" i="13" s="1"/>
  <c r="AE41" i="13"/>
  <c r="AC41" i="13"/>
  <c r="AG46" i="13"/>
  <c r="K46" i="13" s="1"/>
  <c r="BE46" i="13" s="1"/>
  <c r="AA41" i="13"/>
  <c r="AH41" i="13"/>
  <c r="L41" i="13" s="1"/>
  <c r="AA70" i="13"/>
  <c r="AE39" i="13"/>
  <c r="AC39" i="13"/>
  <c r="AA39" i="13"/>
  <c r="AA69" i="13"/>
  <c r="AK39" i="13"/>
  <c r="AL39" i="13" s="1"/>
  <c r="AN39" i="13" s="1"/>
  <c r="BG39" i="13" s="1"/>
  <c r="AE69" i="13"/>
  <c r="AA40" i="13"/>
  <c r="AC69" i="13"/>
  <c r="AG70" i="13"/>
  <c r="K70" i="13" s="1"/>
  <c r="BE70" i="13" s="1"/>
  <c r="AK38" i="13"/>
  <c r="AL38" i="13" s="1"/>
  <c r="AR38" i="13" s="1"/>
  <c r="AU38" i="13" s="1"/>
  <c r="AH38" i="13"/>
  <c r="L38" i="13" s="1"/>
  <c r="AG38" i="13"/>
  <c r="K38" i="13" s="1"/>
  <c r="BE38" i="13" s="1"/>
  <c r="AE38" i="13"/>
  <c r="AC38" i="13"/>
  <c r="AA38" i="13"/>
  <c r="AK70" i="13"/>
  <c r="AL70" i="13" s="1"/>
  <c r="AS70" i="13"/>
  <c r="AK69" i="13"/>
  <c r="AL69" i="13" s="1"/>
  <c r="AS38" i="13"/>
  <c r="AS69" i="13"/>
  <c r="AK68" i="13"/>
  <c r="AL68" i="13" s="1"/>
  <c r="AS68" i="13"/>
  <c r="AC40" i="13"/>
  <c r="AH69" i="13"/>
  <c r="L69" i="13" s="1"/>
  <c r="AG69" i="13"/>
  <c r="K69" i="13" s="1"/>
  <c r="BE69" i="13" s="1"/>
  <c r="AS40" i="13"/>
  <c r="AS37" i="13"/>
  <c r="AE40" i="13"/>
  <c r="AK40" i="13"/>
  <c r="AL40" i="13" s="1"/>
  <c r="T40" i="13" s="1"/>
  <c r="BF40" i="13" s="1"/>
  <c r="AS39" i="13"/>
  <c r="AH40" i="13"/>
  <c r="L40" i="13" s="1"/>
  <c r="AG40" i="13"/>
  <c r="K40" i="13" s="1"/>
  <c r="BE40" i="13" s="1"/>
  <c r="AK37" i="13"/>
  <c r="AL37" i="13" s="1"/>
  <c r="AR37" i="13" s="1"/>
  <c r="AU37" i="13" s="1"/>
  <c r="AH37" i="13"/>
  <c r="L37" i="13" s="1"/>
  <c r="AG37" i="13"/>
  <c r="K37" i="13" s="1"/>
  <c r="BE37" i="13" s="1"/>
  <c r="AE37" i="13"/>
  <c r="AC37" i="13"/>
  <c r="T41" i="10"/>
  <c r="Z41" i="10" s="1"/>
  <c r="AB41" i="10" s="1"/>
  <c r="AD41" i="10" s="1"/>
  <c r="AR69" i="13" l="1"/>
  <c r="AU69" i="13" s="1"/>
  <c r="AM69" i="13"/>
  <c r="V69" i="13" s="1"/>
  <c r="AN69" i="13"/>
  <c r="T69" i="13"/>
  <c r="BF69" i="13" s="1"/>
  <c r="T41" i="13"/>
  <c r="BF41" i="13" s="1"/>
  <c r="AM41" i="13"/>
  <c r="V41" i="13" s="1"/>
  <c r="AR41" i="13"/>
  <c r="AU41" i="13" s="1"/>
  <c r="AN41" i="13"/>
  <c r="BG41" i="13" s="1"/>
  <c r="AR68" i="13"/>
  <c r="AU68" i="13" s="1"/>
  <c r="T68" i="13"/>
  <c r="BF68" i="13" s="1"/>
  <c r="AN68" i="13"/>
  <c r="BG68" i="13" s="1"/>
  <c r="AM68" i="13"/>
  <c r="V68" i="13" s="1"/>
  <c r="AR70" i="13"/>
  <c r="AU70" i="13" s="1"/>
  <c r="AN70" i="13"/>
  <c r="AM70" i="13"/>
  <c r="V70" i="13" s="1"/>
  <c r="T70" i="13"/>
  <c r="BF70" i="13" s="1"/>
  <c r="W39" i="13"/>
  <c r="W43" i="13"/>
  <c r="W45" i="13"/>
  <c r="AR39" i="13"/>
  <c r="AU39" i="13" s="1"/>
  <c r="T39" i="13"/>
  <c r="BF39" i="13" s="1"/>
  <c r="AM39" i="13"/>
  <c r="V39" i="13" s="1"/>
  <c r="J42" i="10"/>
  <c r="Z42" i="10"/>
  <c r="AB42" i="10" s="1"/>
  <c r="AD42" i="10" s="1"/>
  <c r="T46" i="13"/>
  <c r="BF46" i="13" s="1"/>
  <c r="AM45" i="13"/>
  <c r="V45" i="13" s="1"/>
  <c r="AM42" i="13"/>
  <c r="V42" i="13" s="1"/>
  <c r="AM43" i="13"/>
  <c r="V43" i="13" s="1"/>
  <c r="T45" i="13"/>
  <c r="BF45" i="13" s="1"/>
  <c r="AR42" i="13"/>
  <c r="AU42" i="13" s="1"/>
  <c r="AN42" i="13"/>
  <c r="BG42" i="13" s="1"/>
  <c r="AN46" i="13"/>
  <c r="BG46" i="13" s="1"/>
  <c r="AM46" i="13"/>
  <c r="V46" i="13" s="1"/>
  <c r="AR40" i="13"/>
  <c r="AU40" i="13" s="1"/>
  <c r="U42" i="10"/>
  <c r="M42" i="10" s="1"/>
  <c r="U58" i="10"/>
  <c r="M58" i="10" s="1"/>
  <c r="J58" i="10"/>
  <c r="AR45" i="13"/>
  <c r="AU45" i="13" s="1"/>
  <c r="AM44" i="13"/>
  <c r="V44" i="13" s="1"/>
  <c r="AR43" i="13"/>
  <c r="AU43" i="13" s="1"/>
  <c r="T43" i="13"/>
  <c r="BF43" i="13" s="1"/>
  <c r="AN44" i="13"/>
  <c r="BG44" i="13" s="1"/>
  <c r="AM40" i="13"/>
  <c r="V40" i="13" s="1"/>
  <c r="AR44" i="13"/>
  <c r="AU44" i="13" s="1"/>
  <c r="AN40" i="13"/>
  <c r="BG40" i="13" s="1"/>
  <c r="V58" i="10"/>
  <c r="O58" i="10" s="1"/>
  <c r="AN37" i="13"/>
  <c r="BG37" i="13" s="1"/>
  <c r="T37" i="13"/>
  <c r="BF37" i="13" s="1"/>
  <c r="AM37" i="13"/>
  <c r="V37" i="13" s="1"/>
  <c r="T38" i="13"/>
  <c r="BF38" i="13" s="1"/>
  <c r="AN38" i="13"/>
  <c r="BG38" i="13" s="1"/>
  <c r="AM38" i="13"/>
  <c r="V38" i="13" s="1"/>
  <c r="J41" i="10"/>
  <c r="V41" i="10"/>
  <c r="O41" i="10" s="1"/>
  <c r="U41" i="10"/>
  <c r="M41" i="10" s="1"/>
  <c r="L8" i="10"/>
  <c r="L7" i="10"/>
  <c r="F34" i="23"/>
  <c r="W70" i="13" l="1"/>
  <c r="BG70" i="13"/>
  <c r="W69" i="13"/>
  <c r="BG69" i="13"/>
  <c r="W68" i="13"/>
  <c r="W41" i="13"/>
  <c r="W40" i="13"/>
  <c r="W44" i="13"/>
  <c r="W37" i="13"/>
  <c r="W46" i="13"/>
  <c r="W42" i="13"/>
  <c r="W38" i="13"/>
  <c r="G32" i="24"/>
  <c r="G31" i="24"/>
  <c r="G30" i="24"/>
  <c r="G21" i="24"/>
  <c r="G19" i="24"/>
  <c r="F23" i="8" l="1"/>
  <c r="E23" i="8"/>
  <c r="F22" i="8"/>
  <c r="E22" i="8"/>
  <c r="I23" i="8"/>
  <c r="I22" i="8"/>
  <c r="C23" i="8"/>
  <c r="C22" i="8"/>
  <c r="Z48" i="13" l="1"/>
  <c r="G31" i="29"/>
  <c r="G30" i="29"/>
  <c r="D35" i="19"/>
  <c r="D31" i="29"/>
  <c r="D30" i="29"/>
  <c r="D34" i="19"/>
  <c r="G95" i="8"/>
  <c r="G94" i="8"/>
  <c r="G93" i="8"/>
  <c r="G92" i="8"/>
  <c r="G90" i="8"/>
  <c r="G89" i="8"/>
  <c r="G87" i="8"/>
  <c r="G86" i="8"/>
  <c r="K86" i="8" s="1"/>
  <c r="D97" i="19"/>
  <c r="D96" i="19"/>
  <c r="D92" i="19"/>
  <c r="D93" i="19"/>
  <c r="D84" i="19"/>
  <c r="D83" i="19"/>
  <c r="G34" i="19"/>
  <c r="G35" i="19"/>
  <c r="B78" i="25"/>
  <c r="B74" i="25"/>
  <c r="B65" i="25"/>
  <c r="B79" i="25"/>
  <c r="B75" i="25"/>
  <c r="B66" i="25"/>
  <c r="B34" i="28" l="1"/>
  <c r="F33" i="23"/>
  <c r="B33" i="28" s="1"/>
  <c r="S7" i="10"/>
  <c r="AA64" i="14"/>
  <c r="AA63" i="14"/>
  <c r="AA62" i="14"/>
  <c r="AA61" i="14"/>
  <c r="AA60" i="14"/>
  <c r="AA59" i="14"/>
  <c r="AA58" i="14"/>
  <c r="AA57" i="14"/>
  <c r="AA56" i="14"/>
  <c r="AA55" i="14"/>
  <c r="AA29" i="14"/>
  <c r="AA28" i="14"/>
  <c r="AA27" i="14"/>
  <c r="AA26" i="14"/>
  <c r="AA25" i="14"/>
  <c r="AA24" i="14"/>
  <c r="AA23" i="14"/>
  <c r="AA22" i="14"/>
  <c r="AA21" i="14"/>
  <c r="AA20" i="14"/>
  <c r="AA19" i="14"/>
  <c r="AA18" i="14"/>
  <c r="AA17" i="14"/>
  <c r="AA16" i="14"/>
  <c r="AA15" i="14"/>
  <c r="AA14" i="14"/>
  <c r="AA13" i="14"/>
  <c r="AA12" i="14"/>
  <c r="B34" i="25" l="1"/>
  <c r="B35" i="24"/>
  <c r="B36" i="24"/>
  <c r="B33" i="25"/>
  <c r="N33" i="25"/>
  <c r="N34" i="25"/>
  <c r="R1356" i="31"/>
  <c r="R1355" i="31"/>
  <c r="R1354" i="31"/>
  <c r="R1353" i="31"/>
  <c r="R1352" i="31"/>
  <c r="R1351" i="31"/>
  <c r="R1350" i="31"/>
  <c r="R1349" i="31"/>
  <c r="R1348" i="31"/>
  <c r="R1347" i="31"/>
  <c r="R1346" i="31"/>
  <c r="R1345" i="31"/>
  <c r="R1344" i="31"/>
  <c r="R1343" i="31"/>
  <c r="R1342" i="31"/>
  <c r="R1341" i="31"/>
  <c r="R1340" i="31"/>
  <c r="R1339" i="31"/>
  <c r="R1338" i="31"/>
  <c r="R1337" i="31"/>
  <c r="R1336" i="31"/>
  <c r="R1335" i="31"/>
  <c r="R1334" i="31"/>
  <c r="R1333" i="31"/>
  <c r="R1332" i="31"/>
  <c r="R1331" i="31"/>
  <c r="R1330" i="31"/>
  <c r="R1329" i="31"/>
  <c r="R1328" i="31"/>
  <c r="R1327" i="31"/>
  <c r="R1326" i="31"/>
  <c r="R1325" i="31"/>
  <c r="R1324" i="31"/>
  <c r="R1323" i="31"/>
  <c r="R1322" i="31"/>
  <c r="R1321" i="31"/>
  <c r="R1320" i="31"/>
  <c r="R1319" i="31"/>
  <c r="R1318" i="31"/>
  <c r="R1317" i="31"/>
  <c r="R1316" i="31"/>
  <c r="R1315" i="31"/>
  <c r="R1314" i="31"/>
  <c r="R1313" i="31"/>
  <c r="R1312" i="31"/>
  <c r="R1311" i="31"/>
  <c r="R1310" i="31"/>
  <c r="R1309" i="31"/>
  <c r="R1308" i="31"/>
  <c r="R1307" i="31"/>
  <c r="R1306" i="31"/>
  <c r="R1305" i="31"/>
  <c r="R1304" i="31"/>
  <c r="R1303" i="31"/>
  <c r="R1302" i="31"/>
  <c r="R1301" i="31"/>
  <c r="R1300" i="31"/>
  <c r="R1299" i="31"/>
  <c r="R1298" i="31"/>
  <c r="R1297" i="31"/>
  <c r="R1296" i="31"/>
  <c r="R1295" i="31"/>
  <c r="R1294" i="31"/>
  <c r="R1293" i="31"/>
  <c r="R1292" i="31"/>
  <c r="R1291" i="31"/>
  <c r="R1290" i="31"/>
  <c r="R1289" i="31"/>
  <c r="R1288" i="31"/>
  <c r="R1287" i="31"/>
  <c r="R1286" i="31"/>
  <c r="R1285" i="31"/>
  <c r="R1284" i="31"/>
  <c r="R1283" i="31"/>
  <c r="R1282" i="31"/>
  <c r="R1281" i="31"/>
  <c r="R1280" i="31"/>
  <c r="R1279" i="31"/>
  <c r="R1278" i="31"/>
  <c r="R1277" i="31"/>
  <c r="R1276" i="31"/>
  <c r="R1275" i="31"/>
  <c r="R1274" i="31"/>
  <c r="R1273" i="31"/>
  <c r="R1272" i="31"/>
  <c r="R1271" i="31"/>
  <c r="R1270" i="31"/>
  <c r="R1269" i="31"/>
  <c r="R1268" i="31"/>
  <c r="R1267" i="31"/>
  <c r="R1266" i="31"/>
  <c r="R1265" i="31"/>
  <c r="R1264" i="31"/>
  <c r="R1263" i="31"/>
  <c r="R1262" i="31"/>
  <c r="R1261" i="31"/>
  <c r="R1260" i="31"/>
  <c r="R1259" i="31"/>
  <c r="R1258" i="31"/>
  <c r="R1257" i="31"/>
  <c r="R1256" i="31"/>
  <c r="R1255" i="31"/>
  <c r="R1254" i="31"/>
  <c r="R1253" i="31"/>
  <c r="R1252" i="31"/>
  <c r="R1251" i="31"/>
  <c r="R1250" i="31"/>
  <c r="R1249" i="31"/>
  <c r="R1248" i="31"/>
  <c r="R1247" i="31"/>
  <c r="R1246" i="31"/>
  <c r="R1245" i="31"/>
  <c r="R1244" i="31"/>
  <c r="R1243" i="31"/>
  <c r="R1242" i="31"/>
  <c r="R1241" i="31"/>
  <c r="R1240" i="31"/>
  <c r="R1239" i="31"/>
  <c r="R1238" i="31"/>
  <c r="R1237" i="31"/>
  <c r="R1236" i="31"/>
  <c r="R1235" i="31"/>
  <c r="R1234" i="31"/>
  <c r="R1233" i="31"/>
  <c r="R1232" i="31"/>
  <c r="R1231" i="31"/>
  <c r="R1230" i="31"/>
  <c r="R1229" i="31"/>
  <c r="R1228" i="31"/>
  <c r="R1227" i="31"/>
  <c r="R1226" i="31"/>
  <c r="R1225" i="31"/>
  <c r="R1224" i="31"/>
  <c r="R1223" i="31"/>
  <c r="R1222" i="31"/>
  <c r="R1221" i="31"/>
  <c r="R1220" i="31"/>
  <c r="R1219" i="31"/>
  <c r="R1218" i="31"/>
  <c r="R1217" i="31"/>
  <c r="R1216" i="31"/>
  <c r="R1215" i="31"/>
  <c r="R1214" i="31"/>
  <c r="R1213" i="31"/>
  <c r="R1212" i="31"/>
  <c r="R1211" i="31"/>
  <c r="R1210" i="31"/>
  <c r="R1209" i="31"/>
  <c r="R1208" i="31"/>
  <c r="R1207" i="31"/>
  <c r="R1206" i="31"/>
  <c r="R1205" i="31"/>
  <c r="R1204" i="31"/>
  <c r="R1203" i="31"/>
  <c r="R1202" i="31"/>
  <c r="R1201" i="31"/>
  <c r="R1200" i="31"/>
  <c r="R1199" i="31"/>
  <c r="R1198" i="31"/>
  <c r="R1197" i="31"/>
  <c r="R1196" i="31"/>
  <c r="R1195" i="31"/>
  <c r="R1194" i="31"/>
  <c r="R1193" i="31"/>
  <c r="R1192" i="31"/>
  <c r="R1191" i="31"/>
  <c r="R1190" i="31"/>
  <c r="R1189" i="31"/>
  <c r="R1188" i="31"/>
  <c r="R1187" i="31"/>
  <c r="R1186" i="31"/>
  <c r="R1185" i="31"/>
  <c r="R1184" i="31"/>
  <c r="R1183" i="31"/>
  <c r="R1182" i="31"/>
  <c r="R1181" i="31"/>
  <c r="R1180" i="31"/>
  <c r="R1179" i="31"/>
  <c r="R1178" i="31"/>
  <c r="R1177" i="31"/>
  <c r="R1176" i="31"/>
  <c r="R1175" i="31"/>
  <c r="R1174" i="31"/>
  <c r="R1173" i="31"/>
  <c r="R1172" i="31"/>
  <c r="R1171" i="31"/>
  <c r="R1170" i="31"/>
  <c r="R1169" i="31"/>
  <c r="R1168" i="31"/>
  <c r="R1167" i="31"/>
  <c r="R1166" i="31"/>
  <c r="R1165" i="31"/>
  <c r="R1164" i="31"/>
  <c r="R1163" i="31"/>
  <c r="R1162" i="31"/>
  <c r="R1161" i="31"/>
  <c r="R1160" i="31"/>
  <c r="R1159" i="31"/>
  <c r="R1158" i="31"/>
  <c r="R1157" i="31"/>
  <c r="R1156" i="31"/>
  <c r="R1155" i="31"/>
  <c r="R1154" i="31"/>
  <c r="R1153" i="31"/>
  <c r="R1152" i="31"/>
  <c r="R1151" i="31"/>
  <c r="R1150" i="31"/>
  <c r="R1149" i="31"/>
  <c r="R1148" i="31"/>
  <c r="R1147" i="31"/>
  <c r="R1146" i="31"/>
  <c r="R1145" i="31"/>
  <c r="R1144" i="31"/>
  <c r="R1143" i="31"/>
  <c r="R1142" i="31"/>
  <c r="R1141" i="31"/>
  <c r="R1140" i="31"/>
  <c r="R1139" i="31"/>
  <c r="R1138" i="31"/>
  <c r="R1137" i="31"/>
  <c r="R1136" i="31"/>
  <c r="R1135" i="31"/>
  <c r="R1134" i="31"/>
  <c r="R1133" i="31"/>
  <c r="R1132" i="31"/>
  <c r="R1131" i="31"/>
  <c r="R1130" i="31"/>
  <c r="R1129" i="31"/>
  <c r="R1128" i="31"/>
  <c r="R1127" i="31"/>
  <c r="R1126" i="31"/>
  <c r="R1125" i="31"/>
  <c r="R1124" i="31"/>
  <c r="R1123" i="31"/>
  <c r="R1122" i="31"/>
  <c r="R1121" i="31"/>
  <c r="R1120" i="31"/>
  <c r="R1119" i="31"/>
  <c r="R1118" i="31"/>
  <c r="R1117" i="31"/>
  <c r="R1116" i="31"/>
  <c r="R1115" i="31"/>
  <c r="R1114" i="31"/>
  <c r="R1113" i="31"/>
  <c r="R1112" i="31"/>
  <c r="R1111" i="31"/>
  <c r="R1110" i="31"/>
  <c r="R1109" i="31"/>
  <c r="R1108" i="31"/>
  <c r="R1107" i="31"/>
  <c r="R1106" i="31"/>
  <c r="R1105" i="31"/>
  <c r="R1104" i="31"/>
  <c r="R1103" i="31"/>
  <c r="R1102" i="31"/>
  <c r="R1101" i="31"/>
  <c r="R1100" i="31"/>
  <c r="R1099" i="31"/>
  <c r="R1098" i="31"/>
  <c r="R1097" i="31"/>
  <c r="R1096" i="31"/>
  <c r="R1095" i="31"/>
  <c r="R1094" i="31"/>
  <c r="R1093" i="31"/>
  <c r="O12" i="11" l="1"/>
  <c r="O13" i="11"/>
  <c r="O14" i="11"/>
  <c r="O19" i="11"/>
  <c r="O21" i="11"/>
  <c r="O23" i="11"/>
  <c r="O24" i="11"/>
  <c r="O25" i="11"/>
  <c r="O31" i="11"/>
  <c r="O30" i="11"/>
  <c r="O27" i="11"/>
  <c r="O17" i="11"/>
  <c r="O8" i="11"/>
  <c r="O15" i="11"/>
  <c r="O16" i="11"/>
  <c r="O20" i="11"/>
  <c r="O22" i="11"/>
  <c r="O29" i="11"/>
  <c r="O18" i="11"/>
  <c r="O10" i="11"/>
  <c r="O28" i="11"/>
  <c r="O26" i="11"/>
  <c r="O9" i="11"/>
  <c r="O11" i="11"/>
  <c r="D38" i="27"/>
  <c r="D37" i="27"/>
  <c r="D36" i="27"/>
  <c r="D35" i="27"/>
  <c r="D34" i="27"/>
  <c r="D33" i="27"/>
  <c r="D32" i="27"/>
  <c r="D31" i="27"/>
  <c r="D30" i="27"/>
  <c r="D29" i="27"/>
  <c r="D28" i="27"/>
  <c r="D27" i="27"/>
  <c r="N55" i="7" l="1"/>
  <c r="M55" i="7"/>
  <c r="K55" i="7"/>
  <c r="J55" i="7"/>
  <c r="H55" i="7"/>
  <c r="L55" i="7" s="1"/>
  <c r="G55" i="7"/>
  <c r="N54" i="7"/>
  <c r="M54" i="7"/>
  <c r="K54" i="7"/>
  <c r="J54" i="7"/>
  <c r="H54" i="7"/>
  <c r="L54" i="7" s="1"/>
  <c r="G54" i="7"/>
  <c r="I63" i="14"/>
  <c r="BA63" i="14" s="1"/>
  <c r="I62" i="14"/>
  <c r="BA62" i="14" s="1"/>
  <c r="I61" i="14"/>
  <c r="BA61" i="14" s="1"/>
  <c r="I60" i="14"/>
  <c r="BA60" i="14" s="1"/>
  <c r="I59" i="14"/>
  <c r="BA59" i="14" s="1"/>
  <c r="I58" i="14"/>
  <c r="BA58" i="14" s="1"/>
  <c r="I53" i="14"/>
  <c r="BA53" i="14" s="1"/>
  <c r="I52" i="14"/>
  <c r="BA52" i="14" s="1"/>
  <c r="I51" i="14"/>
  <c r="BA51" i="14" s="1"/>
  <c r="I50" i="14"/>
  <c r="BA50" i="14" s="1"/>
  <c r="I49" i="14"/>
  <c r="BA49" i="14" s="1"/>
  <c r="I48" i="14"/>
  <c r="BA48" i="14" s="1"/>
  <c r="I47" i="14"/>
  <c r="BA47" i="14" s="1"/>
  <c r="I46" i="14"/>
  <c r="BA46" i="14" s="1"/>
  <c r="I45" i="14"/>
  <c r="BA45" i="14" s="1"/>
  <c r="I44" i="14"/>
  <c r="BA44" i="14" s="1"/>
  <c r="I43" i="14"/>
  <c r="BA43" i="14" s="1"/>
  <c r="I42" i="14"/>
  <c r="BA42" i="14" s="1"/>
  <c r="I41" i="14"/>
  <c r="BA41" i="14" s="1"/>
  <c r="I40" i="14"/>
  <c r="BA40" i="14" s="1"/>
  <c r="I39" i="14"/>
  <c r="BA39" i="14" s="1"/>
  <c r="I38" i="14"/>
  <c r="BA38" i="14" s="1"/>
  <c r="I37" i="14"/>
  <c r="BA37" i="14" s="1"/>
  <c r="I36" i="14"/>
  <c r="BA36" i="14" s="1"/>
  <c r="I35" i="14"/>
  <c r="BA35" i="14" s="1"/>
  <c r="I34" i="14"/>
  <c r="BA34" i="14" s="1"/>
  <c r="I29" i="14"/>
  <c r="BA29" i="14" s="1"/>
  <c r="I28" i="14"/>
  <c r="BA28" i="14" s="1"/>
  <c r="I27" i="14"/>
  <c r="BA27" i="14" s="1"/>
  <c r="I26" i="14"/>
  <c r="BA26" i="14" s="1"/>
  <c r="I25" i="14"/>
  <c r="BA25" i="14" s="1"/>
  <c r="I24" i="14"/>
  <c r="BA24" i="14" s="1"/>
  <c r="I23" i="14"/>
  <c r="BA23" i="14" s="1"/>
  <c r="I22" i="14"/>
  <c r="BA22" i="14" s="1"/>
  <c r="I21" i="14"/>
  <c r="BA21" i="14" s="1"/>
  <c r="I20" i="14"/>
  <c r="BA20" i="14" s="1"/>
  <c r="I19" i="14"/>
  <c r="BA19" i="14" s="1"/>
  <c r="I18" i="14"/>
  <c r="BA18" i="14" s="1"/>
  <c r="I17" i="14"/>
  <c r="BA17" i="14" s="1"/>
  <c r="I16" i="14"/>
  <c r="BA16" i="14" s="1"/>
  <c r="I15" i="14"/>
  <c r="BA15" i="14" s="1"/>
  <c r="I14" i="14"/>
  <c r="BA14" i="14" s="1"/>
  <c r="I13" i="14"/>
  <c r="BA13" i="14" s="1"/>
  <c r="I12" i="14"/>
  <c r="BA12" i="14" s="1"/>
  <c r="AQ64" i="14"/>
  <c r="AS64" i="14" s="1"/>
  <c r="AQ63" i="14"/>
  <c r="AS63" i="14" s="1"/>
  <c r="AQ62" i="14"/>
  <c r="AQ61" i="14"/>
  <c r="AQ60" i="14"/>
  <c r="AQ59" i="14"/>
  <c r="AQ58" i="14"/>
  <c r="AQ57" i="14"/>
  <c r="AQ56" i="14"/>
  <c r="AQ55" i="14"/>
  <c r="AQ53" i="14"/>
  <c r="AS53" i="14" s="1"/>
  <c r="AQ52" i="14"/>
  <c r="AS52" i="14" s="1"/>
  <c r="AQ51" i="14"/>
  <c r="AS51" i="14" s="1"/>
  <c r="AQ50" i="14"/>
  <c r="AS50" i="14" s="1"/>
  <c r="AQ49" i="14"/>
  <c r="AS49" i="14" s="1"/>
  <c r="AQ48" i="14"/>
  <c r="AS48" i="14" s="1"/>
  <c r="AQ47" i="14"/>
  <c r="AS47" i="14" s="1"/>
  <c r="AQ46" i="14"/>
  <c r="AS46" i="14" s="1"/>
  <c r="AQ45" i="14"/>
  <c r="AS45" i="14" s="1"/>
  <c r="AQ44" i="14"/>
  <c r="AS44" i="14" s="1"/>
  <c r="AQ43" i="14"/>
  <c r="AS43" i="14" s="1"/>
  <c r="AQ42" i="14"/>
  <c r="AS42" i="14" s="1"/>
  <c r="AQ41" i="14"/>
  <c r="AS41" i="14" s="1"/>
  <c r="AQ40" i="14"/>
  <c r="AS40" i="14" s="1"/>
  <c r="AQ39" i="14"/>
  <c r="AS39" i="14" s="1"/>
  <c r="AQ38" i="14"/>
  <c r="AS38" i="14" s="1"/>
  <c r="AQ37" i="14"/>
  <c r="AS37" i="14" s="1"/>
  <c r="AQ36" i="14"/>
  <c r="AS36" i="14" s="1"/>
  <c r="AQ35" i="14"/>
  <c r="AS35" i="14" s="1"/>
  <c r="AQ34" i="14"/>
  <c r="AS34" i="14" s="1"/>
  <c r="AQ33" i="14"/>
  <c r="AQ32" i="14"/>
  <c r="AQ31" i="14"/>
  <c r="AQ29" i="14"/>
  <c r="AR29" i="14" s="1"/>
  <c r="AV29" i="14" s="1"/>
  <c r="AQ28" i="14"/>
  <c r="AS28" i="14" s="1"/>
  <c r="AQ27" i="14"/>
  <c r="AS27" i="14" s="1"/>
  <c r="AQ26" i="14"/>
  <c r="AS26" i="14" s="1"/>
  <c r="AQ25" i="14"/>
  <c r="AR25" i="14" s="1"/>
  <c r="AV25" i="14" s="1"/>
  <c r="AQ24" i="14"/>
  <c r="AS24" i="14" s="1"/>
  <c r="AQ23" i="14"/>
  <c r="AS23" i="14" s="1"/>
  <c r="AQ22" i="14"/>
  <c r="AS22" i="14" s="1"/>
  <c r="AQ21" i="14"/>
  <c r="AR21" i="14" s="1"/>
  <c r="AV21" i="14" s="1"/>
  <c r="AQ20" i="14"/>
  <c r="AS20" i="14" s="1"/>
  <c r="AQ19" i="14"/>
  <c r="AS19" i="14" s="1"/>
  <c r="AQ18" i="14"/>
  <c r="AS18" i="14" s="1"/>
  <c r="AQ17" i="14"/>
  <c r="AS17" i="14" s="1"/>
  <c r="AQ16" i="14"/>
  <c r="AS16" i="14" s="1"/>
  <c r="AQ15" i="14"/>
  <c r="AS15" i="14" s="1"/>
  <c r="AQ14" i="14"/>
  <c r="AS14" i="14" s="1"/>
  <c r="AQ13" i="14"/>
  <c r="AS13" i="14" s="1"/>
  <c r="AQ12" i="14"/>
  <c r="AS12" i="14" s="1"/>
  <c r="AQ11" i="14"/>
  <c r="AQ10" i="14"/>
  <c r="AQ9" i="14"/>
  <c r="AQ8" i="14"/>
  <c r="AQ7" i="14"/>
  <c r="AR7" i="14" s="1"/>
  <c r="V53" i="14"/>
  <c r="V52" i="14"/>
  <c r="V51" i="14"/>
  <c r="V50" i="14"/>
  <c r="V49" i="14"/>
  <c r="V48" i="14"/>
  <c r="V47" i="14"/>
  <c r="V46" i="14"/>
  <c r="V45" i="14"/>
  <c r="V44" i="14"/>
  <c r="V43" i="14"/>
  <c r="V42" i="14"/>
  <c r="V41" i="14"/>
  <c r="V40" i="14"/>
  <c r="V39" i="14"/>
  <c r="V38" i="14"/>
  <c r="V37" i="14"/>
  <c r="V36" i="14"/>
  <c r="V35" i="14"/>
  <c r="V34" i="14"/>
  <c r="V33" i="14"/>
  <c r="V32" i="14"/>
  <c r="V31" i="14"/>
  <c r="W31" i="14" s="1"/>
  <c r="V29" i="14"/>
  <c r="V28" i="14"/>
  <c r="V27" i="14"/>
  <c r="V26" i="14"/>
  <c r="V25" i="14"/>
  <c r="V24" i="14"/>
  <c r="V23" i="14"/>
  <c r="V22" i="14"/>
  <c r="V21" i="14"/>
  <c r="V20" i="14"/>
  <c r="V19" i="14"/>
  <c r="V18" i="14"/>
  <c r="V17" i="14"/>
  <c r="V16" i="14"/>
  <c r="V15" i="14"/>
  <c r="V14" i="14"/>
  <c r="V13" i="14"/>
  <c r="V12" i="14"/>
  <c r="V11" i="14"/>
  <c r="V10" i="14"/>
  <c r="V9" i="14"/>
  <c r="V8" i="14"/>
  <c r="V7" i="14"/>
  <c r="E55" i="7" l="1"/>
  <c r="P55" i="7"/>
  <c r="E54" i="7"/>
  <c r="P54" i="7"/>
  <c r="AR22" i="14"/>
  <c r="AV22" i="14" s="1"/>
  <c r="AS29" i="14"/>
  <c r="AR23" i="14"/>
  <c r="AV23" i="14" s="1"/>
  <c r="AR24" i="14"/>
  <c r="AV24" i="14" s="1"/>
  <c r="AR44" i="14"/>
  <c r="AV44" i="14" s="1"/>
  <c r="AS21" i="14"/>
  <c r="AR48" i="14"/>
  <c r="AV48" i="14" s="1"/>
  <c r="AR17" i="14"/>
  <c r="AV17" i="14" s="1"/>
  <c r="AS25" i="14"/>
  <c r="AR18" i="14"/>
  <c r="AV18" i="14" s="1"/>
  <c r="AR19" i="14"/>
  <c r="AV19" i="14" s="1"/>
  <c r="AR27" i="14"/>
  <c r="AV27" i="14" s="1"/>
  <c r="AR36" i="14"/>
  <c r="AV36" i="14" s="1"/>
  <c r="AR52" i="14"/>
  <c r="AV52" i="14" s="1"/>
  <c r="AR63" i="14"/>
  <c r="AV63" i="14" s="1"/>
  <c r="AR26" i="14"/>
  <c r="AV26" i="14" s="1"/>
  <c r="AR20" i="14"/>
  <c r="AV20" i="14" s="1"/>
  <c r="AR28" i="14"/>
  <c r="AV28" i="14" s="1"/>
  <c r="AR40" i="14"/>
  <c r="AV40" i="14" s="1"/>
  <c r="AR64" i="14"/>
  <c r="AV64" i="14" s="1"/>
  <c r="AR13" i="14"/>
  <c r="AV13" i="14" s="1"/>
  <c r="AR37" i="14"/>
  <c r="AV37" i="14" s="1"/>
  <c r="AR41" i="14"/>
  <c r="AV41" i="14" s="1"/>
  <c r="AR45" i="14"/>
  <c r="AV45" i="14" s="1"/>
  <c r="AR49" i="14"/>
  <c r="AV49" i="14" s="1"/>
  <c r="AR53" i="14"/>
  <c r="AV53" i="14" s="1"/>
  <c r="AR34" i="14"/>
  <c r="AV34" i="14" s="1"/>
  <c r="AR38" i="14"/>
  <c r="AV38" i="14" s="1"/>
  <c r="AR42" i="14"/>
  <c r="AV42" i="14" s="1"/>
  <c r="AR46" i="14"/>
  <c r="AV46" i="14" s="1"/>
  <c r="AR50" i="14"/>
  <c r="AV50" i="14" s="1"/>
  <c r="AR35" i="14"/>
  <c r="AV35" i="14" s="1"/>
  <c r="AR39" i="14"/>
  <c r="AV39" i="14" s="1"/>
  <c r="AR43" i="14"/>
  <c r="AV43" i="14" s="1"/>
  <c r="AR47" i="14"/>
  <c r="AV47" i="14" s="1"/>
  <c r="AR51" i="14"/>
  <c r="AV51" i="14" s="1"/>
  <c r="AR14" i="14"/>
  <c r="AV14" i="14" s="1"/>
  <c r="AR15" i="14"/>
  <c r="AV15" i="14" s="1"/>
  <c r="AR12" i="14"/>
  <c r="AV12" i="14" s="1"/>
  <c r="AR16" i="14"/>
  <c r="AV16" i="14" s="1"/>
  <c r="I54" i="7"/>
  <c r="D54" i="7" s="1"/>
  <c r="I55" i="7"/>
  <c r="D55" i="7" s="1"/>
  <c r="F21" i="8" l="1"/>
  <c r="F20" i="8"/>
  <c r="F19" i="8"/>
  <c r="F18" i="8"/>
  <c r="F17" i="8"/>
  <c r="F16" i="8"/>
  <c r="F15" i="8"/>
  <c r="E21" i="8"/>
  <c r="E20" i="8"/>
  <c r="E19" i="8"/>
  <c r="E18" i="8"/>
  <c r="E17" i="8"/>
  <c r="E16" i="8"/>
  <c r="E15" i="8"/>
  <c r="AP39" i="14" l="1"/>
  <c r="AN39" i="14"/>
  <c r="AJ39" i="14"/>
  <c r="AH39" i="14"/>
  <c r="AI39" i="14" s="1"/>
  <c r="S39" i="14" s="1"/>
  <c r="AG39" i="14"/>
  <c r="AE39" i="14"/>
  <c r="G39" i="14" s="1"/>
  <c r="AY39" i="14" s="1"/>
  <c r="AB39" i="14"/>
  <c r="Y39" i="14"/>
  <c r="X39" i="14"/>
  <c r="W39" i="14"/>
  <c r="R39" i="14"/>
  <c r="AP38" i="14"/>
  <c r="AN38" i="14"/>
  <c r="AJ38" i="14"/>
  <c r="AH38" i="14"/>
  <c r="AK38" i="14" s="1"/>
  <c r="AG38" i="14"/>
  <c r="AE38" i="14"/>
  <c r="G38" i="14" s="1"/>
  <c r="AY38" i="14" s="1"/>
  <c r="AB38" i="14"/>
  <c r="Y38" i="14"/>
  <c r="X38" i="14"/>
  <c r="AM38" i="14"/>
  <c r="R38" i="14"/>
  <c r="AP37" i="14"/>
  <c r="AN37" i="14"/>
  <c r="AM37" i="14"/>
  <c r="AJ37" i="14"/>
  <c r="AH37" i="14"/>
  <c r="Q37" i="14" s="1"/>
  <c r="BB37" i="14" s="1"/>
  <c r="AG37" i="14"/>
  <c r="AE37" i="14"/>
  <c r="G37" i="14" s="1"/>
  <c r="AY37" i="14" s="1"/>
  <c r="AB37" i="14"/>
  <c r="Y37" i="14"/>
  <c r="X37" i="14"/>
  <c r="W37" i="14"/>
  <c r="R37" i="14"/>
  <c r="AP36" i="14"/>
  <c r="AN36" i="14"/>
  <c r="AJ36" i="14"/>
  <c r="AH36" i="14"/>
  <c r="Q36" i="14" s="1"/>
  <c r="BB36" i="14" s="1"/>
  <c r="AG36" i="14"/>
  <c r="AE36" i="14"/>
  <c r="G36" i="14" s="1"/>
  <c r="AY36" i="14" s="1"/>
  <c r="AB36" i="14"/>
  <c r="Y36" i="14"/>
  <c r="X36" i="14"/>
  <c r="W36" i="14"/>
  <c r="R36" i="14"/>
  <c r="AP35" i="14"/>
  <c r="AN35" i="14"/>
  <c r="AJ35" i="14"/>
  <c r="AH35" i="14"/>
  <c r="AK35" i="14" s="1"/>
  <c r="AG35" i="14"/>
  <c r="AE35" i="14"/>
  <c r="G35" i="14" s="1"/>
  <c r="AY35" i="14" s="1"/>
  <c r="AB35" i="14"/>
  <c r="Y35" i="14"/>
  <c r="X35" i="14"/>
  <c r="AM35" i="14"/>
  <c r="R35" i="14"/>
  <c r="AP18" i="14"/>
  <c r="AN18" i="14"/>
  <c r="AH18" i="14"/>
  <c r="AK18" i="14" s="1"/>
  <c r="AG18" i="14"/>
  <c r="AE18" i="14"/>
  <c r="G18" i="14" s="1"/>
  <c r="AY18" i="14" s="1"/>
  <c r="AB18" i="14"/>
  <c r="Z18" i="14"/>
  <c r="Y18" i="14"/>
  <c r="X18" i="14"/>
  <c r="AF18" i="14"/>
  <c r="R18" i="14"/>
  <c r="AP17" i="14"/>
  <c r="AN17" i="14"/>
  <c r="AH17" i="14"/>
  <c r="AK17" i="14" s="1"/>
  <c r="AG17" i="14"/>
  <c r="AE17" i="14"/>
  <c r="G17" i="14" s="1"/>
  <c r="AY17" i="14" s="1"/>
  <c r="AB17" i="14"/>
  <c r="Z17" i="14"/>
  <c r="Y17" i="14"/>
  <c r="X17" i="14"/>
  <c r="AF17" i="14"/>
  <c r="R17" i="14"/>
  <c r="AP16" i="14"/>
  <c r="AN16" i="14"/>
  <c r="AH16" i="14"/>
  <c r="AK16" i="14" s="1"/>
  <c r="AG16" i="14"/>
  <c r="AE16" i="14"/>
  <c r="G16" i="14" s="1"/>
  <c r="AY16" i="14" s="1"/>
  <c r="AB16" i="14"/>
  <c r="Z16" i="14"/>
  <c r="Y16" i="14"/>
  <c r="X16" i="14"/>
  <c r="AF16" i="14"/>
  <c r="R16" i="14"/>
  <c r="AP15" i="14"/>
  <c r="AN15" i="14"/>
  <c r="AM15" i="14"/>
  <c r="AH15" i="14"/>
  <c r="AK15" i="14" s="1"/>
  <c r="AG15" i="14"/>
  <c r="AE15" i="14"/>
  <c r="G15" i="14" s="1"/>
  <c r="AY15" i="14" s="1"/>
  <c r="AB15" i="14"/>
  <c r="Z15" i="14"/>
  <c r="Y15" i="14"/>
  <c r="X15" i="14"/>
  <c r="AF15" i="14"/>
  <c r="R15" i="14"/>
  <c r="AP14" i="14"/>
  <c r="AN14" i="14"/>
  <c r="AH14" i="14"/>
  <c r="AK14" i="14" s="1"/>
  <c r="AG14" i="14"/>
  <c r="AE14" i="14"/>
  <c r="G14" i="14" s="1"/>
  <c r="AY14" i="14" s="1"/>
  <c r="AB14" i="14"/>
  <c r="Z14" i="14"/>
  <c r="Y14" i="14"/>
  <c r="X14" i="14"/>
  <c r="AF14" i="14"/>
  <c r="R14" i="14"/>
  <c r="AP61" i="14"/>
  <c r="AN61" i="14"/>
  <c r="AH61" i="14"/>
  <c r="AK61" i="14" s="1"/>
  <c r="AG61" i="14"/>
  <c r="AC61" i="14"/>
  <c r="AO61" i="14" s="1"/>
  <c r="AB61" i="14"/>
  <c r="X61" i="14"/>
  <c r="W61" i="14"/>
  <c r="V61" i="14"/>
  <c r="AM61" i="14" s="1"/>
  <c r="R61" i="14"/>
  <c r="AP60" i="14"/>
  <c r="AN60" i="14"/>
  <c r="AH60" i="14"/>
  <c r="AK60" i="14" s="1"/>
  <c r="AG60" i="14"/>
  <c r="AC60" i="14"/>
  <c r="AB60" i="14"/>
  <c r="X60" i="14"/>
  <c r="W60" i="14"/>
  <c r="V60" i="14"/>
  <c r="AM60" i="14" s="1"/>
  <c r="R60" i="14"/>
  <c r="AP59" i="14"/>
  <c r="AN59" i="14"/>
  <c r="AH59" i="14"/>
  <c r="Q59" i="14" s="1"/>
  <c r="BB59" i="14" s="1"/>
  <c r="AG59" i="14"/>
  <c r="AC59" i="14"/>
  <c r="AO59" i="14" s="1"/>
  <c r="AB59" i="14"/>
  <c r="X59" i="14"/>
  <c r="W59" i="14"/>
  <c r="V59" i="14"/>
  <c r="R59" i="14"/>
  <c r="AP58" i="14"/>
  <c r="AN58" i="14"/>
  <c r="AH58" i="14"/>
  <c r="AI58" i="14" s="1"/>
  <c r="S58" i="14" s="1"/>
  <c r="AG58" i="14"/>
  <c r="AC58" i="14"/>
  <c r="AB58" i="14"/>
  <c r="X58" i="14"/>
  <c r="W58" i="14"/>
  <c r="V58" i="14"/>
  <c r="AM58" i="14" s="1"/>
  <c r="R58" i="14"/>
  <c r="AP46" i="14"/>
  <c r="AN46" i="14"/>
  <c r="AJ46" i="14"/>
  <c r="AH46" i="14"/>
  <c r="AI46" i="14" s="1"/>
  <c r="S46" i="14" s="1"/>
  <c r="AG46" i="14"/>
  <c r="AE46" i="14"/>
  <c r="G46" i="14" s="1"/>
  <c r="AY46" i="14" s="1"/>
  <c r="AB46" i="14"/>
  <c r="Y46" i="14"/>
  <c r="X46" i="14"/>
  <c r="AF46" i="14"/>
  <c r="R46" i="14"/>
  <c r="AP45" i="14"/>
  <c r="AN45" i="14"/>
  <c r="AJ45" i="14"/>
  <c r="AH45" i="14"/>
  <c r="AK45" i="14" s="1"/>
  <c r="AG45" i="14"/>
  <c r="AE45" i="14"/>
  <c r="G45" i="14" s="1"/>
  <c r="AY45" i="14" s="1"/>
  <c r="AB45" i="14"/>
  <c r="Y45" i="14"/>
  <c r="X45" i="14"/>
  <c r="AM45" i="14"/>
  <c r="R45" i="14"/>
  <c r="AP44" i="14"/>
  <c r="AN44" i="14"/>
  <c r="AJ44" i="14"/>
  <c r="AH44" i="14"/>
  <c r="AK44" i="14" s="1"/>
  <c r="AG44" i="14"/>
  <c r="AE44" i="14"/>
  <c r="G44" i="14" s="1"/>
  <c r="AY44" i="14" s="1"/>
  <c r="AB44" i="14"/>
  <c r="Y44" i="14"/>
  <c r="X44" i="14"/>
  <c r="W44" i="14"/>
  <c r="R44" i="14"/>
  <c r="AP43" i="14"/>
  <c r="AN43" i="14"/>
  <c r="AJ43" i="14"/>
  <c r="AH43" i="14"/>
  <c r="Q43" i="14" s="1"/>
  <c r="BB43" i="14" s="1"/>
  <c r="AG43" i="14"/>
  <c r="AE43" i="14"/>
  <c r="G43" i="14" s="1"/>
  <c r="AY43" i="14" s="1"/>
  <c r="AB43" i="14"/>
  <c r="Y43" i="14"/>
  <c r="X43" i="14"/>
  <c r="W43" i="14"/>
  <c r="R43" i="14"/>
  <c r="AP42" i="14"/>
  <c r="AN42" i="14"/>
  <c r="AJ42" i="14"/>
  <c r="AH42" i="14"/>
  <c r="Q42" i="14" s="1"/>
  <c r="BB42" i="14" s="1"/>
  <c r="AG42" i="14"/>
  <c r="AE42" i="14"/>
  <c r="G42" i="14" s="1"/>
  <c r="AY42" i="14" s="1"/>
  <c r="AB42" i="14"/>
  <c r="Y42" i="14"/>
  <c r="X42" i="14"/>
  <c r="AF42" i="14"/>
  <c r="R42" i="14"/>
  <c r="AP22" i="14"/>
  <c r="AN22" i="14"/>
  <c r="AH22" i="14"/>
  <c r="AK22" i="14" s="1"/>
  <c r="AG22" i="14"/>
  <c r="AE22" i="14"/>
  <c r="G22" i="14" s="1"/>
  <c r="AY22" i="14" s="1"/>
  <c r="AB22" i="14"/>
  <c r="Z22" i="14"/>
  <c r="Y22" i="14"/>
  <c r="X22" i="14"/>
  <c r="AF22" i="14"/>
  <c r="R22" i="14"/>
  <c r="AP21" i="14"/>
  <c r="AN21" i="14"/>
  <c r="AH21" i="14"/>
  <c r="AK21" i="14" s="1"/>
  <c r="AG21" i="14"/>
  <c r="AE21" i="14"/>
  <c r="G21" i="14" s="1"/>
  <c r="AY21" i="14" s="1"/>
  <c r="AB21" i="14"/>
  <c r="Z21" i="14"/>
  <c r="Y21" i="14"/>
  <c r="X21" i="14"/>
  <c r="AD21" i="14"/>
  <c r="R21" i="14"/>
  <c r="AP20" i="14"/>
  <c r="AN20" i="14"/>
  <c r="AH20" i="14"/>
  <c r="Q20" i="14" s="1"/>
  <c r="BB20" i="14" s="1"/>
  <c r="AG20" i="14"/>
  <c r="AE20" i="14"/>
  <c r="G20" i="14" s="1"/>
  <c r="AY20" i="14" s="1"/>
  <c r="AB20" i="14"/>
  <c r="Z20" i="14"/>
  <c r="Y20" i="14"/>
  <c r="X20" i="14"/>
  <c r="AF20" i="14"/>
  <c r="R20" i="14"/>
  <c r="AP19" i="14"/>
  <c r="AN19" i="14"/>
  <c r="AH19" i="14"/>
  <c r="AK19" i="14" s="1"/>
  <c r="AG19" i="14"/>
  <c r="AE19" i="14"/>
  <c r="G19" i="14" s="1"/>
  <c r="AY19" i="14" s="1"/>
  <c r="AB19" i="14"/>
  <c r="Z19" i="14"/>
  <c r="Y19" i="14"/>
  <c r="X19" i="14"/>
  <c r="AD19" i="14"/>
  <c r="R19" i="14"/>
  <c r="AP13" i="14"/>
  <c r="AN13" i="14"/>
  <c r="AH13" i="14"/>
  <c r="Q13" i="14" s="1"/>
  <c r="BB13" i="14" s="1"/>
  <c r="AG13" i="14"/>
  <c r="AE13" i="14"/>
  <c r="G13" i="14" s="1"/>
  <c r="AY13" i="14" s="1"/>
  <c r="AB13" i="14"/>
  <c r="Z13" i="14"/>
  <c r="Y13" i="14"/>
  <c r="X13" i="14"/>
  <c r="AF13" i="14"/>
  <c r="R13" i="14"/>
  <c r="AP26" i="14"/>
  <c r="AN26" i="14"/>
  <c r="AH26" i="14"/>
  <c r="AI26" i="14" s="1"/>
  <c r="S26" i="14" s="1"/>
  <c r="AG26" i="14"/>
  <c r="AF26" i="14"/>
  <c r="AE26" i="14"/>
  <c r="G26" i="14" s="1"/>
  <c r="AY26" i="14" s="1"/>
  <c r="AB26" i="14"/>
  <c r="Z26" i="14"/>
  <c r="Y26" i="14"/>
  <c r="X26" i="14"/>
  <c r="W26" i="14"/>
  <c r="R26" i="14"/>
  <c r="AP25" i="14"/>
  <c r="AN25" i="14"/>
  <c r="AH25" i="14"/>
  <c r="AI25" i="14" s="1"/>
  <c r="S25" i="14" s="1"/>
  <c r="AG25" i="14"/>
  <c r="AE25" i="14"/>
  <c r="G25" i="14" s="1"/>
  <c r="AY25" i="14" s="1"/>
  <c r="AB25" i="14"/>
  <c r="Z25" i="14"/>
  <c r="Y25" i="14"/>
  <c r="X25" i="14"/>
  <c r="W25" i="14"/>
  <c r="AD25" i="14"/>
  <c r="R25" i="14"/>
  <c r="AP24" i="14"/>
  <c r="AN24" i="14"/>
  <c r="AH24" i="14"/>
  <c r="Q24" i="14" s="1"/>
  <c r="BB24" i="14" s="1"/>
  <c r="AG24" i="14"/>
  <c r="AE24" i="14"/>
  <c r="G24" i="14" s="1"/>
  <c r="AY24" i="14" s="1"/>
  <c r="AB24" i="14"/>
  <c r="Z24" i="14"/>
  <c r="Y24" i="14"/>
  <c r="X24" i="14"/>
  <c r="W24" i="14"/>
  <c r="R24" i="14"/>
  <c r="AP12" i="14"/>
  <c r="AN12" i="14"/>
  <c r="AH12" i="14"/>
  <c r="Q12" i="14" s="1"/>
  <c r="BB12" i="14" s="1"/>
  <c r="AG12" i="14"/>
  <c r="AE12" i="14"/>
  <c r="G12" i="14" s="1"/>
  <c r="AY12" i="14" s="1"/>
  <c r="AB12" i="14"/>
  <c r="Z12" i="14"/>
  <c r="Y12" i="14"/>
  <c r="X12" i="14"/>
  <c r="AF12" i="14"/>
  <c r="R12" i="14"/>
  <c r="AP23" i="14"/>
  <c r="AN23" i="14"/>
  <c r="AH23" i="14"/>
  <c r="Q23" i="14" s="1"/>
  <c r="BB23" i="14" s="1"/>
  <c r="AG23" i="14"/>
  <c r="AE23" i="14"/>
  <c r="G23" i="14" s="1"/>
  <c r="AY23" i="14" s="1"/>
  <c r="AB23" i="14"/>
  <c r="Z23" i="14"/>
  <c r="Y23" i="14"/>
  <c r="X23" i="14"/>
  <c r="AF23" i="14"/>
  <c r="R23" i="14"/>
  <c r="T14" i="14" l="1"/>
  <c r="BC14" i="14"/>
  <c r="T19" i="14"/>
  <c r="BC19" i="14"/>
  <c r="T38" i="14"/>
  <c r="T60" i="14"/>
  <c r="BC60" i="14"/>
  <c r="T45" i="14"/>
  <c r="T61" i="14"/>
  <c r="BC61" i="14"/>
  <c r="T18" i="14"/>
  <c r="BC18" i="14"/>
  <c r="T22" i="14"/>
  <c r="BC22" i="14"/>
  <c r="T17" i="14"/>
  <c r="BC17" i="14"/>
  <c r="T44" i="14"/>
  <c r="T15" i="14"/>
  <c r="BC15" i="14"/>
  <c r="T21" i="14"/>
  <c r="BC21" i="14"/>
  <c r="T16" i="14"/>
  <c r="BC16" i="14"/>
  <c r="T35" i="14"/>
  <c r="AS61" i="14"/>
  <c r="AR61" i="14"/>
  <c r="AV61" i="14" s="1"/>
  <c r="AD60" i="14"/>
  <c r="AE60" i="14" s="1"/>
  <c r="G60" i="14" s="1"/>
  <c r="AD58" i="14"/>
  <c r="AE58" i="14" s="1"/>
  <c r="G58" i="14" s="1"/>
  <c r="AC21" i="14"/>
  <c r="AO21" i="14" s="1"/>
  <c r="AM59" i="14"/>
  <c r="AR59" i="14" s="1"/>
  <c r="AV59" i="14" s="1"/>
  <c r="AC17" i="14"/>
  <c r="AO17" i="14" s="1"/>
  <c r="AO58" i="14"/>
  <c r="AR58" i="14" s="1"/>
  <c r="AV58" i="14" s="1"/>
  <c r="AO60" i="14"/>
  <c r="AS60" i="14" s="1"/>
  <c r="AC37" i="14"/>
  <c r="AO37" i="14" s="1"/>
  <c r="AC19" i="14"/>
  <c r="AO19" i="14" s="1"/>
  <c r="Q15" i="14"/>
  <c r="BB15" i="14" s="1"/>
  <c r="AC15" i="14"/>
  <c r="AO15" i="14" s="1"/>
  <c r="W19" i="14"/>
  <c r="AF19" i="14"/>
  <c r="AF24" i="14"/>
  <c r="AF25" i="14"/>
  <c r="W21" i="14"/>
  <c r="AF21" i="14"/>
  <c r="AM43" i="14"/>
  <c r="AK26" i="14"/>
  <c r="AM19" i="14"/>
  <c r="Q61" i="14"/>
  <c r="BB61" i="14" s="1"/>
  <c r="AM17" i="14"/>
  <c r="AM21" i="14"/>
  <c r="AC43" i="14"/>
  <c r="AO43" i="14" s="1"/>
  <c r="W46" i="14"/>
  <c r="AK59" i="14"/>
  <c r="Q26" i="14"/>
  <c r="BB26" i="14" s="1"/>
  <c r="Q18" i="14"/>
  <c r="BB18" i="14" s="1"/>
  <c r="Q35" i="14"/>
  <c r="BB35" i="14" s="1"/>
  <c r="Q39" i="14"/>
  <c r="BB39" i="14" s="1"/>
  <c r="AD61" i="14"/>
  <c r="AE61" i="14" s="1"/>
  <c r="G61" i="14" s="1"/>
  <c r="AI35" i="14"/>
  <c r="S35" i="14" s="1"/>
  <c r="AI61" i="14"/>
  <c r="S61" i="14" s="1"/>
  <c r="AK36" i="14"/>
  <c r="AK37" i="14"/>
  <c r="AK39" i="14"/>
  <c r="AF35" i="14"/>
  <c r="W35" i="14"/>
  <c r="AC36" i="14"/>
  <c r="AO36" i="14" s="1"/>
  <c r="AM36" i="14"/>
  <c r="AI37" i="14"/>
  <c r="S37" i="14" s="1"/>
  <c r="AF38" i="14"/>
  <c r="AI59" i="14"/>
  <c r="S59" i="14" s="1"/>
  <c r="Q16" i="14"/>
  <c r="BB16" i="14" s="1"/>
  <c r="Q17" i="14"/>
  <c r="BB17" i="14" s="1"/>
  <c r="W38" i="14"/>
  <c r="AC39" i="14"/>
  <c r="AO39" i="14" s="1"/>
  <c r="AM39" i="14"/>
  <c r="AF36" i="14"/>
  <c r="AI38" i="14"/>
  <c r="S38" i="14" s="1"/>
  <c r="AF39" i="14"/>
  <c r="Q38" i="14"/>
  <c r="BB38" i="14" s="1"/>
  <c r="AI24" i="14"/>
  <c r="S24" i="14" s="1"/>
  <c r="AK42" i="14"/>
  <c r="AC35" i="14"/>
  <c r="AO35" i="14" s="1"/>
  <c r="AI36" i="14"/>
  <c r="S36" i="14" s="1"/>
  <c r="AF37" i="14"/>
  <c r="AC38" i="14"/>
  <c r="AO38" i="14" s="1"/>
  <c r="Q14" i="14"/>
  <c r="BB14" i="14" s="1"/>
  <c r="AD17" i="14"/>
  <c r="AI14" i="14"/>
  <c r="S14" i="14" s="1"/>
  <c r="W15" i="14"/>
  <c r="AI16" i="14"/>
  <c r="S16" i="14" s="1"/>
  <c r="W17" i="14"/>
  <c r="AI18" i="14"/>
  <c r="S18" i="14" s="1"/>
  <c r="Q19" i="14"/>
  <c r="BB19" i="14" s="1"/>
  <c r="AK58" i="14"/>
  <c r="AD15" i="14"/>
  <c r="Q21" i="14"/>
  <c r="BB21" i="14" s="1"/>
  <c r="Q46" i="14"/>
  <c r="BB46" i="14" s="1"/>
  <c r="Q45" i="14"/>
  <c r="BB45" i="14" s="1"/>
  <c r="AC14" i="14"/>
  <c r="AO14" i="14" s="1"/>
  <c r="AM14" i="14"/>
  <c r="AC16" i="14"/>
  <c r="AO16" i="14" s="1"/>
  <c r="AM16" i="14"/>
  <c r="AC18" i="14"/>
  <c r="AO18" i="14" s="1"/>
  <c r="AM18" i="14"/>
  <c r="AD14" i="14"/>
  <c r="AD16" i="14"/>
  <c r="AD18" i="14"/>
  <c r="W14" i="14"/>
  <c r="AI15" i="14"/>
  <c r="S15" i="14" s="1"/>
  <c r="W16" i="14"/>
  <c r="AI17" i="14"/>
  <c r="S17" i="14" s="1"/>
  <c r="W18" i="14"/>
  <c r="AI42" i="14"/>
  <c r="S42" i="14" s="1"/>
  <c r="AK46" i="14"/>
  <c r="AK25" i="14"/>
  <c r="AK20" i="14"/>
  <c r="AD59" i="14"/>
  <c r="AE59" i="14" s="1"/>
  <c r="G59" i="14" s="1"/>
  <c r="Q60" i="14"/>
  <c r="BB60" i="14" s="1"/>
  <c r="AI60" i="14"/>
  <c r="S60" i="14" s="1"/>
  <c r="AI20" i="14"/>
  <c r="S20" i="14" s="1"/>
  <c r="Q22" i="14"/>
  <c r="BB22" i="14" s="1"/>
  <c r="Q58" i="14"/>
  <c r="BB58" i="14" s="1"/>
  <c r="Q25" i="14"/>
  <c r="BB25" i="14" s="1"/>
  <c r="AI22" i="14"/>
  <c r="S22" i="14" s="1"/>
  <c r="AK43" i="14"/>
  <c r="W42" i="14"/>
  <c r="AI44" i="14"/>
  <c r="S44" i="14" s="1"/>
  <c r="AF45" i="14"/>
  <c r="AK13" i="14"/>
  <c r="Q44" i="14"/>
  <c r="BB44" i="14" s="1"/>
  <c r="W45" i="14"/>
  <c r="AC46" i="14"/>
  <c r="AO46" i="14" s="1"/>
  <c r="AM46" i="14"/>
  <c r="AF43" i="14"/>
  <c r="AC44" i="14"/>
  <c r="AO44" i="14" s="1"/>
  <c r="AM44" i="14"/>
  <c r="AI45" i="14"/>
  <c r="S45" i="14" s="1"/>
  <c r="AI13" i="14"/>
  <c r="S13" i="14" s="1"/>
  <c r="AC42" i="14"/>
  <c r="AO42" i="14" s="1"/>
  <c r="AM42" i="14"/>
  <c r="AI43" i="14"/>
  <c r="S43" i="14" s="1"/>
  <c r="AF44" i="14"/>
  <c r="AC45" i="14"/>
  <c r="AO45" i="14" s="1"/>
  <c r="AC13" i="14"/>
  <c r="AO13" i="14" s="1"/>
  <c r="AM13" i="14"/>
  <c r="AC20" i="14"/>
  <c r="AO20" i="14" s="1"/>
  <c r="AM20" i="14"/>
  <c r="AC22" i="14"/>
  <c r="AO22" i="14" s="1"/>
  <c r="AM22" i="14"/>
  <c r="AD13" i="14"/>
  <c r="AD20" i="14"/>
  <c r="AD22" i="14"/>
  <c r="AK24" i="14"/>
  <c r="W13" i="14"/>
  <c r="AI19" i="14"/>
  <c r="S19" i="14" s="1"/>
  <c r="W20" i="14"/>
  <c r="AI21" i="14"/>
  <c r="S21" i="14" s="1"/>
  <c r="W22" i="14"/>
  <c r="AC24" i="14"/>
  <c r="AO24" i="14" s="1"/>
  <c r="AM24" i="14"/>
  <c r="AC26" i="14"/>
  <c r="AO26" i="14" s="1"/>
  <c r="AM26" i="14"/>
  <c r="AD24" i="14"/>
  <c r="AD26" i="14"/>
  <c r="AC25" i="14"/>
  <c r="AO25" i="14" s="1"/>
  <c r="AM25" i="14"/>
  <c r="AK12" i="14"/>
  <c r="AC12" i="14"/>
  <c r="AO12" i="14" s="1"/>
  <c r="AM12" i="14"/>
  <c r="AI12" i="14"/>
  <c r="S12" i="14" s="1"/>
  <c r="AD12" i="14"/>
  <c r="AK23" i="14"/>
  <c r="W12" i="14"/>
  <c r="AI23" i="14"/>
  <c r="S23" i="14" s="1"/>
  <c r="AC23" i="14"/>
  <c r="AO23" i="14" s="1"/>
  <c r="AM23" i="14"/>
  <c r="AD23" i="14"/>
  <c r="W23" i="14"/>
  <c r="AY61" i="14" l="1"/>
  <c r="AY58" i="14"/>
  <c r="AY59" i="14"/>
  <c r="T43" i="14"/>
  <c r="T20" i="14"/>
  <c r="BC20" i="14"/>
  <c r="T23" i="14"/>
  <c r="BC23" i="14"/>
  <c r="T25" i="14"/>
  <c r="BC25" i="14"/>
  <c r="T36" i="14"/>
  <c r="T46" i="14"/>
  <c r="T13" i="14"/>
  <c r="BC13" i="14"/>
  <c r="T12" i="14"/>
  <c r="BC12" i="14"/>
  <c r="T39" i="14"/>
  <c r="T59" i="14"/>
  <c r="BC59" i="14"/>
  <c r="T24" i="14"/>
  <c r="BC24" i="14"/>
  <c r="T42" i="14"/>
  <c r="T58" i="14"/>
  <c r="BC58" i="14"/>
  <c r="T37" i="14"/>
  <c r="T26" i="14"/>
  <c r="BC26" i="14"/>
  <c r="AS58" i="14"/>
  <c r="AS59" i="14"/>
  <c r="AR60" i="14"/>
  <c r="AV60" i="14" s="1"/>
  <c r="AY60" i="14" s="1"/>
  <c r="N58" i="7"/>
  <c r="M58" i="7"/>
  <c r="N57" i="7"/>
  <c r="M57" i="7"/>
  <c r="N56" i="7"/>
  <c r="M56" i="7"/>
  <c r="N49" i="7"/>
  <c r="M49" i="7"/>
  <c r="N48" i="7"/>
  <c r="M48" i="7"/>
  <c r="N47" i="7"/>
  <c r="M47" i="7"/>
  <c r="N46" i="7"/>
  <c r="M46" i="7"/>
  <c r="N45" i="7"/>
  <c r="M45" i="7"/>
  <c r="N44" i="7"/>
  <c r="M44" i="7"/>
  <c r="N43" i="7"/>
  <c r="M43" i="7"/>
  <c r="N42" i="7"/>
  <c r="M42" i="7"/>
  <c r="N41" i="7"/>
  <c r="M41" i="7"/>
  <c r="N40" i="7"/>
  <c r="M40" i="7"/>
  <c r="N39" i="7"/>
  <c r="M39" i="7"/>
  <c r="N38" i="7"/>
  <c r="M38" i="7"/>
  <c r="N37" i="7"/>
  <c r="M37" i="7"/>
  <c r="N36" i="7"/>
  <c r="M36" i="7"/>
  <c r="N35" i="7"/>
  <c r="M35" i="7"/>
  <c r="N34" i="7"/>
  <c r="M34" i="7"/>
  <c r="N33" i="7"/>
  <c r="M33" i="7"/>
  <c r="N32" i="7"/>
  <c r="M32" i="7"/>
  <c r="N31" i="7"/>
  <c r="M31" i="7"/>
  <c r="N30" i="7"/>
  <c r="M30" i="7"/>
  <c r="N29" i="7"/>
  <c r="M29" i="7"/>
  <c r="N28" i="7"/>
  <c r="M28" i="7"/>
  <c r="N27" i="7"/>
  <c r="M27" i="7"/>
  <c r="N26" i="7"/>
  <c r="M26" i="7"/>
  <c r="N25" i="7"/>
  <c r="M25" i="7"/>
  <c r="N24" i="7"/>
  <c r="M24" i="7"/>
  <c r="N23" i="7"/>
  <c r="M23" i="7"/>
  <c r="N22" i="7"/>
  <c r="M22" i="7"/>
  <c r="N21" i="7"/>
  <c r="M21" i="7"/>
  <c r="N20" i="7"/>
  <c r="M20" i="7"/>
  <c r="N19" i="7"/>
  <c r="M19" i="7"/>
  <c r="N18" i="7"/>
  <c r="M18" i="7"/>
  <c r="N17" i="7"/>
  <c r="M17" i="7"/>
  <c r="N16" i="7"/>
  <c r="M16" i="7"/>
  <c r="N15" i="7"/>
  <c r="M15" i="7"/>
  <c r="N14" i="7"/>
  <c r="M14" i="7"/>
  <c r="N13" i="7"/>
  <c r="M13" i="7"/>
  <c r="N12" i="7"/>
  <c r="M12" i="7"/>
  <c r="N11" i="7"/>
  <c r="M11" i="7"/>
  <c r="N10" i="7"/>
  <c r="M10" i="7"/>
  <c r="N9" i="7"/>
  <c r="M9" i="7"/>
  <c r="N8" i="7"/>
  <c r="M8" i="7"/>
  <c r="N7" i="7"/>
  <c r="M7" i="7"/>
  <c r="N6" i="7"/>
  <c r="M6" i="7"/>
  <c r="K58" i="7"/>
  <c r="J58" i="7"/>
  <c r="H58" i="7"/>
  <c r="L58" i="7" s="1"/>
  <c r="G58" i="7"/>
  <c r="K57" i="7"/>
  <c r="J57" i="7"/>
  <c r="H57" i="7"/>
  <c r="I57" i="7" s="1"/>
  <c r="D57" i="7" s="1"/>
  <c r="G57" i="7"/>
  <c r="K56" i="7"/>
  <c r="J56" i="7"/>
  <c r="H56" i="7"/>
  <c r="I56" i="7" s="1"/>
  <c r="D56" i="7" s="1"/>
  <c r="G56" i="7"/>
  <c r="K49" i="7"/>
  <c r="J49" i="7"/>
  <c r="H49" i="7"/>
  <c r="L49" i="7" s="1"/>
  <c r="G49" i="7"/>
  <c r="K48" i="7"/>
  <c r="J48" i="7"/>
  <c r="H48" i="7"/>
  <c r="I48" i="7" s="1"/>
  <c r="D48" i="7" s="1"/>
  <c r="G48" i="7"/>
  <c r="K47" i="7"/>
  <c r="J47" i="7"/>
  <c r="H47" i="7"/>
  <c r="I47" i="7" s="1"/>
  <c r="D47" i="7" s="1"/>
  <c r="G47" i="7"/>
  <c r="K46" i="7"/>
  <c r="J46" i="7"/>
  <c r="H46" i="7"/>
  <c r="I46" i="7" s="1"/>
  <c r="D46" i="7" s="1"/>
  <c r="G46" i="7"/>
  <c r="K45" i="7"/>
  <c r="J45" i="7"/>
  <c r="H45" i="7"/>
  <c r="L45" i="7" s="1"/>
  <c r="G45" i="7"/>
  <c r="K44" i="7"/>
  <c r="J44" i="7"/>
  <c r="H44" i="7"/>
  <c r="I44" i="7" s="1"/>
  <c r="D44" i="7" s="1"/>
  <c r="G44" i="7"/>
  <c r="K43" i="7"/>
  <c r="J43" i="7"/>
  <c r="H43" i="7"/>
  <c r="L43" i="7" s="1"/>
  <c r="G43" i="7"/>
  <c r="K42" i="7"/>
  <c r="J42" i="7"/>
  <c r="H42" i="7"/>
  <c r="I42" i="7" s="1"/>
  <c r="D42" i="7" s="1"/>
  <c r="G42" i="7"/>
  <c r="K41" i="7"/>
  <c r="J41" i="7"/>
  <c r="H41" i="7"/>
  <c r="L41" i="7" s="1"/>
  <c r="G41" i="7"/>
  <c r="K40" i="7"/>
  <c r="J40" i="7"/>
  <c r="H40" i="7"/>
  <c r="I40" i="7" s="1"/>
  <c r="D40" i="7" s="1"/>
  <c r="G40" i="7"/>
  <c r="K39" i="7"/>
  <c r="J39" i="7"/>
  <c r="H39" i="7"/>
  <c r="I39" i="7" s="1"/>
  <c r="D39" i="7" s="1"/>
  <c r="G39" i="7"/>
  <c r="K38" i="7"/>
  <c r="J38" i="7"/>
  <c r="H38" i="7"/>
  <c r="I38" i="7" s="1"/>
  <c r="D38" i="7" s="1"/>
  <c r="G38" i="7"/>
  <c r="K37" i="7"/>
  <c r="J37" i="7"/>
  <c r="H37" i="7"/>
  <c r="L37" i="7" s="1"/>
  <c r="G37" i="7"/>
  <c r="K36" i="7"/>
  <c r="J36" i="7"/>
  <c r="H36" i="7"/>
  <c r="I36" i="7" s="1"/>
  <c r="D36" i="7" s="1"/>
  <c r="G36" i="7"/>
  <c r="K35" i="7"/>
  <c r="J35" i="7"/>
  <c r="H35" i="7"/>
  <c r="I35" i="7" s="1"/>
  <c r="D35" i="7" s="1"/>
  <c r="G35" i="7"/>
  <c r="K34" i="7"/>
  <c r="J34" i="7"/>
  <c r="H34" i="7"/>
  <c r="L34" i="7" s="1"/>
  <c r="G34" i="7"/>
  <c r="K33" i="7"/>
  <c r="J33" i="7"/>
  <c r="H33" i="7"/>
  <c r="L33" i="7" s="1"/>
  <c r="G33" i="7"/>
  <c r="K32" i="7"/>
  <c r="J32" i="7"/>
  <c r="H32" i="7"/>
  <c r="L32" i="7" s="1"/>
  <c r="G32" i="7"/>
  <c r="K31" i="7"/>
  <c r="J31" i="7"/>
  <c r="H31" i="7"/>
  <c r="L31" i="7" s="1"/>
  <c r="G31" i="7"/>
  <c r="K30" i="7"/>
  <c r="J30" i="7"/>
  <c r="H30" i="7"/>
  <c r="L30" i="7" s="1"/>
  <c r="G30" i="7"/>
  <c r="K29" i="7"/>
  <c r="J29" i="7"/>
  <c r="H29" i="7"/>
  <c r="L29" i="7" s="1"/>
  <c r="G29" i="7"/>
  <c r="K28" i="7"/>
  <c r="J28" i="7"/>
  <c r="H28" i="7"/>
  <c r="I28" i="7" s="1"/>
  <c r="D28" i="7" s="1"/>
  <c r="G28" i="7"/>
  <c r="K27" i="7"/>
  <c r="J27" i="7"/>
  <c r="H27" i="7"/>
  <c r="I27" i="7" s="1"/>
  <c r="D27" i="7" s="1"/>
  <c r="G27" i="7"/>
  <c r="K26" i="7"/>
  <c r="J26" i="7"/>
  <c r="H26" i="7"/>
  <c r="I26" i="7" s="1"/>
  <c r="D26" i="7" s="1"/>
  <c r="G26" i="7"/>
  <c r="K25" i="7"/>
  <c r="J25" i="7"/>
  <c r="H25" i="7"/>
  <c r="L25" i="7" s="1"/>
  <c r="G25" i="7"/>
  <c r="K24" i="7"/>
  <c r="J24" i="7"/>
  <c r="H24" i="7"/>
  <c r="I24" i="7" s="1"/>
  <c r="D24" i="7" s="1"/>
  <c r="G24" i="7"/>
  <c r="K23" i="7"/>
  <c r="J23" i="7"/>
  <c r="H23" i="7"/>
  <c r="L23" i="7" s="1"/>
  <c r="G23" i="7"/>
  <c r="K22" i="7"/>
  <c r="J22" i="7"/>
  <c r="H22" i="7"/>
  <c r="L22" i="7" s="1"/>
  <c r="G22" i="7"/>
  <c r="K21" i="7"/>
  <c r="J21" i="7"/>
  <c r="H21" i="7"/>
  <c r="L21" i="7" s="1"/>
  <c r="G21" i="7"/>
  <c r="K20" i="7"/>
  <c r="J20" i="7"/>
  <c r="H20" i="7"/>
  <c r="L20" i="7" s="1"/>
  <c r="G20" i="7"/>
  <c r="K19" i="7"/>
  <c r="J19" i="7"/>
  <c r="H19" i="7"/>
  <c r="L19" i="7" s="1"/>
  <c r="G19" i="7"/>
  <c r="K18" i="7"/>
  <c r="J18" i="7"/>
  <c r="H18" i="7"/>
  <c r="L18" i="7" s="1"/>
  <c r="G18" i="7"/>
  <c r="K17" i="7"/>
  <c r="J17" i="7"/>
  <c r="H17" i="7"/>
  <c r="L17" i="7" s="1"/>
  <c r="G17" i="7"/>
  <c r="K16" i="7"/>
  <c r="J16" i="7"/>
  <c r="H16" i="7"/>
  <c r="L16" i="7" s="1"/>
  <c r="G16" i="7"/>
  <c r="K15" i="7"/>
  <c r="J15" i="7"/>
  <c r="H15" i="7"/>
  <c r="L15" i="7" s="1"/>
  <c r="G15" i="7"/>
  <c r="K14" i="7"/>
  <c r="J14" i="7"/>
  <c r="H14" i="7"/>
  <c r="I14" i="7" s="1"/>
  <c r="D14" i="7" s="1"/>
  <c r="G14" i="7"/>
  <c r="K13" i="7"/>
  <c r="J13" i="7"/>
  <c r="H13" i="7"/>
  <c r="L13" i="7" s="1"/>
  <c r="G13" i="7"/>
  <c r="K12" i="7"/>
  <c r="J12" i="7"/>
  <c r="H12" i="7"/>
  <c r="L12" i="7" s="1"/>
  <c r="G12" i="7"/>
  <c r="K11" i="7"/>
  <c r="J11" i="7"/>
  <c r="H11" i="7"/>
  <c r="I11" i="7" s="1"/>
  <c r="D11" i="7" s="1"/>
  <c r="G11" i="7"/>
  <c r="H6" i="7"/>
  <c r="H7" i="7"/>
  <c r="H8" i="7"/>
  <c r="H9" i="7"/>
  <c r="H10" i="7"/>
  <c r="L10" i="7" s="1"/>
  <c r="K10" i="7"/>
  <c r="J10" i="7"/>
  <c r="J9" i="7"/>
  <c r="K9" i="7" s="1"/>
  <c r="J8" i="7"/>
  <c r="K8" i="7" s="1"/>
  <c r="J7" i="7"/>
  <c r="K7" i="7" s="1"/>
  <c r="J6" i="7"/>
  <c r="K6" i="7" s="1"/>
  <c r="G10" i="7"/>
  <c r="G9" i="7"/>
  <c r="G8" i="7"/>
  <c r="G7" i="7"/>
  <c r="G6" i="7"/>
  <c r="R29" i="14"/>
  <c r="R28" i="14"/>
  <c r="R27" i="14"/>
  <c r="AC64" i="14"/>
  <c r="AO64" i="14" s="1"/>
  <c r="AC63" i="14"/>
  <c r="AO63" i="14" s="1"/>
  <c r="AC62" i="14"/>
  <c r="AC57" i="14"/>
  <c r="AD57" i="14" s="1"/>
  <c r="AE57" i="14" s="1"/>
  <c r="G57" i="14" s="1"/>
  <c r="AC56" i="14"/>
  <c r="AH64" i="14"/>
  <c r="AI64" i="14" s="1"/>
  <c r="S64" i="14" s="1"/>
  <c r="AH63" i="14"/>
  <c r="AK63" i="14" s="1"/>
  <c r="AH62" i="14"/>
  <c r="Q62" i="14" s="1"/>
  <c r="BB62" i="14" s="1"/>
  <c r="AP64" i="14"/>
  <c r="AP63" i="14"/>
  <c r="AP62" i="14"/>
  <c r="AP57" i="14"/>
  <c r="AP56" i="14"/>
  <c r="AP55" i="14"/>
  <c r="AP53" i="14"/>
  <c r="AP52" i="14"/>
  <c r="AP51" i="14"/>
  <c r="AP50" i="14"/>
  <c r="AP49" i="14"/>
  <c r="AP48" i="14"/>
  <c r="AP47" i="14"/>
  <c r="AP41" i="14"/>
  <c r="AP40" i="14"/>
  <c r="AP34" i="14"/>
  <c r="AP33" i="14"/>
  <c r="AP32" i="14"/>
  <c r="AP31" i="14"/>
  <c r="AP29" i="14"/>
  <c r="AP28" i="14"/>
  <c r="AP27" i="14"/>
  <c r="AP11" i="14"/>
  <c r="AP10" i="14"/>
  <c r="AP9" i="14"/>
  <c r="AP8" i="14"/>
  <c r="AP7" i="14"/>
  <c r="AO54" i="14"/>
  <c r="AO30" i="14"/>
  <c r="AN64" i="14"/>
  <c r="AN63" i="14"/>
  <c r="AN62" i="14"/>
  <c r="AN57" i="14"/>
  <c r="AN56" i="14"/>
  <c r="AN55" i="14"/>
  <c r="BE55" i="14" s="1"/>
  <c r="AN53" i="14"/>
  <c r="AN52" i="14"/>
  <c r="AN51" i="14"/>
  <c r="AN50" i="14"/>
  <c r="AN49" i="14"/>
  <c r="AN48" i="14"/>
  <c r="AN47" i="14"/>
  <c r="AN41" i="14"/>
  <c r="AN40" i="14"/>
  <c r="AN34" i="14"/>
  <c r="AN33" i="14"/>
  <c r="AN32" i="14"/>
  <c r="AN31" i="14"/>
  <c r="AN29" i="14"/>
  <c r="AN28" i="14"/>
  <c r="AN27" i="14"/>
  <c r="AN11" i="14"/>
  <c r="AN10" i="14"/>
  <c r="BE10" i="14" s="1"/>
  <c r="AN9" i="14"/>
  <c r="BE9" i="14" s="1"/>
  <c r="AN8" i="14"/>
  <c r="R64" i="14"/>
  <c r="R63" i="14"/>
  <c r="R62" i="14"/>
  <c r="R57" i="14"/>
  <c r="R56" i="14"/>
  <c r="R55" i="14"/>
  <c r="AG64" i="14"/>
  <c r="AG63" i="14"/>
  <c r="AG62" i="14"/>
  <c r="AG57" i="14"/>
  <c r="AG56" i="14"/>
  <c r="AG55" i="14"/>
  <c r="AB55" i="14"/>
  <c r="AC55" i="14"/>
  <c r="W64" i="14"/>
  <c r="W63" i="14"/>
  <c r="W62" i="14"/>
  <c r="W57" i="14"/>
  <c r="W56" i="14"/>
  <c r="V64" i="14"/>
  <c r="AM64" i="14" s="1"/>
  <c r="V63" i="14"/>
  <c r="AF63" i="14" s="1"/>
  <c r="V62" i="14"/>
  <c r="AM62" i="14" s="1"/>
  <c r="V57" i="14"/>
  <c r="V56" i="14"/>
  <c r="AM56" i="14" s="1"/>
  <c r="V55" i="14"/>
  <c r="AT52" i="13"/>
  <c r="AT48" i="13"/>
  <c r="AV72" i="13"/>
  <c r="AT72" i="13"/>
  <c r="AV71" i="13"/>
  <c r="AT71" i="13"/>
  <c r="AV67" i="13"/>
  <c r="AT67" i="13"/>
  <c r="AV66" i="13"/>
  <c r="AT66" i="13"/>
  <c r="AV65" i="13"/>
  <c r="AT65" i="13"/>
  <c r="AV64" i="13"/>
  <c r="AT64" i="13"/>
  <c r="AV63" i="13"/>
  <c r="AT63" i="13"/>
  <c r="AV62" i="13"/>
  <c r="AT62" i="13"/>
  <c r="AV61" i="13"/>
  <c r="AT61" i="13"/>
  <c r="AV60" i="13"/>
  <c r="AT60" i="13"/>
  <c r="AV59" i="13"/>
  <c r="AT59" i="13"/>
  <c r="AV58" i="13"/>
  <c r="AT58" i="13"/>
  <c r="AV57" i="13"/>
  <c r="AT57" i="13"/>
  <c r="AV56" i="13"/>
  <c r="AT56" i="13"/>
  <c r="AV55" i="13"/>
  <c r="AT55" i="13"/>
  <c r="AV54" i="13"/>
  <c r="AT54" i="13"/>
  <c r="AV53" i="13"/>
  <c r="AV52" i="13"/>
  <c r="AV51" i="13"/>
  <c r="AV50" i="13"/>
  <c r="AV49" i="13"/>
  <c r="AV48" i="13"/>
  <c r="AB64" i="14"/>
  <c r="X64" i="14"/>
  <c r="AB63" i="14"/>
  <c r="X63" i="14"/>
  <c r="AB62" i="14"/>
  <c r="X62" i="14"/>
  <c r="AB57" i="14"/>
  <c r="X57" i="14"/>
  <c r="AB56" i="14"/>
  <c r="X56" i="14"/>
  <c r="X55" i="14"/>
  <c r="R11" i="14"/>
  <c r="R10" i="14"/>
  <c r="R9" i="14"/>
  <c r="R8" i="14"/>
  <c r="R7" i="14"/>
  <c r="AE53" i="14"/>
  <c r="G53" i="14" s="1"/>
  <c r="AY53" i="14" s="1"/>
  <c r="AE52" i="14"/>
  <c r="G52" i="14" s="1"/>
  <c r="AY52" i="14" s="1"/>
  <c r="AE51" i="14"/>
  <c r="G51" i="14" s="1"/>
  <c r="AY51" i="14" s="1"/>
  <c r="AE50" i="14"/>
  <c r="G50" i="14" s="1"/>
  <c r="AY50" i="14" s="1"/>
  <c r="AE49" i="14"/>
  <c r="G49" i="14" s="1"/>
  <c r="AY49" i="14" s="1"/>
  <c r="AE48" i="14"/>
  <c r="G48" i="14" s="1"/>
  <c r="AY48" i="14" s="1"/>
  <c r="AE47" i="14"/>
  <c r="G47" i="14" s="1"/>
  <c r="AY47" i="14" s="1"/>
  <c r="AE41" i="14"/>
  <c r="G41" i="14" s="1"/>
  <c r="AY41" i="14" s="1"/>
  <c r="AE40" i="14"/>
  <c r="G40" i="14" s="1"/>
  <c r="AY40" i="14" s="1"/>
  <c r="AE34" i="14"/>
  <c r="G34" i="14" s="1"/>
  <c r="AY34" i="14" s="1"/>
  <c r="AE33" i="14"/>
  <c r="G33" i="14" s="1"/>
  <c r="AE32" i="14"/>
  <c r="G32" i="14" s="1"/>
  <c r="AE31" i="14"/>
  <c r="G31" i="14" s="1"/>
  <c r="Z8" i="14"/>
  <c r="Z9" i="14"/>
  <c r="Z10" i="14"/>
  <c r="Z11" i="14"/>
  <c r="Z27" i="14"/>
  <c r="Z28" i="14"/>
  <c r="Z29" i="14"/>
  <c r="AB29" i="14"/>
  <c r="AB28" i="14"/>
  <c r="AB27" i="14"/>
  <c r="AB11" i="14"/>
  <c r="AB10" i="14"/>
  <c r="AB9" i="14"/>
  <c r="AB8" i="14"/>
  <c r="AB7" i="14"/>
  <c r="AG29" i="14"/>
  <c r="AH29" i="14" s="1"/>
  <c r="Q29" i="14" s="1"/>
  <c r="BB29" i="14" s="1"/>
  <c r="AG28" i="14"/>
  <c r="AH28" i="14" s="1"/>
  <c r="Q28" i="14" s="1"/>
  <c r="BB28" i="14" s="1"/>
  <c r="AG27" i="14"/>
  <c r="AH27" i="14" s="1"/>
  <c r="Q27" i="14" s="1"/>
  <c r="BB27" i="14" s="1"/>
  <c r="AG11" i="14"/>
  <c r="AG10" i="14"/>
  <c r="AG9" i="14"/>
  <c r="AG8" i="14"/>
  <c r="AG7" i="14"/>
  <c r="Y29" i="14"/>
  <c r="Y28" i="14"/>
  <c r="Y27" i="14"/>
  <c r="Y11" i="14"/>
  <c r="Y10" i="14"/>
  <c r="Y9" i="14"/>
  <c r="Y8" i="14"/>
  <c r="Y7" i="14"/>
  <c r="X29" i="14"/>
  <c r="X28" i="14"/>
  <c r="X27" i="14"/>
  <c r="X11" i="14"/>
  <c r="X10" i="14"/>
  <c r="X9" i="14"/>
  <c r="X8" i="14"/>
  <c r="X7" i="14"/>
  <c r="AF29" i="14"/>
  <c r="W28" i="14"/>
  <c r="W27" i="14"/>
  <c r="W11" i="14"/>
  <c r="W9" i="14"/>
  <c r="W8" i="14"/>
  <c r="W7" i="14"/>
  <c r="AJ53" i="14"/>
  <c r="AJ52" i="14"/>
  <c r="AJ51" i="14"/>
  <c r="AJ50" i="14"/>
  <c r="AJ49" i="14"/>
  <c r="AJ48" i="14"/>
  <c r="AJ47" i="14"/>
  <c r="AJ41" i="14"/>
  <c r="AJ40" i="14"/>
  <c r="AJ34" i="14"/>
  <c r="AJ33" i="14"/>
  <c r="AJ32" i="14"/>
  <c r="AJ31" i="14"/>
  <c r="R53" i="14"/>
  <c r="R52" i="14"/>
  <c r="R51" i="14"/>
  <c r="R50" i="14"/>
  <c r="R49" i="14"/>
  <c r="R48" i="14"/>
  <c r="R47" i="14"/>
  <c r="R41" i="14"/>
  <c r="R40" i="14"/>
  <c r="R34" i="14"/>
  <c r="R33" i="14"/>
  <c r="R32" i="14"/>
  <c r="R31" i="14"/>
  <c r="U7" i="13"/>
  <c r="AH53" i="14"/>
  <c r="AH52" i="14"/>
  <c r="AI52" i="14" s="1"/>
  <c r="S52" i="14" s="1"/>
  <c r="AH51" i="14"/>
  <c r="AI51" i="14" s="1"/>
  <c r="S51" i="14" s="1"/>
  <c r="AH50" i="14"/>
  <c r="AI50" i="14" s="1"/>
  <c r="S50" i="14" s="1"/>
  <c r="AH49" i="14"/>
  <c r="AI49" i="14" s="1"/>
  <c r="S49" i="14" s="1"/>
  <c r="AH48" i="14"/>
  <c r="AI48" i="14" s="1"/>
  <c r="S48" i="14" s="1"/>
  <c r="AH47" i="14"/>
  <c r="AI47" i="14" s="1"/>
  <c r="S47" i="14" s="1"/>
  <c r="AH41" i="14"/>
  <c r="Q41" i="14" s="1"/>
  <c r="BB41" i="14" s="1"/>
  <c r="AH40" i="14"/>
  <c r="AH34" i="14"/>
  <c r="AG53" i="14"/>
  <c r="AG52" i="14"/>
  <c r="AG51" i="14"/>
  <c r="AG50" i="14"/>
  <c r="AG49" i="14"/>
  <c r="AG48" i="14"/>
  <c r="AG47" i="14"/>
  <c r="AG41" i="14"/>
  <c r="AG40" i="14"/>
  <c r="AG34" i="14"/>
  <c r="AG33" i="14"/>
  <c r="AG32" i="14"/>
  <c r="AG31" i="14"/>
  <c r="AB53" i="14"/>
  <c r="AB52" i="14"/>
  <c r="AB51" i="14"/>
  <c r="AB50" i="14"/>
  <c r="AB49" i="14"/>
  <c r="AB48" i="14"/>
  <c r="AB47" i="14"/>
  <c r="AB41" i="14"/>
  <c r="AB40" i="14"/>
  <c r="AB34" i="14"/>
  <c r="AB33" i="14"/>
  <c r="AB32" i="14"/>
  <c r="AB31" i="14"/>
  <c r="Y53" i="14"/>
  <c r="Y52" i="14"/>
  <c r="Y51" i="14"/>
  <c r="Y50" i="14"/>
  <c r="Y49" i="14"/>
  <c r="Y48" i="14"/>
  <c r="Y47" i="14"/>
  <c r="Y41" i="14"/>
  <c r="Y40" i="14"/>
  <c r="Y34" i="14"/>
  <c r="Y33" i="14"/>
  <c r="Y32" i="14"/>
  <c r="Y31" i="14"/>
  <c r="X53" i="14"/>
  <c r="X52" i="14"/>
  <c r="X51" i="14"/>
  <c r="X50" i="14"/>
  <c r="X49" i="14"/>
  <c r="X48" i="14"/>
  <c r="X47" i="14"/>
  <c r="X41" i="14"/>
  <c r="X40" i="14"/>
  <c r="X34" i="14"/>
  <c r="X33" i="14"/>
  <c r="X32" i="14"/>
  <c r="X31" i="14"/>
  <c r="W53" i="14"/>
  <c r="W52" i="14"/>
  <c r="W51" i="14"/>
  <c r="W50" i="14"/>
  <c r="W49" i="14"/>
  <c r="AF48" i="14"/>
  <c r="AF47" i="14"/>
  <c r="W41" i="14"/>
  <c r="W40" i="14"/>
  <c r="W34" i="14"/>
  <c r="W33" i="14"/>
  <c r="W32" i="14"/>
  <c r="AD62" i="14" l="1"/>
  <c r="AE62" i="14" s="1"/>
  <c r="G62" i="14" s="1"/>
  <c r="E23" i="7"/>
  <c r="P23" i="7"/>
  <c r="E31" i="7"/>
  <c r="P31" i="7"/>
  <c r="E37" i="7"/>
  <c r="P37" i="7"/>
  <c r="E43" i="7"/>
  <c r="P43" i="7"/>
  <c r="E19" i="7"/>
  <c r="P19" i="7"/>
  <c r="E21" i="7"/>
  <c r="P21" i="7"/>
  <c r="E29" i="7"/>
  <c r="P29" i="7"/>
  <c r="E49" i="7"/>
  <c r="P49" i="7"/>
  <c r="E15" i="7"/>
  <c r="P15" i="7"/>
  <c r="E25" i="7"/>
  <c r="P25" i="7"/>
  <c r="E45" i="7"/>
  <c r="P45" i="7"/>
  <c r="E10" i="7"/>
  <c r="P10" i="7"/>
  <c r="E13" i="7"/>
  <c r="P13" i="7"/>
  <c r="E33" i="7"/>
  <c r="P33" i="7"/>
  <c r="E41" i="7"/>
  <c r="P41" i="7"/>
  <c r="E17" i="7"/>
  <c r="P17" i="7"/>
  <c r="E12" i="7"/>
  <c r="P12" i="7"/>
  <c r="E16" i="7"/>
  <c r="P16" i="7"/>
  <c r="E20" i="7"/>
  <c r="P20" i="7"/>
  <c r="E30" i="7"/>
  <c r="P30" i="7"/>
  <c r="E34" i="7"/>
  <c r="P34" i="7"/>
  <c r="E58" i="7"/>
  <c r="P58" i="7"/>
  <c r="E18" i="7"/>
  <c r="P18" i="7"/>
  <c r="E22" i="7"/>
  <c r="P22" i="7"/>
  <c r="E32" i="7"/>
  <c r="P32" i="7"/>
  <c r="T63" i="14"/>
  <c r="BC63" i="14"/>
  <c r="M64" i="19"/>
  <c r="M63" i="19"/>
  <c r="O6" i="7"/>
  <c r="M65" i="19"/>
  <c r="M67" i="19"/>
  <c r="AS56" i="14"/>
  <c r="L36" i="7"/>
  <c r="L44" i="7"/>
  <c r="L35" i="7"/>
  <c r="L27" i="7"/>
  <c r="I10" i="7"/>
  <c r="D10" i="7" s="1"/>
  <c r="AA11" i="14"/>
  <c r="AA10" i="14"/>
  <c r="AA9" i="14"/>
  <c r="AD55" i="14"/>
  <c r="AE55" i="14" s="1"/>
  <c r="G55" i="14" s="1"/>
  <c r="AA8" i="14"/>
  <c r="AA7" i="14"/>
  <c r="I23" i="7"/>
  <c r="D23" i="7" s="1"/>
  <c r="L28" i="7"/>
  <c r="L11" i="7"/>
  <c r="L40" i="7"/>
  <c r="I16" i="7"/>
  <c r="D16" i="7" s="1"/>
  <c r="I19" i="7"/>
  <c r="D19" i="7" s="1"/>
  <c r="L24" i="7"/>
  <c r="L47" i="7"/>
  <c r="L39" i="7"/>
  <c r="I31" i="7"/>
  <c r="D31" i="7" s="1"/>
  <c r="I20" i="7"/>
  <c r="D20" i="7" s="1"/>
  <c r="L48" i="7"/>
  <c r="I12" i="7"/>
  <c r="D12" i="7" s="1"/>
  <c r="I43" i="7"/>
  <c r="D43" i="7" s="1"/>
  <c r="L57" i="7"/>
  <c r="I32" i="7"/>
  <c r="D32" i="7" s="1"/>
  <c r="I15" i="7"/>
  <c r="D15" i="7" s="1"/>
  <c r="AM28" i="14"/>
  <c r="AM55" i="14"/>
  <c r="AC27" i="14"/>
  <c r="AO27" i="14" s="1"/>
  <c r="AH55" i="14"/>
  <c r="Q55" i="14" s="1"/>
  <c r="BB55" i="14" s="1"/>
  <c r="AC34" i="14"/>
  <c r="AO34" i="14" s="1"/>
  <c r="AM50" i="14"/>
  <c r="AC47" i="14"/>
  <c r="AO47" i="14" s="1"/>
  <c r="AC52" i="14"/>
  <c r="AO52" i="14" s="1"/>
  <c r="AK47" i="14"/>
  <c r="AK28" i="14"/>
  <c r="W55" i="14"/>
  <c r="AK29" i="14"/>
  <c r="AC28" i="14"/>
  <c r="AO28" i="14" s="1"/>
  <c r="AC40" i="14"/>
  <c r="AO40" i="14" s="1"/>
  <c r="AC53" i="14"/>
  <c r="AO53" i="14" s="1"/>
  <c r="AM40" i="14"/>
  <c r="AM49" i="14"/>
  <c r="AM53" i="14"/>
  <c r="AM32" i="14"/>
  <c r="AR32" i="14" s="1"/>
  <c r="AV32" i="14" s="1"/>
  <c r="AY32" i="14" s="1"/>
  <c r="AK41" i="14"/>
  <c r="AC29" i="14"/>
  <c r="AO29" i="14" s="1"/>
  <c r="AC41" i="14"/>
  <c r="AO41" i="14" s="1"/>
  <c r="AM27" i="14"/>
  <c r="AO55" i="14"/>
  <c r="AC32" i="14"/>
  <c r="AO32" i="14" s="1"/>
  <c r="AM41" i="14"/>
  <c r="AH8" i="14"/>
  <c r="AC48" i="14"/>
  <c r="AO48" i="14" s="1"/>
  <c r="AM29" i="14"/>
  <c r="AI62" i="14"/>
  <c r="S62" i="14" s="1"/>
  <c r="AC49" i="14"/>
  <c r="AO49" i="14" s="1"/>
  <c r="AM47" i="14"/>
  <c r="AM51" i="14"/>
  <c r="AC50" i="14"/>
  <c r="AO50" i="14" s="1"/>
  <c r="AC51" i="14"/>
  <c r="AO51" i="14" s="1"/>
  <c r="AM34" i="14"/>
  <c r="AM48" i="14"/>
  <c r="AM52" i="14"/>
  <c r="Q64" i="14"/>
  <c r="BB64" i="14" s="1"/>
  <c r="AK48" i="14"/>
  <c r="Q63" i="14"/>
  <c r="BB63" i="14" s="1"/>
  <c r="AK50" i="14"/>
  <c r="AK51" i="14"/>
  <c r="AK34" i="14"/>
  <c r="AK52" i="14"/>
  <c r="AK49" i="14"/>
  <c r="AK40" i="14"/>
  <c r="AK53" i="14"/>
  <c r="I18" i="7"/>
  <c r="D18" i="7" s="1"/>
  <c r="I22" i="7"/>
  <c r="D22" i="7" s="1"/>
  <c r="I30" i="7"/>
  <c r="D30" i="7" s="1"/>
  <c r="I13" i="7"/>
  <c r="D13" i="7" s="1"/>
  <c r="I17" i="7"/>
  <c r="D17" i="7" s="1"/>
  <c r="I21" i="7"/>
  <c r="D21" i="7" s="1"/>
  <c r="I25" i="7"/>
  <c r="D25" i="7" s="1"/>
  <c r="I29" i="7"/>
  <c r="D29" i="7" s="1"/>
  <c r="I33" i="7"/>
  <c r="D33" i="7" s="1"/>
  <c r="I37" i="7"/>
  <c r="D37" i="7" s="1"/>
  <c r="I41" i="7"/>
  <c r="D41" i="7" s="1"/>
  <c r="I45" i="7"/>
  <c r="D45" i="7" s="1"/>
  <c r="I49" i="7"/>
  <c r="D49" i="7" s="1"/>
  <c r="I58" i="7"/>
  <c r="D58" i="7" s="1"/>
  <c r="I34" i="7"/>
  <c r="D34" i="7" s="1"/>
  <c r="L14" i="7"/>
  <c r="L26" i="7"/>
  <c r="L38" i="7"/>
  <c r="L42" i="7"/>
  <c r="L46" i="7"/>
  <c r="L56" i="7"/>
  <c r="AH57" i="14"/>
  <c r="Q57" i="14" s="1"/>
  <c r="BB57" i="14" s="1"/>
  <c r="AH56" i="14"/>
  <c r="Q56" i="14" s="1"/>
  <c r="BB56" i="14" s="1"/>
  <c r="AD56" i="14"/>
  <c r="AE56" i="14" s="1"/>
  <c r="G56" i="14" s="1"/>
  <c r="AM63" i="14"/>
  <c r="AO56" i="14"/>
  <c r="AR56" i="14" s="1"/>
  <c r="AV56" i="14" s="1"/>
  <c r="AY56" i="14" s="1"/>
  <c r="AD64" i="14"/>
  <c r="AE64" i="14" s="1"/>
  <c r="G64" i="14" s="1"/>
  <c r="AY64" i="14" s="1"/>
  <c r="AO62" i="14"/>
  <c r="AR62" i="14" s="1"/>
  <c r="AV62" i="14" s="1"/>
  <c r="AY62" i="14" s="1"/>
  <c r="AD63" i="14"/>
  <c r="AE63" i="14" s="1"/>
  <c r="G63" i="14" s="1"/>
  <c r="AY63" i="14" s="1"/>
  <c r="AC33" i="14"/>
  <c r="AO33" i="14" s="1"/>
  <c r="AM33" i="14"/>
  <c r="AC31" i="14"/>
  <c r="AO31" i="14" s="1"/>
  <c r="AM31" i="14"/>
  <c r="AH10" i="14"/>
  <c r="BF10" i="14" s="1"/>
  <c r="AD8" i="14"/>
  <c r="AE8" i="14" s="1"/>
  <c r="G8" i="14" s="1"/>
  <c r="AM7" i="14"/>
  <c r="AD7" i="14"/>
  <c r="AM8" i="14"/>
  <c r="AM11" i="14"/>
  <c r="AC7" i="14"/>
  <c r="AO7" i="14" s="1"/>
  <c r="AM9" i="14"/>
  <c r="AC8" i="14"/>
  <c r="AO8" i="14" s="1"/>
  <c r="AS8" i="14" s="1"/>
  <c r="AM10" i="14"/>
  <c r="AC10" i="14"/>
  <c r="AO10" i="14" s="1"/>
  <c r="AC9" i="14"/>
  <c r="AO9" i="14" s="1"/>
  <c r="AC11" i="14"/>
  <c r="AO11" i="14" s="1"/>
  <c r="AK27" i="14"/>
  <c r="AO57" i="14"/>
  <c r="AF64" i="14"/>
  <c r="AM57" i="14"/>
  <c r="AR57" i="14" s="1"/>
  <c r="AV57" i="14" s="1"/>
  <c r="AY57" i="14" s="1"/>
  <c r="AK62" i="14"/>
  <c r="AK64" i="14"/>
  <c r="BC64" i="14" s="1"/>
  <c r="AI63" i="14"/>
  <c r="S63" i="14" s="1"/>
  <c r="W10" i="14"/>
  <c r="AD9" i="14"/>
  <c r="AE9" i="14" s="1"/>
  <c r="G9" i="14" s="1"/>
  <c r="AD10" i="14"/>
  <c r="AE10" i="14" s="1"/>
  <c r="G10" i="14" s="1"/>
  <c r="AH11" i="14"/>
  <c r="AH9" i="14"/>
  <c r="BF9" i="14" s="1"/>
  <c r="AH7" i="14"/>
  <c r="BF7" i="14" s="1"/>
  <c r="AF28" i="14"/>
  <c r="W29" i="14"/>
  <c r="AD29" i="14"/>
  <c r="AE29" i="14" s="1"/>
  <c r="G29" i="14" s="1"/>
  <c r="AY29" i="14" s="1"/>
  <c r="AF27" i="14"/>
  <c r="AD27" i="14"/>
  <c r="AE27" i="14" s="1"/>
  <c r="G27" i="14" s="1"/>
  <c r="AY27" i="14" s="1"/>
  <c r="AD28" i="14"/>
  <c r="AE28" i="14" s="1"/>
  <c r="G28" i="14" s="1"/>
  <c r="AY28" i="14" s="1"/>
  <c r="AD11" i="14"/>
  <c r="AE11" i="14" s="1"/>
  <c r="G11" i="14" s="1"/>
  <c r="W48" i="14"/>
  <c r="AI40" i="14"/>
  <c r="S40" i="14" s="1"/>
  <c r="AI34" i="14"/>
  <c r="S34" i="14" s="1"/>
  <c r="AF50" i="14"/>
  <c r="AI53" i="14"/>
  <c r="S53" i="14" s="1"/>
  <c r="AI41" i="14"/>
  <c r="S41" i="14" s="1"/>
  <c r="Q48" i="14"/>
  <c r="BB48" i="14" s="1"/>
  <c r="Q47" i="14"/>
  <c r="BB47" i="14" s="1"/>
  <c r="Q49" i="14"/>
  <c r="BB49" i="14" s="1"/>
  <c r="AH31" i="14"/>
  <c r="BF31" i="14" s="1"/>
  <c r="Q50" i="14"/>
  <c r="BB50" i="14" s="1"/>
  <c r="AH33" i="14"/>
  <c r="Q51" i="14"/>
  <c r="BB51" i="14" s="1"/>
  <c r="AH32" i="14"/>
  <c r="Q34" i="14"/>
  <c r="BB34" i="14" s="1"/>
  <c r="Q52" i="14"/>
  <c r="BB52" i="14" s="1"/>
  <c r="Q40" i="14"/>
  <c r="BB40" i="14" s="1"/>
  <c r="Q53" i="14"/>
  <c r="BB53" i="14" s="1"/>
  <c r="AF51" i="14"/>
  <c r="W47" i="14"/>
  <c r="AF49" i="14"/>
  <c r="AF34" i="14"/>
  <c r="AF52" i="14"/>
  <c r="AF40" i="14"/>
  <c r="AF53" i="14"/>
  <c r="AF41" i="14"/>
  <c r="K92" i="8"/>
  <c r="K91" i="8" s="1"/>
  <c r="K95" i="8"/>
  <c r="K94" i="8"/>
  <c r="K93" i="8"/>
  <c r="K90" i="8"/>
  <c r="K89" i="8"/>
  <c r="K88" i="8" s="1"/>
  <c r="K87" i="8"/>
  <c r="G84" i="8"/>
  <c r="K84" i="8" s="1"/>
  <c r="G83" i="8"/>
  <c r="K83" i="8" s="1"/>
  <c r="G82" i="8"/>
  <c r="K82" i="8" s="1"/>
  <c r="G81" i="8"/>
  <c r="K81" i="8" s="1"/>
  <c r="G80" i="8"/>
  <c r="K80" i="8" s="1"/>
  <c r="G79" i="8"/>
  <c r="K79" i="8" s="1"/>
  <c r="G78" i="8"/>
  <c r="K78" i="8" s="1"/>
  <c r="G77" i="8"/>
  <c r="K77" i="8" s="1"/>
  <c r="G76" i="8"/>
  <c r="K76" i="8" s="1"/>
  <c r="G75" i="8"/>
  <c r="K75" i="8" s="1"/>
  <c r="G74" i="8"/>
  <c r="K74" i="8" s="1"/>
  <c r="G73" i="8"/>
  <c r="K73" i="8" s="1"/>
  <c r="G72" i="8"/>
  <c r="K72" i="8" s="1"/>
  <c r="G71" i="8"/>
  <c r="K71" i="8" s="1"/>
  <c r="G70" i="8"/>
  <c r="K70" i="8" s="1"/>
  <c r="G69" i="8"/>
  <c r="K69" i="8" s="1"/>
  <c r="G68" i="8"/>
  <c r="K68" i="8" s="1"/>
  <c r="G66" i="8"/>
  <c r="K66" i="8" s="1"/>
  <c r="G65" i="8"/>
  <c r="K65" i="8" s="1"/>
  <c r="G64" i="8"/>
  <c r="K64" i="8" s="1"/>
  <c r="G63" i="8"/>
  <c r="K63" i="8" s="1"/>
  <c r="G62" i="8"/>
  <c r="K62" i="8" s="1"/>
  <c r="G61" i="8"/>
  <c r="K61" i="8" s="1"/>
  <c r="G60" i="8"/>
  <c r="K60" i="8" s="1"/>
  <c r="G59" i="8"/>
  <c r="K59" i="8" s="1"/>
  <c r="G58" i="8"/>
  <c r="K58" i="8" s="1"/>
  <c r="G57" i="8"/>
  <c r="K57" i="8" s="1"/>
  <c r="G56" i="8"/>
  <c r="K56" i="8" s="1"/>
  <c r="G55" i="8"/>
  <c r="K55" i="8" s="1"/>
  <c r="H84" i="8"/>
  <c r="H83" i="8"/>
  <c r="H82" i="8"/>
  <c r="I69" i="8"/>
  <c r="G24" i="8"/>
  <c r="K24" i="8" s="1"/>
  <c r="G49" i="8"/>
  <c r="K49" i="8" s="1"/>
  <c r="G48" i="8"/>
  <c r="K48" i="8" s="1"/>
  <c r="G47" i="8"/>
  <c r="K47" i="8" s="1"/>
  <c r="G46" i="8"/>
  <c r="K46" i="8" s="1"/>
  <c r="G45" i="8"/>
  <c r="K45" i="8" s="1"/>
  <c r="G44" i="8"/>
  <c r="K44" i="8" s="1"/>
  <c r="G43" i="8"/>
  <c r="K43" i="8" s="1"/>
  <c r="G42" i="8"/>
  <c r="K42" i="8" s="1"/>
  <c r="G41" i="8"/>
  <c r="K41" i="8" s="1"/>
  <c r="G40" i="8"/>
  <c r="K40" i="8" s="1"/>
  <c r="G39" i="8"/>
  <c r="K39" i="8" s="1"/>
  <c r="G38" i="8"/>
  <c r="K38" i="8" s="1"/>
  <c r="G37" i="8"/>
  <c r="K37" i="8" s="1"/>
  <c r="G36" i="8"/>
  <c r="K36" i="8" s="1"/>
  <c r="G35" i="8"/>
  <c r="K35" i="8" s="1"/>
  <c r="G34" i="8"/>
  <c r="K34" i="8" s="1"/>
  <c r="G33" i="8"/>
  <c r="K33" i="8" s="1"/>
  <c r="G32" i="8"/>
  <c r="K32" i="8" s="1"/>
  <c r="G31" i="8"/>
  <c r="K31" i="8" s="1"/>
  <c r="G29" i="8"/>
  <c r="K29" i="8" s="1"/>
  <c r="G28" i="8"/>
  <c r="K28" i="8" s="1"/>
  <c r="G27" i="8"/>
  <c r="K27" i="8" s="1"/>
  <c r="G26" i="8"/>
  <c r="K26" i="8" s="1"/>
  <c r="G25" i="8"/>
  <c r="K25" i="8" s="1"/>
  <c r="G18" i="8"/>
  <c r="K18" i="8" s="1"/>
  <c r="G17" i="8"/>
  <c r="K17" i="8" s="1"/>
  <c r="G14" i="8"/>
  <c r="K14" i="8" s="1"/>
  <c r="G13" i="8"/>
  <c r="K13" i="8" s="1"/>
  <c r="G12" i="8"/>
  <c r="K12" i="8" s="1"/>
  <c r="G11" i="8"/>
  <c r="K11" i="8" s="1"/>
  <c r="G10" i="8"/>
  <c r="K10" i="8" s="1"/>
  <c r="G9" i="8"/>
  <c r="K9" i="8" s="1"/>
  <c r="G7" i="8"/>
  <c r="K7" i="8" s="1"/>
  <c r="G6" i="8"/>
  <c r="K6" i="8" s="1"/>
  <c r="G8" i="11"/>
  <c r="O23" i="8"/>
  <c r="G23" i="8" s="1"/>
  <c r="K23" i="8" s="1"/>
  <c r="O22" i="8"/>
  <c r="G22" i="8" s="1"/>
  <c r="K22" i="8" s="1"/>
  <c r="O21" i="8"/>
  <c r="G21" i="8" s="1"/>
  <c r="K21" i="8" s="1"/>
  <c r="O20" i="8"/>
  <c r="G20" i="8" s="1"/>
  <c r="K20" i="8" s="1"/>
  <c r="O19" i="8"/>
  <c r="G19" i="8" s="1"/>
  <c r="K19" i="8" s="1"/>
  <c r="O18" i="8"/>
  <c r="O17" i="8"/>
  <c r="O16" i="8"/>
  <c r="G16" i="8" s="1"/>
  <c r="K16" i="8" s="1"/>
  <c r="O15" i="8"/>
  <c r="G15" i="8" s="1"/>
  <c r="K15" i="8" s="1"/>
  <c r="H23" i="8"/>
  <c r="H22" i="8"/>
  <c r="J89" i="8"/>
  <c r="J93" i="8"/>
  <c r="J92" i="8"/>
  <c r="J90" i="8"/>
  <c r="E93" i="8"/>
  <c r="H93" i="8" s="1"/>
  <c r="E92" i="8"/>
  <c r="H92" i="8" s="1"/>
  <c r="E90" i="8"/>
  <c r="H90" i="8" s="1"/>
  <c r="E89" i="8"/>
  <c r="H89" i="8" s="1"/>
  <c r="J84" i="8"/>
  <c r="J83" i="8"/>
  <c r="J82" i="8"/>
  <c r="J31" i="11"/>
  <c r="J30" i="11"/>
  <c r="J27" i="11"/>
  <c r="J26" i="11"/>
  <c r="J18" i="11"/>
  <c r="J17" i="11"/>
  <c r="O84" i="8"/>
  <c r="O83" i="8"/>
  <c r="O82" i="8"/>
  <c r="O81" i="8"/>
  <c r="O80" i="8"/>
  <c r="O79" i="8"/>
  <c r="O78" i="8"/>
  <c r="O77" i="8"/>
  <c r="O76" i="8"/>
  <c r="O75" i="8"/>
  <c r="O74" i="8"/>
  <c r="O73" i="8"/>
  <c r="O72" i="8"/>
  <c r="O71" i="8"/>
  <c r="O70" i="8"/>
  <c r="O69" i="8"/>
  <c r="O68" i="8"/>
  <c r="O67" i="8"/>
  <c r="G67" i="8" s="1"/>
  <c r="K67" i="8" s="1"/>
  <c r="O66" i="8"/>
  <c r="O65" i="8"/>
  <c r="O64" i="8"/>
  <c r="O63" i="8"/>
  <c r="O62" i="8"/>
  <c r="O61" i="8"/>
  <c r="O60" i="8"/>
  <c r="O59" i="8"/>
  <c r="O58" i="8"/>
  <c r="O57" i="8"/>
  <c r="O56" i="8"/>
  <c r="O55" i="8"/>
  <c r="O49" i="8"/>
  <c r="O48" i="8"/>
  <c r="O47" i="8"/>
  <c r="O46" i="8"/>
  <c r="O45" i="8"/>
  <c r="O44" i="8"/>
  <c r="O43" i="8"/>
  <c r="O42" i="8"/>
  <c r="O41" i="8"/>
  <c r="O40" i="8"/>
  <c r="O39" i="8"/>
  <c r="O38" i="8"/>
  <c r="O37" i="8"/>
  <c r="O36" i="8"/>
  <c r="O35" i="8"/>
  <c r="O34" i="8"/>
  <c r="O33" i="8"/>
  <c r="O32" i="8"/>
  <c r="O31" i="8"/>
  <c r="O30" i="8"/>
  <c r="G30" i="8" s="1"/>
  <c r="K30" i="8" s="1"/>
  <c r="O29" i="8"/>
  <c r="O28" i="8"/>
  <c r="O27" i="8"/>
  <c r="O26" i="8"/>
  <c r="O25" i="8"/>
  <c r="O24" i="8"/>
  <c r="O14" i="8"/>
  <c r="O13" i="8"/>
  <c r="O12" i="8"/>
  <c r="O11" i="8"/>
  <c r="O10" i="8"/>
  <c r="O9" i="8"/>
  <c r="O8" i="8"/>
  <c r="G8" i="8" s="1"/>
  <c r="K8" i="8" s="1"/>
  <c r="O7" i="8"/>
  <c r="O6" i="8"/>
  <c r="N8" i="11"/>
  <c r="L18" i="11"/>
  <c r="L17" i="11"/>
  <c r="J22" i="8" s="1"/>
  <c r="M84" i="8"/>
  <c r="N84" i="8" s="1"/>
  <c r="M83" i="8"/>
  <c r="N83" i="8" s="1"/>
  <c r="M82" i="8"/>
  <c r="N82" i="8" s="1"/>
  <c r="M81" i="8"/>
  <c r="N81" i="8" s="1"/>
  <c r="M80" i="8"/>
  <c r="N80" i="8" s="1"/>
  <c r="M79" i="8"/>
  <c r="N79" i="8" s="1"/>
  <c r="M78" i="8"/>
  <c r="N78" i="8" s="1"/>
  <c r="M77" i="8"/>
  <c r="N77" i="8" s="1"/>
  <c r="M76" i="8"/>
  <c r="N76" i="8" s="1"/>
  <c r="M75" i="8"/>
  <c r="N75" i="8" s="1"/>
  <c r="M74" i="8"/>
  <c r="N74" i="8" s="1"/>
  <c r="M73" i="8"/>
  <c r="N73" i="8" s="1"/>
  <c r="M72" i="8"/>
  <c r="N72" i="8" s="1"/>
  <c r="M71" i="8"/>
  <c r="N71" i="8" s="1"/>
  <c r="M70" i="8"/>
  <c r="N70" i="8" s="1"/>
  <c r="M69" i="8"/>
  <c r="N69" i="8" s="1"/>
  <c r="M68" i="8"/>
  <c r="N68" i="8" s="1"/>
  <c r="M67" i="8"/>
  <c r="N67" i="8" s="1"/>
  <c r="M66" i="8"/>
  <c r="N66" i="8" s="1"/>
  <c r="M65" i="8"/>
  <c r="N65" i="8" s="1"/>
  <c r="M64" i="8"/>
  <c r="N64" i="8" s="1"/>
  <c r="M63" i="8"/>
  <c r="N63" i="8" s="1"/>
  <c r="M62" i="8"/>
  <c r="N62" i="8" s="1"/>
  <c r="M61" i="8"/>
  <c r="N61" i="8" s="1"/>
  <c r="M60" i="8"/>
  <c r="N60" i="8" s="1"/>
  <c r="M59" i="8"/>
  <c r="N59" i="8" s="1"/>
  <c r="M58" i="8"/>
  <c r="N58" i="8" s="1"/>
  <c r="M57" i="8"/>
  <c r="N57" i="8" s="1"/>
  <c r="M56" i="8"/>
  <c r="N56" i="8" s="1"/>
  <c r="M55" i="8"/>
  <c r="N55" i="8" s="1"/>
  <c r="M49" i="8"/>
  <c r="N49" i="8" s="1"/>
  <c r="M48" i="8"/>
  <c r="N48" i="8" s="1"/>
  <c r="M47" i="8"/>
  <c r="N47" i="8" s="1"/>
  <c r="M46" i="8"/>
  <c r="N46" i="8" s="1"/>
  <c r="M45" i="8"/>
  <c r="N45" i="8" s="1"/>
  <c r="M44" i="8"/>
  <c r="N44" i="8" s="1"/>
  <c r="M43" i="8"/>
  <c r="N43" i="8" s="1"/>
  <c r="M42" i="8"/>
  <c r="N42" i="8" s="1"/>
  <c r="M41" i="8"/>
  <c r="N41" i="8" s="1"/>
  <c r="M40" i="8"/>
  <c r="N40" i="8" s="1"/>
  <c r="M39" i="8"/>
  <c r="N39" i="8" s="1"/>
  <c r="M38" i="8"/>
  <c r="N38" i="8" s="1"/>
  <c r="M37" i="8"/>
  <c r="N37" i="8" s="1"/>
  <c r="M36" i="8"/>
  <c r="N36" i="8" s="1"/>
  <c r="M35" i="8"/>
  <c r="N35" i="8" s="1"/>
  <c r="M34" i="8"/>
  <c r="N34" i="8" s="1"/>
  <c r="M33" i="8"/>
  <c r="N33" i="8" s="1"/>
  <c r="M32" i="8"/>
  <c r="N32" i="8" s="1"/>
  <c r="M31" i="8"/>
  <c r="N31" i="8" s="1"/>
  <c r="M30" i="8"/>
  <c r="N30" i="8" s="1"/>
  <c r="M29" i="8"/>
  <c r="N29" i="8" s="1"/>
  <c r="M28" i="8"/>
  <c r="N28" i="8" s="1"/>
  <c r="M27" i="8"/>
  <c r="N27" i="8" s="1"/>
  <c r="M26" i="8"/>
  <c r="N26" i="8" s="1"/>
  <c r="M25" i="8"/>
  <c r="N25" i="8" s="1"/>
  <c r="M24" i="8"/>
  <c r="N24" i="8" s="1"/>
  <c r="M14" i="8"/>
  <c r="N14" i="8" s="1"/>
  <c r="M13" i="8"/>
  <c r="N13" i="8" s="1"/>
  <c r="M12" i="8"/>
  <c r="N12" i="8" s="1"/>
  <c r="M11" i="8"/>
  <c r="N11" i="8" s="1"/>
  <c r="M10" i="8"/>
  <c r="N10" i="8" s="1"/>
  <c r="M9" i="8"/>
  <c r="N9" i="8" s="1"/>
  <c r="M8" i="8"/>
  <c r="N8" i="8" s="1"/>
  <c r="M7" i="8"/>
  <c r="N7" i="8" s="1"/>
  <c r="M6" i="8"/>
  <c r="N6" i="8" s="1"/>
  <c r="G95" i="19"/>
  <c r="G94" i="19"/>
  <c r="G91" i="19"/>
  <c r="G90" i="19"/>
  <c r="G89" i="19"/>
  <c r="G88" i="19"/>
  <c r="G87" i="19"/>
  <c r="G86" i="19"/>
  <c r="G85" i="19"/>
  <c r="G82" i="19"/>
  <c r="G81" i="19"/>
  <c r="G80" i="19"/>
  <c r="G79" i="19"/>
  <c r="G78" i="19"/>
  <c r="G77" i="19"/>
  <c r="G76" i="19"/>
  <c r="G75" i="19"/>
  <c r="G74" i="19"/>
  <c r="G31" i="11"/>
  <c r="F97" i="19" s="1"/>
  <c r="G30" i="11"/>
  <c r="F96" i="19" s="1"/>
  <c r="G29" i="11"/>
  <c r="F95" i="19" s="1"/>
  <c r="G28" i="11"/>
  <c r="F94" i="19" s="1"/>
  <c r="G27" i="11"/>
  <c r="F93" i="19" s="1"/>
  <c r="G26" i="11"/>
  <c r="P26" i="11" s="1"/>
  <c r="G25" i="11"/>
  <c r="P25" i="11" s="1"/>
  <c r="G24" i="11"/>
  <c r="P24" i="11" s="1"/>
  <c r="G23" i="11"/>
  <c r="F89" i="19" s="1"/>
  <c r="G22" i="11"/>
  <c r="P22" i="11" s="1"/>
  <c r="G21" i="11"/>
  <c r="P21" i="11" s="1"/>
  <c r="G20" i="11"/>
  <c r="F86" i="19" s="1"/>
  <c r="G19" i="11"/>
  <c r="F85" i="19" s="1"/>
  <c r="G18" i="11"/>
  <c r="P18" i="11" s="1"/>
  <c r="G17" i="11"/>
  <c r="F83" i="19" s="1"/>
  <c r="G16" i="11"/>
  <c r="Q16" i="11" s="1"/>
  <c r="G15" i="11"/>
  <c r="F81" i="19" s="1"/>
  <c r="G14" i="11"/>
  <c r="Q14" i="11" s="1"/>
  <c r="G13" i="11"/>
  <c r="P13" i="11" s="1"/>
  <c r="G12" i="11"/>
  <c r="P12" i="11" s="1"/>
  <c r="G11" i="11"/>
  <c r="Q11" i="11" s="1"/>
  <c r="G10" i="11"/>
  <c r="F76" i="19" s="1"/>
  <c r="G9" i="11"/>
  <c r="P9" i="11" s="1"/>
  <c r="AS62" i="14" l="1"/>
  <c r="AS31" i="14"/>
  <c r="Q8" i="14"/>
  <c r="BB8" i="14" s="1"/>
  <c r="BF8" i="14"/>
  <c r="AV7" i="14"/>
  <c r="K96" i="8"/>
  <c r="K85" i="8"/>
  <c r="K97" i="8" s="1"/>
  <c r="E46" i="7"/>
  <c r="P46" i="7"/>
  <c r="T34" i="14"/>
  <c r="T41" i="14"/>
  <c r="T29" i="14"/>
  <c r="BC29" i="14"/>
  <c r="T62" i="14"/>
  <c r="BC62" i="14"/>
  <c r="E42" i="7"/>
  <c r="P42" i="7"/>
  <c r="T51" i="14"/>
  <c r="E48" i="7"/>
  <c r="P48" i="7"/>
  <c r="E40" i="7"/>
  <c r="P40" i="7"/>
  <c r="E36" i="7"/>
  <c r="P36" i="7"/>
  <c r="E38" i="7"/>
  <c r="P38" i="7"/>
  <c r="T50" i="14"/>
  <c r="T28" i="14"/>
  <c r="BC28" i="14"/>
  <c r="E11" i="7"/>
  <c r="P11" i="7"/>
  <c r="E56" i="7"/>
  <c r="P56" i="7"/>
  <c r="T47" i="14"/>
  <c r="E28" i="7"/>
  <c r="P28" i="7"/>
  <c r="T52" i="14"/>
  <c r="T53" i="14"/>
  <c r="T48" i="14"/>
  <c r="E39" i="7"/>
  <c r="P39" i="7"/>
  <c r="E27" i="7"/>
  <c r="P27" i="7"/>
  <c r="T40" i="14"/>
  <c r="E47" i="7"/>
  <c r="P47" i="7"/>
  <c r="E35" i="7"/>
  <c r="P35" i="7"/>
  <c r="E26" i="7"/>
  <c r="P26" i="7"/>
  <c r="E14" i="7"/>
  <c r="P14" i="7"/>
  <c r="T27" i="14"/>
  <c r="BC27" i="14"/>
  <c r="T49" i="14"/>
  <c r="E57" i="7"/>
  <c r="P57" i="7"/>
  <c r="E24" i="7"/>
  <c r="P24" i="7"/>
  <c r="E44" i="7"/>
  <c r="P44" i="7"/>
  <c r="T64" i="14"/>
  <c r="AS33" i="14"/>
  <c r="AS57" i="14"/>
  <c r="AS10" i="14"/>
  <c r="AR55" i="14"/>
  <c r="AV55" i="14" s="1"/>
  <c r="AY55" i="14" s="1"/>
  <c r="AR9" i="14"/>
  <c r="AV9" i="14" s="1"/>
  <c r="AY9" i="14" s="1"/>
  <c r="AS7" i="14"/>
  <c r="AS11" i="14"/>
  <c r="AR10" i="14"/>
  <c r="AV10" i="14" s="1"/>
  <c r="AY10" i="14" s="1"/>
  <c r="AS55" i="14"/>
  <c r="AR11" i="14"/>
  <c r="AV11" i="14" s="1"/>
  <c r="AY11" i="14" s="1"/>
  <c r="AS9" i="14"/>
  <c r="AS32" i="14"/>
  <c r="AR33" i="14"/>
  <c r="AV33" i="14" s="1"/>
  <c r="AY33" i="14" s="1"/>
  <c r="AR8" i="14"/>
  <c r="AV8" i="14" s="1"/>
  <c r="AY8" i="14" s="1"/>
  <c r="AR31" i="14"/>
  <c r="AV31" i="14" s="1"/>
  <c r="AY31" i="14" s="1"/>
  <c r="H92" i="19"/>
  <c r="I92" i="19" s="1"/>
  <c r="H84" i="19"/>
  <c r="I84" i="19" s="1"/>
  <c r="H91" i="19"/>
  <c r="I91" i="19" s="1"/>
  <c r="H90" i="19"/>
  <c r="I90" i="19" s="1"/>
  <c r="H88" i="19"/>
  <c r="I88" i="19" s="1"/>
  <c r="H87" i="19"/>
  <c r="I87" i="19" s="1"/>
  <c r="H79" i="19"/>
  <c r="I79" i="19" s="1"/>
  <c r="H78" i="19"/>
  <c r="I78" i="19" s="1"/>
  <c r="H75" i="19"/>
  <c r="I75" i="19" s="1"/>
  <c r="AE7" i="14"/>
  <c r="G7" i="14" s="1"/>
  <c r="AK55" i="14"/>
  <c r="BC55" i="14" s="1"/>
  <c r="AI55" i="14"/>
  <c r="S55" i="14" s="1"/>
  <c r="AI57" i="14"/>
  <c r="S57" i="14" s="1"/>
  <c r="Q10" i="14"/>
  <c r="BB10" i="14" s="1"/>
  <c r="Q7" i="14"/>
  <c r="BB7" i="14" s="1"/>
  <c r="Q9" i="14"/>
  <c r="BB9" i="14" s="1"/>
  <c r="AI56" i="14"/>
  <c r="S56" i="14" s="1"/>
  <c r="AI11" i="14"/>
  <c r="S11" i="14" s="1"/>
  <c r="AI8" i="14"/>
  <c r="S8" i="14" s="1"/>
  <c r="Q11" i="14"/>
  <c r="BB11" i="14" s="1"/>
  <c r="AI10" i="14"/>
  <c r="S10" i="14" s="1"/>
  <c r="AI9" i="14"/>
  <c r="S9" i="14" s="1"/>
  <c r="AI27" i="14"/>
  <c r="S27" i="14" s="1"/>
  <c r="AI29" i="14"/>
  <c r="S29" i="14" s="1"/>
  <c r="AI28" i="14"/>
  <c r="S28" i="14" s="1"/>
  <c r="Q31" i="14"/>
  <c r="BB31" i="14" s="1"/>
  <c r="AI31" i="14"/>
  <c r="S31" i="14" s="1"/>
  <c r="Q33" i="14"/>
  <c r="BB33" i="14" s="1"/>
  <c r="AI33" i="14"/>
  <c r="S33" i="14" s="1"/>
  <c r="Q32" i="14"/>
  <c r="BB32" i="14" s="1"/>
  <c r="AI32" i="14"/>
  <c r="S32" i="14" s="1"/>
  <c r="P8" i="11"/>
  <c r="H74" i="19" s="1"/>
  <c r="F88" i="19"/>
  <c r="P28" i="11"/>
  <c r="P20" i="11"/>
  <c r="F78" i="19"/>
  <c r="Q12" i="11"/>
  <c r="F84" i="19"/>
  <c r="Q18" i="11"/>
  <c r="F87" i="19"/>
  <c r="P31" i="11"/>
  <c r="P30" i="11"/>
  <c r="P29" i="11"/>
  <c r="P27" i="11"/>
  <c r="F92" i="19"/>
  <c r="F91" i="19"/>
  <c r="F90" i="19"/>
  <c r="P23" i="11"/>
  <c r="P19" i="11"/>
  <c r="P17" i="11"/>
  <c r="Q17" i="11"/>
  <c r="F82" i="19"/>
  <c r="P16" i="11"/>
  <c r="Q15" i="11"/>
  <c r="P15" i="11"/>
  <c r="F80" i="19"/>
  <c r="P14" i="11"/>
  <c r="Q13" i="11"/>
  <c r="F79" i="19"/>
  <c r="F77" i="19"/>
  <c r="P11" i="11"/>
  <c r="P10" i="11"/>
  <c r="Q10" i="11"/>
  <c r="F75" i="19"/>
  <c r="Q9" i="11"/>
  <c r="Q8" i="11"/>
  <c r="F74" i="19"/>
  <c r="I49" i="29" l="1"/>
  <c r="I39" i="29"/>
  <c r="I48" i="29"/>
  <c r="I38" i="29"/>
  <c r="I40" i="29"/>
  <c r="I47" i="29"/>
  <c r="I37" i="29"/>
  <c r="I46" i="29"/>
  <c r="I41" i="29"/>
  <c r="I45" i="29"/>
  <c r="I44" i="29"/>
  <c r="M43" i="19"/>
  <c r="M50" i="19"/>
  <c r="F41" i="19"/>
  <c r="M53" i="19"/>
  <c r="F48" i="19"/>
  <c r="M44" i="19"/>
  <c r="M41" i="19"/>
  <c r="M51" i="19"/>
  <c r="M48" i="19"/>
  <c r="M45" i="19"/>
  <c r="M42" i="19"/>
  <c r="M52" i="19"/>
  <c r="M49" i="19"/>
  <c r="AY7" i="14"/>
  <c r="T55" i="14"/>
  <c r="H52" i="19"/>
  <c r="J52" i="19" s="1"/>
  <c r="H45" i="19"/>
  <c r="J45" i="19" s="1"/>
  <c r="AI7" i="14"/>
  <c r="S7" i="14" s="1"/>
  <c r="H43" i="19"/>
  <c r="I43" i="19" s="1"/>
  <c r="H42" i="19"/>
  <c r="H44" i="19"/>
  <c r="H51" i="19"/>
  <c r="H97" i="19"/>
  <c r="I97" i="19" s="1"/>
  <c r="H96" i="19"/>
  <c r="I96" i="19" s="1"/>
  <c r="H93" i="19"/>
  <c r="I93" i="19" s="1"/>
  <c r="H83" i="19"/>
  <c r="I83" i="19" s="1"/>
  <c r="H95" i="19"/>
  <c r="I95" i="19" s="1"/>
  <c r="H94" i="19"/>
  <c r="I94" i="19" s="1"/>
  <c r="H89" i="19"/>
  <c r="I89" i="19" s="1"/>
  <c r="H86" i="19"/>
  <c r="I86" i="19" s="1"/>
  <c r="H85" i="19"/>
  <c r="I85" i="19" s="1"/>
  <c r="H82" i="19"/>
  <c r="I82" i="19" s="1"/>
  <c r="H81" i="19"/>
  <c r="I81" i="19" s="1"/>
  <c r="H80" i="19"/>
  <c r="I80" i="19" s="1"/>
  <c r="H77" i="19"/>
  <c r="I77" i="19" s="1"/>
  <c r="H76" i="19"/>
  <c r="I76" i="19" s="1"/>
  <c r="H49" i="19"/>
  <c r="H41" i="19"/>
  <c r="I41" i="19" s="1"/>
  <c r="H48" i="19"/>
  <c r="I48" i="19" s="1"/>
  <c r="I74" i="19"/>
  <c r="G18" i="15"/>
  <c r="G19" i="15"/>
  <c r="G17" i="15"/>
  <c r="F49" i="29"/>
  <c r="F47" i="29"/>
  <c r="F46" i="29"/>
  <c r="F45" i="29"/>
  <c r="F39" i="29"/>
  <c r="F48" i="29"/>
  <c r="F44" i="29"/>
  <c r="F40" i="29"/>
  <c r="F37" i="29"/>
  <c r="F41" i="29"/>
  <c r="F38" i="29"/>
  <c r="F53" i="19"/>
  <c r="F52" i="19"/>
  <c r="F51" i="19"/>
  <c r="F50" i="19"/>
  <c r="F49" i="19"/>
  <c r="F42" i="19"/>
  <c r="F45" i="19"/>
  <c r="F44" i="19"/>
  <c r="F43" i="19"/>
  <c r="H50" i="19" l="1"/>
  <c r="I50" i="19" s="1"/>
  <c r="I45" i="19"/>
  <c r="I52" i="19"/>
  <c r="H98" i="19"/>
  <c r="I98" i="19"/>
  <c r="I42" i="19"/>
  <c r="J42" i="19"/>
  <c r="J49" i="19"/>
  <c r="I49" i="19"/>
  <c r="J44" i="19"/>
  <c r="I44" i="19"/>
  <c r="J51" i="19"/>
  <c r="I51" i="19"/>
  <c r="H31" i="11"/>
  <c r="G97" i="19" s="1"/>
  <c r="H30" i="11"/>
  <c r="G96" i="19" s="1"/>
  <c r="H27" i="11"/>
  <c r="G93" i="19" s="1"/>
  <c r="H26" i="11"/>
  <c r="G92" i="19" s="1"/>
  <c r="H18" i="11"/>
  <c r="G84" i="19" s="1"/>
  <c r="H17" i="11"/>
  <c r="G83" i="19" s="1"/>
  <c r="N31" i="11"/>
  <c r="N30" i="11"/>
  <c r="N29" i="11"/>
  <c r="N28" i="11"/>
  <c r="N27" i="11"/>
  <c r="N26" i="11"/>
  <c r="N25" i="11"/>
  <c r="N24" i="11"/>
  <c r="N23" i="11"/>
  <c r="N22" i="11"/>
  <c r="N21" i="11"/>
  <c r="N20" i="11"/>
  <c r="N19" i="11"/>
  <c r="N18" i="11"/>
  <c r="N17" i="11"/>
  <c r="N16" i="11"/>
  <c r="N15" i="11"/>
  <c r="N14" i="11"/>
  <c r="N13" i="11"/>
  <c r="N12" i="11"/>
  <c r="N11" i="11"/>
  <c r="N10" i="11"/>
  <c r="N9" i="11"/>
  <c r="AO59" i="13"/>
  <c r="AY59" i="13" s="1"/>
  <c r="AJ59" i="13"/>
  <c r="Z59" i="13"/>
  <c r="Y59" i="13"/>
  <c r="U59" i="13"/>
  <c r="AO58" i="13"/>
  <c r="AY58" i="13" s="1"/>
  <c r="AJ58" i="13"/>
  <c r="Z58" i="13"/>
  <c r="Y58" i="13"/>
  <c r="U58" i="13"/>
  <c r="AO57" i="13"/>
  <c r="AY57" i="13" s="1"/>
  <c r="AJ57" i="13"/>
  <c r="Z57" i="13"/>
  <c r="Y57" i="13"/>
  <c r="U57" i="13"/>
  <c r="AO56" i="13"/>
  <c r="AY56" i="13" s="1"/>
  <c r="AJ56" i="13"/>
  <c r="Z56" i="13"/>
  <c r="Y56" i="13"/>
  <c r="H56" i="13" s="1"/>
  <c r="BC56" i="13" s="1"/>
  <c r="U56" i="13"/>
  <c r="AO55" i="13"/>
  <c r="AY55" i="13" s="1"/>
  <c r="AJ55" i="13"/>
  <c r="Z55" i="13"/>
  <c r="Y55" i="13"/>
  <c r="U55" i="13"/>
  <c r="AV24" i="13"/>
  <c r="AT24" i="13"/>
  <c r="AO24" i="13"/>
  <c r="AY24" i="13" s="1"/>
  <c r="AJ24" i="13"/>
  <c r="Z24" i="13"/>
  <c r="Y24" i="13"/>
  <c r="U24" i="13"/>
  <c r="I24" i="13"/>
  <c r="AV23" i="13"/>
  <c r="AT23" i="13"/>
  <c r="AO23" i="13"/>
  <c r="AY23" i="13" s="1"/>
  <c r="AJ23" i="13"/>
  <c r="Z23" i="13"/>
  <c r="Y23" i="13"/>
  <c r="U23" i="13"/>
  <c r="I23" i="13"/>
  <c r="AV22" i="13"/>
  <c r="AT22" i="13"/>
  <c r="AO22" i="13"/>
  <c r="AY22" i="13" s="1"/>
  <c r="AJ22" i="13"/>
  <c r="Z22" i="13"/>
  <c r="Y22" i="13"/>
  <c r="U22" i="13"/>
  <c r="I22" i="13"/>
  <c r="AV21" i="13"/>
  <c r="AT21" i="13"/>
  <c r="AO21" i="13"/>
  <c r="AY21" i="13" s="1"/>
  <c r="AJ21" i="13"/>
  <c r="Z21" i="13"/>
  <c r="Y21" i="13"/>
  <c r="U21" i="13"/>
  <c r="I21" i="13"/>
  <c r="AV20" i="13"/>
  <c r="AT20" i="13"/>
  <c r="AO20" i="13"/>
  <c r="AY20" i="13" s="1"/>
  <c r="AJ20" i="13"/>
  <c r="Z20" i="13"/>
  <c r="Y20" i="13"/>
  <c r="U20" i="13"/>
  <c r="I20" i="13"/>
  <c r="AO64" i="13"/>
  <c r="AY64" i="13" s="1"/>
  <c r="AJ64" i="13"/>
  <c r="Z64" i="13"/>
  <c r="Y64" i="13"/>
  <c r="U64" i="13"/>
  <c r="AO63" i="13"/>
  <c r="AY63" i="13" s="1"/>
  <c r="AJ63" i="13"/>
  <c r="Z63" i="13"/>
  <c r="Y63" i="13"/>
  <c r="U63" i="13"/>
  <c r="AO62" i="13"/>
  <c r="AY62" i="13" s="1"/>
  <c r="AJ62" i="13"/>
  <c r="Z62" i="13"/>
  <c r="Y62" i="13"/>
  <c r="U62" i="13"/>
  <c r="AO61" i="13"/>
  <c r="AY61" i="13" s="1"/>
  <c r="AJ61" i="13"/>
  <c r="Z61" i="13"/>
  <c r="Y61" i="13"/>
  <c r="U61" i="13"/>
  <c r="AO60" i="13"/>
  <c r="AY60" i="13" s="1"/>
  <c r="AJ60" i="13"/>
  <c r="Z60" i="13"/>
  <c r="Y60" i="13"/>
  <c r="U60" i="13"/>
  <c r="AV26" i="13"/>
  <c r="AT26" i="13"/>
  <c r="AO26" i="13"/>
  <c r="AY26" i="13" s="1"/>
  <c r="AJ26" i="13"/>
  <c r="Z26" i="13"/>
  <c r="Y26" i="13"/>
  <c r="U26" i="13"/>
  <c r="I26" i="13"/>
  <c r="AV25" i="13"/>
  <c r="AT25" i="13"/>
  <c r="AO25" i="13"/>
  <c r="AY25" i="13" s="1"/>
  <c r="AJ25" i="13"/>
  <c r="Z25" i="13"/>
  <c r="Y25" i="13"/>
  <c r="U25" i="13"/>
  <c r="I25" i="13"/>
  <c r="AV19" i="13"/>
  <c r="AT19" i="13"/>
  <c r="AO19" i="13"/>
  <c r="AY19" i="13" s="1"/>
  <c r="AJ19" i="13"/>
  <c r="Z19" i="13"/>
  <c r="Y19" i="13"/>
  <c r="U19" i="13"/>
  <c r="I19" i="13"/>
  <c r="AV18" i="13"/>
  <c r="AT18" i="13"/>
  <c r="AO18" i="13"/>
  <c r="AY18" i="13" s="1"/>
  <c r="AJ18" i="13"/>
  <c r="Z18" i="13"/>
  <c r="Y18" i="13"/>
  <c r="U18" i="13"/>
  <c r="I18" i="13"/>
  <c r="AV27" i="13"/>
  <c r="AT27" i="13"/>
  <c r="AO27" i="13"/>
  <c r="AY27" i="13" s="1"/>
  <c r="AJ27" i="13"/>
  <c r="Z27" i="13"/>
  <c r="Y27" i="13"/>
  <c r="U27" i="13"/>
  <c r="I27" i="13"/>
  <c r="G18" i="13" l="1"/>
  <c r="AD18" i="13"/>
  <c r="AB18" i="13"/>
  <c r="AF18" i="13"/>
  <c r="AE26" i="13"/>
  <c r="G26" i="13"/>
  <c r="BB26" i="13" s="1"/>
  <c r="AD26" i="13"/>
  <c r="AB26" i="13"/>
  <c r="AF26" i="13"/>
  <c r="G55" i="13"/>
  <c r="AF55" i="13"/>
  <c r="AD55" i="13"/>
  <c r="AB55" i="13"/>
  <c r="G59" i="13"/>
  <c r="AD59" i="13"/>
  <c r="AF59" i="13"/>
  <c r="AB59" i="13"/>
  <c r="G25" i="13"/>
  <c r="AB25" i="13"/>
  <c r="AD25" i="13"/>
  <c r="AF25" i="13"/>
  <c r="G62" i="13"/>
  <c r="AD62" i="13"/>
  <c r="AF62" i="13"/>
  <c r="AB62" i="13"/>
  <c r="G20" i="13"/>
  <c r="AF20" i="13"/>
  <c r="AD20" i="13"/>
  <c r="AB20" i="13"/>
  <c r="G21" i="13"/>
  <c r="BB21" i="13" s="1"/>
  <c r="AD21" i="13"/>
  <c r="AF21" i="13"/>
  <c r="AB21" i="13"/>
  <c r="G22" i="13"/>
  <c r="AB22" i="13"/>
  <c r="AF22" i="13"/>
  <c r="AD22" i="13"/>
  <c r="AE23" i="13"/>
  <c r="G23" i="13"/>
  <c r="AF23" i="13"/>
  <c r="AD23" i="13"/>
  <c r="AB23" i="13"/>
  <c r="G24" i="13"/>
  <c r="AD24" i="13"/>
  <c r="AB24" i="13"/>
  <c r="AF24" i="13"/>
  <c r="G19" i="13"/>
  <c r="AB19" i="13"/>
  <c r="AF19" i="13"/>
  <c r="AD19" i="13"/>
  <c r="H19" i="13"/>
  <c r="BC19" i="13" s="1"/>
  <c r="G58" i="13"/>
  <c r="AB58" i="13"/>
  <c r="AF58" i="13"/>
  <c r="AD58" i="13"/>
  <c r="G61" i="13"/>
  <c r="BB61" i="13" s="1"/>
  <c r="AF61" i="13"/>
  <c r="AD61" i="13"/>
  <c r="AB61" i="13"/>
  <c r="G57" i="13"/>
  <c r="AD57" i="13"/>
  <c r="AB57" i="13"/>
  <c r="AF57" i="13"/>
  <c r="AE27" i="13"/>
  <c r="G27" i="13"/>
  <c r="AF27" i="13"/>
  <c r="AB27" i="13"/>
  <c r="AD27" i="13"/>
  <c r="G56" i="13"/>
  <c r="BB56" i="13" s="1"/>
  <c r="AF56" i="13"/>
  <c r="AD56" i="13"/>
  <c r="AB56" i="13"/>
  <c r="G64" i="13"/>
  <c r="AF64" i="13"/>
  <c r="AD64" i="13"/>
  <c r="AB64" i="13"/>
  <c r="G60" i="13"/>
  <c r="AB60" i="13"/>
  <c r="AF60" i="13"/>
  <c r="AD60" i="13"/>
  <c r="G63" i="13"/>
  <c r="BB63" i="13" s="1"/>
  <c r="AB63" i="13"/>
  <c r="AF63" i="13"/>
  <c r="AD63" i="13"/>
  <c r="AA63" i="13"/>
  <c r="AE61" i="13"/>
  <c r="AC57" i="13"/>
  <c r="H57" i="13"/>
  <c r="BC57" i="13" s="1"/>
  <c r="H20" i="13"/>
  <c r="BC20" i="13" s="1"/>
  <c r="AE56" i="13"/>
  <c r="AE22" i="13"/>
  <c r="AA56" i="13"/>
  <c r="AC63" i="13"/>
  <c r="AC62" i="13"/>
  <c r="H22" i="13"/>
  <c r="BC22" i="13" s="1"/>
  <c r="BB22" i="13"/>
  <c r="BB20" i="13"/>
  <c r="AE20" i="13"/>
  <c r="H63" i="13"/>
  <c r="BC63" i="13" s="1"/>
  <c r="AE63" i="13"/>
  <c r="H62" i="13"/>
  <c r="BC62" i="13" s="1"/>
  <c r="AC58" i="13"/>
  <c r="H58" i="13"/>
  <c r="BC58" i="13" s="1"/>
  <c r="AE58" i="13"/>
  <c r="AC18" i="13"/>
  <c r="BB18" i="13"/>
  <c r="H18" i="13"/>
  <c r="BC18" i="13" s="1"/>
  <c r="AE18" i="13"/>
  <c r="AA61" i="13"/>
  <c r="H61" i="13"/>
  <c r="BC61" i="13" s="1"/>
  <c r="AH55" i="13"/>
  <c r="L55" i="13" s="1"/>
  <c r="AS55" i="13"/>
  <c r="AH60" i="13"/>
  <c r="L60" i="13" s="1"/>
  <c r="AS60" i="13"/>
  <c r="AG63" i="13"/>
  <c r="K63" i="13" s="1"/>
  <c r="BE63" i="13" s="1"/>
  <c r="AH63" i="13"/>
  <c r="L63" i="13" s="1"/>
  <c r="AS63" i="13"/>
  <c r="AH64" i="13"/>
  <c r="L64" i="13" s="1"/>
  <c r="AS64" i="13"/>
  <c r="AG58" i="13"/>
  <c r="K58" i="13" s="1"/>
  <c r="BE58" i="13" s="1"/>
  <c r="AH58" i="13"/>
  <c r="L58" i="13" s="1"/>
  <c r="AS58" i="13"/>
  <c r="AK62" i="13"/>
  <c r="AL62" i="13" s="1"/>
  <c r="AH62" i="13"/>
  <c r="L62" i="13" s="1"/>
  <c r="AS62" i="13"/>
  <c r="AK63" i="13"/>
  <c r="AL63" i="13" s="1"/>
  <c r="AC56" i="13"/>
  <c r="AH56" i="13"/>
  <c r="L56" i="13" s="1"/>
  <c r="AS56" i="13"/>
  <c r="AK57" i="13"/>
  <c r="AL57" i="13" s="1"/>
  <c r="AH57" i="13"/>
  <c r="L57" i="13" s="1"/>
  <c r="AS57" i="13"/>
  <c r="AK58" i="13"/>
  <c r="AL58" i="13" s="1"/>
  <c r="AH59" i="13"/>
  <c r="L59" i="13" s="1"/>
  <c r="AS59" i="13"/>
  <c r="AC61" i="13"/>
  <c r="AH61" i="13"/>
  <c r="L61" i="13" s="1"/>
  <c r="AS61" i="13"/>
  <c r="BB58" i="13"/>
  <c r="AA58" i="13"/>
  <c r="AK19" i="13"/>
  <c r="AL19" i="13" s="1"/>
  <c r="AR19" i="13" s="1"/>
  <c r="AU19" i="13" s="1"/>
  <c r="AH19" i="13"/>
  <c r="L19" i="13" s="1"/>
  <c r="AC19" i="13"/>
  <c r="AC21" i="13"/>
  <c r="AH21" i="13"/>
  <c r="L21" i="13" s="1"/>
  <c r="AK21" i="13"/>
  <c r="AL21" i="13" s="1"/>
  <c r="AR21" i="13" s="1"/>
  <c r="AU21" i="13" s="1"/>
  <c r="AK23" i="13"/>
  <c r="AL23" i="13" s="1"/>
  <c r="AR23" i="13" s="1"/>
  <c r="AU23" i="13" s="1"/>
  <c r="AS27" i="13"/>
  <c r="AH27" i="13"/>
  <c r="L27" i="13" s="1"/>
  <c r="BB23" i="13"/>
  <c r="AC24" i="13"/>
  <c r="AH24" i="13"/>
  <c r="L24" i="13" s="1"/>
  <c r="AK24" i="13"/>
  <c r="AL24" i="13" s="1"/>
  <c r="AN24" i="13" s="1"/>
  <c r="BG24" i="13" s="1"/>
  <c r="AK27" i="13"/>
  <c r="AL27" i="13" s="1"/>
  <c r="AR27" i="13" s="1"/>
  <c r="AU27" i="13" s="1"/>
  <c r="BB19" i="13"/>
  <c r="H23" i="13"/>
  <c r="BC23" i="13" s="1"/>
  <c r="AC23" i="13"/>
  <c r="AH23" i="13"/>
  <c r="L23" i="13" s="1"/>
  <c r="AK25" i="13"/>
  <c r="AL25" i="13" s="1"/>
  <c r="AR25" i="13" s="1"/>
  <c r="AU25" i="13" s="1"/>
  <c r="AH25" i="13"/>
  <c r="L25" i="13" s="1"/>
  <c r="AK26" i="13"/>
  <c r="AL26" i="13" s="1"/>
  <c r="AN26" i="13" s="1"/>
  <c r="BG26" i="13" s="1"/>
  <c r="AH26" i="13"/>
  <c r="L26" i="13" s="1"/>
  <c r="AA27" i="13"/>
  <c r="BB27" i="13"/>
  <c r="H27" i="13"/>
  <c r="BC27" i="13" s="1"/>
  <c r="AC27" i="13"/>
  <c r="H21" i="13"/>
  <c r="BC21" i="13" s="1"/>
  <c r="AE21" i="13"/>
  <c r="AC22" i="13"/>
  <c r="AH22" i="13"/>
  <c r="L22" i="13" s="1"/>
  <c r="AK22" i="13"/>
  <c r="AL22" i="13" s="1"/>
  <c r="AR22" i="13" s="1"/>
  <c r="AU22" i="13" s="1"/>
  <c r="BB24" i="13"/>
  <c r="H26" i="13"/>
  <c r="BC26" i="13" s="1"/>
  <c r="AK18" i="13"/>
  <c r="AL18" i="13" s="1"/>
  <c r="AR18" i="13" s="1"/>
  <c r="AU18" i="13" s="1"/>
  <c r="AH18" i="13"/>
  <c r="L18" i="13" s="1"/>
  <c r="AC20" i="13"/>
  <c r="AH20" i="13"/>
  <c r="L20" i="13" s="1"/>
  <c r="AK20" i="13"/>
  <c r="AL20" i="13" s="1"/>
  <c r="H24" i="13"/>
  <c r="BC24" i="13" s="1"/>
  <c r="AE24" i="13"/>
  <c r="AG55" i="13"/>
  <c r="K55" i="13" s="1"/>
  <c r="BE55" i="13" s="1"/>
  <c r="AG59" i="13"/>
  <c r="K59" i="13" s="1"/>
  <c r="BE59" i="13" s="1"/>
  <c r="AA55" i="13"/>
  <c r="AG56" i="13"/>
  <c r="K56" i="13" s="1"/>
  <c r="BE56" i="13" s="1"/>
  <c r="BB57" i="13"/>
  <c r="AE57" i="13"/>
  <c r="AA59" i="13"/>
  <c r="AK55" i="13"/>
  <c r="AL55" i="13" s="1"/>
  <c r="AC55" i="13"/>
  <c r="AG57" i="13"/>
  <c r="K57" i="13" s="1"/>
  <c r="BE57" i="13" s="1"/>
  <c r="AC59" i="13"/>
  <c r="AK59" i="13"/>
  <c r="AL59" i="13" s="1"/>
  <c r="AK56" i="13"/>
  <c r="AL56" i="13" s="1"/>
  <c r="BB55" i="13"/>
  <c r="AE55" i="13"/>
  <c r="AA57" i="13"/>
  <c r="BB59" i="13"/>
  <c r="AE59" i="13"/>
  <c r="H55" i="13"/>
  <c r="BC55" i="13" s="1"/>
  <c r="H59" i="13"/>
  <c r="BC59" i="13" s="1"/>
  <c r="BB25" i="13"/>
  <c r="AG20" i="13"/>
  <c r="K20" i="13" s="1"/>
  <c r="BE20" i="13" s="1"/>
  <c r="AG21" i="13"/>
  <c r="K21" i="13" s="1"/>
  <c r="BE21" i="13" s="1"/>
  <c r="AG22" i="13"/>
  <c r="K22" i="13" s="1"/>
  <c r="BE22" i="13" s="1"/>
  <c r="AG23" i="13"/>
  <c r="K23" i="13" s="1"/>
  <c r="BE23" i="13" s="1"/>
  <c r="AG24" i="13"/>
  <c r="K24" i="13" s="1"/>
  <c r="BE24" i="13" s="1"/>
  <c r="AE19" i="13"/>
  <c r="AC25" i="13"/>
  <c r="H25" i="13"/>
  <c r="BC25" i="13" s="1"/>
  <c r="AE25" i="13"/>
  <c r="AC26" i="13"/>
  <c r="AA20" i="13"/>
  <c r="AS20" i="13"/>
  <c r="AA21" i="13"/>
  <c r="AS21" i="13"/>
  <c r="AA22" i="13"/>
  <c r="AS22" i="13"/>
  <c r="AA23" i="13"/>
  <c r="AS23" i="13"/>
  <c r="AA24" i="13"/>
  <c r="AS24" i="13"/>
  <c r="AA60" i="13"/>
  <c r="AG61" i="13"/>
  <c r="K61" i="13" s="1"/>
  <c r="BE61" i="13" s="1"/>
  <c r="BB62" i="13"/>
  <c r="AE62" i="13"/>
  <c r="AA64" i="13"/>
  <c r="AK60" i="13"/>
  <c r="AL60" i="13" s="1"/>
  <c r="AK64" i="13"/>
  <c r="AL64" i="13" s="1"/>
  <c r="AC60" i="13"/>
  <c r="AG62" i="13"/>
  <c r="K62" i="13" s="1"/>
  <c r="BE62" i="13" s="1"/>
  <c r="AC64" i="13"/>
  <c r="AG60" i="13"/>
  <c r="K60" i="13" s="1"/>
  <c r="BE60" i="13" s="1"/>
  <c r="AK61" i="13"/>
  <c r="AL61" i="13" s="1"/>
  <c r="BB60" i="13"/>
  <c r="AE60" i="13"/>
  <c r="AA62" i="13"/>
  <c r="BB64" i="13"/>
  <c r="AE64" i="13"/>
  <c r="AG64" i="13"/>
  <c r="K64" i="13" s="1"/>
  <c r="BE64" i="13" s="1"/>
  <c r="H60" i="13"/>
  <c r="BC60" i="13" s="1"/>
  <c r="H64" i="13"/>
  <c r="BC64" i="13" s="1"/>
  <c r="AG18" i="13"/>
  <c r="K18" i="13" s="1"/>
  <c r="BE18" i="13" s="1"/>
  <c r="AG19" i="13"/>
  <c r="K19" i="13" s="1"/>
  <c r="BE19" i="13" s="1"/>
  <c r="AG25" i="13"/>
  <c r="K25" i="13" s="1"/>
  <c r="BE25" i="13" s="1"/>
  <c r="AG26" i="13"/>
  <c r="K26" i="13" s="1"/>
  <c r="BE26" i="13" s="1"/>
  <c r="AA18" i="13"/>
  <c r="AS18" i="13"/>
  <c r="AA19" i="13"/>
  <c r="AS19" i="13"/>
  <c r="AA25" i="13"/>
  <c r="AS25" i="13"/>
  <c r="AA26" i="13"/>
  <c r="AS26" i="13"/>
  <c r="AG27" i="13"/>
  <c r="K27" i="13" s="1"/>
  <c r="BE27" i="13" s="1"/>
  <c r="AN55" i="13" l="1"/>
  <c r="BG55" i="13" s="1"/>
  <c r="AR55" i="13"/>
  <c r="AU55" i="13" s="1"/>
  <c r="AM55" i="13"/>
  <c r="V55" i="13" s="1"/>
  <c r="T55" i="13"/>
  <c r="BF55" i="13" s="1"/>
  <c r="AR63" i="13"/>
  <c r="AU63" i="13" s="1"/>
  <c r="AM63" i="13"/>
  <c r="V63" i="13" s="1"/>
  <c r="AN63" i="13"/>
  <c r="T63" i="13"/>
  <c r="BF63" i="13" s="1"/>
  <c r="T20" i="13"/>
  <c r="BF20" i="13" s="1"/>
  <c r="AM20" i="13"/>
  <c r="V20" i="13" s="1"/>
  <c r="AN20" i="13"/>
  <c r="AR20" i="13"/>
  <c r="AU20" i="13" s="1"/>
  <c r="AR56" i="13"/>
  <c r="AU56" i="13" s="1"/>
  <c r="T56" i="13"/>
  <c r="BF56" i="13" s="1"/>
  <c r="AN56" i="13"/>
  <c r="AM56" i="13"/>
  <c r="V56" i="13" s="1"/>
  <c r="T59" i="13"/>
  <c r="BF59" i="13" s="1"/>
  <c r="AM59" i="13"/>
  <c r="V59" i="13" s="1"/>
  <c r="AN59" i="13"/>
  <c r="AR59" i="13"/>
  <c r="AU59" i="13" s="1"/>
  <c r="AR58" i="13"/>
  <c r="AU58" i="13" s="1"/>
  <c r="AN58" i="13"/>
  <c r="AM58" i="13"/>
  <c r="V58" i="13" s="1"/>
  <c r="T58" i="13"/>
  <c r="BF58" i="13" s="1"/>
  <c r="AN64" i="13"/>
  <c r="AR64" i="13"/>
  <c r="AU64" i="13" s="1"/>
  <c r="AM64" i="13"/>
  <c r="V64" i="13" s="1"/>
  <c r="T64" i="13"/>
  <c r="BF64" i="13" s="1"/>
  <c r="T60" i="13"/>
  <c r="BF60" i="13" s="1"/>
  <c r="AM60" i="13"/>
  <c r="V60" i="13" s="1"/>
  <c r="AN60" i="13"/>
  <c r="AR60" i="13"/>
  <c r="AU60" i="13" s="1"/>
  <c r="T57" i="13"/>
  <c r="BF57" i="13" s="1"/>
  <c r="AR57" i="13"/>
  <c r="AU57" i="13" s="1"/>
  <c r="AN57" i="13"/>
  <c r="AM57" i="13"/>
  <c r="V57" i="13" s="1"/>
  <c r="AR61" i="13"/>
  <c r="AU61" i="13" s="1"/>
  <c r="AM61" i="13"/>
  <c r="V61" i="13" s="1"/>
  <c r="T61" i="13"/>
  <c r="BF61" i="13" s="1"/>
  <c r="AN61" i="13"/>
  <c r="AN62" i="13"/>
  <c r="BG62" i="13" s="1"/>
  <c r="T62" i="13"/>
  <c r="BF62" i="13" s="1"/>
  <c r="AR62" i="13"/>
  <c r="AU62" i="13" s="1"/>
  <c r="AM62" i="13"/>
  <c r="V62" i="13" s="1"/>
  <c r="W62" i="13"/>
  <c r="W55" i="13"/>
  <c r="W24" i="13"/>
  <c r="W26" i="13"/>
  <c r="T24" i="13"/>
  <c r="BF24" i="13" s="1"/>
  <c r="AR24" i="13"/>
  <c r="AU24" i="13" s="1"/>
  <c r="AM19" i="13"/>
  <c r="V19" i="13" s="1"/>
  <c r="AN23" i="13"/>
  <c r="BG23" i="13" s="1"/>
  <c r="AN22" i="13"/>
  <c r="BG22" i="13" s="1"/>
  <c r="AM23" i="13"/>
  <c r="V23" i="13" s="1"/>
  <c r="AM18" i="13"/>
  <c r="V18" i="13" s="1"/>
  <c r="T22" i="13"/>
  <c r="BF22" i="13" s="1"/>
  <c r="T18" i="13"/>
  <c r="BF18" i="13" s="1"/>
  <c r="T23" i="13"/>
  <c r="BF23" i="13" s="1"/>
  <c r="AN19" i="13"/>
  <c r="BG19" i="13" s="1"/>
  <c r="AN18" i="13"/>
  <c r="BG18" i="13" s="1"/>
  <c r="T19" i="13"/>
  <c r="BF19" i="13" s="1"/>
  <c r="AM22" i="13"/>
  <c r="V22" i="13" s="1"/>
  <c r="AM24" i="13"/>
  <c r="V24" i="13" s="1"/>
  <c r="AM26" i="13"/>
  <c r="V26" i="13" s="1"/>
  <c r="T25" i="13"/>
  <c r="BF25" i="13" s="1"/>
  <c r="AN25" i="13"/>
  <c r="BG25" i="13" s="1"/>
  <c r="AN21" i="13"/>
  <c r="BG21" i="13" s="1"/>
  <c r="AN27" i="13"/>
  <c r="BG27" i="13" s="1"/>
  <c r="T21" i="13"/>
  <c r="BF21" i="13" s="1"/>
  <c r="AM21" i="13"/>
  <c r="V21" i="13" s="1"/>
  <c r="T27" i="13"/>
  <c r="BF27" i="13" s="1"/>
  <c r="AM27" i="13"/>
  <c r="V27" i="13" s="1"/>
  <c r="AM25" i="13"/>
  <c r="V25" i="13" s="1"/>
  <c r="AR26" i="13"/>
  <c r="AU26" i="13" s="1"/>
  <c r="T26" i="13"/>
  <c r="BF26" i="13" s="1"/>
  <c r="AO72" i="13"/>
  <c r="AY72" i="13" s="1"/>
  <c r="AJ72" i="13"/>
  <c r="AO71" i="13"/>
  <c r="AY71" i="13" s="1"/>
  <c r="AJ71" i="13"/>
  <c r="AO67" i="13"/>
  <c r="AY67" i="13" s="1"/>
  <c r="AJ67" i="13"/>
  <c r="AO66" i="13"/>
  <c r="AY66" i="13" s="1"/>
  <c r="AJ66" i="13"/>
  <c r="AO65" i="13"/>
  <c r="AY65" i="13" s="1"/>
  <c r="AJ65" i="13"/>
  <c r="AO54" i="13"/>
  <c r="AY54" i="13" s="1"/>
  <c r="AJ54" i="13"/>
  <c r="U72" i="13"/>
  <c r="U71" i="13"/>
  <c r="U67" i="13"/>
  <c r="U66" i="13"/>
  <c r="U65" i="13"/>
  <c r="U54" i="13"/>
  <c r="U53" i="13"/>
  <c r="U52" i="13"/>
  <c r="U51" i="13"/>
  <c r="U50" i="13"/>
  <c r="U49" i="13"/>
  <c r="U48" i="13"/>
  <c r="AO53" i="13"/>
  <c r="AY53" i="13" s="1"/>
  <c r="AJ53" i="13"/>
  <c r="AO52" i="13"/>
  <c r="AY52" i="13" s="1"/>
  <c r="AJ52" i="13"/>
  <c r="AO51" i="13"/>
  <c r="AY51" i="13" s="1"/>
  <c r="AJ51" i="13"/>
  <c r="AO50" i="13"/>
  <c r="AY50" i="13" s="1"/>
  <c r="AJ50" i="13"/>
  <c r="AO49" i="13"/>
  <c r="AY49" i="13" s="1"/>
  <c r="AJ49" i="13"/>
  <c r="AO48" i="13"/>
  <c r="AY48" i="13" s="1"/>
  <c r="AJ48" i="13"/>
  <c r="Z72" i="13"/>
  <c r="Y72" i="13"/>
  <c r="Z71" i="13"/>
  <c r="Y71" i="13"/>
  <c r="Z67" i="13"/>
  <c r="Y67" i="13"/>
  <c r="Z66" i="13"/>
  <c r="Y66" i="13"/>
  <c r="Z65" i="13"/>
  <c r="Y65" i="13"/>
  <c r="Z54" i="13"/>
  <c r="Y54" i="13"/>
  <c r="AV36" i="13"/>
  <c r="AV35" i="13"/>
  <c r="AV34" i="13"/>
  <c r="AV33" i="13"/>
  <c r="AV32" i="13"/>
  <c r="AV31" i="13"/>
  <c r="AV30" i="13"/>
  <c r="AV29" i="13"/>
  <c r="AV28" i="13"/>
  <c r="AV17" i="13"/>
  <c r="AV16" i="13"/>
  <c r="AV15" i="13"/>
  <c r="AV14" i="13"/>
  <c r="AV13" i="13"/>
  <c r="AV12" i="13"/>
  <c r="AV11" i="13"/>
  <c r="AV10" i="13"/>
  <c r="AV9" i="13"/>
  <c r="AV8" i="13"/>
  <c r="AV7" i="13"/>
  <c r="AO7" i="13"/>
  <c r="AO36" i="13"/>
  <c r="AY36" i="13" s="1"/>
  <c r="AO35" i="13"/>
  <c r="AY35" i="13" s="1"/>
  <c r="AO34" i="13"/>
  <c r="AY34" i="13" s="1"/>
  <c r="AO33" i="13"/>
  <c r="AY33" i="13" s="1"/>
  <c r="AO32" i="13"/>
  <c r="AY32" i="13" s="1"/>
  <c r="AO31" i="13"/>
  <c r="AY31" i="13" s="1"/>
  <c r="AO30" i="13"/>
  <c r="AY30" i="13" s="1"/>
  <c r="AO29" i="13"/>
  <c r="AY29" i="13" s="1"/>
  <c r="AO28" i="13"/>
  <c r="AY28" i="13" s="1"/>
  <c r="AO17" i="13"/>
  <c r="AY17" i="13" s="1"/>
  <c r="AO16" i="13"/>
  <c r="AY16" i="13" s="1"/>
  <c r="AO15" i="13"/>
  <c r="AY15" i="13" s="1"/>
  <c r="AO14" i="13"/>
  <c r="AY14" i="13" s="1"/>
  <c r="AO13" i="13"/>
  <c r="AY13" i="13" s="1"/>
  <c r="AO12" i="13"/>
  <c r="AY12" i="13" s="1"/>
  <c r="AO11" i="13"/>
  <c r="AY11" i="13" s="1"/>
  <c r="AO10" i="13"/>
  <c r="AY10" i="13" s="1"/>
  <c r="AO9" i="13"/>
  <c r="AY9" i="13" s="1"/>
  <c r="AO8" i="13"/>
  <c r="AY8" i="13" s="1"/>
  <c r="AT36" i="13"/>
  <c r="AT35" i="13"/>
  <c r="AT34" i="13"/>
  <c r="AT33" i="13"/>
  <c r="AT32" i="13"/>
  <c r="AT31" i="13"/>
  <c r="AT30" i="13"/>
  <c r="AT29" i="13"/>
  <c r="AT28" i="13"/>
  <c r="AT17" i="13"/>
  <c r="AT16" i="13"/>
  <c r="AT15" i="13"/>
  <c r="AT14" i="13"/>
  <c r="AT13" i="13"/>
  <c r="AT12" i="13"/>
  <c r="AT11" i="13"/>
  <c r="AT10" i="13"/>
  <c r="AT9" i="13"/>
  <c r="AT8" i="13"/>
  <c r="AT7" i="13"/>
  <c r="W58" i="13" l="1"/>
  <c r="BG58" i="13"/>
  <c r="W56" i="13"/>
  <c r="BG56" i="13"/>
  <c r="W57" i="13"/>
  <c r="BG57" i="13"/>
  <c r="W59" i="13"/>
  <c r="BG59" i="13"/>
  <c r="W20" i="13"/>
  <c r="BG20" i="13"/>
  <c r="W60" i="13"/>
  <c r="BG60" i="13"/>
  <c r="W61" i="13"/>
  <c r="BG61" i="13"/>
  <c r="W63" i="13"/>
  <c r="BG63" i="13"/>
  <c r="W64" i="13"/>
  <c r="BG64" i="13"/>
  <c r="G65" i="13"/>
  <c r="AD65" i="13"/>
  <c r="AB65" i="13"/>
  <c r="AF65" i="13"/>
  <c r="G72" i="13"/>
  <c r="AF72" i="13"/>
  <c r="AD72" i="13"/>
  <c r="AB72" i="13"/>
  <c r="H72" i="13"/>
  <c r="BC72" i="13" s="1"/>
  <c r="G66" i="13"/>
  <c r="AB66" i="13"/>
  <c r="AD66" i="13"/>
  <c r="AF66" i="13"/>
  <c r="AY7" i="13"/>
  <c r="M38" i="19"/>
  <c r="M33" i="19"/>
  <c r="M60" i="19"/>
  <c r="F33" i="19"/>
  <c r="M39" i="19"/>
  <c r="M59" i="19"/>
  <c r="F59" i="19"/>
  <c r="G67" i="13"/>
  <c r="AD67" i="13"/>
  <c r="AB67" i="13"/>
  <c r="AF67" i="13"/>
  <c r="G54" i="13"/>
  <c r="AF54" i="13"/>
  <c r="AD54" i="13"/>
  <c r="AB54" i="13"/>
  <c r="G71" i="13"/>
  <c r="AF71" i="13"/>
  <c r="AB71" i="13"/>
  <c r="AD71" i="13"/>
  <c r="W25" i="13"/>
  <c r="W22" i="13"/>
  <c r="W27" i="13"/>
  <c r="W23" i="13"/>
  <c r="W18" i="13"/>
  <c r="W21" i="13"/>
  <c r="W19" i="13"/>
  <c r="AK71" i="13"/>
  <c r="AL71" i="13" s="1"/>
  <c r="AK66" i="13"/>
  <c r="AL66" i="13" s="1"/>
  <c r="AA54" i="13"/>
  <c r="H65" i="13"/>
  <c r="BC65" i="13" s="1"/>
  <c r="H29" i="29"/>
  <c r="I34" i="29"/>
  <c r="I35" i="29"/>
  <c r="AK65" i="13"/>
  <c r="AL65" i="13" s="1"/>
  <c r="AM65" i="13" s="1"/>
  <c r="V65" i="13" s="1"/>
  <c r="H66" i="13"/>
  <c r="BC66" i="13" s="1"/>
  <c r="AH71" i="13"/>
  <c r="L71" i="13" s="1"/>
  <c r="AS71" i="13"/>
  <c r="BB71" i="13"/>
  <c r="AH67" i="13"/>
  <c r="L67" i="13" s="1"/>
  <c r="AS67" i="13"/>
  <c r="AH72" i="13"/>
  <c r="L72" i="13" s="1"/>
  <c r="AS72" i="13"/>
  <c r="H67" i="13"/>
  <c r="BC67" i="13" s="1"/>
  <c r="BB54" i="13"/>
  <c r="AH54" i="13"/>
  <c r="L54" i="13" s="1"/>
  <c r="AH65" i="13"/>
  <c r="L65" i="13" s="1"/>
  <c r="AS65" i="13"/>
  <c r="AA65" i="13"/>
  <c r="AA72" i="13"/>
  <c r="BB65" i="13"/>
  <c r="AC67" i="13"/>
  <c r="AH66" i="13"/>
  <c r="L66" i="13" s="1"/>
  <c r="AS66" i="13"/>
  <c r="BB66" i="13"/>
  <c r="H71" i="13"/>
  <c r="BC71" i="13" s="1"/>
  <c r="AK72" i="13"/>
  <c r="AL72" i="13" s="1"/>
  <c r="BB72" i="13"/>
  <c r="AE67" i="13"/>
  <c r="AC72" i="13"/>
  <c r="BB67" i="13"/>
  <c r="AK67" i="13"/>
  <c r="AL67" i="13" s="1"/>
  <c r="H54" i="13"/>
  <c r="BC54" i="13" s="1"/>
  <c r="AK54" i="13"/>
  <c r="AE54" i="13"/>
  <c r="AS54" i="13"/>
  <c r="AG65" i="13"/>
  <c r="K65" i="13" s="1"/>
  <c r="BE65" i="13" s="1"/>
  <c r="AE66" i="13"/>
  <c r="AE71" i="13"/>
  <c r="AG66" i="13"/>
  <c r="K66" i="13" s="1"/>
  <c r="BE66" i="13" s="1"/>
  <c r="AG71" i="13"/>
  <c r="K71" i="13" s="1"/>
  <c r="BE71" i="13" s="1"/>
  <c r="AC65" i="13"/>
  <c r="AA66" i="13"/>
  <c r="AG67" i="13"/>
  <c r="K67" i="13" s="1"/>
  <c r="BE67" i="13" s="1"/>
  <c r="AA71" i="13"/>
  <c r="AE72" i="13"/>
  <c r="AE65" i="13"/>
  <c r="AC66" i="13"/>
  <c r="AA67" i="13"/>
  <c r="AC71" i="13"/>
  <c r="AG72" i="13"/>
  <c r="K72" i="13" s="1"/>
  <c r="BE72" i="13" s="1"/>
  <c r="AR66" i="13" l="1"/>
  <c r="AU66" i="13" s="1"/>
  <c r="T66" i="13"/>
  <c r="BF66" i="13" s="1"/>
  <c r="AN66" i="13"/>
  <c r="BG66" i="13" s="1"/>
  <c r="AM66" i="13"/>
  <c r="V66" i="13" s="1"/>
  <c r="AR71" i="13"/>
  <c r="AU71" i="13" s="1"/>
  <c r="AM71" i="13"/>
  <c r="V71" i="13" s="1"/>
  <c r="T71" i="13"/>
  <c r="BF71" i="13" s="1"/>
  <c r="AN71" i="13"/>
  <c r="AR72" i="13"/>
  <c r="AU72" i="13" s="1"/>
  <c r="T72" i="13"/>
  <c r="BF72" i="13" s="1"/>
  <c r="AN72" i="13"/>
  <c r="BG72" i="13" s="1"/>
  <c r="AM72" i="13"/>
  <c r="V72" i="13" s="1"/>
  <c r="AN67" i="13"/>
  <c r="BG67" i="13" s="1"/>
  <c r="AM67" i="13"/>
  <c r="V67" i="13" s="1"/>
  <c r="T67" i="13"/>
  <c r="BF67" i="13" s="1"/>
  <c r="AR67" i="13"/>
  <c r="AU67" i="13" s="1"/>
  <c r="AR65" i="13"/>
  <c r="AU65" i="13" s="1"/>
  <c r="T65" i="13"/>
  <c r="BF65" i="13" s="1"/>
  <c r="AN65" i="13"/>
  <c r="AL54" i="13"/>
  <c r="AM54" i="13" s="1"/>
  <c r="V54" i="13" s="1"/>
  <c r="W66" i="13"/>
  <c r="W72" i="13"/>
  <c r="W67" i="13" l="1"/>
  <c r="W65" i="13"/>
  <c r="BG65" i="13"/>
  <c r="W71" i="13"/>
  <c r="BG71" i="13"/>
  <c r="T54" i="13"/>
  <c r="BF54" i="13" s="1"/>
  <c r="AR54" i="13"/>
  <c r="AU54" i="13" s="1"/>
  <c r="U36" i="13"/>
  <c r="U35" i="13"/>
  <c r="U34" i="13"/>
  <c r="U33" i="13"/>
  <c r="U32" i="13"/>
  <c r="U31" i="13"/>
  <c r="U30" i="13"/>
  <c r="U29" i="13"/>
  <c r="U28" i="13"/>
  <c r="U17" i="13"/>
  <c r="U16" i="13"/>
  <c r="U15" i="13"/>
  <c r="U14" i="13"/>
  <c r="U13" i="13"/>
  <c r="U12" i="13"/>
  <c r="U11" i="13"/>
  <c r="U10" i="13"/>
  <c r="U9" i="13"/>
  <c r="U8" i="13"/>
  <c r="AJ36" i="13"/>
  <c r="AJ35" i="13"/>
  <c r="AJ34" i="13"/>
  <c r="AJ33" i="13"/>
  <c r="AJ32" i="13"/>
  <c r="AJ31" i="13"/>
  <c r="AJ30" i="13"/>
  <c r="AJ29" i="13"/>
  <c r="AJ28" i="13"/>
  <c r="AJ17" i="13"/>
  <c r="AJ16" i="13"/>
  <c r="AJ15" i="13"/>
  <c r="AJ14" i="13"/>
  <c r="AJ13" i="13"/>
  <c r="AJ12" i="13"/>
  <c r="AJ11" i="13"/>
  <c r="AJ10" i="13"/>
  <c r="AJ9" i="13"/>
  <c r="AJ8" i="13"/>
  <c r="AJ7" i="13"/>
  <c r="R7" i="10"/>
  <c r="T7" i="10" s="1"/>
  <c r="Z36" i="13"/>
  <c r="Y36" i="13"/>
  <c r="Z35" i="13"/>
  <c r="Y35" i="13"/>
  <c r="Z34" i="13"/>
  <c r="Y34" i="13"/>
  <c r="Z33" i="13"/>
  <c r="Y33" i="13"/>
  <c r="Z32" i="13"/>
  <c r="Y32" i="13"/>
  <c r="Z31" i="13"/>
  <c r="Y31" i="13"/>
  <c r="Z30" i="13"/>
  <c r="Y30" i="13"/>
  <c r="Z29" i="13"/>
  <c r="Y29" i="13"/>
  <c r="Z28" i="13"/>
  <c r="Y28" i="13"/>
  <c r="Z17" i="13"/>
  <c r="Y17" i="13"/>
  <c r="Z16" i="13"/>
  <c r="Y16" i="13"/>
  <c r="Z15" i="13"/>
  <c r="Y15" i="13"/>
  <c r="Z14" i="13"/>
  <c r="Y14" i="13"/>
  <c r="Z13" i="13"/>
  <c r="Y13" i="13"/>
  <c r="Z12" i="13"/>
  <c r="Y12" i="13"/>
  <c r="Z11" i="13"/>
  <c r="Y11" i="13"/>
  <c r="Z10" i="13"/>
  <c r="Y10" i="13"/>
  <c r="Z9" i="13"/>
  <c r="Y9" i="13"/>
  <c r="Z8" i="13"/>
  <c r="Y8" i="13"/>
  <c r="S44" i="32"/>
  <c r="S43" i="32"/>
  <c r="S42" i="32"/>
  <c r="S41" i="32"/>
  <c r="S40" i="32"/>
  <c r="S39" i="32"/>
  <c r="S38" i="32"/>
  <c r="S37" i="32"/>
  <c r="S36" i="32"/>
  <c r="S35" i="32"/>
  <c r="S34" i="32"/>
  <c r="S33" i="32"/>
  <c r="S32" i="32"/>
  <c r="S31" i="32"/>
  <c r="S30" i="32"/>
  <c r="S29" i="32"/>
  <c r="S28" i="32"/>
  <c r="S27" i="32"/>
  <c r="S26" i="32"/>
  <c r="S25" i="32"/>
  <c r="S24" i="32"/>
  <c r="S23" i="32"/>
  <c r="S22" i="32"/>
  <c r="S21" i="32"/>
  <c r="S20" i="32"/>
  <c r="S19" i="32"/>
  <c r="S18" i="32"/>
  <c r="S17" i="32"/>
  <c r="S16" i="32"/>
  <c r="S15" i="32"/>
  <c r="S14" i="32"/>
  <c r="S13" i="32"/>
  <c r="S12" i="32"/>
  <c r="S11" i="32"/>
  <c r="S10" i="32"/>
  <c r="S9" i="32"/>
  <c r="S8" i="32"/>
  <c r="T7" i="32"/>
  <c r="T3" i="32"/>
  <c r="T4" i="32" s="1"/>
  <c r="AA29" i="30"/>
  <c r="AA28" i="30"/>
  <c r="AA27" i="30"/>
  <c r="AA26" i="30"/>
  <c r="AA25" i="30"/>
  <c r="AA24" i="30"/>
  <c r="AA23" i="30"/>
  <c r="AA22" i="30"/>
  <c r="AA21" i="30"/>
  <c r="AA20" i="30"/>
  <c r="AA19" i="30"/>
  <c r="AA18" i="30"/>
  <c r="AA17" i="30"/>
  <c r="AA16" i="30"/>
  <c r="AA15" i="30"/>
  <c r="AA14" i="30"/>
  <c r="AA13" i="30"/>
  <c r="AA12" i="30"/>
  <c r="AA11" i="30"/>
  <c r="AA10" i="30"/>
  <c r="AA9" i="30"/>
  <c r="AA8" i="30"/>
  <c r="O8" i="30"/>
  <c r="AB7" i="30"/>
  <c r="AB3" i="30"/>
  <c r="AB4" i="30" s="1"/>
  <c r="P7" i="30"/>
  <c r="P3" i="30"/>
  <c r="P4" i="30" s="1"/>
  <c r="S3" i="31"/>
  <c r="S5" i="31" s="1"/>
  <c r="R1092" i="31"/>
  <c r="R1091" i="31"/>
  <c r="R1090" i="31"/>
  <c r="R1089" i="31"/>
  <c r="R1088" i="31"/>
  <c r="R1087" i="31"/>
  <c r="R1086" i="31"/>
  <c r="R1085" i="31"/>
  <c r="R1084" i="31"/>
  <c r="R1083" i="31"/>
  <c r="R1082" i="31"/>
  <c r="R1081" i="31"/>
  <c r="R1080" i="31"/>
  <c r="R1079" i="31"/>
  <c r="R1078" i="31"/>
  <c r="R1077" i="31"/>
  <c r="R1076" i="31"/>
  <c r="R1075" i="31"/>
  <c r="R1074" i="31"/>
  <c r="R1073" i="31"/>
  <c r="R1072" i="31"/>
  <c r="R1071" i="31"/>
  <c r="R1070" i="31"/>
  <c r="R1069" i="31"/>
  <c r="R1068" i="31"/>
  <c r="R1067" i="31"/>
  <c r="R1066" i="31"/>
  <c r="R1065" i="31"/>
  <c r="R1064" i="31"/>
  <c r="R1063" i="31"/>
  <c r="R1062" i="31"/>
  <c r="R1061" i="31"/>
  <c r="R1060" i="31"/>
  <c r="R1059" i="31"/>
  <c r="R1058" i="31"/>
  <c r="R1057" i="31"/>
  <c r="R1056" i="31"/>
  <c r="R1055" i="31"/>
  <c r="R1054" i="31"/>
  <c r="R1053" i="31"/>
  <c r="R1052" i="31"/>
  <c r="R1051" i="31"/>
  <c r="R1050" i="31"/>
  <c r="R1049" i="31"/>
  <c r="R1048" i="31"/>
  <c r="R1047" i="31"/>
  <c r="R1046" i="31"/>
  <c r="R1045" i="31"/>
  <c r="R1044" i="31"/>
  <c r="R1043" i="31"/>
  <c r="R1042" i="31"/>
  <c r="R1041" i="31"/>
  <c r="R1040" i="31"/>
  <c r="R1039" i="31"/>
  <c r="R1038" i="31"/>
  <c r="R1037" i="31"/>
  <c r="R1036" i="31"/>
  <c r="R1035" i="31"/>
  <c r="R1034" i="31"/>
  <c r="R1033" i="31"/>
  <c r="R1032" i="31"/>
  <c r="R1031" i="31"/>
  <c r="R1030" i="31"/>
  <c r="R1029" i="31"/>
  <c r="R1028" i="31"/>
  <c r="R1027" i="31"/>
  <c r="R1026" i="31"/>
  <c r="R1025" i="31"/>
  <c r="R1024" i="31"/>
  <c r="R1023" i="31"/>
  <c r="R1022" i="31"/>
  <c r="R1021" i="31"/>
  <c r="R1020" i="31"/>
  <c r="R1019" i="31"/>
  <c r="R1018" i="31"/>
  <c r="R1017" i="31"/>
  <c r="R1016" i="31"/>
  <c r="R1015" i="31"/>
  <c r="R1014" i="31"/>
  <c r="R1013" i="31"/>
  <c r="R1012" i="31"/>
  <c r="R1011" i="31"/>
  <c r="R1010" i="31"/>
  <c r="R1009" i="31"/>
  <c r="R1008" i="31"/>
  <c r="R1007" i="31"/>
  <c r="R1006" i="31"/>
  <c r="R1005" i="31"/>
  <c r="R1004" i="31"/>
  <c r="R1003" i="31"/>
  <c r="R1002" i="31"/>
  <c r="R1001" i="31"/>
  <c r="R1000" i="31"/>
  <c r="R999" i="31"/>
  <c r="R998" i="31"/>
  <c r="R997" i="31"/>
  <c r="R996" i="31"/>
  <c r="R995" i="31"/>
  <c r="R994" i="31"/>
  <c r="R993" i="31"/>
  <c r="R992" i="31"/>
  <c r="R991" i="31"/>
  <c r="R990" i="31"/>
  <c r="R989" i="31"/>
  <c r="R988" i="31"/>
  <c r="R987" i="31"/>
  <c r="R986" i="31"/>
  <c r="R985" i="31"/>
  <c r="R984" i="31"/>
  <c r="R983" i="31"/>
  <c r="R982" i="31"/>
  <c r="R981" i="31"/>
  <c r="R980" i="31"/>
  <c r="R979" i="31"/>
  <c r="R978" i="31"/>
  <c r="R977" i="31"/>
  <c r="R976" i="31"/>
  <c r="R975" i="31"/>
  <c r="R974" i="31"/>
  <c r="R973" i="31"/>
  <c r="R972" i="31"/>
  <c r="R971" i="31"/>
  <c r="R970" i="31"/>
  <c r="R969" i="31"/>
  <c r="R968" i="31"/>
  <c r="R967" i="31"/>
  <c r="R966" i="31"/>
  <c r="R965" i="31"/>
  <c r="R964" i="31"/>
  <c r="R963" i="31"/>
  <c r="R962" i="31"/>
  <c r="R961" i="31"/>
  <c r="R960" i="31"/>
  <c r="R959" i="31"/>
  <c r="R958" i="31"/>
  <c r="R957" i="31"/>
  <c r="R956" i="31"/>
  <c r="R955" i="31"/>
  <c r="R954" i="31"/>
  <c r="R953" i="31"/>
  <c r="R952" i="31"/>
  <c r="R951" i="31"/>
  <c r="R950" i="31"/>
  <c r="R949" i="31"/>
  <c r="R948" i="31"/>
  <c r="R947" i="31"/>
  <c r="R946" i="31"/>
  <c r="R945" i="31"/>
  <c r="R944" i="31"/>
  <c r="R943" i="31"/>
  <c r="R942" i="31"/>
  <c r="R941" i="31"/>
  <c r="R940" i="31"/>
  <c r="R939" i="31"/>
  <c r="R938" i="31"/>
  <c r="R937" i="31"/>
  <c r="R936" i="31"/>
  <c r="R935" i="31"/>
  <c r="R934" i="31"/>
  <c r="R933" i="31"/>
  <c r="R932" i="31"/>
  <c r="R931" i="31"/>
  <c r="R930" i="31"/>
  <c r="R929" i="31"/>
  <c r="R928" i="31"/>
  <c r="R927" i="31"/>
  <c r="R926" i="31"/>
  <c r="R925" i="31"/>
  <c r="R924" i="31"/>
  <c r="R923" i="31"/>
  <c r="R922" i="31"/>
  <c r="R921" i="31"/>
  <c r="R920" i="31"/>
  <c r="R919" i="31"/>
  <c r="R918" i="31"/>
  <c r="R917" i="31"/>
  <c r="R916" i="31"/>
  <c r="R915" i="31"/>
  <c r="R914" i="31"/>
  <c r="R913" i="31"/>
  <c r="R912" i="31"/>
  <c r="R911" i="31"/>
  <c r="R910" i="31"/>
  <c r="R909" i="31"/>
  <c r="R908" i="31"/>
  <c r="R907" i="31"/>
  <c r="R906" i="31"/>
  <c r="R905" i="31"/>
  <c r="R904" i="31"/>
  <c r="R903" i="31"/>
  <c r="R902" i="31"/>
  <c r="R901" i="31"/>
  <c r="R900" i="31"/>
  <c r="R899" i="31"/>
  <c r="R898" i="31"/>
  <c r="R897" i="31"/>
  <c r="R896" i="31"/>
  <c r="R895" i="31"/>
  <c r="R894" i="31"/>
  <c r="R893" i="31"/>
  <c r="R892" i="31"/>
  <c r="R891" i="31"/>
  <c r="R890" i="31"/>
  <c r="R889" i="31"/>
  <c r="R888" i="31"/>
  <c r="R887" i="31"/>
  <c r="R886" i="31"/>
  <c r="R885" i="31"/>
  <c r="R884" i="31"/>
  <c r="R883" i="31"/>
  <c r="R882" i="31"/>
  <c r="R881" i="31"/>
  <c r="R880" i="31"/>
  <c r="R879" i="31"/>
  <c r="R878" i="31"/>
  <c r="R877" i="31"/>
  <c r="R876" i="31"/>
  <c r="R875" i="31"/>
  <c r="R874" i="31"/>
  <c r="R873" i="31"/>
  <c r="R872" i="31"/>
  <c r="R871" i="31"/>
  <c r="R870" i="31"/>
  <c r="R869" i="31"/>
  <c r="R868" i="31"/>
  <c r="R867" i="31"/>
  <c r="R866" i="31"/>
  <c r="R865" i="31"/>
  <c r="R864" i="31"/>
  <c r="R863" i="31"/>
  <c r="R862" i="31"/>
  <c r="R861" i="31"/>
  <c r="R860" i="31"/>
  <c r="R859" i="31"/>
  <c r="R858" i="31"/>
  <c r="R857" i="31"/>
  <c r="R856" i="31"/>
  <c r="R855" i="31"/>
  <c r="R854" i="31"/>
  <c r="R853" i="31"/>
  <c r="R852" i="31"/>
  <c r="R851" i="31"/>
  <c r="R850" i="31"/>
  <c r="R849" i="31"/>
  <c r="R848" i="31"/>
  <c r="R847" i="31"/>
  <c r="R846" i="31"/>
  <c r="R845" i="31"/>
  <c r="R844" i="31"/>
  <c r="R843" i="31"/>
  <c r="R842" i="31"/>
  <c r="R841" i="31"/>
  <c r="R840" i="31"/>
  <c r="R839" i="31"/>
  <c r="R838" i="31"/>
  <c r="R837" i="31"/>
  <c r="R836" i="31"/>
  <c r="R835" i="31"/>
  <c r="R834" i="31"/>
  <c r="R833" i="31"/>
  <c r="R832" i="31"/>
  <c r="R831" i="31"/>
  <c r="R830" i="31"/>
  <c r="R829" i="31"/>
  <c r="R828" i="31"/>
  <c r="R827" i="31"/>
  <c r="R826" i="31"/>
  <c r="R825" i="31"/>
  <c r="R824" i="31"/>
  <c r="R823" i="31"/>
  <c r="R822" i="31"/>
  <c r="R821" i="31"/>
  <c r="R820" i="31"/>
  <c r="R819" i="31"/>
  <c r="R818" i="31"/>
  <c r="R817" i="31"/>
  <c r="R816" i="31"/>
  <c r="R815" i="31"/>
  <c r="R814" i="31"/>
  <c r="R813" i="31"/>
  <c r="R812" i="31"/>
  <c r="R811" i="31"/>
  <c r="R810" i="31"/>
  <c r="R809" i="31"/>
  <c r="R808" i="31"/>
  <c r="R807" i="31"/>
  <c r="R806" i="31"/>
  <c r="R805" i="31"/>
  <c r="R804" i="31"/>
  <c r="R803" i="31"/>
  <c r="R802" i="31"/>
  <c r="R801" i="31"/>
  <c r="R800" i="31"/>
  <c r="R799" i="31"/>
  <c r="R798" i="31"/>
  <c r="R797" i="31"/>
  <c r="R796" i="31"/>
  <c r="R795" i="31"/>
  <c r="R794" i="31"/>
  <c r="R793" i="31"/>
  <c r="R792" i="31"/>
  <c r="R791" i="31"/>
  <c r="R790" i="31"/>
  <c r="R789" i="31"/>
  <c r="R788" i="31"/>
  <c r="R787" i="31"/>
  <c r="R786" i="31"/>
  <c r="R785" i="31"/>
  <c r="R784" i="31"/>
  <c r="R783" i="31"/>
  <c r="R782" i="31"/>
  <c r="R781" i="31"/>
  <c r="R780" i="31"/>
  <c r="R779" i="31"/>
  <c r="R778" i="31"/>
  <c r="R777" i="31"/>
  <c r="R776" i="31"/>
  <c r="R775" i="31"/>
  <c r="R774" i="31"/>
  <c r="R773" i="31"/>
  <c r="R772" i="31"/>
  <c r="R771" i="31"/>
  <c r="R770" i="31"/>
  <c r="R769" i="31"/>
  <c r="R768" i="31"/>
  <c r="R767" i="31"/>
  <c r="R766" i="31"/>
  <c r="R765" i="31"/>
  <c r="R764" i="31"/>
  <c r="R763" i="31"/>
  <c r="R762" i="31"/>
  <c r="R761" i="31"/>
  <c r="R760" i="31"/>
  <c r="R759" i="31"/>
  <c r="R758" i="31"/>
  <c r="R757" i="31"/>
  <c r="R756" i="31"/>
  <c r="R755" i="31"/>
  <c r="R754" i="31"/>
  <c r="R753" i="31"/>
  <c r="R752" i="31"/>
  <c r="R751" i="31"/>
  <c r="R750" i="31"/>
  <c r="R749" i="31"/>
  <c r="R748" i="31"/>
  <c r="R747" i="31"/>
  <c r="R746" i="31"/>
  <c r="R745" i="31"/>
  <c r="R744" i="31"/>
  <c r="R743" i="31"/>
  <c r="R742" i="31"/>
  <c r="R741" i="31"/>
  <c r="R740" i="31"/>
  <c r="R739" i="31"/>
  <c r="R738" i="31"/>
  <c r="R737" i="31"/>
  <c r="R736" i="31"/>
  <c r="R735" i="31"/>
  <c r="R734" i="31"/>
  <c r="R733" i="31"/>
  <c r="R732" i="31"/>
  <c r="R731" i="31"/>
  <c r="R730" i="31"/>
  <c r="R729" i="31"/>
  <c r="R728" i="31"/>
  <c r="R727" i="31"/>
  <c r="R726" i="31"/>
  <c r="R725" i="31"/>
  <c r="R724" i="31"/>
  <c r="R723" i="31"/>
  <c r="R722" i="31"/>
  <c r="R721" i="31"/>
  <c r="R720" i="31"/>
  <c r="R719" i="31"/>
  <c r="R718" i="31"/>
  <c r="R717" i="31"/>
  <c r="R716" i="31"/>
  <c r="R715" i="31"/>
  <c r="R714" i="31"/>
  <c r="R713" i="31"/>
  <c r="R712" i="31"/>
  <c r="R711" i="31"/>
  <c r="R710" i="31"/>
  <c r="R709" i="31"/>
  <c r="R708" i="31"/>
  <c r="R707" i="31"/>
  <c r="R706" i="31"/>
  <c r="R705" i="31"/>
  <c r="R704" i="31"/>
  <c r="R703" i="31"/>
  <c r="R702" i="31"/>
  <c r="R701" i="31"/>
  <c r="R700" i="31"/>
  <c r="R699" i="31"/>
  <c r="R698" i="31"/>
  <c r="R697" i="31"/>
  <c r="R696" i="31"/>
  <c r="R695" i="31"/>
  <c r="R694" i="31"/>
  <c r="R693" i="31"/>
  <c r="R692" i="31"/>
  <c r="R691" i="31"/>
  <c r="R690" i="31"/>
  <c r="R689" i="31"/>
  <c r="R688" i="31"/>
  <c r="R687" i="31"/>
  <c r="R686" i="31"/>
  <c r="R685" i="31"/>
  <c r="R684" i="31"/>
  <c r="R683" i="31"/>
  <c r="R682" i="31"/>
  <c r="R681" i="31"/>
  <c r="R680" i="31"/>
  <c r="R679" i="31"/>
  <c r="R678" i="31"/>
  <c r="R677" i="31"/>
  <c r="R676" i="31"/>
  <c r="R675" i="31"/>
  <c r="R674" i="31"/>
  <c r="R673" i="31"/>
  <c r="R672" i="31"/>
  <c r="R671" i="31"/>
  <c r="R670" i="31"/>
  <c r="R669" i="31"/>
  <c r="R668" i="31"/>
  <c r="R667" i="31"/>
  <c r="R666" i="31"/>
  <c r="R665" i="31"/>
  <c r="R664" i="31"/>
  <c r="R663" i="31"/>
  <c r="R662" i="31"/>
  <c r="R661" i="31"/>
  <c r="R660" i="31"/>
  <c r="R659" i="31"/>
  <c r="R658" i="31"/>
  <c r="R657" i="31"/>
  <c r="R656" i="31"/>
  <c r="R655" i="31"/>
  <c r="R654" i="31"/>
  <c r="R653" i="31"/>
  <c r="R652" i="31"/>
  <c r="R651" i="31"/>
  <c r="R650" i="31"/>
  <c r="R649" i="31"/>
  <c r="R648" i="31"/>
  <c r="R647" i="31"/>
  <c r="R646" i="31"/>
  <c r="R645" i="31"/>
  <c r="R644" i="31"/>
  <c r="R643" i="31"/>
  <c r="R642" i="31"/>
  <c r="R641" i="31"/>
  <c r="R640" i="31"/>
  <c r="R639" i="31"/>
  <c r="R638" i="31"/>
  <c r="R637" i="31"/>
  <c r="R636" i="31"/>
  <c r="R635" i="31"/>
  <c r="R634" i="31"/>
  <c r="R633" i="31"/>
  <c r="R632" i="31"/>
  <c r="R631" i="31"/>
  <c r="R630" i="31"/>
  <c r="R629" i="31"/>
  <c r="R628" i="31"/>
  <c r="R627" i="31"/>
  <c r="R626" i="31"/>
  <c r="R625" i="31"/>
  <c r="R624" i="31"/>
  <c r="R623" i="31"/>
  <c r="R622" i="31"/>
  <c r="R621" i="31"/>
  <c r="R620" i="31"/>
  <c r="R619" i="31"/>
  <c r="R618" i="31"/>
  <c r="R617" i="31"/>
  <c r="R616" i="31"/>
  <c r="R615" i="31"/>
  <c r="R614" i="31"/>
  <c r="R613" i="31"/>
  <c r="R612" i="31"/>
  <c r="R611" i="31"/>
  <c r="R610" i="31"/>
  <c r="R609" i="31"/>
  <c r="R608" i="31"/>
  <c r="R607" i="31"/>
  <c r="R606" i="31"/>
  <c r="R605" i="31"/>
  <c r="R604" i="31"/>
  <c r="R603" i="31"/>
  <c r="R602" i="31"/>
  <c r="R601" i="31"/>
  <c r="R600" i="31"/>
  <c r="R599" i="31"/>
  <c r="R598" i="31"/>
  <c r="R597" i="31"/>
  <c r="R596" i="31"/>
  <c r="R595" i="31"/>
  <c r="R594" i="31"/>
  <c r="R593" i="31"/>
  <c r="R592" i="31"/>
  <c r="R591" i="31"/>
  <c r="R590" i="31"/>
  <c r="R589" i="31"/>
  <c r="R588" i="31"/>
  <c r="R587" i="31"/>
  <c r="R586" i="31"/>
  <c r="R585" i="31"/>
  <c r="R584" i="31"/>
  <c r="R583" i="31"/>
  <c r="R582" i="31"/>
  <c r="R581" i="31"/>
  <c r="R580" i="31"/>
  <c r="R579" i="31"/>
  <c r="R578" i="31"/>
  <c r="R577" i="31"/>
  <c r="R576" i="31"/>
  <c r="R575" i="31"/>
  <c r="R574" i="31"/>
  <c r="R573" i="31"/>
  <c r="R572" i="31"/>
  <c r="R571" i="31"/>
  <c r="R570" i="31"/>
  <c r="R569" i="31"/>
  <c r="R568" i="31"/>
  <c r="R567" i="31"/>
  <c r="R566" i="31"/>
  <c r="R565" i="31"/>
  <c r="R564" i="31"/>
  <c r="R563" i="31"/>
  <c r="R562" i="31"/>
  <c r="R561" i="31"/>
  <c r="R560" i="31"/>
  <c r="R559" i="31"/>
  <c r="R558" i="31"/>
  <c r="R557" i="31"/>
  <c r="R556" i="31"/>
  <c r="R555" i="31"/>
  <c r="R554" i="31"/>
  <c r="R553" i="31"/>
  <c r="R552" i="31"/>
  <c r="R551" i="31"/>
  <c r="R550" i="31"/>
  <c r="R549" i="31"/>
  <c r="R548" i="31"/>
  <c r="R547" i="31"/>
  <c r="R546" i="31"/>
  <c r="R545" i="31"/>
  <c r="R544" i="31"/>
  <c r="R543" i="31"/>
  <c r="R542" i="31"/>
  <c r="R541" i="31"/>
  <c r="R540" i="31"/>
  <c r="R539" i="31"/>
  <c r="R538" i="31"/>
  <c r="R537" i="31"/>
  <c r="R536" i="31"/>
  <c r="R535" i="31"/>
  <c r="R534" i="31"/>
  <c r="R533" i="31"/>
  <c r="R532" i="31"/>
  <c r="R531" i="31"/>
  <c r="R530" i="31"/>
  <c r="R529" i="31"/>
  <c r="R528" i="31"/>
  <c r="R527" i="31"/>
  <c r="R526" i="31"/>
  <c r="R525" i="31"/>
  <c r="R524" i="31"/>
  <c r="R523" i="31"/>
  <c r="R522" i="31"/>
  <c r="R521" i="31"/>
  <c r="R520" i="31"/>
  <c r="R519" i="31"/>
  <c r="R518" i="31"/>
  <c r="R517" i="31"/>
  <c r="R516" i="31"/>
  <c r="R515" i="31"/>
  <c r="R514" i="31"/>
  <c r="R513" i="31"/>
  <c r="R512" i="31"/>
  <c r="R511" i="31"/>
  <c r="R510" i="31"/>
  <c r="R509" i="31"/>
  <c r="R508" i="31"/>
  <c r="R507" i="31"/>
  <c r="R506" i="31"/>
  <c r="R505" i="31"/>
  <c r="R504" i="31"/>
  <c r="R503" i="31"/>
  <c r="R502" i="31"/>
  <c r="R501" i="31"/>
  <c r="R500" i="31"/>
  <c r="R499" i="31"/>
  <c r="R498" i="31"/>
  <c r="R497" i="31"/>
  <c r="R496" i="31"/>
  <c r="R495" i="31"/>
  <c r="R494" i="31"/>
  <c r="R493" i="31"/>
  <c r="R492" i="31"/>
  <c r="R491" i="31"/>
  <c r="R490" i="31"/>
  <c r="R489" i="31"/>
  <c r="R488" i="31"/>
  <c r="R487" i="31"/>
  <c r="R486" i="31"/>
  <c r="R485" i="31"/>
  <c r="R484" i="31"/>
  <c r="R483" i="31"/>
  <c r="R482" i="31"/>
  <c r="R481" i="31"/>
  <c r="R480" i="31"/>
  <c r="R479" i="31"/>
  <c r="R478" i="31"/>
  <c r="R477" i="31"/>
  <c r="R476" i="31"/>
  <c r="R475" i="31"/>
  <c r="R474" i="31"/>
  <c r="R473" i="31"/>
  <c r="R472" i="31"/>
  <c r="R471" i="31"/>
  <c r="R470" i="31"/>
  <c r="R469" i="31"/>
  <c r="R468" i="31"/>
  <c r="R467" i="31"/>
  <c r="R466" i="31"/>
  <c r="R465" i="31"/>
  <c r="R464" i="31"/>
  <c r="R463" i="31"/>
  <c r="R462" i="31"/>
  <c r="R461" i="31"/>
  <c r="R460" i="31"/>
  <c r="R459" i="31"/>
  <c r="R458" i="31"/>
  <c r="R457" i="31"/>
  <c r="R456" i="31"/>
  <c r="R455" i="31"/>
  <c r="R454" i="31"/>
  <c r="R453" i="31"/>
  <c r="R452" i="31"/>
  <c r="R451" i="31"/>
  <c r="R450" i="31"/>
  <c r="R449" i="31"/>
  <c r="R448" i="31"/>
  <c r="R447" i="31"/>
  <c r="R446" i="31"/>
  <c r="R445" i="31"/>
  <c r="R444" i="31"/>
  <c r="R443" i="31"/>
  <c r="R442" i="31"/>
  <c r="R441" i="31"/>
  <c r="R440" i="31"/>
  <c r="R439" i="31"/>
  <c r="R438" i="31"/>
  <c r="R437" i="31"/>
  <c r="R436" i="31"/>
  <c r="R435" i="31"/>
  <c r="R434" i="31"/>
  <c r="R433" i="31"/>
  <c r="R432" i="31"/>
  <c r="R431" i="31"/>
  <c r="R430" i="31"/>
  <c r="R429" i="31"/>
  <c r="R428" i="31"/>
  <c r="R427" i="31"/>
  <c r="R426" i="31"/>
  <c r="R425" i="31"/>
  <c r="R424" i="31"/>
  <c r="R423" i="31"/>
  <c r="R422" i="31"/>
  <c r="R421" i="31"/>
  <c r="R420" i="31"/>
  <c r="R419" i="31"/>
  <c r="R418" i="31"/>
  <c r="R417" i="31"/>
  <c r="R416" i="31"/>
  <c r="R415" i="31"/>
  <c r="R414" i="31"/>
  <c r="R413" i="31"/>
  <c r="R412" i="31"/>
  <c r="R411" i="31"/>
  <c r="R410" i="31"/>
  <c r="R409" i="31"/>
  <c r="R408" i="31"/>
  <c r="R407" i="31"/>
  <c r="R406" i="31"/>
  <c r="R405" i="31"/>
  <c r="R404" i="31"/>
  <c r="R403" i="31"/>
  <c r="R402" i="31"/>
  <c r="R401" i="31"/>
  <c r="R400" i="31"/>
  <c r="R399" i="31"/>
  <c r="R398" i="31"/>
  <c r="R397" i="31"/>
  <c r="R396" i="31"/>
  <c r="R395" i="31"/>
  <c r="R394" i="31"/>
  <c r="R393" i="31"/>
  <c r="R392" i="31"/>
  <c r="R391" i="31"/>
  <c r="R390" i="31"/>
  <c r="R389" i="31"/>
  <c r="R388" i="31"/>
  <c r="R387" i="31"/>
  <c r="R386" i="31"/>
  <c r="R385" i="31"/>
  <c r="R384" i="31"/>
  <c r="R383" i="31"/>
  <c r="R382" i="31"/>
  <c r="R381" i="31"/>
  <c r="R380" i="31"/>
  <c r="R379" i="31"/>
  <c r="R378" i="31"/>
  <c r="R377" i="31"/>
  <c r="R376" i="31"/>
  <c r="R375" i="31"/>
  <c r="R374" i="31"/>
  <c r="R373" i="31"/>
  <c r="R372" i="31"/>
  <c r="R371" i="31"/>
  <c r="R370" i="31"/>
  <c r="R369" i="31"/>
  <c r="R368" i="31"/>
  <c r="R367" i="31"/>
  <c r="R366" i="31"/>
  <c r="R365" i="31"/>
  <c r="R364" i="31"/>
  <c r="R363" i="31"/>
  <c r="R362" i="31"/>
  <c r="R361" i="31"/>
  <c r="R360" i="31"/>
  <c r="R359" i="31"/>
  <c r="R358" i="31"/>
  <c r="R357" i="31"/>
  <c r="R356" i="31"/>
  <c r="R355" i="31"/>
  <c r="R354" i="31"/>
  <c r="R353" i="31"/>
  <c r="R352" i="31"/>
  <c r="R351" i="31"/>
  <c r="R350" i="31"/>
  <c r="R349" i="31"/>
  <c r="R348" i="31"/>
  <c r="R347" i="31"/>
  <c r="R346" i="31"/>
  <c r="R345" i="31"/>
  <c r="R344" i="31"/>
  <c r="R343" i="31"/>
  <c r="R342" i="31"/>
  <c r="R341" i="31"/>
  <c r="R340" i="31"/>
  <c r="R339" i="31"/>
  <c r="R338" i="31"/>
  <c r="R337" i="31"/>
  <c r="R336" i="31"/>
  <c r="R335" i="31"/>
  <c r="R334" i="31"/>
  <c r="R333" i="31"/>
  <c r="R332" i="31"/>
  <c r="R331" i="31"/>
  <c r="R330" i="31"/>
  <c r="R329" i="31"/>
  <c r="R328" i="31"/>
  <c r="R327" i="31"/>
  <c r="R326" i="31"/>
  <c r="R325" i="31"/>
  <c r="R324" i="31"/>
  <c r="R323" i="31"/>
  <c r="R322" i="31"/>
  <c r="R321" i="31"/>
  <c r="R320" i="31"/>
  <c r="R319" i="31"/>
  <c r="R318" i="31"/>
  <c r="R317" i="31"/>
  <c r="R316" i="31"/>
  <c r="R315" i="31"/>
  <c r="R314" i="31"/>
  <c r="R313" i="31"/>
  <c r="R312" i="31"/>
  <c r="R311" i="31"/>
  <c r="R310" i="31"/>
  <c r="R309" i="31"/>
  <c r="R308" i="31"/>
  <c r="R307" i="31"/>
  <c r="R306" i="31"/>
  <c r="R305" i="31"/>
  <c r="R304" i="31"/>
  <c r="R303" i="31"/>
  <c r="R302" i="31"/>
  <c r="R301" i="31"/>
  <c r="R300" i="31"/>
  <c r="R299" i="31"/>
  <c r="R298" i="31"/>
  <c r="R297" i="31"/>
  <c r="R296" i="31"/>
  <c r="R295" i="31"/>
  <c r="R294" i="31"/>
  <c r="R293" i="31"/>
  <c r="R292" i="31"/>
  <c r="R291" i="31"/>
  <c r="R290" i="31"/>
  <c r="R289" i="31"/>
  <c r="R288" i="31"/>
  <c r="R287" i="31"/>
  <c r="R286" i="31"/>
  <c r="R285" i="31"/>
  <c r="R284" i="31"/>
  <c r="R283" i="31"/>
  <c r="R282" i="31"/>
  <c r="R281" i="31"/>
  <c r="R280" i="31"/>
  <c r="R279" i="31"/>
  <c r="R278" i="31"/>
  <c r="R277" i="31"/>
  <c r="R276" i="31"/>
  <c r="R275" i="31"/>
  <c r="R274" i="31"/>
  <c r="R273" i="31"/>
  <c r="R272" i="31"/>
  <c r="R271" i="31"/>
  <c r="R270" i="31"/>
  <c r="R269" i="31"/>
  <c r="R268" i="31"/>
  <c r="R267" i="31"/>
  <c r="R266" i="31"/>
  <c r="R265" i="31"/>
  <c r="R264" i="31"/>
  <c r="R263" i="31"/>
  <c r="R262" i="31"/>
  <c r="R261" i="31"/>
  <c r="R260" i="31"/>
  <c r="R259" i="31"/>
  <c r="R258" i="31"/>
  <c r="R257" i="31"/>
  <c r="R256" i="31"/>
  <c r="R255" i="31"/>
  <c r="R254" i="31"/>
  <c r="R253" i="31"/>
  <c r="R252" i="31"/>
  <c r="R251" i="31"/>
  <c r="R250" i="31"/>
  <c r="R249" i="31"/>
  <c r="R248" i="31"/>
  <c r="R247" i="31"/>
  <c r="R246" i="31"/>
  <c r="R245" i="31"/>
  <c r="R244" i="31"/>
  <c r="R243" i="31"/>
  <c r="R242" i="31"/>
  <c r="R241" i="31"/>
  <c r="R240" i="31"/>
  <c r="R239" i="31"/>
  <c r="R238" i="31"/>
  <c r="R237" i="31"/>
  <c r="R236" i="31"/>
  <c r="R235" i="31"/>
  <c r="R234" i="31"/>
  <c r="R233" i="31"/>
  <c r="R232" i="31"/>
  <c r="R231" i="31"/>
  <c r="R230" i="31"/>
  <c r="R229" i="31"/>
  <c r="R228" i="31"/>
  <c r="R227" i="31"/>
  <c r="R226" i="31"/>
  <c r="R225" i="31"/>
  <c r="R224" i="31"/>
  <c r="R223" i="31"/>
  <c r="R222" i="31"/>
  <c r="R221" i="31"/>
  <c r="R220" i="31"/>
  <c r="R219" i="31"/>
  <c r="R218" i="31"/>
  <c r="R217" i="31"/>
  <c r="R216" i="31"/>
  <c r="R215" i="31"/>
  <c r="R214" i="31"/>
  <c r="R213" i="31"/>
  <c r="R212" i="31"/>
  <c r="R211" i="31"/>
  <c r="R210" i="31"/>
  <c r="R209" i="31"/>
  <c r="R208" i="31"/>
  <c r="R207" i="31"/>
  <c r="R206" i="31"/>
  <c r="R205" i="31"/>
  <c r="R204" i="31"/>
  <c r="R203" i="31"/>
  <c r="R202" i="31"/>
  <c r="R201" i="31"/>
  <c r="R200" i="31"/>
  <c r="R199" i="31"/>
  <c r="R198" i="31"/>
  <c r="R197" i="31"/>
  <c r="R196" i="31"/>
  <c r="R195" i="31"/>
  <c r="R194" i="31"/>
  <c r="R193" i="31"/>
  <c r="R192" i="31"/>
  <c r="R191" i="31"/>
  <c r="R190" i="31"/>
  <c r="R189" i="31"/>
  <c r="R188" i="31"/>
  <c r="R187" i="31"/>
  <c r="R186" i="31"/>
  <c r="R185" i="31"/>
  <c r="R184" i="31"/>
  <c r="R183" i="31"/>
  <c r="R182" i="31"/>
  <c r="R181" i="31"/>
  <c r="R180" i="31"/>
  <c r="R179" i="31"/>
  <c r="R178" i="31"/>
  <c r="R177" i="31"/>
  <c r="R176" i="31"/>
  <c r="R175" i="31"/>
  <c r="R174" i="31"/>
  <c r="R173" i="31"/>
  <c r="R172" i="31"/>
  <c r="R171" i="31"/>
  <c r="R170" i="31"/>
  <c r="R169" i="31"/>
  <c r="R168" i="31"/>
  <c r="R167" i="31"/>
  <c r="R166" i="31"/>
  <c r="R165" i="31"/>
  <c r="R164" i="31"/>
  <c r="R163" i="31"/>
  <c r="R162" i="31"/>
  <c r="R161" i="31"/>
  <c r="R160" i="31"/>
  <c r="R159" i="31"/>
  <c r="R158" i="31"/>
  <c r="R157" i="31"/>
  <c r="R156" i="31"/>
  <c r="R155" i="31"/>
  <c r="R154" i="31"/>
  <c r="R153" i="31"/>
  <c r="R152" i="31"/>
  <c r="R151" i="31"/>
  <c r="R150" i="31"/>
  <c r="R149" i="31"/>
  <c r="R148" i="31"/>
  <c r="R147" i="31"/>
  <c r="R146" i="31"/>
  <c r="R145" i="31"/>
  <c r="R144" i="31"/>
  <c r="R143" i="31"/>
  <c r="R142" i="31"/>
  <c r="R141" i="31"/>
  <c r="R140" i="31"/>
  <c r="R139" i="31"/>
  <c r="R138" i="31"/>
  <c r="R137" i="31"/>
  <c r="R136" i="31"/>
  <c r="R135" i="31"/>
  <c r="R134" i="31"/>
  <c r="R133" i="31"/>
  <c r="R132" i="31"/>
  <c r="R131" i="31"/>
  <c r="R130" i="31"/>
  <c r="R129" i="31"/>
  <c r="R128" i="31"/>
  <c r="R127" i="31"/>
  <c r="R126" i="31"/>
  <c r="R125" i="31"/>
  <c r="R124" i="31"/>
  <c r="R123" i="31"/>
  <c r="R122" i="31"/>
  <c r="R121" i="31"/>
  <c r="R120" i="31"/>
  <c r="R119" i="31"/>
  <c r="R118" i="31"/>
  <c r="R117" i="31"/>
  <c r="R116" i="31"/>
  <c r="R115" i="31"/>
  <c r="R114" i="31"/>
  <c r="R113" i="31"/>
  <c r="R112" i="31"/>
  <c r="R111" i="31"/>
  <c r="R110" i="31"/>
  <c r="R109" i="31"/>
  <c r="R108" i="31"/>
  <c r="R107" i="31"/>
  <c r="R106" i="31"/>
  <c r="R105" i="31"/>
  <c r="R104" i="31"/>
  <c r="R103" i="31"/>
  <c r="R102" i="31"/>
  <c r="R101" i="31"/>
  <c r="R100" i="31"/>
  <c r="R99" i="31"/>
  <c r="R98" i="31"/>
  <c r="R97" i="31"/>
  <c r="R96" i="31"/>
  <c r="R95" i="31"/>
  <c r="R94" i="31"/>
  <c r="R93" i="31"/>
  <c r="R92" i="31"/>
  <c r="R91" i="31"/>
  <c r="R90" i="31"/>
  <c r="R89" i="31"/>
  <c r="R88" i="31"/>
  <c r="R87" i="31"/>
  <c r="R86" i="31"/>
  <c r="R85" i="31"/>
  <c r="R84" i="31"/>
  <c r="R83" i="31"/>
  <c r="R82" i="31"/>
  <c r="R81" i="31"/>
  <c r="R80" i="31"/>
  <c r="R79" i="31"/>
  <c r="R78" i="31"/>
  <c r="R77" i="31"/>
  <c r="R76" i="31"/>
  <c r="R75" i="31"/>
  <c r="R74" i="31"/>
  <c r="R73" i="31"/>
  <c r="R72" i="31"/>
  <c r="R71" i="31"/>
  <c r="R70" i="31"/>
  <c r="R69" i="31"/>
  <c r="R68" i="31"/>
  <c r="R67" i="31"/>
  <c r="R66" i="31"/>
  <c r="R65" i="31"/>
  <c r="R64" i="31"/>
  <c r="R63" i="31"/>
  <c r="R62" i="31"/>
  <c r="R61" i="31"/>
  <c r="R60" i="31"/>
  <c r="R59" i="31"/>
  <c r="R58" i="31"/>
  <c r="R57" i="31"/>
  <c r="R56" i="31"/>
  <c r="R55" i="31"/>
  <c r="R54" i="31"/>
  <c r="R53" i="31"/>
  <c r="R52" i="31"/>
  <c r="R51" i="31"/>
  <c r="R50" i="31"/>
  <c r="R49" i="31"/>
  <c r="R48" i="31"/>
  <c r="R47" i="31"/>
  <c r="R46" i="31"/>
  <c r="R45" i="31"/>
  <c r="R44" i="31"/>
  <c r="R43" i="31"/>
  <c r="R42" i="31"/>
  <c r="R41" i="31"/>
  <c r="R40" i="31"/>
  <c r="R39" i="31"/>
  <c r="R38" i="31"/>
  <c r="R37" i="31"/>
  <c r="R36" i="31"/>
  <c r="R35" i="31"/>
  <c r="R34" i="31"/>
  <c r="R33" i="31"/>
  <c r="R32" i="31"/>
  <c r="R31" i="31"/>
  <c r="R30" i="31"/>
  <c r="R29" i="31"/>
  <c r="R28" i="31"/>
  <c r="R27" i="31"/>
  <c r="R26" i="31"/>
  <c r="R25" i="31"/>
  <c r="R24" i="31"/>
  <c r="R23" i="31"/>
  <c r="R22" i="31"/>
  <c r="R21" i="31"/>
  <c r="R20" i="31"/>
  <c r="R19" i="31"/>
  <c r="R18" i="31"/>
  <c r="R17" i="31"/>
  <c r="R16" i="31"/>
  <c r="R15" i="31"/>
  <c r="R14" i="31"/>
  <c r="R13" i="31"/>
  <c r="R12" i="31"/>
  <c r="R11" i="31"/>
  <c r="R10" i="31"/>
  <c r="R9" i="31"/>
  <c r="S8" i="31"/>
  <c r="O2" i="10"/>
  <c r="G11" i="13" l="1"/>
  <c r="AB11" i="13"/>
  <c r="AF11" i="13"/>
  <c r="AD11" i="13"/>
  <c r="AK15" i="13"/>
  <c r="AL15" i="13" s="1"/>
  <c r="AR15" i="13" s="1"/>
  <c r="G15" i="13"/>
  <c r="AF15" i="13"/>
  <c r="AD15" i="13"/>
  <c r="AB15" i="13"/>
  <c r="G29" i="13"/>
  <c r="AD29" i="13"/>
  <c r="AF29" i="13"/>
  <c r="AB29" i="13"/>
  <c r="H33" i="13"/>
  <c r="BC33" i="13" s="1"/>
  <c r="G33" i="13"/>
  <c r="AB33" i="13"/>
  <c r="AF33" i="13"/>
  <c r="AD33" i="13"/>
  <c r="P195" i="30"/>
  <c r="P187" i="30"/>
  <c r="P179" i="30"/>
  <c r="P171" i="30"/>
  <c r="P163" i="30"/>
  <c r="P155" i="30"/>
  <c r="P147" i="30"/>
  <c r="P139" i="30"/>
  <c r="P131" i="30"/>
  <c r="P123" i="30"/>
  <c r="P115" i="30"/>
  <c r="P107" i="30"/>
  <c r="P99" i="30"/>
  <c r="P91" i="30"/>
  <c r="P83" i="30"/>
  <c r="P75" i="30"/>
  <c r="P67" i="30"/>
  <c r="P59" i="30"/>
  <c r="P51" i="30"/>
  <c r="P43" i="30"/>
  <c r="P35" i="30"/>
  <c r="P27" i="30"/>
  <c r="P19" i="30"/>
  <c r="P11" i="30"/>
  <c r="P194" i="30"/>
  <c r="P186" i="30"/>
  <c r="P178" i="30"/>
  <c r="P170" i="30"/>
  <c r="P162" i="30"/>
  <c r="P154" i="30"/>
  <c r="P146" i="30"/>
  <c r="P138" i="30"/>
  <c r="P130" i="30"/>
  <c r="P122" i="30"/>
  <c r="P114" i="30"/>
  <c r="P106" i="30"/>
  <c r="P98" i="30"/>
  <c r="P90" i="30"/>
  <c r="P82" i="30"/>
  <c r="P74" i="30"/>
  <c r="P66" i="30"/>
  <c r="P58" i="30"/>
  <c r="P50" i="30"/>
  <c r="P42" i="30"/>
  <c r="P34" i="30"/>
  <c r="P26" i="30"/>
  <c r="P18" i="30"/>
  <c r="P10" i="30"/>
  <c r="P193" i="30"/>
  <c r="P185" i="30"/>
  <c r="P177" i="30"/>
  <c r="P169" i="30"/>
  <c r="P161" i="30"/>
  <c r="P153" i="30"/>
  <c r="P145" i="30"/>
  <c r="P137" i="30"/>
  <c r="P129" i="30"/>
  <c r="P121" i="30"/>
  <c r="P113" i="30"/>
  <c r="P105" i="30"/>
  <c r="P97" i="30"/>
  <c r="P89" i="30"/>
  <c r="P81" i="30"/>
  <c r="P73" i="30"/>
  <c r="P65" i="30"/>
  <c r="P57" i="30"/>
  <c r="P49" i="30"/>
  <c r="P41" i="30"/>
  <c r="P33" i="30"/>
  <c r="P25" i="30"/>
  <c r="P17" i="30"/>
  <c r="P9" i="30"/>
  <c r="P200" i="30"/>
  <c r="P192" i="30"/>
  <c r="P184" i="30"/>
  <c r="P176" i="30"/>
  <c r="P168" i="30"/>
  <c r="P160" i="30"/>
  <c r="P152" i="30"/>
  <c r="P144" i="30"/>
  <c r="P136" i="30"/>
  <c r="P128" i="30"/>
  <c r="P120" i="30"/>
  <c r="P112" i="30"/>
  <c r="P104" i="30"/>
  <c r="P96" i="30"/>
  <c r="P88" i="30"/>
  <c r="P80" i="30"/>
  <c r="P72" i="30"/>
  <c r="P64" i="30"/>
  <c r="P56" i="30"/>
  <c r="P48" i="30"/>
  <c r="P40" i="30"/>
  <c r="P32" i="30"/>
  <c r="P24" i="30"/>
  <c r="P16" i="30"/>
  <c r="P8" i="30"/>
  <c r="P199" i="30"/>
  <c r="P191" i="30"/>
  <c r="P183" i="30"/>
  <c r="P175" i="30"/>
  <c r="P167" i="30"/>
  <c r="P159" i="30"/>
  <c r="P151" i="30"/>
  <c r="P143" i="30"/>
  <c r="P135" i="30"/>
  <c r="P127" i="30"/>
  <c r="P119" i="30"/>
  <c r="P111" i="30"/>
  <c r="P103" i="30"/>
  <c r="P95" i="30"/>
  <c r="P87" i="30"/>
  <c r="P79" i="30"/>
  <c r="P71" i="30"/>
  <c r="P63" i="30"/>
  <c r="P55" i="30"/>
  <c r="P47" i="30"/>
  <c r="P39" i="30"/>
  <c r="P31" i="30"/>
  <c r="P23" i="30"/>
  <c r="P15" i="30"/>
  <c r="P198" i="30"/>
  <c r="P190" i="30"/>
  <c r="P182" i="30"/>
  <c r="P174" i="30"/>
  <c r="P166" i="30"/>
  <c r="P158" i="30"/>
  <c r="P150" i="30"/>
  <c r="P142" i="30"/>
  <c r="P134" i="30"/>
  <c r="P126" i="30"/>
  <c r="P118" i="30"/>
  <c r="P110" i="30"/>
  <c r="P102" i="30"/>
  <c r="P94" i="30"/>
  <c r="P86" i="30"/>
  <c r="P78" i="30"/>
  <c r="P70" i="30"/>
  <c r="P62" i="30"/>
  <c r="P54" i="30"/>
  <c r="P46" i="30"/>
  <c r="P38" i="30"/>
  <c r="P30" i="30"/>
  <c r="P22" i="30"/>
  <c r="P14" i="30"/>
  <c r="P197" i="30"/>
  <c r="P189" i="30"/>
  <c r="P181" i="30"/>
  <c r="P173" i="30"/>
  <c r="P165" i="30"/>
  <c r="P157" i="30"/>
  <c r="P149" i="30"/>
  <c r="P141" i="30"/>
  <c r="P133" i="30"/>
  <c r="P125" i="30"/>
  <c r="P117" i="30"/>
  <c r="P109" i="30"/>
  <c r="P101" i="30"/>
  <c r="P93" i="30"/>
  <c r="P85" i="30"/>
  <c r="P77" i="30"/>
  <c r="P69" i="30"/>
  <c r="P61" i="30"/>
  <c r="P53" i="30"/>
  <c r="P45" i="30"/>
  <c r="P37" i="30"/>
  <c r="P29" i="30"/>
  <c r="P21" i="30"/>
  <c r="P13" i="30"/>
  <c r="P140" i="30"/>
  <c r="P76" i="30"/>
  <c r="P12" i="30"/>
  <c r="P196" i="30"/>
  <c r="P132" i="30"/>
  <c r="P68" i="30"/>
  <c r="P188" i="30"/>
  <c r="P124" i="30"/>
  <c r="P60" i="30"/>
  <c r="P180" i="30"/>
  <c r="P116" i="30"/>
  <c r="P52" i="30"/>
  <c r="P172" i="30"/>
  <c r="P108" i="30"/>
  <c r="P44" i="30"/>
  <c r="P156" i="30"/>
  <c r="P92" i="30"/>
  <c r="P28" i="30"/>
  <c r="P148" i="30"/>
  <c r="P84" i="30"/>
  <c r="P20" i="30"/>
  <c r="P164" i="30"/>
  <c r="P100" i="30"/>
  <c r="P36" i="30"/>
  <c r="S1996" i="31"/>
  <c r="S1988" i="31"/>
  <c r="S1993" i="31"/>
  <c r="S1985" i="31"/>
  <c r="S1977" i="31"/>
  <c r="S1969" i="31"/>
  <c r="S1961" i="31"/>
  <c r="S2000" i="31"/>
  <c r="S1992" i="31"/>
  <c r="S1984" i="31"/>
  <c r="S1976" i="31"/>
  <c r="S1968" i="31"/>
  <c r="S1990" i="31"/>
  <c r="S1979" i="31"/>
  <c r="S1967" i="31"/>
  <c r="S1958" i="31"/>
  <c r="S1950" i="31"/>
  <c r="S1942" i="31"/>
  <c r="S1934" i="31"/>
  <c r="S1926" i="31"/>
  <c r="S1918" i="31"/>
  <c r="S1910" i="31"/>
  <c r="S1902" i="31"/>
  <c r="S1894" i="31"/>
  <c r="S1886" i="31"/>
  <c r="S1878" i="31"/>
  <c r="S1870" i="31"/>
  <c r="S1862" i="31"/>
  <c r="S1854" i="31"/>
  <c r="S1846" i="31"/>
  <c r="S1838" i="31"/>
  <c r="S1830" i="31"/>
  <c r="S1822" i="31"/>
  <c r="S1814" i="31"/>
  <c r="S1806" i="31"/>
  <c r="S1798" i="31"/>
  <c r="S1790" i="31"/>
  <c r="S1782" i="31"/>
  <c r="S1774" i="31"/>
  <c r="S1766" i="31"/>
  <c r="S1758" i="31"/>
  <c r="S1750" i="31"/>
  <c r="S1742" i="31"/>
  <c r="S1734" i="31"/>
  <c r="S1726" i="31"/>
  <c r="S1718" i="31"/>
  <c r="S1710" i="31"/>
  <c r="S1702" i="31"/>
  <c r="S1694" i="31"/>
  <c r="S1686" i="31"/>
  <c r="S1678" i="31"/>
  <c r="S1670" i="31"/>
  <c r="S1662" i="31"/>
  <c r="S1654" i="31"/>
  <c r="S1646" i="31"/>
  <c r="S1638" i="31"/>
  <c r="S1989" i="31"/>
  <c r="S1978" i="31"/>
  <c r="S1966" i="31"/>
  <c r="S1957" i="31"/>
  <c r="S1949" i="31"/>
  <c r="S1941" i="31"/>
  <c r="S1933" i="31"/>
  <c r="S1925" i="31"/>
  <c r="S1917" i="31"/>
  <c r="S1909" i="31"/>
  <c r="S1901" i="31"/>
  <c r="S1893" i="31"/>
  <c r="S1885" i="31"/>
  <c r="S1877" i="31"/>
  <c r="S1869" i="31"/>
  <c r="S1861" i="31"/>
  <c r="S1853" i="31"/>
  <c r="S1845" i="31"/>
  <c r="S1837" i="31"/>
  <c r="S1829" i="31"/>
  <c r="S1821" i="31"/>
  <c r="S1813" i="31"/>
  <c r="S1805" i="31"/>
  <c r="S1797" i="31"/>
  <c r="S1789" i="31"/>
  <c r="S1781" i="31"/>
  <c r="S1773" i="31"/>
  <c r="S1765" i="31"/>
  <c r="S1757" i="31"/>
  <c r="S1749" i="31"/>
  <c r="S1741" i="31"/>
  <c r="S1733" i="31"/>
  <c r="S1725" i="31"/>
  <c r="S1717" i="31"/>
  <c r="S1709" i="31"/>
  <c r="S1701" i="31"/>
  <c r="S1693" i="31"/>
  <c r="S1685" i="31"/>
  <c r="S1677" i="31"/>
  <c r="S1669" i="31"/>
  <c r="S1661" i="31"/>
  <c r="S1653" i="31"/>
  <c r="S1645" i="31"/>
  <c r="S1637" i="31"/>
  <c r="S1629" i="31"/>
  <c r="S1621" i="31"/>
  <c r="S1613" i="31"/>
  <c r="S1605" i="31"/>
  <c r="S1597" i="31"/>
  <c r="S1589" i="31"/>
  <c r="S1581" i="31"/>
  <c r="S1573" i="31"/>
  <c r="S1565" i="31"/>
  <c r="S1557" i="31"/>
  <c r="S1549" i="31"/>
  <c r="S1541" i="31"/>
  <c r="S1533" i="31"/>
  <c r="S1525" i="31"/>
  <c r="S1517" i="31"/>
  <c r="S1509" i="31"/>
  <c r="S1501" i="31"/>
  <c r="S1493" i="31"/>
  <c r="S1485" i="31"/>
  <c r="S1477" i="31"/>
  <c r="S1469" i="31"/>
  <c r="S1461" i="31"/>
  <c r="S1453" i="31"/>
  <c r="S1445" i="31"/>
  <c r="S1437" i="31"/>
  <c r="S1429" i="31"/>
  <c r="S1421" i="31"/>
  <c r="S1413" i="31"/>
  <c r="S1405" i="31"/>
  <c r="S1397" i="31"/>
  <c r="S1999" i="31"/>
  <c r="S1987" i="31"/>
  <c r="S1975" i="31"/>
  <c r="S1965" i="31"/>
  <c r="S1956" i="31"/>
  <c r="S1948" i="31"/>
  <c r="S1940" i="31"/>
  <c r="S1932" i="31"/>
  <c r="S1924" i="31"/>
  <c r="S1916" i="31"/>
  <c r="S1908" i="31"/>
  <c r="S1900" i="31"/>
  <c r="S1892" i="31"/>
  <c r="S1884" i="31"/>
  <c r="S1876" i="31"/>
  <c r="S1868" i="31"/>
  <c r="S1860" i="31"/>
  <c r="S1852" i="31"/>
  <c r="S1844" i="31"/>
  <c r="S1836" i="31"/>
  <c r="S1828" i="31"/>
  <c r="S1820" i="31"/>
  <c r="S1812" i="31"/>
  <c r="S1804" i="31"/>
  <c r="S1796" i="31"/>
  <c r="S1788" i="31"/>
  <c r="S1780" i="31"/>
  <c r="S1772" i="31"/>
  <c r="S1764" i="31"/>
  <c r="S1756" i="31"/>
  <c r="S1748" i="31"/>
  <c r="S1740" i="31"/>
  <c r="S1732" i="31"/>
  <c r="S1724" i="31"/>
  <c r="S1716" i="31"/>
  <c r="S1708" i="31"/>
  <c r="S1700" i="31"/>
  <c r="S1692" i="31"/>
  <c r="S1684" i="31"/>
  <c r="S1676" i="31"/>
  <c r="S1668" i="31"/>
  <c r="S1660" i="31"/>
  <c r="S1652" i="31"/>
  <c r="S1644" i="31"/>
  <c r="S1636" i="31"/>
  <c r="S1628" i="31"/>
  <c r="S1620" i="31"/>
  <c r="S1612" i="31"/>
  <c r="S1604" i="31"/>
  <c r="S1596" i="31"/>
  <c r="S1588" i="31"/>
  <c r="S1580" i="31"/>
  <c r="S1572" i="31"/>
  <c r="S1564" i="31"/>
  <c r="S1556" i="31"/>
  <c r="S1548" i="31"/>
  <c r="S1540" i="31"/>
  <c r="S1532" i="31"/>
  <c r="S1524" i="31"/>
  <c r="S1516" i="31"/>
  <c r="S1508" i="31"/>
  <c r="S1500" i="31"/>
  <c r="S1492" i="31"/>
  <c r="S1484" i="31"/>
  <c r="S1476" i="31"/>
  <c r="S1468" i="31"/>
  <c r="S1460" i="31"/>
  <c r="S1452" i="31"/>
  <c r="S1444" i="31"/>
  <c r="S1436" i="31"/>
  <c r="S1428" i="31"/>
  <c r="S1420" i="31"/>
  <c r="S1412" i="31"/>
  <c r="S1404" i="31"/>
  <c r="S1396" i="31"/>
  <c r="S1998" i="31"/>
  <c r="S1986" i="31"/>
  <c r="S1974" i="31"/>
  <c r="S1964" i="31"/>
  <c r="S1955" i="31"/>
  <c r="S1947" i="31"/>
  <c r="S1939" i="31"/>
  <c r="S1931" i="31"/>
  <c r="S1923" i="31"/>
  <c r="S1915" i="31"/>
  <c r="S1907" i="31"/>
  <c r="S1899" i="31"/>
  <c r="S1891" i="31"/>
  <c r="S1883" i="31"/>
  <c r="S1875" i="31"/>
  <c r="S1867" i="31"/>
  <c r="S1859" i="31"/>
  <c r="S1851" i="31"/>
  <c r="S1843" i="31"/>
  <c r="S1835" i="31"/>
  <c r="S1827" i="31"/>
  <c r="S1819" i="31"/>
  <c r="S1811" i="31"/>
  <c r="S1803" i="31"/>
  <c r="S1795" i="31"/>
  <c r="S1787" i="31"/>
  <c r="S1779" i="31"/>
  <c r="S1771" i="31"/>
  <c r="S1763" i="31"/>
  <c r="S1755" i="31"/>
  <c r="S1747" i="31"/>
  <c r="S1739" i="31"/>
  <c r="S1731" i="31"/>
  <c r="S1723" i="31"/>
  <c r="S1715" i="31"/>
  <c r="S1707" i="31"/>
  <c r="S1699" i="31"/>
  <c r="S1691" i="31"/>
  <c r="S1683" i="31"/>
  <c r="S1675" i="31"/>
  <c r="S1667" i="31"/>
  <c r="S1997" i="31"/>
  <c r="S1983" i="31"/>
  <c r="S1973" i="31"/>
  <c r="S1963" i="31"/>
  <c r="S1954" i="31"/>
  <c r="S1946" i="31"/>
  <c r="S1938" i="31"/>
  <c r="S1930" i="31"/>
  <c r="S1922" i="31"/>
  <c r="S1914" i="31"/>
  <c r="S1906" i="31"/>
  <c r="S1898" i="31"/>
  <c r="S1890" i="31"/>
  <c r="S1882" i="31"/>
  <c r="S1874" i="31"/>
  <c r="S1866" i="31"/>
  <c r="S1858" i="31"/>
  <c r="S1850" i="31"/>
  <c r="S1842" i="31"/>
  <c r="S1834" i="31"/>
  <c r="S1826" i="31"/>
  <c r="S1818" i="31"/>
  <c r="S1810" i="31"/>
  <c r="S1802" i="31"/>
  <c r="S1794" i="31"/>
  <c r="S1786" i="31"/>
  <c r="S1778" i="31"/>
  <c r="S1770" i="31"/>
  <c r="S1762" i="31"/>
  <c r="S1754" i="31"/>
  <c r="S1746" i="31"/>
  <c r="S1738" i="31"/>
  <c r="S1730" i="31"/>
  <c r="S1994" i="31"/>
  <c r="S1981" i="31"/>
  <c r="S1971" i="31"/>
  <c r="S1960" i="31"/>
  <c r="S1952" i="31"/>
  <c r="S1944" i="31"/>
  <c r="S1936" i="31"/>
  <c r="S1928" i="31"/>
  <c r="S1920" i="31"/>
  <c r="S1912" i="31"/>
  <c r="S1904" i="31"/>
  <c r="S1896" i="31"/>
  <c r="S1888" i="31"/>
  <c r="S1880" i="31"/>
  <c r="S1872" i="31"/>
  <c r="S1864" i="31"/>
  <c r="S1856" i="31"/>
  <c r="S1848" i="31"/>
  <c r="S1840" i="31"/>
  <c r="S1832" i="31"/>
  <c r="S1824" i="31"/>
  <c r="S1816" i="31"/>
  <c r="S1808" i="31"/>
  <c r="S1800" i="31"/>
  <c r="S1792" i="31"/>
  <c r="S1784" i="31"/>
  <c r="S1776" i="31"/>
  <c r="S1768" i="31"/>
  <c r="S1760" i="31"/>
  <c r="S1752" i="31"/>
  <c r="S1744" i="31"/>
  <c r="S1736" i="31"/>
  <c r="S1728" i="31"/>
  <c r="S1720" i="31"/>
  <c r="S1712" i="31"/>
  <c r="S1704" i="31"/>
  <c r="S1696" i="31"/>
  <c r="S1688" i="31"/>
  <c r="S1680" i="31"/>
  <c r="S1672" i="31"/>
  <c r="S1664" i="31"/>
  <c r="S1656" i="31"/>
  <c r="S1648" i="31"/>
  <c r="S1640" i="31"/>
  <c r="S1632" i="31"/>
  <c r="S1624" i="31"/>
  <c r="S1616" i="31"/>
  <c r="S1608" i="31"/>
  <c r="S1600" i="31"/>
  <c r="S1592" i="31"/>
  <c r="S1584" i="31"/>
  <c r="S1576" i="31"/>
  <c r="S1568" i="31"/>
  <c r="S1560" i="31"/>
  <c r="S1552" i="31"/>
  <c r="S1544" i="31"/>
  <c r="S1536" i="31"/>
  <c r="S1528" i="31"/>
  <c r="S1520" i="31"/>
  <c r="S1512" i="31"/>
  <c r="S1504" i="31"/>
  <c r="S1496" i="31"/>
  <c r="S1488" i="31"/>
  <c r="S1480" i="31"/>
  <c r="S1472" i="31"/>
  <c r="S1464" i="31"/>
  <c r="S1456" i="31"/>
  <c r="S1448" i="31"/>
  <c r="S1440" i="31"/>
  <c r="S1991" i="31"/>
  <c r="S1980" i="31"/>
  <c r="S1970" i="31"/>
  <c r="S1959" i="31"/>
  <c r="S1951" i="31"/>
  <c r="S1943" i="31"/>
  <c r="S1935" i="31"/>
  <c r="S1927" i="31"/>
  <c r="S1919" i="31"/>
  <c r="S1911" i="31"/>
  <c r="S1903" i="31"/>
  <c r="S1895" i="31"/>
  <c r="S1887" i="31"/>
  <c r="S1879" i="31"/>
  <c r="S1871" i="31"/>
  <c r="S1863" i="31"/>
  <c r="S1855" i="31"/>
  <c r="S1847" i="31"/>
  <c r="S1839" i="31"/>
  <c r="S1831" i="31"/>
  <c r="S1823" i="31"/>
  <c r="S1815" i="31"/>
  <c r="S1807" i="31"/>
  <c r="S1799" i="31"/>
  <c r="S1791" i="31"/>
  <c r="S1995" i="31"/>
  <c r="S1921" i="31"/>
  <c r="S1857" i="31"/>
  <c r="S1793" i="31"/>
  <c r="S1759" i="31"/>
  <c r="S1727" i="31"/>
  <c r="S1705" i="31"/>
  <c r="S1682" i="31"/>
  <c r="S1663" i="31"/>
  <c r="S1647" i="31"/>
  <c r="S1631" i="31"/>
  <c r="S1618" i="31"/>
  <c r="S1606" i="31"/>
  <c r="S1593" i="31"/>
  <c r="S1579" i="31"/>
  <c r="S1567" i="31"/>
  <c r="S1554" i="31"/>
  <c r="S1542" i="31"/>
  <c r="S1529" i="31"/>
  <c r="S1515" i="31"/>
  <c r="S1503" i="31"/>
  <c r="S1490" i="31"/>
  <c r="S1478" i="31"/>
  <c r="S1465" i="31"/>
  <c r="S1451" i="31"/>
  <c r="S1439" i="31"/>
  <c r="S1427" i="31"/>
  <c r="S1417" i="31"/>
  <c r="S1407" i="31"/>
  <c r="S1395" i="31"/>
  <c r="S1387" i="31"/>
  <c r="S1379" i="31"/>
  <c r="S1371" i="31"/>
  <c r="S1363" i="31"/>
  <c r="S1355" i="31"/>
  <c r="S1347" i="31"/>
  <c r="S1339" i="31"/>
  <c r="S1331" i="31"/>
  <c r="S1323" i="31"/>
  <c r="S1315" i="31"/>
  <c r="S1307" i="31"/>
  <c r="S1299" i="31"/>
  <c r="S1291" i="31"/>
  <c r="S1283" i="31"/>
  <c r="S1275" i="31"/>
  <c r="S1267" i="31"/>
  <c r="S1259" i="31"/>
  <c r="S1251" i="31"/>
  <c r="S1243" i="31"/>
  <c r="S1235" i="31"/>
  <c r="S1227" i="31"/>
  <c r="S1219" i="31"/>
  <c r="S1211" i="31"/>
  <c r="S1203" i="31"/>
  <c r="S1195" i="31"/>
  <c r="S1187" i="31"/>
  <c r="S1179" i="31"/>
  <c r="S1171" i="31"/>
  <c r="S1163" i="31"/>
  <c r="S1155" i="31"/>
  <c r="S1147" i="31"/>
  <c r="S1139" i="31"/>
  <c r="S1131" i="31"/>
  <c r="S1123" i="31"/>
  <c r="S1115" i="31"/>
  <c r="S1107" i="31"/>
  <c r="S1099" i="31"/>
  <c r="S1091" i="31"/>
  <c r="S1982" i="31"/>
  <c r="S1913" i="31"/>
  <c r="S1849" i="31"/>
  <c r="S1785" i="31"/>
  <c r="S1753" i="31"/>
  <c r="S1722" i="31"/>
  <c r="S1703" i="31"/>
  <c r="S1681" i="31"/>
  <c r="S1659" i="31"/>
  <c r="S1643" i="31"/>
  <c r="S1630" i="31"/>
  <c r="S1617" i="31"/>
  <c r="S1603" i="31"/>
  <c r="S1591" i="31"/>
  <c r="S1578" i="31"/>
  <c r="S1566" i="31"/>
  <c r="S1553" i="31"/>
  <c r="S1539" i="31"/>
  <c r="S1527" i="31"/>
  <c r="S1514" i="31"/>
  <c r="S1502" i="31"/>
  <c r="S1489" i="31"/>
  <c r="S1475" i="31"/>
  <c r="S1463" i="31"/>
  <c r="S1450" i="31"/>
  <c r="S1438" i="31"/>
  <c r="S1426" i="31"/>
  <c r="S1416" i="31"/>
  <c r="S1406" i="31"/>
  <c r="S1394" i="31"/>
  <c r="S1386" i="31"/>
  <c r="S1378" i="31"/>
  <c r="S1370" i="31"/>
  <c r="S1362" i="31"/>
  <c r="S1354" i="31"/>
  <c r="S1346" i="31"/>
  <c r="S1338" i="31"/>
  <c r="S1330" i="31"/>
  <c r="S1322" i="31"/>
  <c r="S1314" i="31"/>
  <c r="S1306" i="31"/>
  <c r="S1298" i="31"/>
  <c r="S1290" i="31"/>
  <c r="S1282" i="31"/>
  <c r="S1274" i="31"/>
  <c r="S1266" i="31"/>
  <c r="S1258" i="31"/>
  <c r="S1250" i="31"/>
  <c r="S1242" i="31"/>
  <c r="S1234" i="31"/>
  <c r="S1226" i="31"/>
  <c r="S1218" i="31"/>
  <c r="S1210" i="31"/>
  <c r="S1202" i="31"/>
  <c r="S1194" i="31"/>
  <c r="S1186" i="31"/>
  <c r="S1178" i="31"/>
  <c r="S1170" i="31"/>
  <c r="S1162" i="31"/>
  <c r="S1154" i="31"/>
  <c r="S1146" i="31"/>
  <c r="S1138" i="31"/>
  <c r="S1130" i="31"/>
  <c r="S1122" i="31"/>
  <c r="S1114" i="31"/>
  <c r="S1106" i="31"/>
  <c r="S1098" i="31"/>
  <c r="S1090" i="31"/>
  <c r="S1082" i="31"/>
  <c r="S1074" i="31"/>
  <c r="S1066" i="31"/>
  <c r="S1058" i="31"/>
  <c r="S1050" i="31"/>
  <c r="S1042" i="31"/>
  <c r="S1034" i="31"/>
  <c r="S1026" i="31"/>
  <c r="S1018" i="31"/>
  <c r="S1010" i="31"/>
  <c r="S1002" i="31"/>
  <c r="S994" i="31"/>
  <c r="S986" i="31"/>
  <c r="S978" i="31"/>
  <c r="S1972" i="31"/>
  <c r="S1905" i="31"/>
  <c r="S1841" i="31"/>
  <c r="S1783" i="31"/>
  <c r="S1751" i="31"/>
  <c r="S1721" i="31"/>
  <c r="S1698" i="31"/>
  <c r="S1679" i="31"/>
  <c r="S1658" i="31"/>
  <c r="S1642" i="31"/>
  <c r="S1627" i="31"/>
  <c r="S1615" i="31"/>
  <c r="S1602" i="31"/>
  <c r="S1590" i="31"/>
  <c r="S1577" i="31"/>
  <c r="S1563" i="31"/>
  <c r="S1551" i="31"/>
  <c r="S1538" i="31"/>
  <c r="S1526" i="31"/>
  <c r="S1513" i="31"/>
  <c r="S1499" i="31"/>
  <c r="S1487" i="31"/>
  <c r="S1474" i="31"/>
  <c r="S1462" i="31"/>
  <c r="S1449" i="31"/>
  <c r="S1435" i="31"/>
  <c r="S1425" i="31"/>
  <c r="S1415" i="31"/>
  <c r="S1403" i="31"/>
  <c r="S1393" i="31"/>
  <c r="S1385" i="31"/>
  <c r="S1377" i="31"/>
  <c r="S1369" i="31"/>
  <c r="S1361" i="31"/>
  <c r="S1353" i="31"/>
  <c r="S1345" i="31"/>
  <c r="S1337" i="31"/>
  <c r="S1329" i="31"/>
  <c r="S1321" i="31"/>
  <c r="S1313" i="31"/>
  <c r="S1305" i="31"/>
  <c r="S1297" i="31"/>
  <c r="S1289" i="31"/>
  <c r="S1281" i="31"/>
  <c r="S1273" i="31"/>
  <c r="S1265" i="31"/>
  <c r="S1257" i="31"/>
  <c r="S1249" i="31"/>
  <c r="S1241" i="31"/>
  <c r="S1233" i="31"/>
  <c r="S1225" i="31"/>
  <c r="S1217" i="31"/>
  <c r="S1209" i="31"/>
  <c r="S1201" i="31"/>
  <c r="S1193" i="31"/>
  <c r="S1185" i="31"/>
  <c r="S1177" i="31"/>
  <c r="S1169" i="31"/>
  <c r="S1161" i="31"/>
  <c r="S1153" i="31"/>
  <c r="S1145" i="31"/>
  <c r="S1137" i="31"/>
  <c r="S1129" i="31"/>
  <c r="S1121" i="31"/>
  <c r="S1113" i="31"/>
  <c r="S1105" i="31"/>
  <c r="S1097" i="31"/>
  <c r="S1089" i="31"/>
  <c r="S1081" i="31"/>
  <c r="S1073" i="31"/>
  <c r="S1065" i="31"/>
  <c r="S1057" i="31"/>
  <c r="S1049" i="31"/>
  <c r="S1041" i="31"/>
  <c r="S1033" i="31"/>
  <c r="S1025" i="31"/>
  <c r="S1017" i="31"/>
  <c r="S1009" i="31"/>
  <c r="S1001" i="31"/>
  <c r="S993" i="31"/>
  <c r="S985" i="31"/>
  <c r="S977" i="31"/>
  <c r="S1962" i="31"/>
  <c r="S1897" i="31"/>
  <c r="S1833" i="31"/>
  <c r="S1777" i="31"/>
  <c r="S1745" i="31"/>
  <c r="S1719" i="31"/>
  <c r="S1697" i="31"/>
  <c r="S1674" i="31"/>
  <c r="S1953" i="31"/>
  <c r="S1889" i="31"/>
  <c r="S1825" i="31"/>
  <c r="S1775" i="31"/>
  <c r="S1743" i="31"/>
  <c r="S1714" i="31"/>
  <c r="S1695" i="31"/>
  <c r="S1673" i="31"/>
  <c r="S1655" i="31"/>
  <c r="S1639" i="31"/>
  <c r="S1625" i="31"/>
  <c r="S1611" i="31"/>
  <c r="S1599" i="31"/>
  <c r="S1586" i="31"/>
  <c r="S1574" i="31"/>
  <c r="S1561" i="31"/>
  <c r="S1547" i="31"/>
  <c r="S1535" i="31"/>
  <c r="S1522" i="31"/>
  <c r="S1510" i="31"/>
  <c r="S1497" i="31"/>
  <c r="S1483" i="31"/>
  <c r="S1471" i="31"/>
  <c r="S1458" i="31"/>
  <c r="S1446" i="31"/>
  <c r="S1433" i="31"/>
  <c r="S1423" i="31"/>
  <c r="S1411" i="31"/>
  <c r="S1401" i="31"/>
  <c r="S1391" i="31"/>
  <c r="S1383" i="31"/>
  <c r="S1375" i="31"/>
  <c r="S1367" i="31"/>
  <c r="S1359" i="31"/>
  <c r="S1351" i="31"/>
  <c r="S1343" i="31"/>
  <c r="S1335" i="31"/>
  <c r="S1327" i="31"/>
  <c r="S1319" i="31"/>
  <c r="S1311" i="31"/>
  <c r="S1303" i="31"/>
  <c r="S1295" i="31"/>
  <c r="S1287" i="31"/>
  <c r="S1279" i="31"/>
  <c r="S1271" i="31"/>
  <c r="S1263" i="31"/>
  <c r="S1255" i="31"/>
  <c r="S1247" i="31"/>
  <c r="S1239" i="31"/>
  <c r="S1231" i="31"/>
  <c r="S1223" i="31"/>
  <c r="S1215" i="31"/>
  <c r="S1207" i="31"/>
  <c r="S1199" i="31"/>
  <c r="S1191" i="31"/>
  <c r="S1183" i="31"/>
  <c r="S1175" i="31"/>
  <c r="S1167" i="31"/>
  <c r="S1159" i="31"/>
  <c r="S1151" i="31"/>
  <c r="S1143" i="31"/>
  <c r="S1135" i="31"/>
  <c r="S1127" i="31"/>
  <c r="S1119" i="31"/>
  <c r="S1111" i="31"/>
  <c r="S1103" i="31"/>
  <c r="S1095" i="31"/>
  <c r="S1087" i="31"/>
  <c r="S1079" i="31"/>
  <c r="S1071" i="31"/>
  <c r="S1063" i="31"/>
  <c r="S1055" i="31"/>
  <c r="S1047" i="31"/>
  <c r="S1039" i="31"/>
  <c r="S1031" i="31"/>
  <c r="S1023" i="31"/>
  <c r="S1015" i="31"/>
  <c r="S1007" i="31"/>
  <c r="S999" i="31"/>
  <c r="S991" i="31"/>
  <c r="S983" i="31"/>
  <c r="S975" i="31"/>
  <c r="S967" i="31"/>
  <c r="S959" i="31"/>
  <c r="S1937" i="31"/>
  <c r="S1873" i="31"/>
  <c r="S1809" i="31"/>
  <c r="S1767" i="31"/>
  <c r="S1735" i="31"/>
  <c r="S1711" i="31"/>
  <c r="S1689" i="31"/>
  <c r="S1666" i="31"/>
  <c r="S1650" i="31"/>
  <c r="S1634" i="31"/>
  <c r="S1622" i="31"/>
  <c r="S1609" i="31"/>
  <c r="S1595" i="31"/>
  <c r="S1583" i="31"/>
  <c r="S1570" i="31"/>
  <c r="S1558" i="31"/>
  <c r="S1545" i="31"/>
  <c r="S1531" i="31"/>
  <c r="S1519" i="31"/>
  <c r="S1506" i="31"/>
  <c r="S1494" i="31"/>
  <c r="S1481" i="31"/>
  <c r="S1467" i="31"/>
  <c r="S1455" i="31"/>
  <c r="S1442" i="31"/>
  <c r="S1431" i="31"/>
  <c r="S1419" i="31"/>
  <c r="S1409" i="31"/>
  <c r="S1399" i="31"/>
  <c r="S1389" i="31"/>
  <c r="S1381" i="31"/>
  <c r="S1373" i="31"/>
  <c r="S1365" i="31"/>
  <c r="S1357" i="31"/>
  <c r="S1349" i="31"/>
  <c r="S1341" i="31"/>
  <c r="S1333" i="31"/>
  <c r="S1325" i="31"/>
  <c r="S1317" i="31"/>
  <c r="S1309" i="31"/>
  <c r="S1301" i="31"/>
  <c r="S1293" i="31"/>
  <c r="S1285" i="31"/>
  <c r="S1277" i="31"/>
  <c r="S1269" i="31"/>
  <c r="S1261" i="31"/>
  <c r="S1253" i="31"/>
  <c r="S1245" i="31"/>
  <c r="S1237" i="31"/>
  <c r="S1229" i="31"/>
  <c r="S1221" i="31"/>
  <c r="S1213" i="31"/>
  <c r="S1205" i="31"/>
  <c r="S1197" i="31"/>
  <c r="S1189" i="31"/>
  <c r="S1181" i="31"/>
  <c r="S1173" i="31"/>
  <c r="S1165" i="31"/>
  <c r="S1157" i="31"/>
  <c r="S1149" i="31"/>
  <c r="S1141" i="31"/>
  <c r="S1133" i="31"/>
  <c r="S1125" i="31"/>
  <c r="S1117" i="31"/>
  <c r="S1109" i="31"/>
  <c r="S1101" i="31"/>
  <c r="S1093" i="31"/>
  <c r="S1085" i="31"/>
  <c r="S1077" i="31"/>
  <c r="S1069" i="31"/>
  <c r="S1061" i="31"/>
  <c r="S1053" i="31"/>
  <c r="S1045" i="31"/>
  <c r="S1037" i="31"/>
  <c r="S1029" i="31"/>
  <c r="S1021" i="31"/>
  <c r="S1013" i="31"/>
  <c r="S1005" i="31"/>
  <c r="S997" i="31"/>
  <c r="S989" i="31"/>
  <c r="S981" i="31"/>
  <c r="S973" i="31"/>
  <c r="S965" i="31"/>
  <c r="S957" i="31"/>
  <c r="S1929" i="31"/>
  <c r="S1865" i="31"/>
  <c r="S1801" i="31"/>
  <c r="S1761" i="31"/>
  <c r="S1729" i="31"/>
  <c r="S1706" i="31"/>
  <c r="S1687" i="31"/>
  <c r="S1665" i="31"/>
  <c r="S1649" i="31"/>
  <c r="S1633" i="31"/>
  <c r="S1619" i="31"/>
  <c r="S1607" i="31"/>
  <c r="S1594" i="31"/>
  <c r="S1582" i="31"/>
  <c r="S1569" i="31"/>
  <c r="S1555" i="31"/>
  <c r="S1543" i="31"/>
  <c r="S1530" i="31"/>
  <c r="S1518" i="31"/>
  <c r="S1505" i="31"/>
  <c r="S1491" i="31"/>
  <c r="S1479" i="31"/>
  <c r="S1466" i="31"/>
  <c r="S1454" i="31"/>
  <c r="S1441" i="31"/>
  <c r="S1430" i="31"/>
  <c r="S1418" i="31"/>
  <c r="S1408" i="31"/>
  <c r="S1398" i="31"/>
  <c r="S1671" i="31"/>
  <c r="S1610" i="31"/>
  <c r="S1559" i="31"/>
  <c r="S1507" i="31"/>
  <c r="S1457" i="31"/>
  <c r="S1410" i="31"/>
  <c r="S1380" i="31"/>
  <c r="S1358" i="31"/>
  <c r="S1336" i="31"/>
  <c r="S1316" i="31"/>
  <c r="S1294" i="31"/>
  <c r="S1272" i="31"/>
  <c r="S1252" i="31"/>
  <c r="S1230" i="31"/>
  <c r="S1208" i="31"/>
  <c r="S1188" i="31"/>
  <c r="S1166" i="31"/>
  <c r="S1144" i="31"/>
  <c r="S1124" i="31"/>
  <c r="S1102" i="31"/>
  <c r="S1083" i="31"/>
  <c r="S1067" i="31"/>
  <c r="S1051" i="31"/>
  <c r="S1035" i="31"/>
  <c r="S1019" i="31"/>
  <c r="S1003" i="31"/>
  <c r="S987" i="31"/>
  <c r="S971" i="31"/>
  <c r="S961" i="31"/>
  <c r="S951" i="31"/>
  <c r="S943" i="31"/>
  <c r="S935" i="31"/>
  <c r="S927" i="31"/>
  <c r="S919" i="31"/>
  <c r="S911" i="31"/>
  <c r="S903" i="31"/>
  <c r="S895" i="31"/>
  <c r="S887" i="31"/>
  <c r="S879" i="31"/>
  <c r="S871" i="31"/>
  <c r="S863" i="31"/>
  <c r="S855" i="31"/>
  <c r="S847" i="31"/>
  <c r="S839" i="31"/>
  <c r="S831" i="31"/>
  <c r="S823" i="31"/>
  <c r="S815" i="31"/>
  <c r="S807" i="31"/>
  <c r="S799" i="31"/>
  <c r="S791" i="31"/>
  <c r="S783" i="31"/>
  <c r="S775" i="31"/>
  <c r="S767" i="31"/>
  <c r="S759" i="31"/>
  <c r="S751" i="31"/>
  <c r="S743" i="31"/>
  <c r="S735" i="31"/>
  <c r="S727" i="31"/>
  <c r="S719" i="31"/>
  <c r="S711" i="31"/>
  <c r="S703" i="31"/>
  <c r="S695" i="31"/>
  <c r="S687" i="31"/>
  <c r="S679" i="31"/>
  <c r="S671" i="31"/>
  <c r="S663" i="31"/>
  <c r="S655" i="31"/>
  <c r="S647" i="31"/>
  <c r="S639" i="31"/>
  <c r="S631" i="31"/>
  <c r="S623" i="31"/>
  <c r="S615" i="31"/>
  <c r="S607" i="31"/>
  <c r="S599" i="31"/>
  <c r="S591" i="31"/>
  <c r="S583" i="31"/>
  <c r="S575" i="31"/>
  <c r="S1945" i="31"/>
  <c r="S1657" i="31"/>
  <c r="S1601" i="31"/>
  <c r="S1550" i="31"/>
  <c r="S1498" i="31"/>
  <c r="S1447" i="31"/>
  <c r="S1402" i="31"/>
  <c r="S1376" i="31"/>
  <c r="S1356" i="31"/>
  <c r="S1334" i="31"/>
  <c r="S1312" i="31"/>
  <c r="S1292" i="31"/>
  <c r="S1270" i="31"/>
  <c r="S1248" i="31"/>
  <c r="S1228" i="31"/>
  <c r="S1206" i="31"/>
  <c r="S1184" i="31"/>
  <c r="S1164" i="31"/>
  <c r="S1142" i="31"/>
  <c r="S1120" i="31"/>
  <c r="S1100" i="31"/>
  <c r="S1080" i="31"/>
  <c r="S1064" i="31"/>
  <c r="S1048" i="31"/>
  <c r="S1032" i="31"/>
  <c r="S1016" i="31"/>
  <c r="S1000" i="31"/>
  <c r="S984" i="31"/>
  <c r="S970" i="31"/>
  <c r="S960" i="31"/>
  <c r="S950" i="31"/>
  <c r="S942" i="31"/>
  <c r="S934" i="31"/>
  <c r="S926" i="31"/>
  <c r="S918" i="31"/>
  <c r="S910" i="31"/>
  <c r="S902" i="31"/>
  <c r="S894" i="31"/>
  <c r="S886" i="31"/>
  <c r="S878" i="31"/>
  <c r="S870" i="31"/>
  <c r="S862" i="31"/>
  <c r="S854" i="31"/>
  <c r="S846" i="31"/>
  <c r="S838" i="31"/>
  <c r="S830" i="31"/>
  <c r="S822" i="31"/>
  <c r="S814" i="31"/>
  <c r="S806" i="31"/>
  <c r="S798" i="31"/>
  <c r="S790" i="31"/>
  <c r="S782" i="31"/>
  <c r="S774" i="31"/>
  <c r="S766" i="31"/>
  <c r="S758" i="31"/>
  <c r="S750" i="31"/>
  <c r="S742" i="31"/>
  <c r="S734" i="31"/>
  <c r="S726" i="31"/>
  <c r="S718" i="31"/>
  <c r="S710" i="31"/>
  <c r="S702" i="31"/>
  <c r="S694" i="31"/>
  <c r="S686" i="31"/>
  <c r="S678" i="31"/>
  <c r="S670" i="31"/>
  <c r="S662" i="31"/>
  <c r="S654" i="31"/>
  <c r="S646" i="31"/>
  <c r="S638" i="31"/>
  <c r="S630" i="31"/>
  <c r="S622" i="31"/>
  <c r="S614" i="31"/>
  <c r="S606" i="31"/>
  <c r="S598" i="31"/>
  <c r="S590" i="31"/>
  <c r="S582" i="31"/>
  <c r="S574" i="31"/>
  <c r="S566" i="31"/>
  <c r="S558" i="31"/>
  <c r="S550" i="31"/>
  <c r="S542" i="31"/>
  <c r="S534" i="31"/>
  <c r="S526" i="31"/>
  <c r="S518" i="31"/>
  <c r="S1881" i="31"/>
  <c r="S1651" i="31"/>
  <c r="S1598" i="31"/>
  <c r="S1546" i="31"/>
  <c r="S1495" i="31"/>
  <c r="S1443" i="31"/>
  <c r="S1400" i="31"/>
  <c r="S1374" i="31"/>
  <c r="S1352" i="31"/>
  <c r="S1332" i="31"/>
  <c r="S1310" i="31"/>
  <c r="S1288" i="31"/>
  <c r="S1268" i="31"/>
  <c r="S1246" i="31"/>
  <c r="S1224" i="31"/>
  <c r="S1204" i="31"/>
  <c r="S1182" i="31"/>
  <c r="S1160" i="31"/>
  <c r="S1140" i="31"/>
  <c r="S1118" i="31"/>
  <c r="S1096" i="31"/>
  <c r="S1078" i="31"/>
  <c r="S1062" i="31"/>
  <c r="S1046" i="31"/>
  <c r="S1030" i="31"/>
  <c r="S1014" i="31"/>
  <c r="S998" i="31"/>
  <c r="S982" i="31"/>
  <c r="S969" i="31"/>
  <c r="S958" i="31"/>
  <c r="S949" i="31"/>
  <c r="S941" i="31"/>
  <c r="S933" i="31"/>
  <c r="S925" i="31"/>
  <c r="S917" i="31"/>
  <c r="S909" i="31"/>
  <c r="S901" i="31"/>
  <c r="S893" i="31"/>
  <c r="S885" i="31"/>
  <c r="S877" i="31"/>
  <c r="S869" i="31"/>
  <c r="S861" i="31"/>
  <c r="S853" i="31"/>
  <c r="S845" i="31"/>
  <c r="S837" i="31"/>
  <c r="S829" i="31"/>
  <c r="S821" i="31"/>
  <c r="S813" i="31"/>
  <c r="S805" i="31"/>
  <c r="S797" i="31"/>
  <c r="S789" i="31"/>
  <c r="S781" i="31"/>
  <c r="S773" i="31"/>
  <c r="S765" i="31"/>
  <c r="S757" i="31"/>
  <c r="S749" i="31"/>
  <c r="S741" i="31"/>
  <c r="S733" i="31"/>
  <c r="S725" i="31"/>
  <c r="S717" i="31"/>
  <c r="S709" i="31"/>
  <c r="S701" i="31"/>
  <c r="S693" i="31"/>
  <c r="S685" i="31"/>
  <c r="S677" i="31"/>
  <c r="S669" i="31"/>
  <c r="S661" i="31"/>
  <c r="S653" i="31"/>
  <c r="S645" i="31"/>
  <c r="S637" i="31"/>
  <c r="S629" i="31"/>
  <c r="S621" i="31"/>
  <c r="S613" i="31"/>
  <c r="S605" i="31"/>
  <c r="S597" i="31"/>
  <c r="S589" i="31"/>
  <c r="S581" i="31"/>
  <c r="S573" i="31"/>
  <c r="S1817" i="31"/>
  <c r="S1641" i="31"/>
  <c r="S1587" i="31"/>
  <c r="S1537" i="31"/>
  <c r="S1486" i="31"/>
  <c r="S1434" i="31"/>
  <c r="S1392" i="31"/>
  <c r="S1372" i="31"/>
  <c r="S1350" i="31"/>
  <c r="S1328" i="31"/>
  <c r="S1308" i="31"/>
  <c r="S1286" i="31"/>
  <c r="S1264" i="31"/>
  <c r="S1244" i="31"/>
  <c r="S1222" i="31"/>
  <c r="S1200" i="31"/>
  <c r="S1180" i="31"/>
  <c r="S1158" i="31"/>
  <c r="S1136" i="31"/>
  <c r="S1116" i="31"/>
  <c r="S1094" i="31"/>
  <c r="S1076" i="31"/>
  <c r="S1060" i="31"/>
  <c r="S1044" i="31"/>
  <c r="S1028" i="31"/>
  <c r="S1012" i="31"/>
  <c r="S996" i="31"/>
  <c r="S980" i="31"/>
  <c r="S1769" i="31"/>
  <c r="S1635" i="31"/>
  <c r="S1585" i="31"/>
  <c r="S1534" i="31"/>
  <c r="S1482" i="31"/>
  <c r="S1432" i="31"/>
  <c r="S1390" i="31"/>
  <c r="S1368" i="31"/>
  <c r="S1348" i="31"/>
  <c r="S1326" i="31"/>
  <c r="S1304" i="31"/>
  <c r="S1284" i="31"/>
  <c r="S1262" i="31"/>
  <c r="S1240" i="31"/>
  <c r="S1220" i="31"/>
  <c r="S1198" i="31"/>
  <c r="S1176" i="31"/>
  <c r="S1156" i="31"/>
  <c r="S1134" i="31"/>
  <c r="S1112" i="31"/>
  <c r="S1092" i="31"/>
  <c r="S1075" i="31"/>
  <c r="S1059" i="31"/>
  <c r="S1043" i="31"/>
  <c r="S1027" i="31"/>
  <c r="S1011" i="31"/>
  <c r="S995" i="31"/>
  <c r="S979" i="31"/>
  <c r="S966" i="31"/>
  <c r="S955" i="31"/>
  <c r="S947" i="31"/>
  <c r="S939" i="31"/>
  <c r="S931" i="31"/>
  <c r="S923" i="31"/>
  <c r="S915" i="31"/>
  <c r="S907" i="31"/>
  <c r="S899" i="31"/>
  <c r="S891" i="31"/>
  <c r="S883" i="31"/>
  <c r="S875" i="31"/>
  <c r="S867" i="31"/>
  <c r="S859" i="31"/>
  <c r="S851" i="31"/>
  <c r="S843" i="31"/>
  <c r="S835" i="31"/>
  <c r="S827" i="31"/>
  <c r="S819" i="31"/>
  <c r="S811" i="31"/>
  <c r="S803" i="31"/>
  <c r="S795" i="31"/>
  <c r="S787" i="31"/>
  <c r="S779" i="31"/>
  <c r="S771" i="31"/>
  <c r="S763" i="31"/>
  <c r="S755" i="31"/>
  <c r="S747" i="31"/>
  <c r="S739" i="31"/>
  <c r="S731" i="31"/>
  <c r="S723" i="31"/>
  <c r="S715" i="31"/>
  <c r="S707" i="31"/>
  <c r="S699" i="31"/>
  <c r="S691" i="31"/>
  <c r="S683" i="31"/>
  <c r="S675" i="31"/>
  <c r="S667" i="31"/>
  <c r="S659" i="31"/>
  <c r="S1737" i="31"/>
  <c r="S1626" i="31"/>
  <c r="S1575" i="31"/>
  <c r="S1523" i="31"/>
  <c r="S1473" i="31"/>
  <c r="S1424" i="31"/>
  <c r="S1388" i="31"/>
  <c r="S1366" i="31"/>
  <c r="S1344" i="31"/>
  <c r="S1324" i="31"/>
  <c r="S1302" i="31"/>
  <c r="S1280" i="31"/>
  <c r="S1260" i="31"/>
  <c r="S1238" i="31"/>
  <c r="S1216" i="31"/>
  <c r="S1196" i="31"/>
  <c r="S1174" i="31"/>
  <c r="S1152" i="31"/>
  <c r="S1132" i="31"/>
  <c r="S1110" i="31"/>
  <c r="S1088" i="31"/>
  <c r="S1072" i="31"/>
  <c r="S1056" i="31"/>
  <c r="S1040" i="31"/>
  <c r="S1024" i="31"/>
  <c r="S1008" i="31"/>
  <c r="S992" i="31"/>
  <c r="S976" i="31"/>
  <c r="S964" i="31"/>
  <c r="S954" i="31"/>
  <c r="S946" i="31"/>
  <c r="S938" i="31"/>
  <c r="S930" i="31"/>
  <c r="S922" i="31"/>
  <c r="S914" i="31"/>
  <c r="S906" i="31"/>
  <c r="S898" i="31"/>
  <c r="S890" i="31"/>
  <c r="S882" i="31"/>
  <c r="S874" i="31"/>
  <c r="S866" i="31"/>
  <c r="S858" i="31"/>
  <c r="S850" i="31"/>
  <c r="S842" i="31"/>
  <c r="S834" i="31"/>
  <c r="S826" i="31"/>
  <c r="S818" i="31"/>
  <c r="S810" i="31"/>
  <c r="S802" i="31"/>
  <c r="S794" i="31"/>
  <c r="S786" i="31"/>
  <c r="S778" i="31"/>
  <c r="S770" i="31"/>
  <c r="S762" i="31"/>
  <c r="S754" i="31"/>
  <c r="S746" i="31"/>
  <c r="S738" i="31"/>
  <c r="S730" i="31"/>
  <c r="S722" i="31"/>
  <c r="S714" i="31"/>
  <c r="S706" i="31"/>
  <c r="S698" i="31"/>
  <c r="S690" i="31"/>
  <c r="S682" i="31"/>
  <c r="S674" i="31"/>
  <c r="S666" i="31"/>
  <c r="S658" i="31"/>
  <c r="S650" i="31"/>
  <c r="S642" i="31"/>
  <c r="S634" i="31"/>
  <c r="S626" i="31"/>
  <c r="S618" i="31"/>
  <c r="S610" i="31"/>
  <c r="S602" i="31"/>
  <c r="S594" i="31"/>
  <c r="S586" i="31"/>
  <c r="S578" i="31"/>
  <c r="S570" i="31"/>
  <c r="S1713" i="31"/>
  <c r="S1623" i="31"/>
  <c r="S1571" i="31"/>
  <c r="S1521" i="31"/>
  <c r="S1470" i="31"/>
  <c r="S1422" i="31"/>
  <c r="S1384" i="31"/>
  <c r="S1364" i="31"/>
  <c r="S1342" i="31"/>
  <c r="S1320" i="31"/>
  <c r="S1300" i="31"/>
  <c r="S1278" i="31"/>
  <c r="S1256" i="31"/>
  <c r="S1236" i="31"/>
  <c r="S1214" i="31"/>
  <c r="S1192" i="31"/>
  <c r="S1172" i="31"/>
  <c r="S1150" i="31"/>
  <c r="S1128" i="31"/>
  <c r="S1108" i="31"/>
  <c r="S1086" i="31"/>
  <c r="S1070" i="31"/>
  <c r="S1054" i="31"/>
  <c r="S1038" i="31"/>
  <c r="S1022" i="31"/>
  <c r="S1006" i="31"/>
  <c r="S990" i="31"/>
  <c r="S974" i="31"/>
  <c r="S1360" i="31"/>
  <c r="S1190" i="31"/>
  <c r="S1036" i="31"/>
  <c r="S956" i="31"/>
  <c r="S936" i="31"/>
  <c r="S913" i="31"/>
  <c r="S892" i="31"/>
  <c r="S872" i="31"/>
  <c r="S849" i="31"/>
  <c r="S828" i="31"/>
  <c r="S808" i="31"/>
  <c r="S785" i="31"/>
  <c r="S764" i="31"/>
  <c r="S744" i="31"/>
  <c r="S721" i="31"/>
  <c r="S700" i="31"/>
  <c r="S680" i="31"/>
  <c r="S657" i="31"/>
  <c r="S641" i="31"/>
  <c r="S625" i="31"/>
  <c r="S609" i="31"/>
  <c r="S593" i="31"/>
  <c r="S577" i="31"/>
  <c r="S564" i="31"/>
  <c r="S555" i="31"/>
  <c r="S546" i="31"/>
  <c r="S537" i="31"/>
  <c r="S528" i="31"/>
  <c r="S519" i="31"/>
  <c r="S510" i="31"/>
  <c r="S502" i="31"/>
  <c r="S494" i="31"/>
  <c r="S486" i="31"/>
  <c r="S478" i="31"/>
  <c r="S470" i="31"/>
  <c r="S462" i="31"/>
  <c r="S454" i="31"/>
  <c r="S446" i="31"/>
  <c r="S438" i="31"/>
  <c r="S430" i="31"/>
  <c r="S422" i="31"/>
  <c r="S414" i="31"/>
  <c r="S406" i="31"/>
  <c r="S398" i="31"/>
  <c r="S390" i="31"/>
  <c r="S382" i="31"/>
  <c r="S374" i="31"/>
  <c r="S366" i="31"/>
  <c r="S358" i="31"/>
  <c r="S350" i="31"/>
  <c r="S342" i="31"/>
  <c r="S334" i="31"/>
  <c r="S326" i="31"/>
  <c r="S318" i="31"/>
  <c r="S310" i="31"/>
  <c r="S302" i="31"/>
  <c r="S294" i="31"/>
  <c r="S286" i="31"/>
  <c r="S278" i="31"/>
  <c r="S270" i="31"/>
  <c r="S262" i="31"/>
  <c r="S254" i="31"/>
  <c r="S246" i="31"/>
  <c r="S238" i="31"/>
  <c r="S230" i="31"/>
  <c r="S222" i="31"/>
  <c r="S214" i="31"/>
  <c r="S206" i="31"/>
  <c r="S198" i="31"/>
  <c r="S190" i="31"/>
  <c r="S182" i="31"/>
  <c r="S174" i="31"/>
  <c r="S166" i="31"/>
  <c r="S158" i="31"/>
  <c r="S150" i="31"/>
  <c r="S142" i="31"/>
  <c r="S134" i="31"/>
  <c r="S126" i="31"/>
  <c r="S118" i="31"/>
  <c r="S110" i="31"/>
  <c r="S102" i="31"/>
  <c r="S94" i="31"/>
  <c r="S86" i="31"/>
  <c r="S78" i="31"/>
  <c r="S70" i="31"/>
  <c r="S1690" i="31"/>
  <c r="S1340" i="31"/>
  <c r="S1168" i="31"/>
  <c r="S1020" i="31"/>
  <c r="S953" i="31"/>
  <c r="S932" i="31"/>
  <c r="S912" i="31"/>
  <c r="S889" i="31"/>
  <c r="S868" i="31"/>
  <c r="S848" i="31"/>
  <c r="S825" i="31"/>
  <c r="S804" i="31"/>
  <c r="S784" i="31"/>
  <c r="S761" i="31"/>
  <c r="S740" i="31"/>
  <c r="S720" i="31"/>
  <c r="S697" i="31"/>
  <c r="S676" i="31"/>
  <c r="S656" i="31"/>
  <c r="S640" i="31"/>
  <c r="S624" i="31"/>
  <c r="S608" i="31"/>
  <c r="S592" i="31"/>
  <c r="S576" i="31"/>
  <c r="S563" i="31"/>
  <c r="S554" i="31"/>
  <c r="S545" i="31"/>
  <c r="S536" i="31"/>
  <c r="S527" i="31"/>
  <c r="S517" i="31"/>
  <c r="S509" i="31"/>
  <c r="S501" i="31"/>
  <c r="S493" i="31"/>
  <c r="S485" i="31"/>
  <c r="S477" i="31"/>
  <c r="S469" i="31"/>
  <c r="S461" i="31"/>
  <c r="S453" i="31"/>
  <c r="S445" i="31"/>
  <c r="S437" i="31"/>
  <c r="S429" i="31"/>
  <c r="S421" i="31"/>
  <c r="S413" i="31"/>
  <c r="S405" i="31"/>
  <c r="S397" i="31"/>
  <c r="S389" i="31"/>
  <c r="S381" i="31"/>
  <c r="S373" i="31"/>
  <c r="S365" i="31"/>
  <c r="S357" i="31"/>
  <c r="S349" i="31"/>
  <c r="S341" i="31"/>
  <c r="S333" i="31"/>
  <c r="S325" i="31"/>
  <c r="S317" i="31"/>
  <c r="S309" i="31"/>
  <c r="S301" i="31"/>
  <c r="S293" i="31"/>
  <c r="S285" i="31"/>
  <c r="S277" i="31"/>
  <c r="S269" i="31"/>
  <c r="S261" i="31"/>
  <c r="S253" i="31"/>
  <c r="S245" i="31"/>
  <c r="S237" i="31"/>
  <c r="S229" i="31"/>
  <c r="S221" i="31"/>
  <c r="S213" i="31"/>
  <c r="S205" i="31"/>
  <c r="S197" i="31"/>
  <c r="S189" i="31"/>
  <c r="S181" i="31"/>
  <c r="S173" i="31"/>
  <c r="S165" i="31"/>
  <c r="S157" i="31"/>
  <c r="S149" i="31"/>
  <c r="S141" i="31"/>
  <c r="S133" i="31"/>
  <c r="S125" i="31"/>
  <c r="S117" i="31"/>
  <c r="S109" i="31"/>
  <c r="S101" i="31"/>
  <c r="S93" i="31"/>
  <c r="S85" i="31"/>
  <c r="S77" i="31"/>
  <c r="S69" i="31"/>
  <c r="S61" i="31"/>
  <c r="S1614" i="31"/>
  <c r="S1318" i="31"/>
  <c r="S1148" i="31"/>
  <c r="S1004" i="31"/>
  <c r="S952" i="31"/>
  <c r="S929" i="31"/>
  <c r="S908" i="31"/>
  <c r="S888" i="31"/>
  <c r="S865" i="31"/>
  <c r="S844" i="31"/>
  <c r="S824" i="31"/>
  <c r="S801" i="31"/>
  <c r="S780" i="31"/>
  <c r="S760" i="31"/>
  <c r="S737" i="31"/>
  <c r="S716" i="31"/>
  <c r="S696" i="31"/>
  <c r="S673" i="31"/>
  <c r="S652" i="31"/>
  <c r="S636" i="31"/>
  <c r="S620" i="31"/>
  <c r="S604" i="31"/>
  <c r="S588" i="31"/>
  <c r="S572" i="31"/>
  <c r="S562" i="31"/>
  <c r="S553" i="31"/>
  <c r="S544" i="31"/>
  <c r="S535" i="31"/>
  <c r="S525" i="31"/>
  <c r="S516" i="31"/>
  <c r="S508" i="31"/>
  <c r="S500" i="31"/>
  <c r="S492" i="31"/>
  <c r="S484" i="31"/>
  <c r="S476" i="31"/>
  <c r="S468" i="31"/>
  <c r="S460" i="31"/>
  <c r="S452" i="31"/>
  <c r="S444" i="31"/>
  <c r="S436" i="31"/>
  <c r="S428" i="31"/>
  <c r="S420" i="31"/>
  <c r="S412" i="31"/>
  <c r="S404" i="31"/>
  <c r="S396" i="31"/>
  <c r="S388" i="31"/>
  <c r="S380" i="31"/>
  <c r="S372" i="31"/>
  <c r="S364" i="31"/>
  <c r="S356" i="31"/>
  <c r="S348" i="31"/>
  <c r="S340" i="31"/>
  <c r="S332" i="31"/>
  <c r="S324" i="31"/>
  <c r="S316" i="31"/>
  <c r="S308" i="31"/>
  <c r="S300" i="31"/>
  <c r="S292" i="31"/>
  <c r="S284" i="31"/>
  <c r="S276" i="31"/>
  <c r="S268" i="31"/>
  <c r="S260" i="31"/>
  <c r="S252" i="31"/>
  <c r="S244" i="31"/>
  <c r="S236" i="31"/>
  <c r="S228" i="31"/>
  <c r="S220" i="31"/>
  <c r="S212" i="31"/>
  <c r="S204" i="31"/>
  <c r="S196" i="31"/>
  <c r="S188" i="31"/>
  <c r="S180" i="31"/>
  <c r="S172" i="31"/>
  <c r="S164" i="31"/>
  <c r="S156" i="31"/>
  <c r="S148" i="31"/>
  <c r="S140" i="31"/>
  <c r="S132" i="31"/>
  <c r="S124" i="31"/>
  <c r="S116" i="31"/>
  <c r="S108" i="31"/>
  <c r="S100" i="31"/>
  <c r="S92" i="31"/>
  <c r="S84" i="31"/>
  <c r="S76" i="31"/>
  <c r="S68" i="31"/>
  <c r="S1562" i="31"/>
  <c r="S1296" i="31"/>
  <c r="S1126" i="31"/>
  <c r="S988" i="31"/>
  <c r="S948" i="31"/>
  <c r="S928" i="31"/>
  <c r="S905" i="31"/>
  <c r="S884" i="31"/>
  <c r="S864" i="31"/>
  <c r="S841" i="31"/>
  <c r="S820" i="31"/>
  <c r="S800" i="31"/>
  <c r="S777" i="31"/>
  <c r="S756" i="31"/>
  <c r="S736" i="31"/>
  <c r="S713" i="31"/>
  <c r="S692" i="31"/>
  <c r="S672" i="31"/>
  <c r="S651" i="31"/>
  <c r="S635" i="31"/>
  <c r="S619" i="31"/>
  <c r="S603" i="31"/>
  <c r="S587" i="31"/>
  <c r="S571" i="31"/>
  <c r="S561" i="31"/>
  <c r="S552" i="31"/>
  <c r="S543" i="31"/>
  <c r="S533" i="31"/>
  <c r="S524" i="31"/>
  <c r="S515" i="31"/>
  <c r="S507" i="31"/>
  <c r="S499" i="31"/>
  <c r="S491" i="31"/>
  <c r="S483" i="31"/>
  <c r="S475" i="31"/>
  <c r="S1511" i="31"/>
  <c r="S1276" i="31"/>
  <c r="S1104" i="31"/>
  <c r="S972" i="31"/>
  <c r="S945" i="31"/>
  <c r="S924" i="31"/>
  <c r="S904" i="31"/>
  <c r="S881" i="31"/>
  <c r="S860" i="31"/>
  <c r="S840" i="31"/>
  <c r="S817" i="31"/>
  <c r="S796" i="31"/>
  <c r="S776" i="31"/>
  <c r="S753" i="31"/>
  <c r="S732" i="31"/>
  <c r="S712" i="31"/>
  <c r="S689" i="31"/>
  <c r="S668" i="31"/>
  <c r="S649" i="31"/>
  <c r="S633" i="31"/>
  <c r="S617" i="31"/>
  <c r="S601" i="31"/>
  <c r="S585" i="31"/>
  <c r="S569" i="31"/>
  <c r="S560" i="31"/>
  <c r="S551" i="31"/>
  <c r="S541" i="31"/>
  <c r="S532" i="31"/>
  <c r="S523" i="31"/>
  <c r="S514" i="31"/>
  <c r="S506" i="31"/>
  <c r="S498" i="31"/>
  <c r="S490" i="31"/>
  <c r="S482" i="31"/>
  <c r="S474" i="31"/>
  <c r="S466" i="31"/>
  <c r="S458" i="31"/>
  <c r="S450" i="31"/>
  <c r="S442" i="31"/>
  <c r="S434" i="31"/>
  <c r="S426" i="31"/>
  <c r="S418" i="31"/>
  <c r="S410" i="31"/>
  <c r="S402" i="31"/>
  <c r="S394" i="31"/>
  <c r="S386" i="31"/>
  <c r="S378" i="31"/>
  <c r="S370" i="31"/>
  <c r="S362" i="31"/>
  <c r="S354" i="31"/>
  <c r="S346" i="31"/>
  <c r="S338" i="31"/>
  <c r="S330" i="31"/>
  <c r="S322" i="31"/>
  <c r="S314" i="31"/>
  <c r="S306" i="31"/>
  <c r="S298" i="31"/>
  <c r="S290" i="31"/>
  <c r="S282" i="31"/>
  <c r="S274" i="31"/>
  <c r="S266" i="31"/>
  <c r="S258" i="31"/>
  <c r="S250" i="31"/>
  <c r="S242" i="31"/>
  <c r="S234" i="31"/>
  <c r="S226" i="31"/>
  <c r="S218" i="31"/>
  <c r="S210" i="31"/>
  <c r="S202" i="31"/>
  <c r="S194" i="31"/>
  <c r="S186" i="31"/>
  <c r="S178" i="31"/>
  <c r="S170" i="31"/>
  <c r="S162" i="31"/>
  <c r="S154" i="31"/>
  <c r="S146" i="31"/>
  <c r="S138" i="31"/>
  <c r="S130" i="31"/>
  <c r="S122" i="31"/>
  <c r="S114" i="31"/>
  <c r="S106" i="31"/>
  <c r="S98" i="31"/>
  <c r="S90" i="31"/>
  <c r="S82" i="31"/>
  <c r="S74" i="31"/>
  <c r="S66" i="31"/>
  <c r="S58" i="31"/>
  <c r="S1459" i="31"/>
  <c r="S1254" i="31"/>
  <c r="S1084" i="31"/>
  <c r="S968" i="31"/>
  <c r="S944" i="31"/>
  <c r="S921" i="31"/>
  <c r="S900" i="31"/>
  <c r="S880" i="31"/>
  <c r="S857" i="31"/>
  <c r="S836" i="31"/>
  <c r="S816" i="31"/>
  <c r="S793" i="31"/>
  <c r="S772" i="31"/>
  <c r="S752" i="31"/>
  <c r="S729" i="31"/>
  <c r="S708" i="31"/>
  <c r="S688" i="31"/>
  <c r="S665" i="31"/>
  <c r="S648" i="31"/>
  <c r="S632" i="31"/>
  <c r="S616" i="31"/>
  <c r="S600" i="31"/>
  <c r="S584" i="31"/>
  <c r="S568" i="31"/>
  <c r="S559" i="31"/>
  <c r="S549" i="31"/>
  <c r="S540" i="31"/>
  <c r="S531" i="31"/>
  <c r="S522" i="31"/>
  <c r="S513" i="31"/>
  <c r="S505" i="31"/>
  <c r="S497" i="31"/>
  <c r="S489" i="31"/>
  <c r="S481" i="31"/>
  <c r="S473" i="31"/>
  <c r="S465" i="31"/>
  <c r="S457" i="31"/>
  <c r="S449" i="31"/>
  <c r="S441" i="31"/>
  <c r="S433" i="31"/>
  <c r="S425" i="31"/>
  <c r="S417" i="31"/>
  <c r="S409" i="31"/>
  <c r="S1414" i="31"/>
  <c r="S1232" i="31"/>
  <c r="S1068" i="31"/>
  <c r="S963" i="31"/>
  <c r="S940" i="31"/>
  <c r="S920" i="31"/>
  <c r="S897" i="31"/>
  <c r="S876" i="31"/>
  <c r="S856" i="31"/>
  <c r="S833" i="31"/>
  <c r="S812" i="31"/>
  <c r="S792" i="31"/>
  <c r="S769" i="31"/>
  <c r="S748" i="31"/>
  <c r="S728" i="31"/>
  <c r="S705" i="31"/>
  <c r="S684" i="31"/>
  <c r="S664" i="31"/>
  <c r="S644" i="31"/>
  <c r="S628" i="31"/>
  <c r="S873" i="31"/>
  <c r="S704" i="31"/>
  <c r="S595" i="31"/>
  <c r="S547" i="31"/>
  <c r="S511" i="31"/>
  <c r="S479" i="31"/>
  <c r="S455" i="31"/>
  <c r="S432" i="31"/>
  <c r="S411" i="31"/>
  <c r="S393" i="31"/>
  <c r="S377" i="31"/>
  <c r="S361" i="31"/>
  <c r="S345" i="31"/>
  <c r="S329" i="31"/>
  <c r="S313" i="31"/>
  <c r="S297" i="31"/>
  <c r="S281" i="31"/>
  <c r="S265" i="31"/>
  <c r="S249" i="31"/>
  <c r="S233" i="31"/>
  <c r="S217" i="31"/>
  <c r="S201" i="31"/>
  <c r="S185" i="31"/>
  <c r="S169" i="31"/>
  <c r="S153" i="31"/>
  <c r="S137" i="31"/>
  <c r="S121" i="31"/>
  <c r="S105" i="31"/>
  <c r="S89" i="31"/>
  <c r="S73" i="31"/>
  <c r="S60" i="31"/>
  <c r="S51" i="31"/>
  <c r="S43" i="31"/>
  <c r="S35" i="31"/>
  <c r="S27" i="31"/>
  <c r="S19" i="31"/>
  <c r="S11" i="31"/>
  <c r="S379" i="31"/>
  <c r="S91" i="31"/>
  <c r="S1382" i="31"/>
  <c r="S852" i="31"/>
  <c r="S681" i="31"/>
  <c r="S580" i="31"/>
  <c r="S539" i="31"/>
  <c r="S504" i="31"/>
  <c r="S472" i="31"/>
  <c r="S451" i="31"/>
  <c r="S431" i="31"/>
  <c r="S408" i="31"/>
  <c r="S392" i="31"/>
  <c r="S376" i="31"/>
  <c r="S360" i="31"/>
  <c r="S344" i="31"/>
  <c r="S328" i="31"/>
  <c r="S312" i="31"/>
  <c r="S296" i="31"/>
  <c r="S280" i="31"/>
  <c r="S264" i="31"/>
  <c r="S248" i="31"/>
  <c r="S232" i="31"/>
  <c r="S216" i="31"/>
  <c r="S200" i="31"/>
  <c r="S184" i="31"/>
  <c r="S168" i="31"/>
  <c r="S152" i="31"/>
  <c r="S136" i="31"/>
  <c r="S120" i="31"/>
  <c r="S104" i="31"/>
  <c r="S88" i="31"/>
  <c r="S72" i="31"/>
  <c r="S59" i="31"/>
  <c r="S50" i="31"/>
  <c r="S42" i="31"/>
  <c r="S34" i="31"/>
  <c r="S26" i="31"/>
  <c r="S18" i="31"/>
  <c r="S10" i="31"/>
  <c r="S395" i="31"/>
  <c r="S139" i="31"/>
  <c r="S1212" i="31"/>
  <c r="S832" i="31"/>
  <c r="S660" i="31"/>
  <c r="S579" i="31"/>
  <c r="S538" i="31"/>
  <c r="S503" i="31"/>
  <c r="S471" i="31"/>
  <c r="S448" i="31"/>
  <c r="S427" i="31"/>
  <c r="S407" i="31"/>
  <c r="S391" i="31"/>
  <c r="S375" i="31"/>
  <c r="S359" i="31"/>
  <c r="S343" i="31"/>
  <c r="S327" i="31"/>
  <c r="S311" i="31"/>
  <c r="S295" i="31"/>
  <c r="S279" i="31"/>
  <c r="S263" i="31"/>
  <c r="S247" i="31"/>
  <c r="S231" i="31"/>
  <c r="S215" i="31"/>
  <c r="S199" i="31"/>
  <c r="S183" i="31"/>
  <c r="S167" i="31"/>
  <c r="S151" i="31"/>
  <c r="S135" i="31"/>
  <c r="S119" i="31"/>
  <c r="S103" i="31"/>
  <c r="S87" i="31"/>
  <c r="S71" i="31"/>
  <c r="S57" i="31"/>
  <c r="S49" i="31"/>
  <c r="S41" i="31"/>
  <c r="S33" i="31"/>
  <c r="S25" i="31"/>
  <c r="S17" i="31"/>
  <c r="S9" i="31"/>
  <c r="S363" i="31"/>
  <c r="S107" i="31"/>
  <c r="S1052" i="31"/>
  <c r="S809" i="31"/>
  <c r="S643" i="31"/>
  <c r="S567" i="31"/>
  <c r="S530" i="31"/>
  <c r="S496" i="31"/>
  <c r="S467" i="31"/>
  <c r="S447" i="31"/>
  <c r="S424" i="31"/>
  <c r="S403" i="31"/>
  <c r="S387" i="31"/>
  <c r="S371" i="31"/>
  <c r="S355" i="31"/>
  <c r="S339" i="31"/>
  <c r="S323" i="31"/>
  <c r="S307" i="31"/>
  <c r="S291" i="31"/>
  <c r="S275" i="31"/>
  <c r="S259" i="31"/>
  <c r="S243" i="31"/>
  <c r="S227" i="31"/>
  <c r="S211" i="31"/>
  <c r="S195" i="31"/>
  <c r="S179" i="31"/>
  <c r="S163" i="31"/>
  <c r="S147" i="31"/>
  <c r="S131" i="31"/>
  <c r="S115" i="31"/>
  <c r="S99" i="31"/>
  <c r="S83" i="31"/>
  <c r="S67" i="31"/>
  <c r="S56" i="31"/>
  <c r="S48" i="31"/>
  <c r="S40" i="31"/>
  <c r="S32" i="31"/>
  <c r="S24" i="31"/>
  <c r="S16" i="31"/>
  <c r="S724" i="31"/>
  <c r="S548" i="31"/>
  <c r="S480" i="31"/>
  <c r="S435" i="31"/>
  <c r="S331" i="31"/>
  <c r="S299" i="31"/>
  <c r="S267" i="31"/>
  <c r="S235" i="31"/>
  <c r="S203" i="31"/>
  <c r="S171" i="31"/>
  <c r="S75" i="31"/>
  <c r="S44" i="31"/>
  <c r="S28" i="31"/>
  <c r="S962" i="31"/>
  <c r="S788" i="31"/>
  <c r="S627" i="31"/>
  <c r="S565" i="31"/>
  <c r="S529" i="31"/>
  <c r="S495" i="31"/>
  <c r="S464" i="31"/>
  <c r="S443" i="31"/>
  <c r="S423" i="31"/>
  <c r="S401" i="31"/>
  <c r="S385" i="31"/>
  <c r="S369" i="31"/>
  <c r="S353" i="31"/>
  <c r="S337" i="31"/>
  <c r="S321" i="31"/>
  <c r="S305" i="31"/>
  <c r="S289" i="31"/>
  <c r="S273" i="31"/>
  <c r="S257" i="31"/>
  <c r="S241" i="31"/>
  <c r="S225" i="31"/>
  <c r="S209" i="31"/>
  <c r="S193" i="31"/>
  <c r="S177" i="31"/>
  <c r="S161" i="31"/>
  <c r="S145" i="31"/>
  <c r="S129" i="31"/>
  <c r="S113" i="31"/>
  <c r="S97" i="31"/>
  <c r="S81" i="31"/>
  <c r="S65" i="31"/>
  <c r="S55" i="31"/>
  <c r="S47" i="31"/>
  <c r="S39" i="31"/>
  <c r="S31" i="31"/>
  <c r="S23" i="31"/>
  <c r="S15" i="31"/>
  <c r="S415" i="31"/>
  <c r="S155" i="31"/>
  <c r="S12" i="31"/>
  <c r="S937" i="31"/>
  <c r="S768" i="31"/>
  <c r="S612" i="31"/>
  <c r="S557" i="31"/>
  <c r="S521" i="31"/>
  <c r="S488" i="31"/>
  <c r="S463" i="31"/>
  <c r="S440" i="31"/>
  <c r="S419" i="31"/>
  <c r="S400" i="31"/>
  <c r="S384" i="31"/>
  <c r="S368" i="31"/>
  <c r="S352" i="31"/>
  <c r="S336" i="31"/>
  <c r="S320" i="31"/>
  <c r="S304" i="31"/>
  <c r="S288" i="31"/>
  <c r="S272" i="31"/>
  <c r="S256" i="31"/>
  <c r="S240" i="31"/>
  <c r="S224" i="31"/>
  <c r="S208" i="31"/>
  <c r="S192" i="31"/>
  <c r="S176" i="31"/>
  <c r="S160" i="31"/>
  <c r="S144" i="31"/>
  <c r="S128" i="31"/>
  <c r="S112" i="31"/>
  <c r="S96" i="31"/>
  <c r="S80" i="31"/>
  <c r="S64" i="31"/>
  <c r="S54" i="31"/>
  <c r="S46" i="31"/>
  <c r="S38" i="31"/>
  <c r="S30" i="31"/>
  <c r="S22" i="31"/>
  <c r="S14" i="31"/>
  <c r="S62" i="31"/>
  <c r="S916" i="31"/>
  <c r="S745" i="31"/>
  <c r="S611" i="31"/>
  <c r="S556" i="31"/>
  <c r="S520" i="31"/>
  <c r="S487" i="31"/>
  <c r="S459" i="31"/>
  <c r="S439" i="31"/>
  <c r="S416" i="31"/>
  <c r="S399" i="31"/>
  <c r="S383" i="31"/>
  <c r="S367" i="31"/>
  <c r="S351" i="31"/>
  <c r="S335" i="31"/>
  <c r="S319" i="31"/>
  <c r="S303" i="31"/>
  <c r="S287" i="31"/>
  <c r="S271" i="31"/>
  <c r="S255" i="31"/>
  <c r="S239" i="31"/>
  <c r="S223" i="31"/>
  <c r="S207" i="31"/>
  <c r="S191" i="31"/>
  <c r="S175" i="31"/>
  <c r="S159" i="31"/>
  <c r="S143" i="31"/>
  <c r="S127" i="31"/>
  <c r="S111" i="31"/>
  <c r="S95" i="31"/>
  <c r="S79" i="31"/>
  <c r="S63" i="31"/>
  <c r="S53" i="31"/>
  <c r="S45" i="31"/>
  <c r="S37" i="31"/>
  <c r="S29" i="31"/>
  <c r="S21" i="31"/>
  <c r="S13" i="31"/>
  <c r="S896" i="31"/>
  <c r="S596" i="31"/>
  <c r="S512" i="31"/>
  <c r="S456" i="31"/>
  <c r="S347" i="31"/>
  <c r="S315" i="31"/>
  <c r="S283" i="31"/>
  <c r="S251" i="31"/>
  <c r="S219" i="31"/>
  <c r="S187" i="31"/>
  <c r="S123" i="31"/>
  <c r="S52" i="31"/>
  <c r="S36" i="31"/>
  <c r="S20" i="31"/>
  <c r="G8" i="13"/>
  <c r="AD8" i="13"/>
  <c r="AB8" i="13"/>
  <c r="AF8" i="13"/>
  <c r="G12" i="13"/>
  <c r="AF12" i="13"/>
  <c r="AD12" i="13"/>
  <c r="AB12" i="13"/>
  <c r="H12" i="13"/>
  <c r="BC12" i="13" s="1"/>
  <c r="AK16" i="13"/>
  <c r="AL16" i="13" s="1"/>
  <c r="AR16" i="13" s="1"/>
  <c r="G16" i="13"/>
  <c r="AD16" i="13"/>
  <c r="AB16" i="13"/>
  <c r="AF16" i="13"/>
  <c r="G30" i="13"/>
  <c r="AF30" i="13"/>
  <c r="AD30" i="13"/>
  <c r="AB30" i="13"/>
  <c r="AK34" i="13"/>
  <c r="AL34" i="13" s="1"/>
  <c r="G34" i="13"/>
  <c r="AD34" i="13"/>
  <c r="AB34" i="13"/>
  <c r="AF34" i="13"/>
  <c r="AB195" i="30"/>
  <c r="AB187" i="30"/>
  <c r="AB179" i="30"/>
  <c r="AB171" i="30"/>
  <c r="AB163" i="30"/>
  <c r="AB155" i="30"/>
  <c r="AB147" i="30"/>
  <c r="AB139" i="30"/>
  <c r="AB131" i="30"/>
  <c r="AB123" i="30"/>
  <c r="AB115" i="30"/>
  <c r="AB107" i="30"/>
  <c r="AB99" i="30"/>
  <c r="AB91" i="30"/>
  <c r="AB83" i="30"/>
  <c r="AB75" i="30"/>
  <c r="AB67" i="30"/>
  <c r="AB59" i="30"/>
  <c r="AB51" i="30"/>
  <c r="AB43" i="30"/>
  <c r="AB35" i="30"/>
  <c r="AB27" i="30"/>
  <c r="AB19" i="30"/>
  <c r="AB11" i="30"/>
  <c r="AB194" i="30"/>
  <c r="AB186" i="30"/>
  <c r="AB178" i="30"/>
  <c r="AB170" i="30"/>
  <c r="AB162" i="30"/>
  <c r="AB154" i="30"/>
  <c r="AB146" i="30"/>
  <c r="AB138" i="30"/>
  <c r="AB130" i="30"/>
  <c r="AB122" i="30"/>
  <c r="AB114" i="30"/>
  <c r="AB106" i="30"/>
  <c r="AB98" i="30"/>
  <c r="AB90" i="30"/>
  <c r="AB82" i="30"/>
  <c r="AB74" i="30"/>
  <c r="AB66" i="30"/>
  <c r="AB58" i="30"/>
  <c r="AB50" i="30"/>
  <c r="AB42" i="30"/>
  <c r="AB34" i="30"/>
  <c r="AB26" i="30"/>
  <c r="AB18" i="30"/>
  <c r="AB10" i="30"/>
  <c r="AB193" i="30"/>
  <c r="AB185" i="30"/>
  <c r="AB177" i="30"/>
  <c r="AB169" i="30"/>
  <c r="AB161" i="30"/>
  <c r="AB153" i="30"/>
  <c r="AB145" i="30"/>
  <c r="AB137" i="30"/>
  <c r="AB129" i="30"/>
  <c r="AB121" i="30"/>
  <c r="AB113" i="30"/>
  <c r="AB105" i="30"/>
  <c r="AB97" i="30"/>
  <c r="AB89" i="30"/>
  <c r="AB81" i="30"/>
  <c r="AB73" i="30"/>
  <c r="AB65" i="30"/>
  <c r="AB57" i="30"/>
  <c r="AB49" i="30"/>
  <c r="AB41" i="30"/>
  <c r="AB33" i="30"/>
  <c r="AB25" i="30"/>
  <c r="AB17" i="30"/>
  <c r="AB9" i="30"/>
  <c r="AB200" i="30"/>
  <c r="AB192" i="30"/>
  <c r="AB184" i="30"/>
  <c r="AB176" i="30"/>
  <c r="AB168" i="30"/>
  <c r="AB160" i="30"/>
  <c r="AB152" i="30"/>
  <c r="AB144" i="30"/>
  <c r="AB136" i="30"/>
  <c r="AB128" i="30"/>
  <c r="AB120" i="30"/>
  <c r="AB112" i="30"/>
  <c r="AB104" i="30"/>
  <c r="AB96" i="30"/>
  <c r="AB88" i="30"/>
  <c r="AB80" i="30"/>
  <c r="AB72" i="30"/>
  <c r="AB64" i="30"/>
  <c r="AB56" i="30"/>
  <c r="AB48" i="30"/>
  <c r="AB40" i="30"/>
  <c r="AB32" i="30"/>
  <c r="AB24" i="30"/>
  <c r="AB16" i="30"/>
  <c r="AB199" i="30"/>
  <c r="AB191" i="30"/>
  <c r="AB183" i="30"/>
  <c r="AB175" i="30"/>
  <c r="AB167" i="30"/>
  <c r="AB159" i="30"/>
  <c r="AB151" i="30"/>
  <c r="AB143" i="30"/>
  <c r="AB135" i="30"/>
  <c r="AB127" i="30"/>
  <c r="AB119" i="30"/>
  <c r="AB111" i="30"/>
  <c r="AB103" i="30"/>
  <c r="AB95" i="30"/>
  <c r="AB87" i="30"/>
  <c r="AB79" i="30"/>
  <c r="AB71" i="30"/>
  <c r="AB63" i="30"/>
  <c r="AB55" i="30"/>
  <c r="AB47" i="30"/>
  <c r="AB39" i="30"/>
  <c r="AB31" i="30"/>
  <c r="AB23" i="30"/>
  <c r="AB15" i="30"/>
  <c r="AB198" i="30"/>
  <c r="AB190" i="30"/>
  <c r="AB182" i="30"/>
  <c r="AB174" i="30"/>
  <c r="AB166" i="30"/>
  <c r="AB158" i="30"/>
  <c r="AB150" i="30"/>
  <c r="AB142" i="30"/>
  <c r="AB134" i="30"/>
  <c r="AB126" i="30"/>
  <c r="AB118" i="30"/>
  <c r="AB110" i="30"/>
  <c r="AB102" i="30"/>
  <c r="AB94" i="30"/>
  <c r="AB86" i="30"/>
  <c r="AB78" i="30"/>
  <c r="AB70" i="30"/>
  <c r="AB62" i="30"/>
  <c r="AB54" i="30"/>
  <c r="AB46" i="30"/>
  <c r="AB38" i="30"/>
  <c r="AB30" i="30"/>
  <c r="AB22" i="30"/>
  <c r="AB14" i="30"/>
  <c r="AB197" i="30"/>
  <c r="AB189" i="30"/>
  <c r="AB181" i="30"/>
  <c r="AB173" i="30"/>
  <c r="AB165" i="30"/>
  <c r="AB157" i="30"/>
  <c r="AB149" i="30"/>
  <c r="AB141" i="30"/>
  <c r="AB133" i="30"/>
  <c r="AB125" i="30"/>
  <c r="AB117" i="30"/>
  <c r="AB109" i="30"/>
  <c r="AB101" i="30"/>
  <c r="AB93" i="30"/>
  <c r="AB85" i="30"/>
  <c r="AB77" i="30"/>
  <c r="AB69" i="30"/>
  <c r="AB61" i="30"/>
  <c r="AB53" i="30"/>
  <c r="AB45" i="30"/>
  <c r="AB37" i="30"/>
  <c r="AB29" i="30"/>
  <c r="AB21" i="30"/>
  <c r="AB13" i="30"/>
  <c r="AB140" i="30"/>
  <c r="AB76" i="30"/>
  <c r="AB12" i="30"/>
  <c r="AB196" i="30"/>
  <c r="AB132" i="30"/>
  <c r="AB68" i="30"/>
  <c r="AB188" i="30"/>
  <c r="AB124" i="30"/>
  <c r="AB60" i="30"/>
  <c r="AB180" i="30"/>
  <c r="AB116" i="30"/>
  <c r="AB52" i="30"/>
  <c r="AB172" i="30"/>
  <c r="AB108" i="30"/>
  <c r="AB44" i="30"/>
  <c r="AB156" i="30"/>
  <c r="AB92" i="30"/>
  <c r="AB28" i="30"/>
  <c r="AB148" i="30"/>
  <c r="AB84" i="30"/>
  <c r="AB20" i="30"/>
  <c r="AB164" i="30"/>
  <c r="AB100" i="30"/>
  <c r="AB36" i="30"/>
  <c r="AB8" i="30"/>
  <c r="T193" i="32"/>
  <c r="T185" i="32"/>
  <c r="T177" i="32"/>
  <c r="T169" i="32"/>
  <c r="T161" i="32"/>
  <c r="T153" i="32"/>
  <c r="T145" i="32"/>
  <c r="T137" i="32"/>
  <c r="T129" i="32"/>
  <c r="T121" i="32"/>
  <c r="T113" i="32"/>
  <c r="T105" i="32"/>
  <c r="T97" i="32"/>
  <c r="T89" i="32"/>
  <c r="T81" i="32"/>
  <c r="T73" i="32"/>
  <c r="T65" i="32"/>
  <c r="T57" i="32"/>
  <c r="T49" i="32"/>
  <c r="T41" i="32"/>
  <c r="T33" i="32"/>
  <c r="T25" i="32"/>
  <c r="T17" i="32"/>
  <c r="T9" i="32"/>
  <c r="T200" i="32"/>
  <c r="T192" i="32"/>
  <c r="T184" i="32"/>
  <c r="T176" i="32"/>
  <c r="T168" i="32"/>
  <c r="T160" i="32"/>
  <c r="T152" i="32"/>
  <c r="T144" i="32"/>
  <c r="T136" i="32"/>
  <c r="T128" i="32"/>
  <c r="T120" i="32"/>
  <c r="T112" i="32"/>
  <c r="T104" i="32"/>
  <c r="T96" i="32"/>
  <c r="T88" i="32"/>
  <c r="T80" i="32"/>
  <c r="T72" i="32"/>
  <c r="T64" i="32"/>
  <c r="T56" i="32"/>
  <c r="T48" i="32"/>
  <c r="T40" i="32"/>
  <c r="T32" i="32"/>
  <c r="T24" i="32"/>
  <c r="T16" i="32"/>
  <c r="T8" i="32"/>
  <c r="T199" i="32"/>
  <c r="T191" i="32"/>
  <c r="T183" i="32"/>
  <c r="T175" i="32"/>
  <c r="T167" i="32"/>
  <c r="T159" i="32"/>
  <c r="T151" i="32"/>
  <c r="T143" i="32"/>
  <c r="T135" i="32"/>
  <c r="T127" i="32"/>
  <c r="T119" i="32"/>
  <c r="T111" i="32"/>
  <c r="T103" i="32"/>
  <c r="T95" i="32"/>
  <c r="T87" i="32"/>
  <c r="T79" i="32"/>
  <c r="T71" i="32"/>
  <c r="T63" i="32"/>
  <c r="T55" i="32"/>
  <c r="T47" i="32"/>
  <c r="T39" i="32"/>
  <c r="T31" i="32"/>
  <c r="T23" i="32"/>
  <c r="T15" i="32"/>
  <c r="T198" i="32"/>
  <c r="T190" i="32"/>
  <c r="T182" i="32"/>
  <c r="T174" i="32"/>
  <c r="T166" i="32"/>
  <c r="T158" i="32"/>
  <c r="T150" i="32"/>
  <c r="T142" i="32"/>
  <c r="T134" i="32"/>
  <c r="T126" i="32"/>
  <c r="T118" i="32"/>
  <c r="T110" i="32"/>
  <c r="T102" i="32"/>
  <c r="T94" i="32"/>
  <c r="T86" i="32"/>
  <c r="T78" i="32"/>
  <c r="T70" i="32"/>
  <c r="T62" i="32"/>
  <c r="T54" i="32"/>
  <c r="T46" i="32"/>
  <c r="T38" i="32"/>
  <c r="T30" i="32"/>
  <c r="T22" i="32"/>
  <c r="T14" i="32"/>
  <c r="T197" i="32"/>
  <c r="T189" i="32"/>
  <c r="T181" i="32"/>
  <c r="T173" i="32"/>
  <c r="T165" i="32"/>
  <c r="T157" i="32"/>
  <c r="T149" i="32"/>
  <c r="T141" i="32"/>
  <c r="T133" i="32"/>
  <c r="T125" i="32"/>
  <c r="T117" i="32"/>
  <c r="T109" i="32"/>
  <c r="T101" i="32"/>
  <c r="T93" i="32"/>
  <c r="T85" i="32"/>
  <c r="T77" i="32"/>
  <c r="T69" i="32"/>
  <c r="T61" i="32"/>
  <c r="T53" i="32"/>
  <c r="T45" i="32"/>
  <c r="T37" i="32"/>
  <c r="T29" i="32"/>
  <c r="T21" i="32"/>
  <c r="T13" i="32"/>
  <c r="T196" i="32"/>
  <c r="T188" i="32"/>
  <c r="T180" i="32"/>
  <c r="T172" i="32"/>
  <c r="T164" i="32"/>
  <c r="T156" i="32"/>
  <c r="T148" i="32"/>
  <c r="T140" i="32"/>
  <c r="T132" i="32"/>
  <c r="T124" i="32"/>
  <c r="T116" i="32"/>
  <c r="T108" i="32"/>
  <c r="T100" i="32"/>
  <c r="T92" i="32"/>
  <c r="T84" i="32"/>
  <c r="T76" i="32"/>
  <c r="T68" i="32"/>
  <c r="T60" i="32"/>
  <c r="T52" i="32"/>
  <c r="T44" i="32"/>
  <c r="T36" i="32"/>
  <c r="T28" i="32"/>
  <c r="T20" i="32"/>
  <c r="T12" i="32"/>
  <c r="T195" i="32"/>
  <c r="T187" i="32"/>
  <c r="T179" i="32"/>
  <c r="T171" i="32"/>
  <c r="T163" i="32"/>
  <c r="T155" i="32"/>
  <c r="T147" i="32"/>
  <c r="T139" i="32"/>
  <c r="T131" i="32"/>
  <c r="T123" i="32"/>
  <c r="T115" i="32"/>
  <c r="T107" i="32"/>
  <c r="T99" i="32"/>
  <c r="T91" i="32"/>
  <c r="T83" i="32"/>
  <c r="T75" i="32"/>
  <c r="T67" i="32"/>
  <c r="T59" i="32"/>
  <c r="T51" i="32"/>
  <c r="T43" i="32"/>
  <c r="T35" i="32"/>
  <c r="T27" i="32"/>
  <c r="T19" i="32"/>
  <c r="T11" i="32"/>
  <c r="T194" i="32"/>
  <c r="T130" i="32"/>
  <c r="T66" i="32"/>
  <c r="T186" i="32"/>
  <c r="T122" i="32"/>
  <c r="T58" i="32"/>
  <c r="T178" i="32"/>
  <c r="T114" i="32"/>
  <c r="T50" i="32"/>
  <c r="T170" i="32"/>
  <c r="T106" i="32"/>
  <c r="T42" i="32"/>
  <c r="T162" i="32"/>
  <c r="T98" i="32"/>
  <c r="T34" i="32"/>
  <c r="T154" i="32"/>
  <c r="T90" i="32"/>
  <c r="T26" i="32"/>
  <c r="T146" i="32"/>
  <c r="T82" i="32"/>
  <c r="T18" i="32"/>
  <c r="T138" i="32"/>
  <c r="T74" i="32"/>
  <c r="T10" i="32"/>
  <c r="G9" i="13"/>
  <c r="AB9" i="13"/>
  <c r="AD9" i="13"/>
  <c r="AF9" i="13"/>
  <c r="G13" i="13"/>
  <c r="AF13" i="13"/>
  <c r="AD13" i="13"/>
  <c r="AB13" i="13"/>
  <c r="G17" i="13"/>
  <c r="AB17" i="13"/>
  <c r="AF17" i="13"/>
  <c r="AD17" i="13"/>
  <c r="AK31" i="13"/>
  <c r="AL31" i="13" s="1"/>
  <c r="AM31" i="13" s="1"/>
  <c r="V31" i="13" s="1"/>
  <c r="G31" i="13"/>
  <c r="AF31" i="13"/>
  <c r="AD31" i="13"/>
  <c r="AB31" i="13"/>
  <c r="G35" i="13"/>
  <c r="AB35" i="13"/>
  <c r="AF35" i="13"/>
  <c r="AD35" i="13"/>
  <c r="G10" i="13"/>
  <c r="AB10" i="13"/>
  <c r="AD10" i="13"/>
  <c r="AF10" i="13"/>
  <c r="AC14" i="13"/>
  <c r="G14" i="13"/>
  <c r="AF14" i="13"/>
  <c r="AD14" i="13"/>
  <c r="AB14" i="13"/>
  <c r="H14" i="13"/>
  <c r="BC14" i="13" s="1"/>
  <c r="G28" i="13"/>
  <c r="AF28" i="13"/>
  <c r="AD28" i="13"/>
  <c r="AB28" i="13"/>
  <c r="G32" i="13"/>
  <c r="AD32" i="13"/>
  <c r="AB32" i="13"/>
  <c r="AF32" i="13"/>
  <c r="AE36" i="13"/>
  <c r="G36" i="13"/>
  <c r="AF36" i="13"/>
  <c r="AD36" i="13"/>
  <c r="AB36" i="13"/>
  <c r="J7" i="10"/>
  <c r="U7" i="10"/>
  <c r="AF58" i="14"/>
  <c r="AF62" i="14"/>
  <c r="H32" i="13"/>
  <c r="BC32" i="13" s="1"/>
  <c r="AG30" i="13"/>
  <c r="K30" i="13" s="1"/>
  <c r="BE30" i="13" s="1"/>
  <c r="AC28" i="13"/>
  <c r="AE28" i="13"/>
  <c r="AK32" i="13"/>
  <c r="AL32" i="13" s="1"/>
  <c r="T32" i="13" s="1"/>
  <c r="BF32" i="13" s="1"/>
  <c r="H36" i="13"/>
  <c r="BC36" i="13" s="1"/>
  <c r="AA33" i="13"/>
  <c r="AA36" i="13"/>
  <c r="AK33" i="13"/>
  <c r="AL33" i="13" s="1"/>
  <c r="AR33" i="13" s="1"/>
  <c r="AU33" i="13" s="1"/>
  <c r="AK36" i="13"/>
  <c r="AL36" i="13" s="1"/>
  <c r="AA29" i="13"/>
  <c r="AC32" i="13"/>
  <c r="H29" i="13"/>
  <c r="BC29" i="13" s="1"/>
  <c r="AE32" i="13"/>
  <c r="H31" i="13"/>
  <c r="BC31" i="13" s="1"/>
  <c r="AE35" i="13"/>
  <c r="H35" i="13"/>
  <c r="BC35" i="13" s="1"/>
  <c r="H11" i="13"/>
  <c r="BC11" i="13" s="1"/>
  <c r="AH11" i="13"/>
  <c r="L11" i="13" s="1"/>
  <c r="AH29" i="13"/>
  <c r="L29" i="13" s="1"/>
  <c r="AS29" i="13"/>
  <c r="AE31" i="13"/>
  <c r="AH33" i="13"/>
  <c r="L33" i="13" s="1"/>
  <c r="AS33" i="13"/>
  <c r="AG36" i="13"/>
  <c r="K36" i="13" s="1"/>
  <c r="BE36" i="13" s="1"/>
  <c r="AH36" i="13"/>
  <c r="L36" i="13" s="1"/>
  <c r="AS36" i="13"/>
  <c r="AK35" i="13"/>
  <c r="AL35" i="13" s="1"/>
  <c r="AR35" i="13" s="1"/>
  <c r="AU35" i="13" s="1"/>
  <c r="AK17" i="13"/>
  <c r="AL17" i="13" s="1"/>
  <c r="AM17" i="13" s="1"/>
  <c r="V17" i="13" s="1"/>
  <c r="AH17" i="13"/>
  <c r="L17" i="13" s="1"/>
  <c r="AG28" i="13"/>
  <c r="K28" i="13" s="1"/>
  <c r="BE28" i="13" s="1"/>
  <c r="AH28" i="13"/>
  <c r="L28" i="13" s="1"/>
  <c r="AS28" i="13"/>
  <c r="AG32" i="13"/>
  <c r="K32" i="13" s="1"/>
  <c r="BE32" i="13" s="1"/>
  <c r="AH32" i="13"/>
  <c r="L32" i="13" s="1"/>
  <c r="AS32" i="13"/>
  <c r="AK28" i="13"/>
  <c r="AL28" i="13" s="1"/>
  <c r="AH8" i="13"/>
  <c r="L8" i="13" s="1"/>
  <c r="AK12" i="13"/>
  <c r="F39" i="19" s="1"/>
  <c r="AH12" i="13"/>
  <c r="L12" i="13" s="1"/>
  <c r="AK29" i="13"/>
  <c r="AL29" i="13" s="1"/>
  <c r="T29" i="13" s="1"/>
  <c r="BF29" i="13" s="1"/>
  <c r="H28" i="13"/>
  <c r="BC28" i="13" s="1"/>
  <c r="AH15" i="13"/>
  <c r="L15" i="13" s="1"/>
  <c r="AA28" i="13"/>
  <c r="AH30" i="13"/>
  <c r="L30" i="13" s="1"/>
  <c r="AS30" i="13"/>
  <c r="AA32" i="13"/>
  <c r="AH34" i="13"/>
  <c r="L34" i="13" s="1"/>
  <c r="AS34" i="13"/>
  <c r="AK30" i="13"/>
  <c r="AL30" i="13" s="1"/>
  <c r="T30" i="13" s="1"/>
  <c r="BF30" i="13" s="1"/>
  <c r="H9" i="13"/>
  <c r="BC9" i="13" s="1"/>
  <c r="AH9" i="13"/>
  <c r="L9" i="13" s="1"/>
  <c r="AK13" i="13"/>
  <c r="AL13" i="13" s="1"/>
  <c r="AH13" i="13"/>
  <c r="L13" i="13" s="1"/>
  <c r="AC36" i="13"/>
  <c r="AH16" i="13"/>
  <c r="L16" i="13" s="1"/>
  <c r="AH35" i="13"/>
  <c r="L35" i="13" s="1"/>
  <c r="AS35" i="13"/>
  <c r="H10" i="13"/>
  <c r="BC10" i="13" s="1"/>
  <c r="AH10" i="13"/>
  <c r="L10" i="13" s="1"/>
  <c r="AH14" i="13"/>
  <c r="L14" i="13" s="1"/>
  <c r="AH31" i="13"/>
  <c r="L31" i="13" s="1"/>
  <c r="AS31" i="13"/>
  <c r="AE14" i="13"/>
  <c r="AG14" i="13"/>
  <c r="K14" i="13" s="1"/>
  <c r="BE14" i="13" s="1"/>
  <c r="AG10" i="13"/>
  <c r="K10" i="13" s="1"/>
  <c r="BE10" i="13" s="1"/>
  <c r="I7" i="7"/>
  <c r="D7" i="7" s="1"/>
  <c r="AC54" i="13"/>
  <c r="AG54" i="13" s="1"/>
  <c r="K54" i="13" s="1"/>
  <c r="I8" i="7"/>
  <c r="D8" i="7" s="1"/>
  <c r="I9" i="7"/>
  <c r="D9" i="7" s="1"/>
  <c r="I6" i="7"/>
  <c r="H17" i="13"/>
  <c r="BC17" i="13" s="1"/>
  <c r="AE17" i="13"/>
  <c r="AS17" i="13"/>
  <c r="AE9" i="13"/>
  <c r="AK14" i="13"/>
  <c r="AL14" i="13" s="1"/>
  <c r="AA14" i="13"/>
  <c r="AS10" i="13"/>
  <c r="AA10" i="13"/>
  <c r="AC11" i="13"/>
  <c r="AS8" i="13"/>
  <c r="AS12" i="13"/>
  <c r="AA11" i="13"/>
  <c r="AC10" i="13"/>
  <c r="AS9" i="13"/>
  <c r="AE10" i="13"/>
  <c r="AS13" i="13"/>
  <c r="AK8" i="13"/>
  <c r="AL8" i="13" s="1"/>
  <c r="AK11" i="13"/>
  <c r="AL11" i="13" s="1"/>
  <c r="AK9" i="13"/>
  <c r="AL9" i="13" s="1"/>
  <c r="AS11" i="13"/>
  <c r="AE13" i="13"/>
  <c r="AK10" i="13"/>
  <c r="AL10" i="13" s="1"/>
  <c r="H15" i="13"/>
  <c r="BC15" i="13" s="1"/>
  <c r="AA15" i="13"/>
  <c r="AG34" i="13"/>
  <c r="K34" i="13" s="1"/>
  <c r="BE34" i="13" s="1"/>
  <c r="H13" i="13"/>
  <c r="BC13" i="13" s="1"/>
  <c r="AA12" i="13"/>
  <c r="AC15" i="13"/>
  <c r="AA16" i="13"/>
  <c r="AG17" i="13"/>
  <c r="K17" i="13" s="1"/>
  <c r="BE17" i="13" s="1"/>
  <c r="AC29" i="13"/>
  <c r="AA30" i="13"/>
  <c r="AG31" i="13"/>
  <c r="K31" i="13" s="1"/>
  <c r="BE31" i="13" s="1"/>
  <c r="AC33" i="13"/>
  <c r="AA34" i="13"/>
  <c r="AG35" i="13"/>
  <c r="K35" i="13" s="1"/>
  <c r="BE35" i="13" s="1"/>
  <c r="H16" i="13"/>
  <c r="BC16" i="13" s="1"/>
  <c r="H34" i="13"/>
  <c r="BC34" i="13" s="1"/>
  <c r="H8" i="13"/>
  <c r="BC8" i="13" s="1"/>
  <c r="AC8" i="13"/>
  <c r="AE11" i="13"/>
  <c r="AC12" i="13"/>
  <c r="AG12" i="13" s="1"/>
  <c r="K12" i="13" s="1"/>
  <c r="BE12" i="13" s="1"/>
  <c r="AA13" i="13"/>
  <c r="AE15" i="13"/>
  <c r="AG15" i="13" s="1"/>
  <c r="K15" i="13" s="1"/>
  <c r="BE15" i="13" s="1"/>
  <c r="AC16" i="13"/>
  <c r="AA17" i="13"/>
  <c r="AE29" i="13"/>
  <c r="AC30" i="13"/>
  <c r="AA31" i="13"/>
  <c r="AE33" i="13"/>
  <c r="AC34" i="13"/>
  <c r="AA35" i="13"/>
  <c r="AE8" i="13"/>
  <c r="AC9" i="13"/>
  <c r="AE12" i="13"/>
  <c r="AC13" i="13"/>
  <c r="AG13" i="13" s="1"/>
  <c r="K13" i="13" s="1"/>
  <c r="BE13" i="13" s="1"/>
  <c r="AE16" i="13"/>
  <c r="AG16" i="13" s="1"/>
  <c r="K16" i="13" s="1"/>
  <c r="BE16" i="13" s="1"/>
  <c r="AC17" i="13"/>
  <c r="AG29" i="13"/>
  <c r="K29" i="13" s="1"/>
  <c r="BE29" i="13" s="1"/>
  <c r="AE30" i="13"/>
  <c r="AC31" i="13"/>
  <c r="AG33" i="13"/>
  <c r="K33" i="13" s="1"/>
  <c r="BE33" i="13" s="1"/>
  <c r="AE34" i="13"/>
  <c r="AC35" i="13"/>
  <c r="H30" i="13"/>
  <c r="BC30" i="13" s="1"/>
  <c r="V2" i="13"/>
  <c r="T34" i="13" l="1"/>
  <c r="BF34" i="13" s="1"/>
  <c r="AR34" i="13"/>
  <c r="AU34" i="13" s="1"/>
  <c r="AR28" i="13"/>
  <c r="AU28" i="13" s="1"/>
  <c r="AN28" i="13"/>
  <c r="T28" i="13"/>
  <c r="BF28" i="13" s="1"/>
  <c r="AR36" i="13"/>
  <c r="AU36" i="13" s="1"/>
  <c r="AN36" i="13"/>
  <c r="AL12" i="13"/>
  <c r="T12" i="13" s="1"/>
  <c r="BF12" i="13" s="1"/>
  <c r="AN54" i="13"/>
  <c r="BG54" i="13" s="1"/>
  <c r="BE54" i="13"/>
  <c r="AM33" i="13"/>
  <c r="V33" i="13" s="1"/>
  <c r="AM28" i="13"/>
  <c r="V28" i="13" s="1"/>
  <c r="AN31" i="13"/>
  <c r="BG31" i="13" s="1"/>
  <c r="AM34" i="13"/>
  <c r="V34" i="13" s="1"/>
  <c r="AM36" i="13"/>
  <c r="V36" i="13" s="1"/>
  <c r="AM15" i="13"/>
  <c r="V15" i="13" s="1"/>
  <c r="AR29" i="13"/>
  <c r="AU29" i="13" s="1"/>
  <c r="T36" i="13"/>
  <c r="BF36" i="13" s="1"/>
  <c r="AR30" i="13"/>
  <c r="AU30" i="13" s="1"/>
  <c r="AM32" i="13"/>
  <c r="V32" i="13" s="1"/>
  <c r="AN30" i="13"/>
  <c r="BG30" i="13" s="1"/>
  <c r="AM16" i="13"/>
  <c r="V16" i="13" s="1"/>
  <c r="T33" i="13"/>
  <c r="BF33" i="13" s="1"/>
  <c r="AN32" i="13"/>
  <c r="BG32" i="13" s="1"/>
  <c r="AN33" i="13"/>
  <c r="BG33" i="13" s="1"/>
  <c r="AN29" i="13"/>
  <c r="BG29" i="13" s="1"/>
  <c r="AN17" i="13"/>
  <c r="BG17" i="13" s="1"/>
  <c r="AR32" i="13"/>
  <c r="AU32" i="13" s="1"/>
  <c r="AR17" i="13"/>
  <c r="AU17" i="13" s="1"/>
  <c r="AM35" i="13"/>
  <c r="V35" i="13" s="1"/>
  <c r="T35" i="13"/>
  <c r="BF35" i="13" s="1"/>
  <c r="AN34" i="13"/>
  <c r="BG34" i="13" s="1"/>
  <c r="AM30" i="13"/>
  <c r="V30" i="13" s="1"/>
  <c r="T17" i="13"/>
  <c r="BF17" i="13" s="1"/>
  <c r="T31" i="13"/>
  <c r="BF31" i="13" s="1"/>
  <c r="AR31" i="13"/>
  <c r="AU31" i="13" s="1"/>
  <c r="AM29" i="13"/>
  <c r="V29" i="13" s="1"/>
  <c r="AN35" i="13"/>
  <c r="BG35" i="13" s="1"/>
  <c r="T13" i="13"/>
  <c r="BF13" i="13" s="1"/>
  <c r="AN13" i="13"/>
  <c r="BG13" i="13" s="1"/>
  <c r="AR13" i="13"/>
  <c r="AU13" i="13" s="1"/>
  <c r="AM14" i="13"/>
  <c r="I57" i="14"/>
  <c r="I32" i="14"/>
  <c r="AK33" i="14"/>
  <c r="AN16" i="13"/>
  <c r="BG16" i="13" s="1"/>
  <c r="AR11" i="13"/>
  <c r="AU11" i="13" s="1"/>
  <c r="L7" i="7"/>
  <c r="D6" i="7"/>
  <c r="L6" i="7"/>
  <c r="L9" i="7"/>
  <c r="L8" i="7"/>
  <c r="AR14" i="13"/>
  <c r="T14" i="13"/>
  <c r="BF14" i="13" s="1"/>
  <c r="AN14" i="13"/>
  <c r="BG14" i="13" s="1"/>
  <c r="T11" i="13"/>
  <c r="BF11" i="13" s="1"/>
  <c r="AG11" i="13"/>
  <c r="AR9" i="13"/>
  <c r="AU9" i="13" s="1"/>
  <c r="T9" i="13"/>
  <c r="BF9" i="13" s="1"/>
  <c r="AR10" i="13"/>
  <c r="T10" i="13"/>
  <c r="BF10" i="13" s="1"/>
  <c r="AN10" i="13"/>
  <c r="BG10" i="13" s="1"/>
  <c r="T15" i="13"/>
  <c r="BF15" i="13" s="1"/>
  <c r="AN15" i="13"/>
  <c r="BG15" i="13" s="1"/>
  <c r="F35" i="29"/>
  <c r="T16" i="13"/>
  <c r="BF16" i="13" s="1"/>
  <c r="AS15" i="13"/>
  <c r="AU15" i="13" s="1"/>
  <c r="AS16" i="13"/>
  <c r="AU16" i="13" s="1"/>
  <c r="W36" i="13" l="1"/>
  <c r="BG36" i="13"/>
  <c r="W28" i="13"/>
  <c r="BG28" i="13"/>
  <c r="AN12" i="13"/>
  <c r="BG12" i="13" s="1"/>
  <c r="AR12" i="13"/>
  <c r="AU12" i="13" s="1"/>
  <c r="E9" i="7"/>
  <c r="P9" i="7"/>
  <c r="E8" i="7"/>
  <c r="P8" i="7"/>
  <c r="AK57" i="14"/>
  <c r="BA57" i="14"/>
  <c r="AK32" i="14"/>
  <c r="BA32" i="14"/>
  <c r="E7" i="7"/>
  <c r="P7" i="7"/>
  <c r="W54" i="13"/>
  <c r="W16" i="13"/>
  <c r="W30" i="13"/>
  <c r="W33" i="13"/>
  <c r="W31" i="13"/>
  <c r="W17" i="13"/>
  <c r="W34" i="13"/>
  <c r="W32" i="13"/>
  <c r="W35" i="13"/>
  <c r="W15" i="13"/>
  <c r="W29" i="13"/>
  <c r="E6" i="7"/>
  <c r="P6" i="7"/>
  <c r="K65" i="19"/>
  <c r="K64" i="19"/>
  <c r="K63" i="19"/>
  <c r="K66" i="19"/>
  <c r="K67" i="19"/>
  <c r="K49" i="19"/>
  <c r="AN11" i="13"/>
  <c r="BG11" i="13" s="1"/>
  <c r="K11" i="13"/>
  <c r="BE11" i="13" s="1"/>
  <c r="V14" i="13"/>
  <c r="W14" i="13"/>
  <c r="K33" i="19"/>
  <c r="T33" i="14"/>
  <c r="K44" i="19"/>
  <c r="W13" i="13"/>
  <c r="K39" i="19"/>
  <c r="W10" i="13"/>
  <c r="T8" i="13"/>
  <c r="BF8" i="13" s="1"/>
  <c r="AU10" i="13"/>
  <c r="AR8" i="13"/>
  <c r="AU8" i="13" s="1"/>
  <c r="AS14" i="13"/>
  <c r="T32" i="14"/>
  <c r="M66" i="19" l="1"/>
  <c r="K62" i="19"/>
  <c r="K68" i="19" s="1"/>
  <c r="M62" i="19"/>
  <c r="W12" i="13"/>
  <c r="T57" i="14"/>
  <c r="BC57" i="14"/>
  <c r="W11" i="13"/>
  <c r="AU14" i="13"/>
  <c r="S4" i="31"/>
  <c r="I36" i="13"/>
  <c r="BB36" i="13" s="1"/>
  <c r="I35" i="13"/>
  <c r="BB35" i="13" s="1"/>
  <c r="I34" i="13"/>
  <c r="BB34" i="13" s="1"/>
  <c r="I33" i="13"/>
  <c r="BB33" i="13" s="1"/>
  <c r="I32" i="13"/>
  <c r="BB32" i="13" s="1"/>
  <c r="I31" i="13"/>
  <c r="BB31" i="13" s="1"/>
  <c r="I30" i="13"/>
  <c r="BB30" i="13" s="1"/>
  <c r="I29" i="13"/>
  <c r="BB29" i="13" s="1"/>
  <c r="I28" i="13"/>
  <c r="BB28" i="13" s="1"/>
  <c r="I17" i="13"/>
  <c r="BB17" i="13" s="1"/>
  <c r="I16" i="13"/>
  <c r="BB16" i="13" s="1"/>
  <c r="I15" i="13"/>
  <c r="BB15" i="13" s="1"/>
  <c r="AF59" i="14" l="1"/>
  <c r="AF60" i="14"/>
  <c r="AF61" i="14"/>
  <c r="AF8" i="14"/>
  <c r="I8" i="14" s="1"/>
  <c r="AF33" i="14"/>
  <c r="AF57" i="14"/>
  <c r="AF7" i="14"/>
  <c r="I7" i="14" s="1"/>
  <c r="AK7" i="14" s="1"/>
  <c r="AF31" i="14"/>
  <c r="I31" i="14" s="1"/>
  <c r="AF32" i="14"/>
  <c r="AF9" i="14"/>
  <c r="I9" i="14" s="1"/>
  <c r="AF11" i="14"/>
  <c r="AF55" i="14"/>
  <c r="I55" i="14" s="1"/>
  <c r="BA55" i="14" s="1"/>
  <c r="AF10" i="14"/>
  <c r="AF56" i="14"/>
  <c r="AA8" i="13"/>
  <c r="AG8" i="13" s="1"/>
  <c r="K8" i="13" s="1"/>
  <c r="BE8" i="13" s="1"/>
  <c r="AA9" i="13"/>
  <c r="AG9" i="13" s="1"/>
  <c r="Y53" i="13"/>
  <c r="Y52" i="13"/>
  <c r="Y51" i="13"/>
  <c r="Y50" i="13"/>
  <c r="Y49" i="13"/>
  <c r="Y48" i="13"/>
  <c r="I14" i="13"/>
  <c r="BB14" i="13" s="1"/>
  <c r="I13" i="13"/>
  <c r="I12" i="13"/>
  <c r="I11" i="13"/>
  <c r="I10" i="13"/>
  <c r="I9" i="13"/>
  <c r="BB9" i="13" s="1"/>
  <c r="Y7" i="13"/>
  <c r="AQ7" i="13" s="1"/>
  <c r="Z53" i="13"/>
  <c r="Z52" i="13"/>
  <c r="Z51" i="13"/>
  <c r="Z50" i="13"/>
  <c r="Z49" i="13"/>
  <c r="Z7" i="13"/>
  <c r="BA31" i="14" l="1"/>
  <c r="AK31" i="14"/>
  <c r="I48" i="13"/>
  <c r="BB48" i="13" s="1"/>
  <c r="G48" i="13"/>
  <c r="AF48" i="13"/>
  <c r="AD48" i="13"/>
  <c r="AB48" i="13"/>
  <c r="AG48" i="13" s="1"/>
  <c r="K48" i="13" s="1"/>
  <c r="BE48" i="13" s="1"/>
  <c r="G7" i="13"/>
  <c r="AF7" i="13"/>
  <c r="AD7" i="13"/>
  <c r="AB7" i="13"/>
  <c r="AM10" i="13"/>
  <c r="V10" i="13" s="1"/>
  <c r="BB10" i="13"/>
  <c r="G51" i="13"/>
  <c r="AD51" i="13"/>
  <c r="AB51" i="13"/>
  <c r="AF51" i="13"/>
  <c r="AM11" i="13"/>
  <c r="V11" i="13" s="1"/>
  <c r="BB11" i="13"/>
  <c r="G53" i="13"/>
  <c r="AF53" i="13"/>
  <c r="AD53" i="13"/>
  <c r="AB53" i="13"/>
  <c r="G49" i="13"/>
  <c r="AD49" i="13"/>
  <c r="AB49" i="13"/>
  <c r="AF49" i="13"/>
  <c r="H49" i="13"/>
  <c r="BC49" i="13" s="1"/>
  <c r="G50" i="13"/>
  <c r="AB50" i="13"/>
  <c r="AD50" i="13"/>
  <c r="AF50" i="13"/>
  <c r="G52" i="13"/>
  <c r="AF52" i="13"/>
  <c r="AD52" i="13"/>
  <c r="AB52" i="13"/>
  <c r="AM12" i="13"/>
  <c r="H39" i="19" s="1"/>
  <c r="BB12" i="13"/>
  <c r="AM13" i="13"/>
  <c r="V13" i="13" s="1"/>
  <c r="BB13" i="13"/>
  <c r="AK9" i="14"/>
  <c r="BC9" i="14" s="1"/>
  <c r="BA9" i="14"/>
  <c r="BA7" i="14"/>
  <c r="AK8" i="14"/>
  <c r="BA8" i="14"/>
  <c r="AN9" i="13"/>
  <c r="BG9" i="13" s="1"/>
  <c r="K9" i="13"/>
  <c r="BE9" i="13" s="1"/>
  <c r="K51" i="19"/>
  <c r="I10" i="14"/>
  <c r="K43" i="19"/>
  <c r="T9" i="14"/>
  <c r="AM9" i="13"/>
  <c r="V9" i="13" s="1"/>
  <c r="AN8" i="13"/>
  <c r="BG8" i="13" s="1"/>
  <c r="AH51" i="13"/>
  <c r="L51" i="13" s="1"/>
  <c r="AS51" i="13"/>
  <c r="AK51" i="13"/>
  <c r="AL51" i="13" s="1"/>
  <c r="AH52" i="13"/>
  <c r="L52" i="13" s="1"/>
  <c r="AS52" i="13"/>
  <c r="H52" i="13"/>
  <c r="BC52" i="13" s="1"/>
  <c r="AG52" i="13"/>
  <c r="K52" i="13" s="1"/>
  <c r="BE52" i="13" s="1"/>
  <c r="AE52" i="13"/>
  <c r="AC52" i="13"/>
  <c r="BB52" i="13"/>
  <c r="AK52" i="13"/>
  <c r="AH53" i="13"/>
  <c r="L53" i="13" s="1"/>
  <c r="AS53" i="13"/>
  <c r="AG53" i="13"/>
  <c r="K53" i="13" s="1"/>
  <c r="AE53" i="13"/>
  <c r="H53" i="13"/>
  <c r="BC53" i="13" s="1"/>
  <c r="AA53" i="13"/>
  <c r="AK53" i="13"/>
  <c r="BB53" i="13"/>
  <c r="AC53" i="13"/>
  <c r="AH48" i="13"/>
  <c r="L48" i="13" s="1"/>
  <c r="AS48" i="13"/>
  <c r="AK48" i="13"/>
  <c r="AE48" i="13"/>
  <c r="H48" i="13"/>
  <c r="BC48" i="13" s="1"/>
  <c r="AC48" i="13"/>
  <c r="AH49" i="13"/>
  <c r="L49" i="13" s="1"/>
  <c r="AS49" i="13"/>
  <c r="AA49" i="13"/>
  <c r="AE49" i="13"/>
  <c r="AK49" i="13"/>
  <c r="BB49" i="13"/>
  <c r="AC49" i="13"/>
  <c r="AG49" i="13" s="1"/>
  <c r="AA48" i="13"/>
  <c r="AA52" i="13"/>
  <c r="AH50" i="13"/>
  <c r="L50" i="13" s="1"/>
  <c r="AA50" i="13"/>
  <c r="AC50" i="13"/>
  <c r="AK50" i="13"/>
  <c r="H50" i="13"/>
  <c r="BC50" i="13" s="1"/>
  <c r="AE50" i="13"/>
  <c r="AH7" i="13"/>
  <c r="L7" i="13" s="1"/>
  <c r="I11" i="14"/>
  <c r="K52" i="19"/>
  <c r="I56" i="14"/>
  <c r="I7" i="13"/>
  <c r="AA7" i="13"/>
  <c r="H7" i="13"/>
  <c r="BC7" i="13" s="1"/>
  <c r="AC7" i="13"/>
  <c r="AE7" i="13"/>
  <c r="AK7" i="13"/>
  <c r="AL7" i="13" s="1"/>
  <c r="BB51" i="13"/>
  <c r="AE51" i="13"/>
  <c r="H51" i="13"/>
  <c r="BC51" i="13" s="1"/>
  <c r="AC51" i="13"/>
  <c r="AA51" i="13"/>
  <c r="I8" i="13"/>
  <c r="BB8" i="13" s="1"/>
  <c r="AC59" i="10"/>
  <c r="AA59" i="10"/>
  <c r="AC57" i="10"/>
  <c r="AA57" i="10"/>
  <c r="AC56" i="10"/>
  <c r="AA56" i="10"/>
  <c r="AC55" i="10"/>
  <c r="AA55" i="10"/>
  <c r="AC54" i="10"/>
  <c r="AA54" i="10"/>
  <c r="AC53" i="10"/>
  <c r="AA53" i="10"/>
  <c r="AC52" i="10"/>
  <c r="AA52" i="10"/>
  <c r="AC51" i="10"/>
  <c r="AA51" i="10"/>
  <c r="AC50" i="10"/>
  <c r="AA50" i="10"/>
  <c r="AC49" i="10"/>
  <c r="AA49" i="10"/>
  <c r="AC48" i="10"/>
  <c r="AA48" i="10"/>
  <c r="AC47" i="10"/>
  <c r="AA47" i="10"/>
  <c r="AC46" i="10"/>
  <c r="AA46" i="10"/>
  <c r="AC45" i="10"/>
  <c r="AA45" i="10"/>
  <c r="AC43" i="10"/>
  <c r="AA43" i="10"/>
  <c r="AC40" i="10"/>
  <c r="AA40" i="10"/>
  <c r="AC39" i="10"/>
  <c r="AA39" i="10"/>
  <c r="AC36" i="10"/>
  <c r="AA36" i="10"/>
  <c r="AC35" i="10"/>
  <c r="AA35" i="10"/>
  <c r="AC34" i="10"/>
  <c r="AA34" i="10"/>
  <c r="AC33" i="10"/>
  <c r="AA33" i="10"/>
  <c r="AC32" i="10"/>
  <c r="AA32" i="10"/>
  <c r="AC31" i="10"/>
  <c r="AA31" i="10"/>
  <c r="AC30" i="10"/>
  <c r="AA30" i="10"/>
  <c r="AC29" i="10"/>
  <c r="AA29" i="10"/>
  <c r="AC28" i="10"/>
  <c r="AA28" i="10"/>
  <c r="AC27" i="10"/>
  <c r="AA27" i="10"/>
  <c r="AC26" i="10"/>
  <c r="AA26" i="10"/>
  <c r="AC25" i="10"/>
  <c r="AA25" i="10"/>
  <c r="AC24" i="10"/>
  <c r="AA24" i="10"/>
  <c r="AC23" i="10"/>
  <c r="AA23" i="10"/>
  <c r="AC22" i="10"/>
  <c r="AA22" i="10"/>
  <c r="AC21" i="10"/>
  <c r="AA21" i="10"/>
  <c r="AC20" i="10"/>
  <c r="AA20" i="10"/>
  <c r="AC19" i="10"/>
  <c r="AA19" i="10"/>
  <c r="AC18" i="10"/>
  <c r="AA18" i="10"/>
  <c r="AC17" i="10"/>
  <c r="AA17" i="10"/>
  <c r="AC16" i="10"/>
  <c r="AA16" i="10"/>
  <c r="AC15" i="10"/>
  <c r="AA15" i="10"/>
  <c r="AC14" i="10"/>
  <c r="AA14" i="10"/>
  <c r="AC13" i="10"/>
  <c r="AA13" i="10"/>
  <c r="AC12" i="10"/>
  <c r="AA12" i="10"/>
  <c r="AC11" i="10"/>
  <c r="AA11" i="10"/>
  <c r="AC10" i="10"/>
  <c r="AA10" i="10"/>
  <c r="AC9" i="10"/>
  <c r="AA9" i="10"/>
  <c r="AC8" i="10"/>
  <c r="AA8" i="10"/>
  <c r="AC7" i="10"/>
  <c r="AA7" i="10"/>
  <c r="Y59" i="10"/>
  <c r="Y57" i="10"/>
  <c r="Y56" i="10"/>
  <c r="Y55" i="10"/>
  <c r="Y54" i="10"/>
  <c r="Y53" i="10"/>
  <c r="Y52" i="10"/>
  <c r="Y51" i="10"/>
  <c r="Y50" i="10"/>
  <c r="Y49" i="10"/>
  <c r="Y48" i="10"/>
  <c r="Y47" i="10"/>
  <c r="Y46" i="10"/>
  <c r="Y45" i="10"/>
  <c r="Y43" i="10"/>
  <c r="Y40" i="10"/>
  <c r="Y39" i="10"/>
  <c r="Y38" i="10"/>
  <c r="Y37" i="10"/>
  <c r="Y36" i="10"/>
  <c r="Y35" i="10"/>
  <c r="Y34" i="10"/>
  <c r="Y33" i="10"/>
  <c r="Y32" i="10"/>
  <c r="Y31" i="10"/>
  <c r="Y30" i="10"/>
  <c r="Y29" i="10"/>
  <c r="Y28" i="10"/>
  <c r="Y27" i="10"/>
  <c r="Y26" i="10"/>
  <c r="Y25" i="10"/>
  <c r="Y24" i="10"/>
  <c r="Y23" i="10"/>
  <c r="Y22" i="10"/>
  <c r="Y21" i="10"/>
  <c r="Y20" i="10"/>
  <c r="Y19" i="10"/>
  <c r="Y18" i="10"/>
  <c r="Y17" i="10"/>
  <c r="Y16" i="10"/>
  <c r="Y15" i="10"/>
  <c r="Y14" i="10"/>
  <c r="Y13" i="10"/>
  <c r="Y12" i="10"/>
  <c r="Y11" i="10"/>
  <c r="Y10" i="10"/>
  <c r="Y9" i="10"/>
  <c r="Y8" i="10"/>
  <c r="Y7" i="10"/>
  <c r="AE59" i="10"/>
  <c r="AE57" i="10"/>
  <c r="AE56" i="10"/>
  <c r="AE55" i="10"/>
  <c r="AE54" i="10"/>
  <c r="AE53" i="10"/>
  <c r="AE52" i="10"/>
  <c r="AE51" i="10"/>
  <c r="AE50" i="10"/>
  <c r="AE49" i="10"/>
  <c r="AE45" i="10"/>
  <c r="AE43" i="10"/>
  <c r="AE40" i="10"/>
  <c r="AE39" i="10"/>
  <c r="AE38" i="10"/>
  <c r="AE37" i="10"/>
  <c r="AE36" i="10"/>
  <c r="AE35" i="10"/>
  <c r="AE34" i="10"/>
  <c r="AE33" i="10"/>
  <c r="AE32" i="10"/>
  <c r="AE31" i="10"/>
  <c r="AE30" i="10"/>
  <c r="AE29" i="10"/>
  <c r="AE28" i="10"/>
  <c r="AE27" i="10"/>
  <c r="AE26" i="10"/>
  <c r="AE25" i="10"/>
  <c r="D4" i="28"/>
  <c r="D5" i="28" s="1"/>
  <c r="D6" i="28" s="1"/>
  <c r="D7" i="28" s="1"/>
  <c r="D8" i="28" s="1"/>
  <c r="D9" i="28" s="1"/>
  <c r="D10" i="28" s="1"/>
  <c r="D11" i="28" s="1"/>
  <c r="D12" i="28" s="1"/>
  <c r="D13" i="28" s="1"/>
  <c r="D14" i="28" s="1"/>
  <c r="D15" i="28" s="1"/>
  <c r="D16" i="28" s="1"/>
  <c r="D17" i="28" s="1"/>
  <c r="D18" i="28" s="1"/>
  <c r="D19" i="28" s="1"/>
  <c r="D20" i="28" s="1"/>
  <c r="AE24" i="10" s="1"/>
  <c r="M40" i="19" l="1"/>
  <c r="AR7" i="13"/>
  <c r="AU7" i="13" s="1"/>
  <c r="BC31" i="14"/>
  <c r="T31" i="14"/>
  <c r="V12" i="13"/>
  <c r="M37" i="19"/>
  <c r="F37" i="19"/>
  <c r="M47" i="19"/>
  <c r="F47" i="19"/>
  <c r="BB7" i="13"/>
  <c r="AL48" i="13"/>
  <c r="AM48" i="13" s="1"/>
  <c r="V48" i="13" s="1"/>
  <c r="AL50" i="13"/>
  <c r="AM50" i="13" s="1"/>
  <c r="AL49" i="13"/>
  <c r="AM49" i="13" s="1"/>
  <c r="AL53" i="13"/>
  <c r="AM53" i="13" s="1"/>
  <c r="V53" i="13" s="1"/>
  <c r="AL52" i="13"/>
  <c r="AM52" i="13" s="1"/>
  <c r="AK56" i="14"/>
  <c r="BA56" i="14"/>
  <c r="AK10" i="14"/>
  <c r="BC10" i="14" s="1"/>
  <c r="BA10" i="14"/>
  <c r="AK11" i="14"/>
  <c r="BA11" i="14"/>
  <c r="AS50" i="13"/>
  <c r="BB50" i="13"/>
  <c r="AT53" i="13"/>
  <c r="BE53" i="13"/>
  <c r="W9" i="13"/>
  <c r="W8" i="13"/>
  <c r="T8" i="14"/>
  <c r="BC8" i="14"/>
  <c r="BC7" i="14"/>
  <c r="T7" i="14"/>
  <c r="AT49" i="13"/>
  <c r="K49" i="13"/>
  <c r="BE49" i="13" s="1"/>
  <c r="AE7" i="10"/>
  <c r="AM51" i="13"/>
  <c r="H59" i="19" s="1"/>
  <c r="K48" i="19"/>
  <c r="K53" i="19"/>
  <c r="K42" i="19"/>
  <c r="K41" i="19"/>
  <c r="T10" i="14"/>
  <c r="K45" i="19"/>
  <c r="F60" i="19"/>
  <c r="AG51" i="13"/>
  <c r="K51" i="13" s="1"/>
  <c r="BE51" i="13" s="1"/>
  <c r="AG50" i="13"/>
  <c r="K50" i="13" s="1"/>
  <c r="BE50" i="13" s="1"/>
  <c r="AM8" i="13"/>
  <c r="V8" i="13" s="1"/>
  <c r="F38" i="19"/>
  <c r="AM7" i="13"/>
  <c r="AT50" i="13"/>
  <c r="F40" i="19"/>
  <c r="AN49" i="13"/>
  <c r="BG49" i="13" s="1"/>
  <c r="T51" i="13"/>
  <c r="BF51" i="13" s="1"/>
  <c r="AR51" i="13"/>
  <c r="T49" i="13"/>
  <c r="BF49" i="13" s="1"/>
  <c r="AG7" i="13"/>
  <c r="T11" i="14"/>
  <c r="F29" i="29"/>
  <c r="T7" i="13"/>
  <c r="BF7" i="13" s="1"/>
  <c r="J39" i="19"/>
  <c r="I39" i="19"/>
  <c r="AE8" i="10"/>
  <c r="AE17" i="10"/>
  <c r="AE10" i="10"/>
  <c r="AE18" i="10"/>
  <c r="AE11" i="10"/>
  <c r="AE19" i="10"/>
  <c r="AE46" i="10"/>
  <c r="AE9" i="10"/>
  <c r="AE12" i="10"/>
  <c r="AE20" i="10"/>
  <c r="AE47" i="10"/>
  <c r="AE13" i="10"/>
  <c r="AE21" i="10"/>
  <c r="AE48" i="10"/>
  <c r="AE14" i="10"/>
  <c r="AE22" i="10"/>
  <c r="AE15" i="10"/>
  <c r="AE23" i="10"/>
  <c r="AE16" i="10"/>
  <c r="I2" i="29"/>
  <c r="I1" i="29"/>
  <c r="AN53" i="13" l="1"/>
  <c r="BG53" i="13" s="1"/>
  <c r="T53" i="13"/>
  <c r="BF53" i="13" s="1"/>
  <c r="T52" i="13"/>
  <c r="BF52" i="13" s="1"/>
  <c r="AN48" i="13"/>
  <c r="BG48" i="13" s="1"/>
  <c r="AN52" i="13"/>
  <c r="BG52" i="13" s="1"/>
  <c r="T50" i="13"/>
  <c r="BF50" i="13" s="1"/>
  <c r="AR50" i="13"/>
  <c r="AU50" i="13" s="1"/>
  <c r="I56" i="29" s="1"/>
  <c r="AR53" i="13"/>
  <c r="AU53" i="13" s="1"/>
  <c r="AR52" i="13"/>
  <c r="AU52" i="13" s="1"/>
  <c r="AN50" i="13"/>
  <c r="BG50" i="13" s="1"/>
  <c r="AR49" i="13"/>
  <c r="T48" i="13"/>
  <c r="BF48" i="13" s="1"/>
  <c r="AR48" i="13"/>
  <c r="AU48" i="13" s="1"/>
  <c r="V7" i="13"/>
  <c r="H33" i="19"/>
  <c r="J33" i="19" s="1"/>
  <c r="H40" i="19"/>
  <c r="K7" i="13"/>
  <c r="BE7" i="13" s="1"/>
  <c r="H60" i="19"/>
  <c r="H61" i="19" s="1"/>
  <c r="V50" i="13"/>
  <c r="K50" i="19"/>
  <c r="BC11" i="14"/>
  <c r="T56" i="14"/>
  <c r="BC56" i="14"/>
  <c r="W48" i="13"/>
  <c r="I9" i="29"/>
  <c r="I19" i="29"/>
  <c r="K59" i="19"/>
  <c r="AN51" i="13"/>
  <c r="BG51" i="13" s="1"/>
  <c r="AT51" i="13"/>
  <c r="AU51" i="13" s="1"/>
  <c r="J59" i="19"/>
  <c r="I59" i="19"/>
  <c r="K60" i="19"/>
  <c r="AN7" i="13"/>
  <c r="BG7" i="13" s="1"/>
  <c r="I23" i="29"/>
  <c r="I31" i="29"/>
  <c r="I18" i="29"/>
  <c r="I24" i="29"/>
  <c r="I28" i="29"/>
  <c r="H14" i="29"/>
  <c r="I21" i="29"/>
  <c r="I22" i="29"/>
  <c r="I14" i="29"/>
  <c r="H13" i="29"/>
  <c r="H8" i="29"/>
  <c r="I20" i="29"/>
  <c r="I16" i="29"/>
  <c r="H26" i="29"/>
  <c r="H25" i="29"/>
  <c r="I13" i="29"/>
  <c r="H10" i="29"/>
  <c r="H27" i="29"/>
  <c r="H24" i="29"/>
  <c r="I7" i="29"/>
  <c r="H19" i="29"/>
  <c r="I12" i="29"/>
  <c r="I17" i="29"/>
  <c r="I30" i="29"/>
  <c r="H23" i="29"/>
  <c r="H18" i="29"/>
  <c r="I27" i="29"/>
  <c r="I26" i="29"/>
  <c r="H22" i="29"/>
  <c r="I10" i="29"/>
  <c r="H12" i="29"/>
  <c r="H20" i="29"/>
  <c r="H9" i="29"/>
  <c r="H7" i="29"/>
  <c r="H17" i="29"/>
  <c r="I8" i="29"/>
  <c r="H30" i="29"/>
  <c r="H16" i="29"/>
  <c r="I25" i="29"/>
  <c r="H21" i="29"/>
  <c r="H31" i="29"/>
  <c r="I15" i="29"/>
  <c r="H28" i="29"/>
  <c r="H15" i="29"/>
  <c r="F56" i="29"/>
  <c r="F34" i="29"/>
  <c r="W52" i="13"/>
  <c r="K38" i="19"/>
  <c r="V52" i="13"/>
  <c r="H38" i="19"/>
  <c r="K37" i="19"/>
  <c r="F33" i="29"/>
  <c r="V51" i="13"/>
  <c r="H37" i="19"/>
  <c r="H47" i="19"/>
  <c r="H54" i="19" s="1"/>
  <c r="F55" i="29"/>
  <c r="W49" i="13"/>
  <c r="AU49" i="13"/>
  <c r="I55" i="29" s="1"/>
  <c r="F36" i="29"/>
  <c r="V49" i="13"/>
  <c r="AS7" i="13"/>
  <c r="F43" i="29"/>
  <c r="N59" i="10"/>
  <c r="L59" i="10"/>
  <c r="K59" i="10"/>
  <c r="N57" i="10"/>
  <c r="L57" i="10"/>
  <c r="K57" i="10"/>
  <c r="N56" i="10"/>
  <c r="L56" i="10"/>
  <c r="K56" i="10"/>
  <c r="N55" i="10"/>
  <c r="L55" i="10"/>
  <c r="K55" i="10"/>
  <c r="N54" i="10"/>
  <c r="L54" i="10"/>
  <c r="K54" i="10"/>
  <c r="N53" i="10"/>
  <c r="L53" i="10"/>
  <c r="K53" i="10"/>
  <c r="N52" i="10"/>
  <c r="L52" i="10"/>
  <c r="K52" i="10"/>
  <c r="N51" i="10"/>
  <c r="L51" i="10"/>
  <c r="K51" i="10"/>
  <c r="N50" i="10"/>
  <c r="L50" i="10"/>
  <c r="K50" i="10"/>
  <c r="N49" i="10"/>
  <c r="L49" i="10"/>
  <c r="K49" i="10"/>
  <c r="N48" i="10"/>
  <c r="L48" i="10"/>
  <c r="K48" i="10"/>
  <c r="N47" i="10"/>
  <c r="L47" i="10"/>
  <c r="K47" i="10"/>
  <c r="N46" i="10"/>
  <c r="L46" i="10"/>
  <c r="K46" i="10"/>
  <c r="W59" i="10"/>
  <c r="X59" i="10" s="1"/>
  <c r="W57" i="10"/>
  <c r="X57" i="10" s="1"/>
  <c r="W56" i="10"/>
  <c r="X56" i="10" s="1"/>
  <c r="W55" i="10"/>
  <c r="X55" i="10" s="1"/>
  <c r="W54" i="10"/>
  <c r="X54" i="10" s="1"/>
  <c r="W53" i="10"/>
  <c r="X53" i="10" s="1"/>
  <c r="W52" i="10"/>
  <c r="X52" i="10" s="1"/>
  <c r="W51" i="10"/>
  <c r="X51" i="10" s="1"/>
  <c r="W50" i="10"/>
  <c r="X50" i="10" s="1"/>
  <c r="W49" i="10"/>
  <c r="X49" i="10" s="1"/>
  <c r="S59" i="10"/>
  <c r="R59" i="10"/>
  <c r="Q59" i="10"/>
  <c r="S57" i="10"/>
  <c r="R57" i="10"/>
  <c r="Q57" i="10"/>
  <c r="S56" i="10"/>
  <c r="R56" i="10"/>
  <c r="Q56" i="10"/>
  <c r="S55" i="10"/>
  <c r="R55" i="10"/>
  <c r="Q55" i="10"/>
  <c r="S54" i="10"/>
  <c r="R54" i="10"/>
  <c r="Q54" i="10"/>
  <c r="S53" i="10"/>
  <c r="R53" i="10"/>
  <c r="Q53" i="10"/>
  <c r="S52" i="10"/>
  <c r="R52" i="10"/>
  <c r="Q52" i="10"/>
  <c r="S51" i="10"/>
  <c r="R51" i="10"/>
  <c r="Q51" i="10"/>
  <c r="S50" i="10"/>
  <c r="R50" i="10"/>
  <c r="Q50" i="10"/>
  <c r="S49" i="10"/>
  <c r="R49" i="10"/>
  <c r="Q49" i="10"/>
  <c r="S48" i="10"/>
  <c r="R48" i="10"/>
  <c r="Q48" i="10"/>
  <c r="S47" i="10"/>
  <c r="R47" i="10"/>
  <c r="Q47" i="10"/>
  <c r="S46" i="10"/>
  <c r="R46" i="10"/>
  <c r="Q46" i="10"/>
  <c r="N45" i="10"/>
  <c r="N7" i="10"/>
  <c r="V7" i="10" s="1"/>
  <c r="W45" i="10"/>
  <c r="X45" i="10" s="1"/>
  <c r="S45" i="10"/>
  <c r="R45" i="10"/>
  <c r="Q45" i="10"/>
  <c r="L45" i="10"/>
  <c r="K45" i="10"/>
  <c r="N1" i="10"/>
  <c r="O33" i="25"/>
  <c r="K37" i="10" s="1"/>
  <c r="N40" i="10"/>
  <c r="K39"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7" i="10"/>
  <c r="O34" i="25"/>
  <c r="K38" i="10" s="1"/>
  <c r="D48" i="27"/>
  <c r="D47" i="27"/>
  <c r="D46" i="27"/>
  <c r="D45" i="27"/>
  <c r="D44" i="27"/>
  <c r="S23" i="10" s="1"/>
  <c r="D39" i="27"/>
  <c r="D43" i="27"/>
  <c r="D42" i="27"/>
  <c r="D41" i="27"/>
  <c r="D40" i="27"/>
  <c r="S21" i="10"/>
  <c r="S36" i="10"/>
  <c r="Q43"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Q9" i="10"/>
  <c r="Q8" i="10"/>
  <c r="Q7" i="10"/>
  <c r="C4" i="28"/>
  <c r="C5" i="28" s="1"/>
  <c r="C6" i="28" s="1"/>
  <c r="C7" i="28" s="1"/>
  <c r="C8" i="28" s="1"/>
  <c r="L40" i="10"/>
  <c r="N39" i="10"/>
  <c r="L39" i="10"/>
  <c r="N36" i="10"/>
  <c r="L36" i="10"/>
  <c r="N35" i="10"/>
  <c r="L35" i="10"/>
  <c r="N34" i="10"/>
  <c r="L34" i="10"/>
  <c r="N33" i="10"/>
  <c r="L33" i="10"/>
  <c r="N32" i="10"/>
  <c r="L32" i="10"/>
  <c r="N31" i="10"/>
  <c r="L31" i="10"/>
  <c r="N30" i="10"/>
  <c r="L30" i="10"/>
  <c r="N29" i="10"/>
  <c r="L29" i="10"/>
  <c r="N28" i="10"/>
  <c r="L28" i="10"/>
  <c r="N27" i="10"/>
  <c r="L27" i="10"/>
  <c r="S43" i="10"/>
  <c r="R43" i="10"/>
  <c r="S40" i="10"/>
  <c r="R40" i="10"/>
  <c r="S39" i="10"/>
  <c r="R39" i="10"/>
  <c r="S38" i="10"/>
  <c r="R38" i="10"/>
  <c r="S37" i="10"/>
  <c r="R37" i="10"/>
  <c r="R36" i="10"/>
  <c r="S35" i="10"/>
  <c r="R35" i="10"/>
  <c r="S34" i="10"/>
  <c r="R34" i="10"/>
  <c r="S33" i="10"/>
  <c r="R33" i="10"/>
  <c r="S32" i="10"/>
  <c r="R32" i="10"/>
  <c r="S31" i="10"/>
  <c r="R31" i="10"/>
  <c r="S30" i="10"/>
  <c r="R30" i="10"/>
  <c r="S29" i="10"/>
  <c r="R29" i="10"/>
  <c r="S28" i="10"/>
  <c r="R28" i="10"/>
  <c r="S27" i="10"/>
  <c r="R27" i="10"/>
  <c r="S26" i="10"/>
  <c r="R26" i="10"/>
  <c r="S25" i="10"/>
  <c r="R25" i="10"/>
  <c r="S24" i="10"/>
  <c r="R24" i="10"/>
  <c r="R23" i="10"/>
  <c r="S22" i="10"/>
  <c r="R22" i="10"/>
  <c r="R21" i="10"/>
  <c r="R20" i="10"/>
  <c r="R19" i="10"/>
  <c r="S18" i="10"/>
  <c r="R18" i="10"/>
  <c r="R17" i="10"/>
  <c r="S16" i="10"/>
  <c r="R16" i="10"/>
  <c r="S15" i="10"/>
  <c r="R15" i="10"/>
  <c r="S14" i="10"/>
  <c r="R14" i="10"/>
  <c r="S13" i="10"/>
  <c r="R13" i="10"/>
  <c r="S12" i="10"/>
  <c r="R12" i="10"/>
  <c r="S11" i="10"/>
  <c r="R11" i="10"/>
  <c r="S10" i="10"/>
  <c r="R10" i="10"/>
  <c r="S9" i="10"/>
  <c r="R9" i="10"/>
  <c r="S8" i="10"/>
  <c r="R8" i="10"/>
  <c r="D26" i="27"/>
  <c r="D25" i="27"/>
  <c r="S19" i="10" s="1"/>
  <c r="D24" i="27"/>
  <c r="D23" i="27"/>
  <c r="D22" i="27"/>
  <c r="S20" i="10" s="1"/>
  <c r="D21" i="27"/>
  <c r="D20" i="27"/>
  <c r="D19" i="27"/>
  <c r="S17" i="10" s="1"/>
  <c r="K2" i="8"/>
  <c r="K2" i="19"/>
  <c r="E2" i="7"/>
  <c r="K2" i="11"/>
  <c r="S2" i="14"/>
  <c r="V1" i="13"/>
  <c r="J1" i="8"/>
  <c r="E1" i="7"/>
  <c r="K1" i="19"/>
  <c r="K1" i="11"/>
  <c r="S1" i="14"/>
  <c r="N8" i="10"/>
  <c r="L9" i="10"/>
  <c r="N9" i="10"/>
  <c r="L10" i="10"/>
  <c r="N10" i="10"/>
  <c r="L11" i="10"/>
  <c r="N11" i="10"/>
  <c r="L12" i="10"/>
  <c r="N12" i="10"/>
  <c r="L13" i="10"/>
  <c r="N13" i="10"/>
  <c r="L14" i="10"/>
  <c r="N14" i="10"/>
  <c r="L15" i="10"/>
  <c r="N15" i="10"/>
  <c r="L16" i="10"/>
  <c r="N16" i="10"/>
  <c r="L17" i="10"/>
  <c r="N17" i="10"/>
  <c r="L18" i="10"/>
  <c r="N18" i="10"/>
  <c r="L19" i="10"/>
  <c r="N19" i="10"/>
  <c r="L20" i="10"/>
  <c r="N20" i="10"/>
  <c r="L21" i="10"/>
  <c r="N21" i="10"/>
  <c r="L22" i="10"/>
  <c r="N22" i="10"/>
  <c r="L23" i="10"/>
  <c r="N23" i="10"/>
  <c r="L24" i="10"/>
  <c r="N24" i="10"/>
  <c r="L25" i="10"/>
  <c r="N25" i="10"/>
  <c r="L26" i="10"/>
  <c r="N26" i="10"/>
  <c r="W53" i="13" l="1"/>
  <c r="W50" i="13"/>
  <c r="I33" i="19"/>
  <c r="I36" i="29"/>
  <c r="I29" i="29"/>
  <c r="K40" i="19"/>
  <c r="K46" i="19" s="1"/>
  <c r="I43" i="29"/>
  <c r="I50" i="29" s="1"/>
  <c r="I33" i="29"/>
  <c r="I60" i="19"/>
  <c r="I61" i="19" s="1"/>
  <c r="J60" i="19"/>
  <c r="J61" i="19" s="1"/>
  <c r="W51" i="13"/>
  <c r="K47" i="19"/>
  <c r="K54" i="19" s="1"/>
  <c r="W7" i="13"/>
  <c r="C9" i="28"/>
  <c r="C10" i="28" s="1"/>
  <c r="C11" i="28" s="1"/>
  <c r="C12" i="28" s="1"/>
  <c r="C13" i="28" s="1"/>
  <c r="W17" i="10" s="1"/>
  <c r="X17" i="10" s="1"/>
  <c r="W7" i="10"/>
  <c r="T29" i="10"/>
  <c r="V29" i="10" s="1"/>
  <c r="I38" i="19"/>
  <c r="J38" i="19"/>
  <c r="I47" i="19"/>
  <c r="I54" i="19" s="1"/>
  <c r="J47" i="19"/>
  <c r="J54" i="19" s="1"/>
  <c r="J37" i="19"/>
  <c r="I37" i="19"/>
  <c r="T19" i="10"/>
  <c r="V19" i="10" s="1"/>
  <c r="T50" i="10"/>
  <c r="U50" i="10" s="1"/>
  <c r="M50" i="10" s="1"/>
  <c r="T33" i="10"/>
  <c r="U33" i="10" s="1"/>
  <c r="T25" i="10"/>
  <c r="V25" i="10" s="1"/>
  <c r="T54" i="10"/>
  <c r="Z54" i="10" s="1"/>
  <c r="AB54" i="10" s="1"/>
  <c r="AD54" i="10" s="1"/>
  <c r="T20" i="10"/>
  <c r="U20" i="10" s="1"/>
  <c r="T17" i="10"/>
  <c r="U17" i="10" s="1"/>
  <c r="T18" i="10"/>
  <c r="U18" i="10" s="1"/>
  <c r="T24" i="10"/>
  <c r="U24" i="10" s="1"/>
  <c r="T38" i="10"/>
  <c r="T11" i="10"/>
  <c r="U11" i="10" s="1"/>
  <c r="T8" i="10"/>
  <c r="U8" i="10" s="1"/>
  <c r="T12" i="10"/>
  <c r="U12" i="10" s="1"/>
  <c r="T16" i="10"/>
  <c r="U16" i="10" s="1"/>
  <c r="T22" i="10"/>
  <c r="U22" i="10" s="1"/>
  <c r="T51" i="10"/>
  <c r="V51" i="10" s="1"/>
  <c r="O51" i="10" s="1"/>
  <c r="T59" i="10"/>
  <c r="J59" i="10" s="1"/>
  <c r="T15" i="10"/>
  <c r="U15" i="10" s="1"/>
  <c r="K61" i="19"/>
  <c r="J40" i="19"/>
  <c r="I40" i="19"/>
  <c r="H46" i="19"/>
  <c r="G3" i="7" s="1"/>
  <c r="T53" i="10"/>
  <c r="V53" i="10" s="1"/>
  <c r="O53" i="10" s="1"/>
  <c r="T48" i="10"/>
  <c r="V48" i="10" s="1"/>
  <c r="T56" i="10"/>
  <c r="U56" i="10" s="1"/>
  <c r="M56" i="10" s="1"/>
  <c r="T57" i="10"/>
  <c r="J57" i="10" s="1"/>
  <c r="T46" i="10"/>
  <c r="U46" i="10" s="1"/>
  <c r="T45" i="10"/>
  <c r="V45" i="10" s="1"/>
  <c r="T52" i="10"/>
  <c r="V52" i="10" s="1"/>
  <c r="O52" i="10" s="1"/>
  <c r="T49" i="10"/>
  <c r="U49" i="10" s="1"/>
  <c r="M49" i="10" s="1"/>
  <c r="T47" i="10"/>
  <c r="V47" i="10" s="1"/>
  <c r="T55" i="10"/>
  <c r="U55" i="10" s="1"/>
  <c r="M55" i="10" s="1"/>
  <c r="T26" i="10"/>
  <c r="U26" i="10" s="1"/>
  <c r="T30" i="10"/>
  <c r="U30" i="10" s="1"/>
  <c r="T34" i="10"/>
  <c r="U34" i="10" s="1"/>
  <c r="T39" i="10"/>
  <c r="U39" i="10" s="1"/>
  <c r="T27" i="10"/>
  <c r="U27" i="10" s="1"/>
  <c r="T31" i="10"/>
  <c r="U31" i="10" s="1"/>
  <c r="T35" i="10"/>
  <c r="U35" i="10" s="1"/>
  <c r="T9" i="10"/>
  <c r="U9" i="10" s="1"/>
  <c r="T13" i="10"/>
  <c r="V13" i="10" s="1"/>
  <c r="T40" i="10"/>
  <c r="U40" i="10" s="1"/>
  <c r="T23" i="10"/>
  <c r="V23" i="10" s="1"/>
  <c r="T28" i="10"/>
  <c r="U28" i="10" s="1"/>
  <c r="T32" i="10"/>
  <c r="U32" i="10" s="1"/>
  <c r="T36" i="10"/>
  <c r="U36" i="10" s="1"/>
  <c r="T10" i="10"/>
  <c r="U10" i="10" s="1"/>
  <c r="T14" i="10"/>
  <c r="U14" i="10" s="1"/>
  <c r="T37" i="10"/>
  <c r="T43" i="10"/>
  <c r="T21" i="10"/>
  <c r="V21" i="10" s="1"/>
  <c r="W14" i="10"/>
  <c r="X14" i="10" s="1"/>
  <c r="W15" i="10"/>
  <c r="X15" i="10" s="1"/>
  <c r="W13" i="10"/>
  <c r="X13" i="10" s="1"/>
  <c r="W47" i="10"/>
  <c r="X47" i="10" s="1"/>
  <c r="W48" i="10"/>
  <c r="X48" i="10" s="1"/>
  <c r="W16" i="10"/>
  <c r="X16" i="10" s="1"/>
  <c r="W9" i="10"/>
  <c r="X9" i="10" s="1"/>
  <c r="W10" i="10"/>
  <c r="X10" i="10" s="1"/>
  <c r="W11" i="10"/>
  <c r="X11" i="10" s="1"/>
  <c r="W12" i="10"/>
  <c r="X12" i="10" s="1"/>
  <c r="W46" i="10"/>
  <c r="X46" i="10" s="1"/>
  <c r="W40" i="10"/>
  <c r="X40" i="10" s="1"/>
  <c r="K43" i="10"/>
  <c r="K40" i="10"/>
  <c r="N43" i="10"/>
  <c r="W8" i="10"/>
  <c r="X8" i="10" s="1"/>
  <c r="I42" i="29" l="1"/>
  <c r="X7" i="10"/>
  <c r="J46" i="19"/>
  <c r="C14" i="28"/>
  <c r="C15" i="28" s="1"/>
  <c r="U29" i="10"/>
  <c r="U57" i="10"/>
  <c r="M57" i="10" s="1"/>
  <c r="V57" i="10"/>
  <c r="O57" i="10" s="1"/>
  <c r="V54" i="10"/>
  <c r="O54" i="10" s="1"/>
  <c r="V50" i="10"/>
  <c r="O50" i="10" s="1"/>
  <c r="U19" i="10"/>
  <c r="M19" i="10" s="1"/>
  <c r="V40" i="10"/>
  <c r="O40" i="10" s="1"/>
  <c r="Z45" i="10"/>
  <c r="AB45" i="10" s="1"/>
  <c r="AD45" i="10" s="1"/>
  <c r="I46" i="19"/>
  <c r="U25" i="10"/>
  <c r="M25" i="10" s="1"/>
  <c r="V33" i="10"/>
  <c r="O33" i="10" s="1"/>
  <c r="V30" i="10"/>
  <c r="O30" i="10" s="1"/>
  <c r="V17" i="10"/>
  <c r="O17" i="10" s="1"/>
  <c r="U13" i="10"/>
  <c r="M13" i="10" s="1"/>
  <c r="V11" i="10"/>
  <c r="O11" i="10" s="1"/>
  <c r="Z57" i="10"/>
  <c r="AB57" i="10" s="1"/>
  <c r="AD57" i="10" s="1"/>
  <c r="Z52" i="10"/>
  <c r="AB52" i="10" s="1"/>
  <c r="AD52" i="10" s="1"/>
  <c r="Z50" i="10"/>
  <c r="AB50" i="10" s="1"/>
  <c r="AD50" i="10" s="1"/>
  <c r="J50" i="10"/>
  <c r="J54" i="10"/>
  <c r="Z51" i="10"/>
  <c r="AB51" i="10" s="1"/>
  <c r="AD51" i="10" s="1"/>
  <c r="U54" i="10"/>
  <c r="M54" i="10" s="1"/>
  <c r="J51" i="10"/>
  <c r="V18" i="10"/>
  <c r="O18" i="10" s="1"/>
  <c r="V26" i="10"/>
  <c r="O26" i="10" s="1"/>
  <c r="U51" i="10"/>
  <c r="M51" i="10" s="1"/>
  <c r="V10" i="10"/>
  <c r="O10" i="10" s="1"/>
  <c r="J56" i="10"/>
  <c r="Z56" i="10"/>
  <c r="AB56" i="10" s="1"/>
  <c r="AD56" i="10" s="1"/>
  <c r="U53" i="10"/>
  <c r="M53" i="10" s="1"/>
  <c r="V16" i="10"/>
  <c r="O16" i="10" s="1"/>
  <c r="V24" i="10"/>
  <c r="O24" i="10" s="1"/>
  <c r="V8" i="10"/>
  <c r="V20" i="10"/>
  <c r="O20" i="10" s="1"/>
  <c r="V46" i="10"/>
  <c r="O46" i="10" s="1"/>
  <c r="U59" i="10"/>
  <c r="M59" i="10" s="1"/>
  <c r="V56" i="10"/>
  <c r="O56" i="10" s="1"/>
  <c r="V22" i="10"/>
  <c r="O22" i="10" s="1"/>
  <c r="J49" i="10"/>
  <c r="V39" i="10"/>
  <c r="O39" i="10" s="1"/>
  <c r="V9" i="10"/>
  <c r="O9" i="10" s="1"/>
  <c r="V31" i="10"/>
  <c r="O31" i="10" s="1"/>
  <c r="Z53" i="10"/>
  <c r="AB53" i="10" s="1"/>
  <c r="AD53" i="10" s="1"/>
  <c r="V27" i="10"/>
  <c r="O27" i="10" s="1"/>
  <c r="Z55" i="10"/>
  <c r="AB55" i="10" s="1"/>
  <c r="AD55" i="10" s="1"/>
  <c r="J53" i="10"/>
  <c r="V14" i="10"/>
  <c r="O14" i="10" s="1"/>
  <c r="U45" i="10"/>
  <c r="M45" i="10" s="1"/>
  <c r="V36" i="10"/>
  <c r="O36" i="10" s="1"/>
  <c r="V59" i="10"/>
  <c r="O59" i="10" s="1"/>
  <c r="U47" i="10"/>
  <c r="M47" i="10" s="1"/>
  <c r="J47" i="10"/>
  <c r="Z59" i="10"/>
  <c r="AB59" i="10" s="1"/>
  <c r="AD59" i="10" s="1"/>
  <c r="V34" i="10"/>
  <c r="O34" i="10" s="1"/>
  <c r="Z48" i="10"/>
  <c r="AB48" i="10" s="1"/>
  <c r="V12" i="10"/>
  <c r="O12" i="10" s="1"/>
  <c r="V55" i="10"/>
  <c r="O55" i="10" s="1"/>
  <c r="V35" i="10"/>
  <c r="O35" i="10" s="1"/>
  <c r="U21" i="10"/>
  <c r="M21" i="10" s="1"/>
  <c r="J55" i="10"/>
  <c r="U48" i="10"/>
  <c r="M48" i="10" s="1"/>
  <c r="V49" i="10"/>
  <c r="O49" i="10" s="1"/>
  <c r="U23" i="10"/>
  <c r="M23" i="10" s="1"/>
  <c r="Z49" i="10"/>
  <c r="AB49" i="10" s="1"/>
  <c r="AD49" i="10" s="1"/>
  <c r="V15" i="10"/>
  <c r="O15" i="10" s="1"/>
  <c r="I57" i="29"/>
  <c r="J52" i="10"/>
  <c r="U52" i="10"/>
  <c r="M52" i="10" s="1"/>
  <c r="V32" i="10"/>
  <c r="O32" i="10" s="1"/>
  <c r="V28" i="10"/>
  <c r="O28" i="10" s="1"/>
  <c r="W18" i="10"/>
  <c r="X18" i="10" s="1"/>
  <c r="J48" i="10"/>
  <c r="Z47" i="10"/>
  <c r="AB47" i="10" s="1"/>
  <c r="O48" i="10"/>
  <c r="Z46" i="10"/>
  <c r="AB46" i="10" s="1"/>
  <c r="M46" i="10"/>
  <c r="J46" i="10"/>
  <c r="O47" i="10"/>
  <c r="J10" i="10"/>
  <c r="Z10" i="10"/>
  <c r="J43" i="10"/>
  <c r="Z43" i="10"/>
  <c r="J33" i="10"/>
  <c r="Z33" i="10"/>
  <c r="J27" i="10"/>
  <c r="Z27" i="10"/>
  <c r="J37" i="10"/>
  <c r="Z37" i="10"/>
  <c r="J25" i="10"/>
  <c r="Z25" i="10"/>
  <c r="AB25" i="10" s="1"/>
  <c r="AD25" i="10" s="1"/>
  <c r="J16" i="10"/>
  <c r="Z16" i="10"/>
  <c r="J39" i="10"/>
  <c r="Z39" i="10"/>
  <c r="J18" i="10"/>
  <c r="Z18" i="10"/>
  <c r="AB18" i="10" s="1"/>
  <c r="AD18" i="10" s="1"/>
  <c r="J8" i="10"/>
  <c r="Z8" i="10"/>
  <c r="J34" i="10"/>
  <c r="Z34" i="10"/>
  <c r="J22" i="10"/>
  <c r="Z22" i="10"/>
  <c r="J28" i="10"/>
  <c r="Z28" i="10"/>
  <c r="AB28" i="10" s="1"/>
  <c r="AD28" i="10" s="1"/>
  <c r="J31" i="10"/>
  <c r="Z31" i="10"/>
  <c r="AB31" i="10" s="1"/>
  <c r="AD31" i="10" s="1"/>
  <c r="J17" i="10"/>
  <c r="Z17" i="10"/>
  <c r="J20" i="10"/>
  <c r="Z20" i="10"/>
  <c r="AB20" i="10" s="1"/>
  <c r="AD20" i="10" s="1"/>
  <c r="J23" i="10"/>
  <c r="Z23" i="10"/>
  <c r="J14" i="10"/>
  <c r="Z14" i="10"/>
  <c r="J19" i="10"/>
  <c r="Z19" i="10"/>
  <c r="AB19" i="10" s="1"/>
  <c r="AD19" i="10" s="1"/>
  <c r="J40" i="10"/>
  <c r="Z40" i="10"/>
  <c r="J38" i="10"/>
  <c r="Z38" i="10"/>
  <c r="J24" i="10"/>
  <c r="Z24" i="10"/>
  <c r="J26" i="10"/>
  <c r="Z26" i="10"/>
  <c r="AB26" i="10" s="1"/>
  <c r="AD26" i="10" s="1"/>
  <c r="J29" i="10"/>
  <c r="Z29" i="10"/>
  <c r="AB29" i="10" s="1"/>
  <c r="AD29" i="10" s="1"/>
  <c r="J21" i="10"/>
  <c r="Z21" i="10"/>
  <c r="J12" i="10"/>
  <c r="Z12" i="10"/>
  <c r="J36" i="10"/>
  <c r="Z36" i="10"/>
  <c r="J35" i="10"/>
  <c r="Z35" i="10"/>
  <c r="J13" i="10"/>
  <c r="Z13" i="10"/>
  <c r="J15" i="10"/>
  <c r="Z15" i="10"/>
  <c r="J11" i="10"/>
  <c r="Z11" i="10"/>
  <c r="J32" i="10"/>
  <c r="Z32" i="10"/>
  <c r="J30" i="10"/>
  <c r="Z30" i="10"/>
  <c r="AB30" i="10" s="1"/>
  <c r="AD30" i="10" s="1"/>
  <c r="Z7" i="10"/>
  <c r="J9" i="10"/>
  <c r="Z9" i="10"/>
  <c r="O7" i="10"/>
  <c r="M11" i="10"/>
  <c r="M34" i="10"/>
  <c r="M15" i="10"/>
  <c r="M8" i="10"/>
  <c r="M32" i="10"/>
  <c r="M17" i="10"/>
  <c r="M30" i="10"/>
  <c r="M36" i="10"/>
  <c r="M12" i="10"/>
  <c r="M28" i="10"/>
  <c r="M10" i="10"/>
  <c r="O13" i="10"/>
  <c r="M16" i="10"/>
  <c r="M39" i="10"/>
  <c r="M14" i="10"/>
  <c r="O21" i="10"/>
  <c r="O29" i="10"/>
  <c r="M20" i="10"/>
  <c r="M35" i="10"/>
  <c r="M18" i="10"/>
  <c r="O25" i="10"/>
  <c r="M24" i="10"/>
  <c r="M31" i="10"/>
  <c r="M22" i="10"/>
  <c r="O19" i="10"/>
  <c r="M33" i="10"/>
  <c r="M27" i="10"/>
  <c r="M26" i="10"/>
  <c r="M29" i="10"/>
  <c r="M9" i="10"/>
  <c r="O23" i="10"/>
  <c r="J45" i="10"/>
  <c r="O45" i="10"/>
  <c r="M40" i="10"/>
  <c r="M7" i="10"/>
  <c r="O8" i="10" l="1"/>
  <c r="AB12" i="10"/>
  <c r="F11" i="29"/>
  <c r="AB14" i="10"/>
  <c r="F13" i="29"/>
  <c r="AB8" i="10"/>
  <c r="F7" i="29"/>
  <c r="AB15" i="10"/>
  <c r="F14" i="29"/>
  <c r="AB21" i="10"/>
  <c r="F17" i="29"/>
  <c r="F27" i="29"/>
  <c r="AB23" i="10"/>
  <c r="F19" i="29"/>
  <c r="AB10" i="10"/>
  <c r="F9" i="29"/>
  <c r="AB7" i="10"/>
  <c r="F6" i="29"/>
  <c r="AB32" i="10"/>
  <c r="F22" i="29"/>
  <c r="AB35" i="10"/>
  <c r="F25" i="29"/>
  <c r="AB40" i="10"/>
  <c r="F30" i="29"/>
  <c r="AB22" i="10"/>
  <c r="F18" i="29"/>
  <c r="AB39" i="10"/>
  <c r="F28" i="29"/>
  <c r="AB27" i="10"/>
  <c r="F21" i="29"/>
  <c r="AB24" i="10"/>
  <c r="F20" i="29"/>
  <c r="AB43" i="10"/>
  <c r="F31" i="29"/>
  <c r="AB13" i="10"/>
  <c r="F12" i="29"/>
  <c r="AB9" i="10"/>
  <c r="F8" i="29"/>
  <c r="AB11" i="10"/>
  <c r="F10" i="29"/>
  <c r="AB36" i="10"/>
  <c r="F26" i="29"/>
  <c r="AB17" i="10"/>
  <c r="F16" i="29"/>
  <c r="AB34" i="10"/>
  <c r="F24" i="29"/>
  <c r="AB16" i="10"/>
  <c r="F15" i="29"/>
  <c r="AB33" i="10"/>
  <c r="F23" i="29"/>
  <c r="C16" i="28"/>
  <c r="W19" i="10"/>
  <c r="AD48" i="10"/>
  <c r="AD47" i="10"/>
  <c r="AD46" i="10"/>
  <c r="X19" i="10" l="1"/>
  <c r="H6" i="29"/>
  <c r="H11" i="29"/>
  <c r="AD16" i="10"/>
  <c r="AD11" i="10"/>
  <c r="AD24" i="10"/>
  <c r="AD40" i="10"/>
  <c r="AD10" i="10"/>
  <c r="AD15" i="10"/>
  <c r="AD34" i="10"/>
  <c r="AD9" i="10"/>
  <c r="AD27" i="10"/>
  <c r="AD35" i="10"/>
  <c r="AD23" i="10"/>
  <c r="AD8" i="10"/>
  <c r="AD17" i="10"/>
  <c r="AD13" i="10"/>
  <c r="AD39" i="10"/>
  <c r="AD32" i="10"/>
  <c r="AD14" i="10"/>
  <c r="AD33" i="10"/>
  <c r="AD36" i="10"/>
  <c r="AD43" i="10"/>
  <c r="AD22" i="10"/>
  <c r="AD7" i="10"/>
  <c r="AD21" i="10"/>
  <c r="AD12" i="10"/>
  <c r="C17" i="28"/>
  <c r="W20" i="10"/>
  <c r="X20" i="10" s="1"/>
  <c r="I6" i="29" l="1"/>
  <c r="I11" i="29"/>
  <c r="C18" i="28"/>
  <c r="W21" i="10"/>
  <c r="K36" i="24"/>
  <c r="K35" i="24"/>
  <c r="E36" i="24"/>
  <c r="E35" i="24"/>
  <c r="N37" i="10" s="1"/>
  <c r="X21" i="10" l="1"/>
  <c r="J36" i="24"/>
  <c r="AC38" i="10" s="1"/>
  <c r="N38" i="10"/>
  <c r="C19" i="28"/>
  <c r="W22" i="10"/>
  <c r="J35" i="24"/>
  <c r="AC37" i="10" s="1"/>
  <c r="C36" i="24"/>
  <c r="L38" i="10" s="1"/>
  <c r="C35" i="24"/>
  <c r="L37" i="10" s="1"/>
  <c r="X22" i="10" l="1"/>
  <c r="U38" i="10"/>
  <c r="M38" i="10" s="1"/>
  <c r="V38" i="10"/>
  <c r="O38" i="10" s="1"/>
  <c r="U37" i="10"/>
  <c r="M37" i="10" s="1"/>
  <c r="V37" i="10"/>
  <c r="O37" i="10" s="1"/>
  <c r="C20" i="28"/>
  <c r="W23" i="10"/>
  <c r="H36" i="24"/>
  <c r="AA38" i="10" s="1"/>
  <c r="AB38" i="10" s="1"/>
  <c r="L43" i="10"/>
  <c r="H35" i="24"/>
  <c r="AA37" i="10" s="1"/>
  <c r="AB37" i="10" s="1"/>
  <c r="X23" i="10" l="1"/>
  <c r="AD37" i="10"/>
  <c r="AD38" i="10"/>
  <c r="U43" i="10"/>
  <c r="M43" i="10" s="1"/>
  <c r="V43" i="10"/>
  <c r="C21" i="28"/>
  <c r="W24" i="10"/>
  <c r="X24" i="10" s="1"/>
  <c r="H32" i="29" l="1"/>
  <c r="I32" i="29"/>
  <c r="I58" i="29" s="1"/>
  <c r="C22" i="28"/>
  <c r="W28" i="10"/>
  <c r="X28" i="10" s="1"/>
  <c r="W25" i="10"/>
  <c r="X25" i="10" s="1"/>
  <c r="O43" i="10"/>
  <c r="C23" i="28" l="1"/>
  <c r="W26" i="10"/>
  <c r="X26" i="10" s="1"/>
  <c r="W29" i="10"/>
  <c r="X29" i="10" s="1"/>
  <c r="J23" i="8"/>
  <c r="C24" i="28" l="1"/>
  <c r="W27" i="10"/>
  <c r="X27" i="10" s="1"/>
  <c r="W30" i="10"/>
  <c r="X30" i="10" s="1"/>
  <c r="C25" i="28" l="1"/>
  <c r="W31" i="10"/>
  <c r="X31" i="10" s="1"/>
  <c r="N26" i="15"/>
  <c r="D36" i="24" s="1"/>
  <c r="I36" i="24" s="1"/>
  <c r="N25" i="15"/>
  <c r="D35" i="24" s="1"/>
  <c r="I35" i="24" s="1"/>
  <c r="Q8" i="15"/>
  <c r="C26" i="28" l="1"/>
  <c r="W32" i="10"/>
  <c r="X32" i="10" s="1"/>
  <c r="C27" i="28" l="1"/>
  <c r="W33" i="10"/>
  <c r="X33" i="10" s="1"/>
  <c r="C28" i="28" l="1"/>
  <c r="W34" i="10"/>
  <c r="X34" i="10" s="1"/>
  <c r="C29" i="28" l="1"/>
  <c r="W35" i="10"/>
  <c r="X35" i="10" s="1"/>
  <c r="C30" i="28" l="1"/>
  <c r="W36" i="10"/>
  <c r="X36" i="10" s="1"/>
  <c r="C31" i="28" l="1"/>
  <c r="W37" i="10"/>
  <c r="X37" i="10" s="1"/>
  <c r="C32" i="28" l="1"/>
  <c r="W38" i="10"/>
  <c r="X38" i="10" s="1"/>
  <c r="K28" i="19" l="1"/>
  <c r="C34" i="28"/>
  <c r="W43" i="10" s="1"/>
  <c r="W39" i="10"/>
  <c r="X43" i="10" l="1"/>
  <c r="M28" i="19"/>
  <c r="M9" i="19"/>
  <c r="M17" i="19"/>
  <c r="M12" i="19"/>
  <c r="M25" i="19"/>
  <c r="M34" i="19"/>
  <c r="M16" i="19"/>
  <c r="M20" i="19"/>
  <c r="M35" i="19"/>
  <c r="M22" i="19"/>
  <c r="M29" i="19"/>
  <c r="M32" i="19"/>
  <c r="M7" i="19"/>
  <c r="M26" i="19"/>
  <c r="M6" i="19"/>
  <c r="M14" i="19"/>
  <c r="M24" i="19"/>
  <c r="M27" i="19"/>
  <c r="M8" i="19"/>
  <c r="M19" i="19"/>
  <c r="M18" i="19"/>
  <c r="M30" i="19"/>
  <c r="M13" i="19"/>
  <c r="M11" i="19"/>
  <c r="M10" i="19"/>
  <c r="M23" i="19"/>
  <c r="M15" i="19"/>
  <c r="M21" i="19"/>
  <c r="F6" i="19"/>
  <c r="M31" i="19"/>
  <c r="H34" i="19"/>
  <c r="X39" i="10"/>
  <c r="H10" i="19"/>
  <c r="K30" i="19"/>
  <c r="K6" i="19"/>
  <c r="H35" i="19"/>
  <c r="H32" i="19"/>
  <c r="H14" i="19"/>
  <c r="K8" i="19"/>
  <c r="K19" i="19"/>
  <c r="H22" i="19"/>
  <c r="K23" i="19"/>
  <c r="K15" i="19"/>
  <c r="K27" i="19"/>
  <c r="H6" i="19"/>
  <c r="K16" i="19"/>
  <c r="K34" i="19"/>
  <c r="H24" i="19"/>
  <c r="H16" i="19"/>
  <c r="H31" i="19"/>
  <c r="H18" i="19"/>
  <c r="K18" i="19"/>
  <c r="H13" i="19"/>
  <c r="H17" i="19"/>
  <c r="H25" i="19"/>
  <c r="K22" i="19"/>
  <c r="H11" i="19"/>
  <c r="H27" i="19"/>
  <c r="H19" i="19"/>
  <c r="H20" i="19"/>
  <c r="H9" i="19"/>
  <c r="H21" i="19"/>
  <c r="H29" i="19"/>
  <c r="K35" i="19"/>
  <c r="H7" i="19"/>
  <c r="K24" i="19"/>
  <c r="H28" i="19"/>
  <c r="K31" i="19"/>
  <c r="H30" i="19"/>
  <c r="K17" i="19"/>
  <c r="K11" i="19"/>
  <c r="K29" i="19"/>
  <c r="H12" i="19"/>
  <c r="K25" i="19"/>
  <c r="H23" i="19"/>
  <c r="K20" i="19"/>
  <c r="K32" i="19"/>
  <c r="K26" i="19"/>
  <c r="K7" i="19"/>
  <c r="K12" i="19"/>
  <c r="K21" i="19"/>
  <c r="K10" i="19"/>
  <c r="K9" i="19"/>
  <c r="K13" i="19"/>
  <c r="H26" i="19"/>
  <c r="H15" i="19"/>
  <c r="H8" i="19"/>
  <c r="K14" i="19"/>
  <c r="F17" i="19"/>
  <c r="F11" i="19"/>
  <c r="F12" i="19"/>
  <c r="F20" i="19"/>
  <c r="F19" i="19"/>
  <c r="F18" i="19"/>
  <c r="F21" i="19"/>
  <c r="F26" i="19"/>
  <c r="F13" i="19"/>
  <c r="F9" i="19"/>
  <c r="F29" i="19"/>
  <c r="F8" i="19"/>
  <c r="F31" i="19"/>
  <c r="F14" i="19"/>
  <c r="F10" i="19"/>
  <c r="F25" i="19"/>
  <c r="F35" i="19"/>
  <c r="F24" i="19"/>
  <c r="F32" i="19"/>
  <c r="F7" i="19"/>
  <c r="F15" i="19"/>
  <c r="F28" i="19"/>
  <c r="F34" i="19"/>
  <c r="F22" i="19"/>
  <c r="F30" i="19"/>
  <c r="F16" i="19"/>
  <c r="F23" i="19"/>
  <c r="F27" i="19"/>
  <c r="K36" i="19" l="1"/>
  <c r="J6" i="19"/>
  <c r="H36" i="19"/>
  <c r="H69" i="19" s="1"/>
  <c r="I6" i="19"/>
  <c r="J7" i="19"/>
  <c r="I7" i="19"/>
  <c r="J34" i="19"/>
  <c r="I34" i="19"/>
  <c r="J30" i="19"/>
  <c r="I30" i="19"/>
  <c r="J15" i="19"/>
  <c r="I15" i="19"/>
  <c r="J18" i="19"/>
  <c r="I18" i="19"/>
  <c r="J12" i="19"/>
  <c r="I12" i="19"/>
  <c r="J35" i="19"/>
  <c r="I35" i="19"/>
  <c r="J31" i="19"/>
  <c r="I31" i="19"/>
  <c r="J10" i="19"/>
  <c r="I10" i="19"/>
  <c r="J25" i="19"/>
  <c r="I25" i="19"/>
  <c r="J11" i="19"/>
  <c r="I11" i="19"/>
  <c r="J16" i="19"/>
  <c r="I16" i="19"/>
  <c r="J23" i="19"/>
  <c r="I23" i="19"/>
  <c r="J32" i="19"/>
  <c r="I32" i="19"/>
  <c r="J9" i="19"/>
  <c r="I9" i="19"/>
  <c r="J20" i="19"/>
  <c r="I20" i="19"/>
  <c r="J28" i="19"/>
  <c r="I28" i="19"/>
  <c r="J27" i="19"/>
  <c r="I27" i="19"/>
  <c r="J21" i="19"/>
  <c r="I21" i="19"/>
  <c r="J19" i="19"/>
  <c r="I19" i="19"/>
  <c r="J8" i="19"/>
  <c r="I8" i="19"/>
  <c r="J14" i="19"/>
  <c r="I14" i="19"/>
  <c r="J22" i="19"/>
  <c r="I22" i="19"/>
  <c r="J24" i="19"/>
  <c r="I24" i="19"/>
  <c r="J17" i="19"/>
  <c r="I17" i="19"/>
  <c r="J26" i="19"/>
  <c r="I26" i="19"/>
  <c r="J13" i="19"/>
  <c r="I13" i="19"/>
  <c r="J29" i="19"/>
  <c r="I29" i="19"/>
  <c r="K69" i="19" l="1"/>
  <c r="H104" i="19" s="1"/>
  <c r="H105" i="19" s="1"/>
  <c r="I36" i="19"/>
  <c r="J36" i="19"/>
  <c r="J69" i="19" l="1"/>
  <c r="I69" i="19"/>
  <c r="G16" i="15"/>
  <c r="H102" i="19" l="1"/>
  <c r="G14" i="15" s="1"/>
  <c r="H103" i="19"/>
  <c r="G1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000-000001000000}">
      <text>
        <r>
          <rPr>
            <b/>
            <sz val="9"/>
            <color indexed="81"/>
            <rFont val="ＭＳ Ｐ明朝"/>
            <family val="1"/>
            <charset val="128"/>
          </rPr>
          <t>実績年度を選択してください。</t>
        </r>
      </text>
    </comment>
    <comment ref="L8" authorId="0" shapeId="0" xr:uid="{00000000-0006-0000-0000-000002000000}">
      <text>
        <r>
          <rPr>
            <b/>
            <sz val="9"/>
            <color indexed="81"/>
            <rFont val="MS P ゴシック"/>
            <family val="3"/>
            <charset val="128"/>
          </rPr>
          <t>R7.4.1 や 2025/4/1 のように半角で入力してください。元号で表示されます。</t>
        </r>
      </text>
    </comment>
    <comment ref="D13" authorId="0" shapeId="0" xr:uid="{00000000-0006-0000-0000-000003000000}">
      <text>
        <r>
          <rPr>
            <b/>
            <sz val="9"/>
            <color indexed="81"/>
            <rFont val="ＭＳ Ｐ明朝"/>
            <family val="1"/>
            <charset val="128"/>
          </rPr>
          <t>事業所番号は半角数字６桁で入力してください。</t>
        </r>
      </text>
    </comment>
  </commentList>
</comments>
</file>

<file path=xl/sharedStrings.xml><?xml version="1.0" encoding="utf-8"?>
<sst xmlns="http://schemas.openxmlformats.org/spreadsheetml/2006/main" count="7611" uniqueCount="2024">
  <si>
    <t>事業所番号</t>
    <rPh sb="0" eb="3">
      <t>ジギョウショ</t>
    </rPh>
    <rPh sb="3" eb="5">
      <t>バンゴウ</t>
    </rPh>
    <phoneticPr fontId="6"/>
  </si>
  <si>
    <t>種類</t>
    <rPh sb="0" eb="2">
      <t>シュルイ</t>
    </rPh>
    <phoneticPr fontId="6"/>
  </si>
  <si>
    <t>熱　量</t>
    <phoneticPr fontId="6"/>
  </si>
  <si>
    <t>二酸化炭素
排　出　量</t>
    <phoneticPr fontId="6"/>
  </si>
  <si>
    <t>①</t>
    <phoneticPr fontId="6"/>
  </si>
  <si>
    <t>②</t>
    <phoneticPr fontId="6"/>
  </si>
  <si>
    <t>③=①×②</t>
    <phoneticPr fontId="6"/>
  </si>
  <si>
    <t>GJ</t>
    <phoneticPr fontId="6"/>
  </si>
  <si>
    <t>kL</t>
    <phoneticPr fontId="6"/>
  </si>
  <si>
    <t>原油（コンデンセートを除く）</t>
    <rPh sb="0" eb="2">
      <t>ゲンユ</t>
    </rPh>
    <rPh sb="11" eb="12">
      <t>ノゾ</t>
    </rPh>
    <phoneticPr fontId="6"/>
  </si>
  <si>
    <t>原油のうちコンデンセート（ＮＧＬ）</t>
    <rPh sb="0" eb="2">
      <t>ゲンユ</t>
    </rPh>
    <phoneticPr fontId="6"/>
  </si>
  <si>
    <t>揮発油（ガソリン）</t>
    <rPh sb="0" eb="3">
      <t>キハツユ</t>
    </rPh>
    <phoneticPr fontId="6"/>
  </si>
  <si>
    <t>t-C/GJ</t>
    <phoneticPr fontId="6"/>
  </si>
  <si>
    <t>ナフサ</t>
    <phoneticPr fontId="6"/>
  </si>
  <si>
    <t>灯油</t>
    <rPh sb="0" eb="2">
      <t>トウユ</t>
    </rPh>
    <phoneticPr fontId="6"/>
  </si>
  <si>
    <t>軽油</t>
    <rPh sb="0" eb="2">
      <t>ケイユ</t>
    </rPh>
    <phoneticPr fontId="6"/>
  </si>
  <si>
    <t>Ａ重油</t>
    <rPh sb="1" eb="3">
      <t>ジュウユ</t>
    </rPh>
    <phoneticPr fontId="6"/>
  </si>
  <si>
    <t>Ｂ・Ｃ重油</t>
    <rPh sb="3" eb="5">
      <t>ジュウユ</t>
    </rPh>
    <phoneticPr fontId="6"/>
  </si>
  <si>
    <t>石油アスファルト</t>
    <rPh sb="0" eb="2">
      <t>セキユ</t>
    </rPh>
    <phoneticPr fontId="6"/>
  </si>
  <si>
    <t>t</t>
    <phoneticPr fontId="6"/>
  </si>
  <si>
    <t>石油コークス</t>
    <rPh sb="0" eb="2">
      <t>セキユ</t>
    </rPh>
    <phoneticPr fontId="6"/>
  </si>
  <si>
    <t>石油ガス</t>
    <rPh sb="0" eb="2">
      <t>セキユ</t>
    </rPh>
    <phoneticPr fontId="6"/>
  </si>
  <si>
    <t>液化石油ガス（ＬＰＧ）</t>
    <phoneticPr fontId="6"/>
  </si>
  <si>
    <t>石油系炭化水素ガス</t>
    <rPh sb="0" eb="3">
      <t>セキユケイ</t>
    </rPh>
    <rPh sb="3" eb="5">
      <t>タンカ</t>
    </rPh>
    <rPh sb="5" eb="7">
      <t>スイソ</t>
    </rPh>
    <phoneticPr fontId="6"/>
  </si>
  <si>
    <t>可燃性天然ガス</t>
    <rPh sb="0" eb="3">
      <t>カネンセイ</t>
    </rPh>
    <rPh sb="3" eb="5">
      <t>テンネン</t>
    </rPh>
    <phoneticPr fontId="6"/>
  </si>
  <si>
    <t>液化天然ガス（ＬＮＧ）</t>
    <rPh sb="0" eb="2">
      <t>エキカ</t>
    </rPh>
    <rPh sb="2" eb="4">
      <t>テンネン</t>
    </rPh>
    <phoneticPr fontId="6"/>
  </si>
  <si>
    <t>その他可燃性天然ガス</t>
    <rPh sb="2" eb="3">
      <t>タ</t>
    </rPh>
    <rPh sb="3" eb="6">
      <t>カネンセイ</t>
    </rPh>
    <rPh sb="6" eb="8">
      <t>テンネン</t>
    </rPh>
    <phoneticPr fontId="6"/>
  </si>
  <si>
    <t>石炭コークス</t>
    <rPh sb="0" eb="2">
      <t>セキタン</t>
    </rPh>
    <phoneticPr fontId="6"/>
  </si>
  <si>
    <t>コールタール</t>
    <phoneticPr fontId="6"/>
  </si>
  <si>
    <t>コークス炉ガス</t>
    <rPh sb="4" eb="5">
      <t>ロ</t>
    </rPh>
    <phoneticPr fontId="6"/>
  </si>
  <si>
    <t>転炉ガス</t>
    <rPh sb="0" eb="2">
      <t>テンロ</t>
    </rPh>
    <phoneticPr fontId="6"/>
  </si>
  <si>
    <t>その他燃料</t>
    <rPh sb="2" eb="3">
      <t>タ</t>
    </rPh>
    <rPh sb="3" eb="5">
      <t>ネンリョウ</t>
    </rPh>
    <phoneticPr fontId="6"/>
  </si>
  <si>
    <t>都市ガス</t>
    <rPh sb="0" eb="2">
      <t>トシ</t>
    </rPh>
    <phoneticPr fontId="6"/>
  </si>
  <si>
    <t>産業用蒸気</t>
    <rPh sb="0" eb="3">
      <t>サンギョウヨウ</t>
    </rPh>
    <rPh sb="3" eb="5">
      <t>ジョウキ</t>
    </rPh>
    <phoneticPr fontId="6"/>
  </si>
  <si>
    <t>産業用以外の蒸気</t>
    <rPh sb="0" eb="3">
      <t>サンギョウヨウ</t>
    </rPh>
    <rPh sb="3" eb="5">
      <t>イガイ</t>
    </rPh>
    <rPh sb="6" eb="8">
      <t>ジョウキ</t>
    </rPh>
    <phoneticPr fontId="6"/>
  </si>
  <si>
    <t>温水</t>
    <rPh sb="0" eb="2">
      <t>オンスイ</t>
    </rPh>
    <phoneticPr fontId="6"/>
  </si>
  <si>
    <t>冷水</t>
    <rPh sb="0" eb="2">
      <t>レイスイ</t>
    </rPh>
    <phoneticPr fontId="6"/>
  </si>
  <si>
    <t>小計</t>
    <phoneticPr fontId="6"/>
  </si>
  <si>
    <t>千kWh</t>
    <rPh sb="0" eb="1">
      <t>セン</t>
    </rPh>
    <phoneticPr fontId="6"/>
  </si>
  <si>
    <t>外部供給</t>
    <rPh sb="0" eb="2">
      <t>ガイブ</t>
    </rPh>
    <rPh sb="2" eb="4">
      <t>キョウキュウ</t>
    </rPh>
    <phoneticPr fontId="6"/>
  </si>
  <si>
    <t>自ら生成した熱の供給</t>
    <rPh sb="0" eb="1">
      <t>ミズカ</t>
    </rPh>
    <rPh sb="2" eb="4">
      <t>セイセイ</t>
    </rPh>
    <rPh sb="6" eb="7">
      <t>ネツ</t>
    </rPh>
    <rPh sb="8" eb="10">
      <t>キョウキュウ</t>
    </rPh>
    <phoneticPr fontId="6"/>
  </si>
  <si>
    <t>自ら生成した電力の供給</t>
    <rPh sb="0" eb="1">
      <t>ミズカ</t>
    </rPh>
    <rPh sb="2" eb="4">
      <t>セイセイ</t>
    </rPh>
    <rPh sb="6" eb="8">
      <t>デンリョク</t>
    </rPh>
    <rPh sb="9" eb="11">
      <t>キョウキュウ</t>
    </rPh>
    <phoneticPr fontId="6"/>
  </si>
  <si>
    <t>合計</t>
    <rPh sb="0" eb="2">
      <t>ゴウケイ</t>
    </rPh>
    <phoneticPr fontId="6"/>
  </si>
  <si>
    <t>原料炭</t>
    <rPh sb="0" eb="2">
      <t>ゲンリョウ</t>
    </rPh>
    <rPh sb="2" eb="3">
      <t>スミ</t>
    </rPh>
    <phoneticPr fontId="5"/>
  </si>
  <si>
    <t>輸入原料炭</t>
    <rPh sb="0" eb="2">
      <t>ユニュウ</t>
    </rPh>
    <rPh sb="2" eb="4">
      <t>ゲンリョウ</t>
    </rPh>
    <rPh sb="4" eb="5">
      <t>タン</t>
    </rPh>
    <phoneticPr fontId="6"/>
  </si>
  <si>
    <t>コークス炉用原料炭</t>
    <rPh sb="4" eb="5">
      <t>ロ</t>
    </rPh>
    <rPh sb="5" eb="6">
      <t>ヨウ</t>
    </rPh>
    <rPh sb="6" eb="8">
      <t>ゲンリョウ</t>
    </rPh>
    <rPh sb="8" eb="9">
      <t>タン</t>
    </rPh>
    <phoneticPr fontId="6"/>
  </si>
  <si>
    <t>一般炭</t>
    <rPh sb="0" eb="2">
      <t>イッパン</t>
    </rPh>
    <rPh sb="2" eb="3">
      <t>スミ</t>
    </rPh>
    <phoneticPr fontId="5"/>
  </si>
  <si>
    <t>輸入一般炭</t>
    <rPh sb="0" eb="4">
      <t>ユニュウイッパン</t>
    </rPh>
    <rPh sb="4" eb="5">
      <t>スミ</t>
    </rPh>
    <phoneticPr fontId="5"/>
  </si>
  <si>
    <t>国産一般炭</t>
    <rPh sb="0" eb="2">
      <t>コクサン</t>
    </rPh>
    <rPh sb="2" eb="4">
      <t>イッパン</t>
    </rPh>
    <rPh sb="4" eb="5">
      <t>スミ</t>
    </rPh>
    <phoneticPr fontId="6"/>
  </si>
  <si>
    <t>発電用高炉ガス</t>
    <rPh sb="0" eb="3">
      <t>ハツデンヨウ</t>
    </rPh>
    <rPh sb="3" eb="5">
      <t>コウロ</t>
    </rPh>
    <phoneticPr fontId="6"/>
  </si>
  <si>
    <t>ジェット燃料油</t>
    <rPh sb="4" eb="6">
      <t>ネンリョウ</t>
    </rPh>
    <rPh sb="6" eb="7">
      <t>アブラ</t>
    </rPh>
    <phoneticPr fontId="6"/>
  </si>
  <si>
    <t>原油換算
エネルギー
使用量</t>
    <rPh sb="0" eb="2">
      <t>ゲンユ</t>
    </rPh>
    <rPh sb="2" eb="4">
      <t>カンサン</t>
    </rPh>
    <rPh sb="11" eb="14">
      <t>シヨウリョウ</t>
    </rPh>
    <phoneticPr fontId="6"/>
  </si>
  <si>
    <t>規模判定
エネルギー
使用量</t>
    <rPh sb="0" eb="4">
      <t>キボハンテイ</t>
    </rPh>
    <rPh sb="11" eb="14">
      <t>シヨウリョウ</t>
    </rPh>
    <phoneticPr fontId="5"/>
  </si>
  <si>
    <t>輸入無煙炭</t>
    <rPh sb="0" eb="2">
      <t>ユニュウ</t>
    </rPh>
    <rPh sb="2" eb="5">
      <t>ムエンタン</t>
    </rPh>
    <phoneticPr fontId="6"/>
  </si>
  <si>
    <t>吹込用原料炭</t>
    <rPh sb="0" eb="2">
      <t>フキコ</t>
    </rPh>
    <rPh sb="2" eb="3">
      <t>ヨウ</t>
    </rPh>
    <rPh sb="3" eb="5">
      <t>ゲンリョウ</t>
    </rPh>
    <rPh sb="5" eb="6">
      <t>タン</t>
    </rPh>
    <phoneticPr fontId="6"/>
  </si>
  <si>
    <t>⑥=①×②×④</t>
    <phoneticPr fontId="6"/>
  </si>
  <si>
    <t>自家消費量</t>
    <phoneticPr fontId="5"/>
  </si>
  <si>
    <t>事業所外からの供給量</t>
    <phoneticPr fontId="5"/>
  </si>
  <si>
    <t>環境価値を
有する熱</t>
    <rPh sb="0" eb="2">
      <t>カンキョウ</t>
    </rPh>
    <rPh sb="2" eb="4">
      <t>カチ</t>
    </rPh>
    <rPh sb="6" eb="7">
      <t>ユウ</t>
    </rPh>
    <rPh sb="9" eb="10">
      <t>ネツ</t>
    </rPh>
    <phoneticPr fontId="5"/>
  </si>
  <si>
    <t>グリーン電力証書</t>
    <rPh sb="4" eb="6">
      <t>デンリョク</t>
    </rPh>
    <rPh sb="6" eb="8">
      <t>ショウショ</t>
    </rPh>
    <phoneticPr fontId="5"/>
  </si>
  <si>
    <t>FIT非化石証書</t>
    <rPh sb="3" eb="6">
      <t>ヒカセキ</t>
    </rPh>
    <rPh sb="6" eb="8">
      <t>ショウショ</t>
    </rPh>
    <phoneticPr fontId="5"/>
  </si>
  <si>
    <t>非FIT非化石証書（再生可能エネルギー指定）</t>
    <rPh sb="0" eb="1">
      <t>ヒ</t>
    </rPh>
    <rPh sb="4" eb="7">
      <t>ヒカセキ</t>
    </rPh>
    <rPh sb="7" eb="9">
      <t>ショウショ</t>
    </rPh>
    <phoneticPr fontId="5"/>
  </si>
  <si>
    <t>J-クレジット制度において認証・発行された
クレジット（①森林経営活動、
②植林活動、③再造林活動）</t>
    <phoneticPr fontId="5"/>
  </si>
  <si>
    <t>高炉ガス（発電用以外）</t>
    <rPh sb="0" eb="2">
      <t>コウロ</t>
    </rPh>
    <rPh sb="5" eb="7">
      <t>ハツデン</t>
    </rPh>
    <rPh sb="7" eb="8">
      <t>ヨウ</t>
    </rPh>
    <rPh sb="8" eb="10">
      <t>イガイ</t>
    </rPh>
    <phoneticPr fontId="6"/>
  </si>
  <si>
    <t>グリーン熱証書</t>
    <rPh sb="4" eb="5">
      <t>デンネツ</t>
    </rPh>
    <rPh sb="5" eb="7">
      <t>ショウショ</t>
    </rPh>
    <phoneticPr fontId="5"/>
  </si>
  <si>
    <t>環境価値を移転した熱</t>
    <rPh sb="0" eb="2">
      <t>カンキョウ</t>
    </rPh>
    <rPh sb="2" eb="4">
      <t>カチ</t>
    </rPh>
    <rPh sb="5" eb="7">
      <t>イテン</t>
    </rPh>
    <rPh sb="9" eb="10">
      <t>ネツ</t>
    </rPh>
    <phoneticPr fontId="5"/>
  </si>
  <si>
    <t>環境価値を有する電気</t>
    <rPh sb="0" eb="2">
      <t>カンキョウ</t>
    </rPh>
    <rPh sb="2" eb="4">
      <t>カチ</t>
    </rPh>
    <rPh sb="5" eb="6">
      <t>ユウ</t>
    </rPh>
    <rPh sb="8" eb="10">
      <t>デンキ</t>
    </rPh>
    <phoneticPr fontId="5"/>
  </si>
  <si>
    <t>環境価値を移転した電気</t>
    <rPh sb="0" eb="2">
      <t>カンキョウ</t>
    </rPh>
    <rPh sb="2" eb="4">
      <t>カチ</t>
    </rPh>
    <rPh sb="5" eb="7">
      <t>イテン</t>
    </rPh>
    <rPh sb="9" eb="11">
      <t>デンキ</t>
    </rPh>
    <phoneticPr fontId="5"/>
  </si>
  <si>
    <t>石炭</t>
    <rPh sb="0" eb="2">
      <t>セキタン</t>
    </rPh>
    <phoneticPr fontId="6"/>
  </si>
  <si>
    <t>単位</t>
    <rPh sb="0" eb="2">
      <t>タンイ</t>
    </rPh>
    <phoneticPr fontId="6"/>
  </si>
  <si>
    <t>排出活動の種類</t>
    <rPh sb="0" eb="2">
      <t>ハイシュツ</t>
    </rPh>
    <rPh sb="2" eb="4">
      <t>カツドウ</t>
    </rPh>
    <rPh sb="5" eb="7">
      <t>シュルイ</t>
    </rPh>
    <phoneticPr fontId="5"/>
  </si>
  <si>
    <t>コークス炉ガス</t>
    <phoneticPr fontId="6"/>
  </si>
  <si>
    <t>排出活動の種類</t>
    <rPh sb="0" eb="2">
      <t>ハイシュツ</t>
    </rPh>
    <rPh sb="2" eb="4">
      <t>カツドウ</t>
    </rPh>
    <rPh sb="5" eb="7">
      <t>シュルイ</t>
    </rPh>
    <phoneticPr fontId="6"/>
  </si>
  <si>
    <t>区  分</t>
    <rPh sb="0" eb="1">
      <t>ク</t>
    </rPh>
    <rPh sb="3" eb="4">
      <t>ブン</t>
    </rPh>
    <phoneticPr fontId="6"/>
  </si>
  <si>
    <t>単  位</t>
    <rPh sb="0" eb="1">
      <t>タン</t>
    </rPh>
    <rPh sb="3" eb="4">
      <t>クライ</t>
    </rPh>
    <phoneticPr fontId="13"/>
  </si>
  <si>
    <t>使用量</t>
    <rPh sb="0" eb="3">
      <t>シヨウリョウ</t>
    </rPh>
    <phoneticPr fontId="6"/>
  </si>
  <si>
    <t>単位補正後使用量</t>
    <phoneticPr fontId="6"/>
  </si>
  <si>
    <t>単位補正</t>
    <rPh sb="0" eb="2">
      <t>タンイ</t>
    </rPh>
    <rPh sb="2" eb="4">
      <t>ホセイ</t>
    </rPh>
    <phoneticPr fontId="6"/>
  </si>
  <si>
    <t>年度</t>
    <rPh sb="0" eb="2">
      <t>ネンド</t>
    </rPh>
    <phoneticPr fontId="6"/>
  </si>
  <si>
    <t xml:space="preserve">廃棄物の焼却
</t>
    <rPh sb="0" eb="3">
      <t>ハイキブツ</t>
    </rPh>
    <rPh sb="4" eb="6">
      <t>ショウキャク</t>
    </rPh>
    <phoneticPr fontId="6"/>
  </si>
  <si>
    <t xml:space="preserve">廃油（特定有害産業廃棄物に限る。） </t>
    <phoneticPr fontId="6"/>
  </si>
  <si>
    <t>合成繊維</t>
    <rPh sb="0" eb="2">
      <t>ゴウセイ</t>
    </rPh>
    <rPh sb="2" eb="4">
      <t>センイ</t>
    </rPh>
    <phoneticPr fontId="6"/>
  </si>
  <si>
    <t>合成繊維及び廃ﾀｲﾔ以外の廃ﾌﾟﾗｽﾁｯｸ類
（産業廃棄物）</t>
    <rPh sb="0" eb="2">
      <t>ゴウセイ</t>
    </rPh>
    <rPh sb="2" eb="4">
      <t>センイ</t>
    </rPh>
    <rPh sb="4" eb="5">
      <t>オヨ</t>
    </rPh>
    <rPh sb="6" eb="7">
      <t>ハイ</t>
    </rPh>
    <rPh sb="10" eb="12">
      <t>イガイ</t>
    </rPh>
    <rPh sb="13" eb="14">
      <t>ハイ</t>
    </rPh>
    <rPh sb="21" eb="22">
      <t>ルイ</t>
    </rPh>
    <rPh sb="24" eb="26">
      <t>サンギョウ</t>
    </rPh>
    <rPh sb="26" eb="29">
      <t>ハイキブツ</t>
    </rPh>
    <phoneticPr fontId="6"/>
  </si>
  <si>
    <t>ポリエチレンテレフタレート製の容器</t>
    <phoneticPr fontId="6"/>
  </si>
  <si>
    <t>廃プラスチック類（合成繊維、廃タイヤ、廃プラスチック類（産業廃棄物であるものに限る。）及びポリエチレンテレフタレート製の容器を除く。）</t>
    <phoneticPr fontId="6"/>
  </si>
  <si>
    <t>紙くず</t>
    <rPh sb="0" eb="1">
      <t>カミ</t>
    </rPh>
    <phoneticPr fontId="5"/>
  </si>
  <si>
    <t>紙おむつ</t>
    <rPh sb="0" eb="1">
      <t>カミ</t>
    </rPh>
    <phoneticPr fontId="5"/>
  </si>
  <si>
    <t>廃棄原燃料
の利用</t>
    <rPh sb="2" eb="5">
      <t>ゲンネンリョウ</t>
    </rPh>
    <rPh sb="3" eb="5">
      <t>ネンリョウ</t>
    </rPh>
    <phoneticPr fontId="5"/>
  </si>
  <si>
    <t>ごみ固形燃料（RDF）</t>
    <phoneticPr fontId="5"/>
  </si>
  <si>
    <t>ごみ固形燃料（RPF）</t>
    <rPh sb="2" eb="4">
      <t>コケイ</t>
    </rPh>
    <rPh sb="4" eb="6">
      <t>ネンリョウ</t>
    </rPh>
    <phoneticPr fontId="5"/>
  </si>
  <si>
    <t>廃タイヤ</t>
    <rPh sb="0" eb="1">
      <t>ハイ</t>
    </rPh>
    <phoneticPr fontId="12"/>
  </si>
  <si>
    <t>廃プラスチック類（一般廃棄物）</t>
    <rPh sb="0" eb="1">
      <t>ハイ</t>
    </rPh>
    <rPh sb="7" eb="8">
      <t>ルイ</t>
    </rPh>
    <rPh sb="9" eb="11">
      <t>イッパン</t>
    </rPh>
    <rPh sb="11" eb="14">
      <t>ハイキブツ</t>
    </rPh>
    <phoneticPr fontId="12"/>
  </si>
  <si>
    <t>廃プラスチック類（産業廃棄物）</t>
    <rPh sb="0" eb="1">
      <t>ハイ</t>
    </rPh>
    <rPh sb="7" eb="8">
      <t>ルイ</t>
    </rPh>
    <rPh sb="9" eb="11">
      <t>サンギョウ</t>
    </rPh>
    <rPh sb="11" eb="14">
      <t>ハイキブツ</t>
    </rPh>
    <phoneticPr fontId="12"/>
  </si>
  <si>
    <t>廃油（植物性のもの及び動物性のものを除く。）、廃油（植物性のもの及び動物性のものを除く。）から製造された燃料炭化水素油</t>
    <rPh sb="0" eb="2">
      <t>ハイユ</t>
    </rPh>
    <rPh sb="3" eb="6">
      <t>ショクブツセイ</t>
    </rPh>
    <rPh sb="9" eb="10">
      <t>オヨ</t>
    </rPh>
    <rPh sb="11" eb="14">
      <t>ドウブツセイ</t>
    </rPh>
    <rPh sb="18" eb="19">
      <t>ノゾ</t>
    </rPh>
    <rPh sb="47" eb="49">
      <t>セイゾウ</t>
    </rPh>
    <rPh sb="52" eb="56">
      <t>ネンリョウタンカ</t>
    </rPh>
    <rPh sb="56" eb="58">
      <t>スイソ</t>
    </rPh>
    <rPh sb="58" eb="59">
      <t>アブラ</t>
    </rPh>
    <phoneticPr fontId="12"/>
  </si>
  <si>
    <t>廃プラスチック類から製造された燃料炭化水素油</t>
    <rPh sb="0" eb="1">
      <t>ハイ</t>
    </rPh>
    <rPh sb="7" eb="8">
      <t>ルイ</t>
    </rPh>
    <rPh sb="10" eb="12">
      <t>セイゾウ</t>
    </rPh>
    <phoneticPr fontId="12"/>
  </si>
  <si>
    <t>廃棄物ガス</t>
    <rPh sb="0" eb="3">
      <t>ハイキブツ</t>
    </rPh>
    <phoneticPr fontId="5"/>
  </si>
  <si>
    <t>セメントクリンカーの製造</t>
    <rPh sb="10" eb="12">
      <t>セイゾウ</t>
    </rPh>
    <phoneticPr fontId="6"/>
  </si>
  <si>
    <t>生石灰の製造</t>
    <rPh sb="0" eb="3">
      <t>セイセッカイ</t>
    </rPh>
    <rPh sb="4" eb="6">
      <t>セイゾウ</t>
    </rPh>
    <phoneticPr fontId="6"/>
  </si>
  <si>
    <t>石灰石</t>
    <rPh sb="0" eb="3">
      <t>セッカイセキ</t>
    </rPh>
    <phoneticPr fontId="6"/>
  </si>
  <si>
    <t>ドロマイト</t>
    <phoneticPr fontId="6"/>
  </si>
  <si>
    <t>ソーダ石灰ガラス
の製造</t>
    <rPh sb="3" eb="5">
      <t>セッカイ</t>
    </rPh>
    <rPh sb="10" eb="12">
      <t>セイゾウ</t>
    </rPh>
    <phoneticPr fontId="6"/>
  </si>
  <si>
    <t>ソーダ灰（国内産）</t>
    <phoneticPr fontId="5"/>
  </si>
  <si>
    <t>ソーダ灰（輸入）</t>
    <phoneticPr fontId="5"/>
  </si>
  <si>
    <t>炭酸バリウム</t>
    <phoneticPr fontId="5"/>
  </si>
  <si>
    <t>炭酸カリウム</t>
    <phoneticPr fontId="5"/>
  </si>
  <si>
    <t>炭酸ストロンチウム</t>
    <phoneticPr fontId="5"/>
  </si>
  <si>
    <t>炭酸リチウム</t>
    <phoneticPr fontId="5"/>
  </si>
  <si>
    <t>ソーダ灰の製造</t>
    <rPh sb="3" eb="4">
      <t>ハイ</t>
    </rPh>
    <rPh sb="5" eb="7">
      <t>セイゾウ</t>
    </rPh>
    <phoneticPr fontId="6"/>
  </si>
  <si>
    <t>その他用途・プロセスでの炭酸塩の使用</t>
    <phoneticPr fontId="5"/>
  </si>
  <si>
    <t>石灰石</t>
    <rPh sb="0" eb="3">
      <t>セッカイセキ</t>
    </rPh>
    <phoneticPr fontId="12"/>
  </si>
  <si>
    <t>ドロマイト</t>
  </si>
  <si>
    <t>ソーダ灰（国内産）</t>
    <rPh sb="3" eb="4">
      <t>ハイ</t>
    </rPh>
    <rPh sb="5" eb="8">
      <t>コクナイサン</t>
    </rPh>
    <phoneticPr fontId="12"/>
  </si>
  <si>
    <t>ソーダ灰（輸入）</t>
    <rPh sb="3" eb="4">
      <t>ハイ</t>
    </rPh>
    <rPh sb="5" eb="7">
      <t>ユニュウ</t>
    </rPh>
    <phoneticPr fontId="12"/>
  </si>
  <si>
    <t>アンモニアの製造</t>
    <rPh sb="6" eb="8">
      <t>セイゾウ</t>
    </rPh>
    <phoneticPr fontId="6"/>
  </si>
  <si>
    <t>石油コークス</t>
    <rPh sb="0" eb="2">
      <t>セキユ</t>
    </rPh>
    <phoneticPr fontId="5"/>
  </si>
  <si>
    <t>液化天然ガス（LNG)</t>
    <rPh sb="0" eb="2">
      <t>エキカ</t>
    </rPh>
    <rPh sb="2" eb="4">
      <t>テンネン</t>
    </rPh>
    <phoneticPr fontId="6"/>
  </si>
  <si>
    <t>天然ガス
（液化天然ガス（LNG)を除く）</t>
    <rPh sb="0" eb="2">
      <t>テンネン</t>
    </rPh>
    <rPh sb="6" eb="8">
      <t>エキカ</t>
    </rPh>
    <rPh sb="8" eb="10">
      <t>テンネン</t>
    </rPh>
    <rPh sb="18" eb="19">
      <t>ノゾ</t>
    </rPh>
    <phoneticPr fontId="6"/>
  </si>
  <si>
    <t>製造された生石灰を炭化カルシウムの原料として使用した場合の生石灰の製造</t>
    <phoneticPr fontId="6"/>
  </si>
  <si>
    <t>炭化カルシウムの製造</t>
    <phoneticPr fontId="6"/>
  </si>
  <si>
    <t>二酸化チタンの製造</t>
    <rPh sb="0" eb="3">
      <t>ニサンカ</t>
    </rPh>
    <rPh sb="7" eb="9">
      <t>セイゾウ</t>
    </rPh>
    <phoneticPr fontId="5"/>
  </si>
  <si>
    <t>二酸化チタンをルチルから分離させる方法</t>
    <phoneticPr fontId="5"/>
  </si>
  <si>
    <t>塩化チタンと酸素を化学反応させる方法</t>
    <phoneticPr fontId="5"/>
  </si>
  <si>
    <t>日本産業規格Ａ列４番</t>
    <rPh sb="2" eb="4">
      <t>サンギョウ</t>
    </rPh>
    <phoneticPr fontId="6"/>
  </si>
  <si>
    <t>エチレン（ナフサからの製造）</t>
    <rPh sb="11" eb="13">
      <t>セイゾウ</t>
    </rPh>
    <phoneticPr fontId="12"/>
  </si>
  <si>
    <t>エチレン（軽油からの製造）</t>
    <rPh sb="5" eb="7">
      <t>ケイユ</t>
    </rPh>
    <rPh sb="10" eb="12">
      <t>セイゾウ</t>
    </rPh>
    <phoneticPr fontId="12"/>
  </si>
  <si>
    <t>エチレン（エタンからの製造）</t>
    <rPh sb="11" eb="13">
      <t>セイゾウ</t>
    </rPh>
    <phoneticPr fontId="12"/>
  </si>
  <si>
    <t>エチレン（プロパンからの製造）</t>
    <rPh sb="12" eb="14">
      <t>セイゾウ</t>
    </rPh>
    <phoneticPr fontId="12"/>
  </si>
  <si>
    <t>エチレン（ブタンからの製造）</t>
    <rPh sb="11" eb="13">
      <t>セイゾウ</t>
    </rPh>
    <phoneticPr fontId="12"/>
  </si>
  <si>
    <t>エチレン（その他原料からの製造）</t>
    <rPh sb="7" eb="8">
      <t>ホカ</t>
    </rPh>
    <rPh sb="8" eb="10">
      <t>ゲンリョウ</t>
    </rPh>
    <rPh sb="13" eb="15">
      <t>セイゾウ</t>
    </rPh>
    <phoneticPr fontId="12"/>
  </si>
  <si>
    <t>クロロエチレン</t>
  </si>
  <si>
    <t>酸化エチレン</t>
    <rPh sb="0" eb="2">
      <t>サンカ</t>
    </rPh>
    <phoneticPr fontId="12"/>
  </si>
  <si>
    <t>アクリロニトリル</t>
  </si>
  <si>
    <t>カーボンブラック</t>
  </si>
  <si>
    <t>無水フタル酸</t>
    <rPh sb="0" eb="2">
      <t>ムスイ</t>
    </rPh>
    <rPh sb="5" eb="6">
      <t>サン</t>
    </rPh>
    <phoneticPr fontId="12"/>
  </si>
  <si>
    <t>無水マレイン酸</t>
    <rPh sb="0" eb="2">
      <t>ムスイ</t>
    </rPh>
    <rPh sb="6" eb="7">
      <t>サン</t>
    </rPh>
    <phoneticPr fontId="12"/>
  </si>
  <si>
    <t>水素</t>
    <rPh sb="0" eb="2">
      <t>スイソ</t>
    </rPh>
    <phoneticPr fontId="12"/>
  </si>
  <si>
    <t>カルシウムカーバイドを原料としたアセチレンの使用</t>
    <rPh sb="11" eb="13">
      <t>ゲンリョウ</t>
    </rPh>
    <rPh sb="22" eb="24">
      <t>シヨウ</t>
    </rPh>
    <phoneticPr fontId="6"/>
  </si>
  <si>
    <t>電気炉における炭素電極の使用</t>
    <phoneticPr fontId="5"/>
  </si>
  <si>
    <t>鉄鋼の製造における鉱物の使用</t>
    <phoneticPr fontId="5"/>
  </si>
  <si>
    <t>石灰石</t>
    <phoneticPr fontId="12"/>
  </si>
  <si>
    <t>ドロマイト</t>
    <phoneticPr fontId="12"/>
  </si>
  <si>
    <t>鉄鋼の製造において生じるガスの燃焼（フレアリング）</t>
    <phoneticPr fontId="5"/>
  </si>
  <si>
    <t>転炉ガス</t>
    <phoneticPr fontId="5"/>
  </si>
  <si>
    <t>潤滑油等の使用</t>
    <phoneticPr fontId="5"/>
  </si>
  <si>
    <t>潤滑油</t>
    <phoneticPr fontId="5"/>
  </si>
  <si>
    <t>グリース</t>
    <phoneticPr fontId="5"/>
  </si>
  <si>
    <t>パラフィンろう</t>
    <phoneticPr fontId="5"/>
  </si>
  <si>
    <t>非メタン揮発性有機化合物（NMVOC)を含む溶剤の焼却</t>
    <phoneticPr fontId="5"/>
  </si>
  <si>
    <t>ドライアイスの製造</t>
    <phoneticPr fontId="5"/>
  </si>
  <si>
    <t>炭酸ガスのボンベへの封入</t>
    <phoneticPr fontId="6"/>
  </si>
  <si>
    <t>小計</t>
    <rPh sb="0" eb="1">
      <t>ショウ</t>
    </rPh>
    <rPh sb="1" eb="2">
      <t>ケイ</t>
    </rPh>
    <phoneticPr fontId="6"/>
  </si>
  <si>
    <t>メタン</t>
    <phoneticPr fontId="6"/>
  </si>
  <si>
    <t>一酸化二窒素</t>
    <rPh sb="0" eb="3">
      <t>イッサンカ</t>
    </rPh>
    <rPh sb="3" eb="6">
      <t>ニチッソ</t>
    </rPh>
    <phoneticPr fontId="6"/>
  </si>
  <si>
    <t>ハイドロフルオロカーボン</t>
    <phoneticPr fontId="6"/>
  </si>
  <si>
    <t>パーフルオロカーボン</t>
    <phoneticPr fontId="6"/>
  </si>
  <si>
    <t>三ふっ化窒素</t>
    <rPh sb="0" eb="1">
      <t>サン</t>
    </rPh>
    <rPh sb="3" eb="4">
      <t>カ</t>
    </rPh>
    <rPh sb="4" eb="6">
      <t>チッソ</t>
    </rPh>
    <phoneticPr fontId="6"/>
  </si>
  <si>
    <t>非化石燃料の種類</t>
    <rPh sb="0" eb="3">
      <t>ヒカセキ</t>
    </rPh>
    <rPh sb="3" eb="5">
      <t>ネンリョウ</t>
    </rPh>
    <rPh sb="6" eb="8">
      <t>シュルイ</t>
    </rPh>
    <phoneticPr fontId="5"/>
  </si>
  <si>
    <t>非化石燃料使用量</t>
    <rPh sb="0" eb="3">
      <t>ヒカセキ</t>
    </rPh>
    <rPh sb="3" eb="5">
      <t>ネンリョウ</t>
    </rPh>
    <rPh sb="5" eb="8">
      <t>シヨウリョウ</t>
    </rPh>
    <phoneticPr fontId="5"/>
  </si>
  <si>
    <t>廃棄物原燃料
（燃料として使用する廃棄物及び廃棄物由来の燃料）</t>
    <rPh sb="0" eb="3">
      <t>ハイキブツ</t>
    </rPh>
    <rPh sb="3" eb="6">
      <t>ゲンネンリョウ</t>
    </rPh>
    <rPh sb="8" eb="10">
      <t>ネンリョウ</t>
    </rPh>
    <rPh sb="13" eb="15">
      <t>シヨウ</t>
    </rPh>
    <rPh sb="17" eb="20">
      <t>ハイキブツ</t>
    </rPh>
    <rPh sb="20" eb="21">
      <t>オヨ</t>
    </rPh>
    <rPh sb="22" eb="25">
      <t>ハイキブツ</t>
    </rPh>
    <rPh sb="25" eb="27">
      <t>ユライ</t>
    </rPh>
    <rPh sb="28" eb="30">
      <t>ネンリョウ</t>
    </rPh>
    <phoneticPr fontId="5"/>
  </si>
  <si>
    <t>混合廃材</t>
    <rPh sb="0" eb="2">
      <t>コンゴウ</t>
    </rPh>
    <rPh sb="2" eb="4">
      <t>ハイザイ</t>
    </rPh>
    <phoneticPr fontId="5"/>
  </si>
  <si>
    <t>バイオマス燃料</t>
    <rPh sb="5" eb="7">
      <t>ネンリョウ</t>
    </rPh>
    <phoneticPr fontId="5"/>
  </si>
  <si>
    <t>黒液</t>
    <rPh sb="0" eb="2">
      <t>コクエキ</t>
    </rPh>
    <phoneticPr fontId="5"/>
  </si>
  <si>
    <t>木材</t>
    <rPh sb="0" eb="2">
      <t>モクザイ</t>
    </rPh>
    <phoneticPr fontId="5"/>
  </si>
  <si>
    <t>木質廃材</t>
    <rPh sb="0" eb="2">
      <t>モクシツ</t>
    </rPh>
    <rPh sb="2" eb="4">
      <t>ハイザイ</t>
    </rPh>
    <phoneticPr fontId="5"/>
  </si>
  <si>
    <t>バイオエタノール</t>
    <phoneticPr fontId="5"/>
  </si>
  <si>
    <t>バイオエタノールディーゼル</t>
    <phoneticPr fontId="5"/>
  </si>
  <si>
    <t>バイオガス</t>
    <phoneticPr fontId="5"/>
  </si>
  <si>
    <t>その他バイオマス</t>
    <rPh sb="2" eb="3">
      <t>ホカ</t>
    </rPh>
    <phoneticPr fontId="5"/>
  </si>
  <si>
    <t>その他の燃料</t>
    <rPh sb="2" eb="3">
      <t>ホカ</t>
    </rPh>
    <rPh sb="4" eb="6">
      <t>ネンリョウ</t>
    </rPh>
    <phoneticPr fontId="5"/>
  </si>
  <si>
    <t>水素</t>
    <rPh sb="0" eb="2">
      <t>スイソ</t>
    </rPh>
    <phoneticPr fontId="5"/>
  </si>
  <si>
    <t>アンモニア</t>
    <phoneticPr fontId="5"/>
  </si>
  <si>
    <t>合計</t>
    <rPh sb="0" eb="2">
      <t>ゴウケイ</t>
    </rPh>
    <phoneticPr fontId="5"/>
  </si>
  <si>
    <t>廃タイヤ</t>
    <rPh sb="0" eb="1">
      <t>ハイ</t>
    </rPh>
    <phoneticPr fontId="6"/>
  </si>
  <si>
    <t>炭化けい素の製造</t>
    <rPh sb="0" eb="2">
      <t>タンカ</t>
    </rPh>
    <rPh sb="4" eb="5">
      <t>ソ</t>
    </rPh>
    <rPh sb="6" eb="8">
      <t>セイゾウ</t>
    </rPh>
    <phoneticPr fontId="6"/>
  </si>
  <si>
    <t>炭化カルシウムの製造</t>
    <rPh sb="0" eb="2">
      <t>タンカ</t>
    </rPh>
    <rPh sb="8" eb="10">
      <t>セイゾウ</t>
    </rPh>
    <phoneticPr fontId="6"/>
  </si>
  <si>
    <t>エチレン等の製造</t>
    <rPh sb="4" eb="5">
      <t>トウ</t>
    </rPh>
    <rPh sb="6" eb="8">
      <t>セイゾウ</t>
    </rPh>
    <phoneticPr fontId="6"/>
  </si>
  <si>
    <t>ドライアイスの使用</t>
    <rPh sb="7" eb="9">
      <t>シヨウ</t>
    </rPh>
    <phoneticPr fontId="6"/>
  </si>
  <si>
    <r>
      <t>t-CO</t>
    </r>
    <r>
      <rPr>
        <vertAlign val="subscript"/>
        <sz val="11"/>
        <color theme="1"/>
        <rFont val="游明朝"/>
        <family val="1"/>
        <charset val="128"/>
      </rPr>
      <t>2</t>
    </r>
    <phoneticPr fontId="6"/>
  </si>
  <si>
    <t>廃プラスチック類から製造された
燃料炭化水素油</t>
    <rPh sb="0" eb="1">
      <t>ハイ</t>
    </rPh>
    <rPh sb="7" eb="8">
      <t>ルイ</t>
    </rPh>
    <rPh sb="10" eb="12">
      <t>セイゾウ</t>
    </rPh>
    <phoneticPr fontId="12"/>
  </si>
  <si>
    <t>GJ/t</t>
  </si>
  <si>
    <t>GJ/kL</t>
  </si>
  <si>
    <t>GJ</t>
    <phoneticPr fontId="5"/>
  </si>
  <si>
    <t>kL</t>
    <phoneticPr fontId="5"/>
  </si>
  <si>
    <t>規模判定エネルギー使用量　合計</t>
    <rPh sb="0" eb="4">
      <t>キボハンテイ</t>
    </rPh>
    <rPh sb="9" eb="12">
      <t>シヨウリョウ</t>
    </rPh>
    <rPh sb="13" eb="15">
      <t>ゴウケイ</t>
    </rPh>
    <phoneticPr fontId="5"/>
  </si>
  <si>
    <t>原油換算エネルギー使用量　合計</t>
    <rPh sb="0" eb="4">
      <t>ゲンユカンザン</t>
    </rPh>
    <rPh sb="9" eb="12">
      <t>シヨウリョウ</t>
    </rPh>
    <rPh sb="13" eb="15">
      <t>ゴウケイ</t>
    </rPh>
    <phoneticPr fontId="5"/>
  </si>
  <si>
    <t>燃料</t>
    <rPh sb="0" eb="2">
      <t>ネンリョウ</t>
    </rPh>
    <phoneticPr fontId="6"/>
  </si>
  <si>
    <t>持続可能性を確認できない
バイオマス燃料によるもの</t>
    <phoneticPr fontId="6"/>
  </si>
  <si>
    <t>仮想電力契約により
環境価値を取引したもの</t>
    <rPh sb="0" eb="2">
      <t>カソウ</t>
    </rPh>
    <rPh sb="2" eb="4">
      <t>デンリョク</t>
    </rPh>
    <rPh sb="4" eb="6">
      <t>ケイヤク</t>
    </rPh>
    <rPh sb="10" eb="12">
      <t>カンキョウ</t>
    </rPh>
    <rPh sb="12" eb="14">
      <t>カチ</t>
    </rPh>
    <rPh sb="15" eb="17">
      <t>トリヒキ</t>
    </rPh>
    <phoneticPr fontId="5"/>
  </si>
  <si>
    <t>再エネ以外</t>
    <rPh sb="0" eb="1">
      <t>サイ</t>
    </rPh>
    <rPh sb="3" eb="5">
      <t>イガイ</t>
    </rPh>
    <phoneticPr fontId="5"/>
  </si>
  <si>
    <t>再エネ</t>
    <rPh sb="0" eb="1">
      <t>サイ</t>
    </rPh>
    <phoneticPr fontId="6"/>
  </si>
  <si>
    <t>一般送配電事業者の電線路および自営線を介して供給された電気</t>
    <rPh sb="15" eb="18">
      <t>ジエイセン</t>
    </rPh>
    <rPh sb="27" eb="29">
      <t>デンキ</t>
    </rPh>
    <phoneticPr fontId="6"/>
  </si>
  <si>
    <t>t</t>
    <phoneticPr fontId="5"/>
  </si>
  <si>
    <t>再エネ
以外</t>
    <rPh sb="0" eb="1">
      <t>サイ</t>
    </rPh>
    <rPh sb="4" eb="6">
      <t>イガイ</t>
    </rPh>
    <phoneticPr fontId="5"/>
  </si>
  <si>
    <t>kL</t>
    <phoneticPr fontId="5"/>
  </si>
  <si>
    <t>ｔ</t>
    <phoneticPr fontId="6"/>
  </si>
  <si>
    <t>千m3</t>
    <rPh sb="0" eb="1">
      <t>セン</t>
    </rPh>
    <phoneticPr fontId="6"/>
  </si>
  <si>
    <r>
      <t>GJ/千m</t>
    </r>
    <r>
      <rPr>
        <vertAlign val="superscript"/>
        <sz val="11"/>
        <color theme="1"/>
        <rFont val="游明朝"/>
        <family val="1"/>
        <charset val="128"/>
      </rPr>
      <t>3</t>
    </r>
    <rPh sb="3" eb="4">
      <t>セン</t>
    </rPh>
    <phoneticPr fontId="6"/>
  </si>
  <si>
    <t>t</t>
    <phoneticPr fontId="5"/>
  </si>
  <si>
    <r>
      <t>廃油</t>
    </r>
    <r>
      <rPr>
        <sz val="9"/>
        <color theme="1"/>
        <rFont val="游明朝"/>
        <family val="1"/>
        <charset val="128"/>
      </rPr>
      <t>（植物性のもの及び動物性のもの並びに特定有害産業廃棄物を除く）</t>
    </r>
    <rPh sb="0" eb="2">
      <t>ハイユ</t>
    </rPh>
    <rPh sb="3" eb="6">
      <t>ショクブツセイ</t>
    </rPh>
    <rPh sb="9" eb="10">
      <t>オヨ</t>
    </rPh>
    <rPh sb="11" eb="14">
      <t>ドウブツセイ</t>
    </rPh>
    <rPh sb="30" eb="31">
      <t>ノゾ</t>
    </rPh>
    <phoneticPr fontId="6"/>
  </si>
  <si>
    <r>
      <t>炭酸ガスの使用に伴い排出されたCO</t>
    </r>
    <r>
      <rPr>
        <vertAlign val="subscript"/>
        <sz val="11"/>
        <color theme="1"/>
        <rFont val="游明朝"/>
        <family val="1"/>
        <charset val="128"/>
      </rPr>
      <t>2</t>
    </r>
    <r>
      <rPr>
        <sz val="11"/>
        <color theme="1"/>
        <rFont val="游明朝"/>
        <family val="1"/>
        <charset val="128"/>
      </rPr>
      <t xml:space="preserve">の量 </t>
    </r>
    <phoneticPr fontId="6"/>
  </si>
  <si>
    <r>
      <t>t-CH</t>
    </r>
    <r>
      <rPr>
        <vertAlign val="subscript"/>
        <sz val="11"/>
        <color theme="1"/>
        <rFont val="游明朝"/>
        <family val="1"/>
        <charset val="128"/>
      </rPr>
      <t>4</t>
    </r>
    <phoneticPr fontId="6"/>
  </si>
  <si>
    <r>
      <t>t-N</t>
    </r>
    <r>
      <rPr>
        <vertAlign val="subscript"/>
        <sz val="11"/>
        <color theme="1"/>
        <rFont val="游明朝"/>
        <family val="1"/>
        <charset val="128"/>
      </rPr>
      <t>2</t>
    </r>
    <r>
      <rPr>
        <sz val="11"/>
        <color theme="1"/>
        <rFont val="游明朝"/>
        <family val="1"/>
        <charset val="128"/>
      </rPr>
      <t>O</t>
    </r>
    <phoneticPr fontId="6"/>
  </si>
  <si>
    <r>
      <t>t-SF</t>
    </r>
    <r>
      <rPr>
        <vertAlign val="subscript"/>
        <sz val="11"/>
        <color theme="1"/>
        <rFont val="游明朝"/>
        <family val="1"/>
        <charset val="128"/>
      </rPr>
      <t>6</t>
    </r>
    <phoneticPr fontId="6"/>
  </si>
  <si>
    <r>
      <t>t-NF</t>
    </r>
    <r>
      <rPr>
        <vertAlign val="subscript"/>
        <sz val="11"/>
        <color theme="1"/>
        <rFont val="游明朝"/>
        <family val="1"/>
        <charset val="128"/>
      </rPr>
      <t>3</t>
    </r>
    <phoneticPr fontId="6"/>
  </si>
  <si>
    <t>計量器</t>
    <rPh sb="0" eb="3">
      <t>ケイリョウキ</t>
    </rPh>
    <phoneticPr fontId="5"/>
  </si>
  <si>
    <t>種類</t>
    <rPh sb="0" eb="2">
      <t>シュルイ</t>
    </rPh>
    <phoneticPr fontId="5"/>
  </si>
  <si>
    <t>検定</t>
    <rPh sb="0" eb="2">
      <t>ケンテイ</t>
    </rPh>
    <phoneticPr fontId="5"/>
  </si>
  <si>
    <t>把握方法</t>
    <rPh sb="0" eb="4">
      <t>ハアクホウホウ</t>
    </rPh>
    <phoneticPr fontId="5"/>
  </si>
  <si>
    <t>単位</t>
    <rPh sb="0" eb="2">
      <t>タンイ</t>
    </rPh>
    <phoneticPr fontId="5"/>
  </si>
  <si>
    <t>①　事業所内へ供給される燃料使用量</t>
    <phoneticPr fontId="5"/>
  </si>
  <si>
    <t>使用量
(年度計）</t>
    <rPh sb="0" eb="3">
      <t>シヨウリョウ</t>
    </rPh>
    <rPh sb="5" eb="7">
      <t>ネンド</t>
    </rPh>
    <rPh sb="7" eb="8">
      <t>ケイ</t>
    </rPh>
    <phoneticPr fontId="6"/>
  </si>
  <si>
    <t>都市ガス</t>
    <rPh sb="0" eb="2">
      <t>トシ</t>
    </rPh>
    <phoneticPr fontId="5"/>
  </si>
  <si>
    <t>単位発熱量</t>
    <rPh sb="0" eb="5">
      <t>タンイハツネツリョウ</t>
    </rPh>
    <phoneticPr fontId="5"/>
  </si>
  <si>
    <t>排出係数</t>
    <rPh sb="0" eb="2">
      <t>ハイシュツ</t>
    </rPh>
    <rPh sb="2" eb="4">
      <t>ケイスウ</t>
    </rPh>
    <phoneticPr fontId="5"/>
  </si>
  <si>
    <t>設定根拠</t>
    <rPh sb="0" eb="2">
      <t>セッテイ</t>
    </rPh>
    <rPh sb="2" eb="4">
      <t>コンキョ</t>
    </rPh>
    <phoneticPr fontId="5"/>
  </si>
  <si>
    <t>契約情報</t>
    <rPh sb="0" eb="2">
      <t>ケイヤク</t>
    </rPh>
    <rPh sb="2" eb="4">
      <t>ジョウホウ</t>
    </rPh>
    <phoneticPr fontId="5"/>
  </si>
  <si>
    <r>
      <t>排出係数
t-CO</t>
    </r>
    <r>
      <rPr>
        <vertAlign val="subscript"/>
        <sz val="11"/>
        <color theme="1"/>
        <rFont val="游明朝"/>
        <family val="1"/>
        <charset val="128"/>
      </rPr>
      <t>2</t>
    </r>
    <r>
      <rPr>
        <sz val="11"/>
        <color theme="1"/>
        <rFont val="游明朝"/>
        <family val="1"/>
        <charset val="128"/>
      </rPr>
      <t>/固有単位</t>
    </r>
    <rPh sb="0" eb="2">
      <t>ハイシュツ</t>
    </rPh>
    <rPh sb="2" eb="4">
      <t>ケイスウ</t>
    </rPh>
    <rPh sb="11" eb="13">
      <t>コユウ</t>
    </rPh>
    <rPh sb="13" eb="15">
      <t>タンイ</t>
    </rPh>
    <phoneticPr fontId="5"/>
  </si>
  <si>
    <t>メニュー
有無</t>
    <rPh sb="5" eb="7">
      <t>ウム</t>
    </rPh>
    <phoneticPr fontId="5"/>
  </si>
  <si>
    <t>メニュー別
契約名称</t>
    <rPh sb="4" eb="5">
      <t>ベツ</t>
    </rPh>
    <rPh sb="6" eb="8">
      <t>ケイヤク</t>
    </rPh>
    <rPh sb="8" eb="10">
      <t>メイショウ</t>
    </rPh>
    <phoneticPr fontId="5"/>
  </si>
  <si>
    <t>熱量
[GJ]</t>
    <rPh sb="0" eb="2">
      <t>ネツリョウ</t>
    </rPh>
    <phoneticPr fontId="5"/>
  </si>
  <si>
    <r>
      <t>CO</t>
    </r>
    <r>
      <rPr>
        <vertAlign val="subscript"/>
        <sz val="11"/>
        <color theme="1"/>
        <rFont val="游明朝"/>
        <family val="1"/>
        <charset val="128"/>
      </rPr>
      <t>２</t>
    </r>
    <r>
      <rPr>
        <sz val="11"/>
        <color theme="1"/>
        <rFont val="游明朝"/>
        <family val="1"/>
        <charset val="128"/>
      </rPr>
      <t>排出量
[t-CO</t>
    </r>
    <r>
      <rPr>
        <vertAlign val="subscript"/>
        <sz val="11"/>
        <color theme="1"/>
        <rFont val="游明朝"/>
        <family val="1"/>
        <charset val="128"/>
      </rPr>
      <t>2</t>
    </r>
    <r>
      <rPr>
        <sz val="11"/>
        <color theme="1"/>
        <rFont val="游明朝"/>
        <family val="1"/>
        <charset val="128"/>
      </rPr>
      <t>]</t>
    </r>
    <rPh sb="3" eb="6">
      <t>ハイシュツリョウ</t>
    </rPh>
    <phoneticPr fontId="5"/>
  </si>
  <si>
    <t>再エネの種類</t>
    <rPh sb="0" eb="1">
      <t>サイ</t>
    </rPh>
    <rPh sb="4" eb="6">
      <t>シュルイ</t>
    </rPh>
    <phoneticPr fontId="5"/>
  </si>
  <si>
    <t>(バイオマス燃料種）</t>
    <rPh sb="6" eb="8">
      <t>ネンリョウ</t>
    </rPh>
    <rPh sb="8" eb="9">
      <t>シュ</t>
    </rPh>
    <phoneticPr fontId="5"/>
  </si>
  <si>
    <t>環境価値
の有無</t>
    <rPh sb="0" eb="2">
      <t>カンキョウ</t>
    </rPh>
    <rPh sb="2" eb="4">
      <t>カチ</t>
    </rPh>
    <rPh sb="6" eb="8">
      <t>ウム</t>
    </rPh>
    <phoneticPr fontId="5"/>
  </si>
  <si>
    <t>令和</t>
    <rPh sb="0" eb="2">
      <t>レイワ</t>
    </rPh>
    <phoneticPr fontId="6"/>
  </si>
  <si>
    <t>事業所種別</t>
    <rPh sb="0" eb="3">
      <t>ジギョウショ</t>
    </rPh>
    <rPh sb="3" eb="5">
      <t>シュベツ</t>
    </rPh>
    <phoneticPr fontId="6"/>
  </si>
  <si>
    <t>資料作成日</t>
    <rPh sb="0" eb="2">
      <t>シリョウ</t>
    </rPh>
    <rPh sb="2" eb="5">
      <t>サクセイビ</t>
    </rPh>
    <phoneticPr fontId="6"/>
  </si>
  <si>
    <t>１　事業所の概要</t>
    <rPh sb="2" eb="5">
      <t>ジギョウショ</t>
    </rPh>
    <rPh sb="6" eb="8">
      <t>ガイヨウ</t>
    </rPh>
    <phoneticPr fontId="6"/>
  </si>
  <si>
    <t>名称</t>
    <rPh sb="0" eb="2">
      <t>メイショウ</t>
    </rPh>
    <phoneticPr fontId="6"/>
  </si>
  <si>
    <t>所在地</t>
    <rPh sb="0" eb="3">
      <t>ショザイチ</t>
    </rPh>
    <phoneticPr fontId="6"/>
  </si>
  <si>
    <t>原油換算エネルギー使用量</t>
    <rPh sb="0" eb="2">
      <t>ゲンユ</t>
    </rPh>
    <rPh sb="2" eb="4">
      <t>カンザン</t>
    </rPh>
    <rPh sb="9" eb="12">
      <t>シヨウリョウ</t>
    </rPh>
    <phoneticPr fontId="6"/>
  </si>
  <si>
    <t>ｋＬ</t>
    <phoneticPr fontId="6"/>
  </si>
  <si>
    <t>特殊条件の設定</t>
    <rPh sb="0" eb="2">
      <t>トクシュ</t>
    </rPh>
    <rPh sb="2" eb="4">
      <t>ジョウケン</t>
    </rPh>
    <rPh sb="5" eb="7">
      <t>セッテイ</t>
    </rPh>
    <phoneticPr fontId="6"/>
  </si>
  <si>
    <t>燃料の種類</t>
    <rPh sb="0" eb="2">
      <t>ネンリョウ</t>
    </rPh>
    <rPh sb="3" eb="5">
      <t>シュルイ</t>
    </rPh>
    <phoneticPr fontId="6"/>
  </si>
  <si>
    <t>圧力(kPa)</t>
    <rPh sb="0" eb="2">
      <t>アツリョク</t>
    </rPh>
    <phoneticPr fontId="6"/>
  </si>
  <si>
    <t>温度(℃)</t>
    <rPh sb="0" eb="2">
      <t>オンド</t>
    </rPh>
    <phoneticPr fontId="6"/>
  </si>
  <si>
    <t>単位発熱量</t>
    <rPh sb="0" eb="2">
      <t>タンイ</t>
    </rPh>
    <rPh sb="2" eb="4">
      <t>ハツネツ</t>
    </rPh>
    <rPh sb="4" eb="5">
      <t>リョウ</t>
    </rPh>
    <phoneticPr fontId="6"/>
  </si>
  <si>
    <t>排出係数</t>
    <rPh sb="0" eb="2">
      <t>ハイシュツ</t>
    </rPh>
    <rPh sb="2" eb="4">
      <t>ケイスウ</t>
    </rPh>
    <phoneticPr fontId="6"/>
  </si>
  <si>
    <t>改版履歴</t>
    <rPh sb="0" eb="2">
      <t>カイバン</t>
    </rPh>
    <rPh sb="2" eb="4">
      <t>リレキ</t>
    </rPh>
    <phoneticPr fontId="10"/>
  </si>
  <si>
    <t>最新Rvision番号はB62セルに記入し、古い記述は下にシフトして記録を残していくこと。B62セルはP51セルにINDIRECTで表示している。</t>
    <phoneticPr fontId="6"/>
  </si>
  <si>
    <t>Rev.3.0</t>
  </si>
  <si>
    <t>R3.4.1</t>
  </si>
  <si>
    <t>第３計画期間用First Revision</t>
  </si>
  <si>
    <t>電気</t>
    <rPh sb="0" eb="2">
      <t>デンキ</t>
    </rPh>
    <phoneticPr fontId="27"/>
  </si>
  <si>
    <t>都市ガス(低圧用)</t>
    <rPh sb="5" eb="7">
      <t>テイアツ</t>
    </rPh>
    <rPh sb="7" eb="8">
      <t>ヨウ</t>
    </rPh>
    <phoneticPr fontId="6"/>
  </si>
  <si>
    <t>都市ガス(中間圧以上用)</t>
    <rPh sb="5" eb="7">
      <t>チュウカン</t>
    </rPh>
    <rPh sb="7" eb="8">
      <t>アツ</t>
    </rPh>
    <rPh sb="8" eb="10">
      <t>イジョウ</t>
    </rPh>
    <rPh sb="10" eb="11">
      <t>ヨウ</t>
    </rPh>
    <phoneticPr fontId="6"/>
  </si>
  <si>
    <t>液化石油ガス_LPG</t>
    <phoneticPr fontId="11"/>
  </si>
  <si>
    <t>原油</t>
    <rPh sb="0" eb="2">
      <t>ゲンユ</t>
    </rPh>
    <phoneticPr fontId="28"/>
  </si>
  <si>
    <t>揮発油_ガソリン</t>
    <rPh sb="0" eb="3">
      <t>キハツユ</t>
    </rPh>
    <phoneticPr fontId="28"/>
  </si>
  <si>
    <t>灯油</t>
    <rPh sb="0" eb="2">
      <t>トウユ</t>
    </rPh>
    <phoneticPr fontId="28"/>
  </si>
  <si>
    <t>軽油</t>
    <rPh sb="0" eb="2">
      <t>ケイユ</t>
    </rPh>
    <phoneticPr fontId="28"/>
  </si>
  <si>
    <t>重油</t>
    <rPh sb="0" eb="2">
      <t>ジュウユ</t>
    </rPh>
    <phoneticPr fontId="28"/>
  </si>
  <si>
    <t>ナフサ</t>
  </si>
  <si>
    <t>石油アスファルト</t>
    <rPh sb="0" eb="2">
      <t>セキユ</t>
    </rPh>
    <phoneticPr fontId="28"/>
  </si>
  <si>
    <t>石油系炭化水素ガス</t>
    <rPh sb="0" eb="3">
      <t>セキユケイ</t>
    </rPh>
    <rPh sb="3" eb="5">
      <t>タンカ</t>
    </rPh>
    <rPh sb="5" eb="7">
      <t>スイソ</t>
    </rPh>
    <phoneticPr fontId="28"/>
  </si>
  <si>
    <t>液化天然ガス_ＬＮＧ</t>
    <rPh sb="0" eb="2">
      <t>エキカ</t>
    </rPh>
    <rPh sb="2" eb="4">
      <t>テンネン</t>
    </rPh>
    <phoneticPr fontId="28"/>
  </si>
  <si>
    <t>その他可燃性天然ガス</t>
    <rPh sb="2" eb="3">
      <t>タ</t>
    </rPh>
    <rPh sb="3" eb="6">
      <t>カネンセイ</t>
    </rPh>
    <rPh sb="6" eb="8">
      <t>テンネン</t>
    </rPh>
    <phoneticPr fontId="28"/>
  </si>
  <si>
    <t>第４計画期間</t>
    <rPh sb="0" eb="1">
      <t>ダイ</t>
    </rPh>
    <rPh sb="2" eb="4">
      <t>ケイカク</t>
    </rPh>
    <rPh sb="4" eb="6">
      <t>キカン</t>
    </rPh>
    <phoneticPr fontId="6"/>
  </si>
  <si>
    <t>規模判定エネルギー使用量</t>
    <rPh sb="0" eb="4">
      <t>キボハンテイ</t>
    </rPh>
    <rPh sb="9" eb="12">
      <t>シヨウリョウ</t>
    </rPh>
    <phoneticPr fontId="5"/>
  </si>
  <si>
    <t>その他ガス排出量</t>
    <rPh sb="2" eb="3">
      <t>ホカ</t>
    </rPh>
    <rPh sb="5" eb="8">
      <t>ハイシュツリョウ</t>
    </rPh>
    <phoneticPr fontId="6"/>
  </si>
  <si>
    <t>算定資料</t>
    <phoneticPr fontId="6"/>
  </si>
  <si>
    <t>単位</t>
    <rPh sb="0" eb="2">
      <t>タンイ</t>
    </rPh>
    <phoneticPr fontId="5"/>
  </si>
  <si>
    <r>
      <t>排出係数
t-CO</t>
    </r>
    <r>
      <rPr>
        <vertAlign val="subscript"/>
        <sz val="11"/>
        <color theme="1"/>
        <rFont val="游明朝"/>
        <family val="1"/>
        <charset val="128"/>
      </rPr>
      <t>2</t>
    </r>
    <r>
      <rPr>
        <sz val="11"/>
        <color theme="1"/>
        <rFont val="游明朝"/>
        <family val="1"/>
        <charset val="128"/>
      </rPr>
      <t>/固有単位</t>
    </r>
    <rPh sb="0" eb="2">
      <t>ハイシュツ</t>
    </rPh>
    <rPh sb="2" eb="4">
      <t>ケイスウ</t>
    </rPh>
    <rPh sb="11" eb="15">
      <t>コユウタンイ</t>
    </rPh>
    <phoneticPr fontId="5"/>
  </si>
  <si>
    <r>
      <t>ｔ-ＣＯ</t>
    </r>
    <r>
      <rPr>
        <vertAlign val="subscript"/>
        <sz val="11"/>
        <color indexed="8"/>
        <rFont val="游明朝"/>
        <family val="1"/>
        <charset val="128"/>
      </rPr>
      <t>２</t>
    </r>
    <phoneticPr fontId="6"/>
  </si>
  <si>
    <t>証書等の種類</t>
    <rPh sb="0" eb="2">
      <t>ショウショ</t>
    </rPh>
    <rPh sb="2" eb="3">
      <t>トウ</t>
    </rPh>
    <rPh sb="4" eb="6">
      <t>シュルイ</t>
    </rPh>
    <phoneticPr fontId="5"/>
  </si>
  <si>
    <t>使　用　量
（端数処理後）</t>
    <rPh sb="0" eb="1">
      <t>シ</t>
    </rPh>
    <rPh sb="2" eb="3">
      <t>ヨウ</t>
    </rPh>
    <rPh sb="4" eb="5">
      <t>リョウ</t>
    </rPh>
    <rPh sb="7" eb="9">
      <t>ハスウ</t>
    </rPh>
    <rPh sb="9" eb="11">
      <t>ショリ</t>
    </rPh>
    <rPh sb="11" eb="12">
      <t>アト</t>
    </rPh>
    <phoneticPr fontId="6"/>
  </si>
  <si>
    <t>①　事業所内へ供給される電気・熱・都市ガスの使用量</t>
    <rPh sb="2" eb="5">
      <t>ジギョウジョ</t>
    </rPh>
    <rPh sb="5" eb="6">
      <t>ナイ</t>
    </rPh>
    <rPh sb="7" eb="9">
      <t>キョウキュウ</t>
    </rPh>
    <rPh sb="12" eb="14">
      <t>デンキ</t>
    </rPh>
    <rPh sb="15" eb="16">
      <t>ネツ</t>
    </rPh>
    <rPh sb="17" eb="19">
      <t>トシ</t>
    </rPh>
    <rPh sb="22" eb="25">
      <t>シヨウリョウ</t>
    </rPh>
    <phoneticPr fontId="5"/>
  </si>
  <si>
    <t>目標設定ガス</t>
    <rPh sb="0" eb="4">
      <t>モクヒョウセッテイ</t>
    </rPh>
    <phoneticPr fontId="6"/>
  </si>
  <si>
    <t>目標設定ガス</t>
    <rPh sb="0" eb="2">
      <t>モクヒョウ</t>
    </rPh>
    <rPh sb="2" eb="4">
      <t>セッテイ</t>
    </rPh>
    <phoneticPr fontId="5"/>
  </si>
  <si>
    <t>６．燃料等使用量及び目標設定ガス排出量（自動計算）続き</t>
    <rPh sb="8" eb="9">
      <t>オヨ</t>
    </rPh>
    <rPh sb="10" eb="14">
      <t>モクヒョウセッテイ</t>
    </rPh>
    <rPh sb="16" eb="18">
      <t>ハイシュツ</t>
    </rPh>
    <rPh sb="18" eb="19">
      <t>リョウ</t>
    </rPh>
    <rPh sb="25" eb="26">
      <t>ツヅ</t>
    </rPh>
    <phoneticPr fontId="6"/>
  </si>
  <si>
    <t>kL</t>
  </si>
  <si>
    <t>日本産業規格Ａ列４番</t>
    <phoneticPr fontId="5"/>
  </si>
  <si>
    <t>温室効果ガス排出量</t>
    <rPh sb="0" eb="4">
      <t>オンシツコウカ</t>
    </rPh>
    <rPh sb="6" eb="9">
      <t>ハイシュツリョウ</t>
    </rPh>
    <phoneticPr fontId="6"/>
  </si>
  <si>
    <t>その他の温室効果ガス</t>
    <rPh sb="2" eb="3">
      <t>タ</t>
    </rPh>
    <rPh sb="4" eb="6">
      <t>オンシツ</t>
    </rPh>
    <rPh sb="6" eb="8">
      <t>コウカ</t>
    </rPh>
    <phoneticPr fontId="6"/>
  </si>
  <si>
    <t>目標設定ガス以外のCO2</t>
    <phoneticPr fontId="5"/>
  </si>
  <si>
    <t>目標設定ガス以外のCO2</t>
    <rPh sb="0" eb="4">
      <t>モクヒョウセッテイ</t>
    </rPh>
    <rPh sb="6" eb="8">
      <t>イガイ</t>
    </rPh>
    <phoneticPr fontId="6"/>
  </si>
  <si>
    <t>熱</t>
    <rPh sb="0" eb="1">
      <t>ネツ</t>
    </rPh>
    <phoneticPr fontId="5"/>
  </si>
  <si>
    <t>電気</t>
    <rPh sb="0" eb="2">
      <t>デンキ</t>
    </rPh>
    <phoneticPr fontId="5"/>
  </si>
  <si>
    <t>目標設定ガス排出量</t>
    <rPh sb="0" eb="4">
      <t>モクヒョウセッテイ</t>
    </rPh>
    <rPh sb="6" eb="9">
      <t>ハイシュツリョウ</t>
    </rPh>
    <phoneticPr fontId="6"/>
  </si>
  <si>
    <t>上記以外の温室効果ガス</t>
    <rPh sb="0" eb="2">
      <t>ジョウキ</t>
    </rPh>
    <rPh sb="2" eb="4">
      <t>イガイ</t>
    </rPh>
    <rPh sb="5" eb="9">
      <t>オンシツコウカ</t>
    </rPh>
    <phoneticPr fontId="5"/>
  </si>
  <si>
    <t>単位発熱量</t>
    <rPh sb="0" eb="5">
      <t>タンイハツネツリョウ</t>
    </rPh>
    <phoneticPr fontId="6"/>
  </si>
  <si>
    <t>温室効果ガス
排出係数</t>
    <rPh sb="0" eb="4">
      <t>オンシツコウカ</t>
    </rPh>
    <rPh sb="7" eb="9">
      <t>ハイシュツ</t>
    </rPh>
    <rPh sb="9" eb="11">
      <t>ケイスウ</t>
    </rPh>
    <phoneticPr fontId="5"/>
  </si>
  <si>
    <t>事業所番号</t>
    <rPh sb="0" eb="3">
      <t>ジギョウジョ</t>
    </rPh>
    <rPh sb="3" eb="5">
      <t>バンゴウ</t>
    </rPh>
    <phoneticPr fontId="5"/>
  </si>
  <si>
    <t>廃棄物原燃料
（燃料として
使用する
廃棄物及び
廃棄物由来の
燃料）</t>
    <rPh sb="0" eb="3">
      <t>ハイキブツ</t>
    </rPh>
    <rPh sb="3" eb="6">
      <t>ゲンネンリョウ</t>
    </rPh>
    <rPh sb="8" eb="10">
      <t>ネンリョウ</t>
    </rPh>
    <rPh sb="14" eb="16">
      <t>シヨウ</t>
    </rPh>
    <rPh sb="19" eb="22">
      <t>ハイキブツ</t>
    </rPh>
    <rPh sb="22" eb="23">
      <t>オヨ</t>
    </rPh>
    <rPh sb="25" eb="28">
      <t>ハイキブツ</t>
    </rPh>
    <rPh sb="28" eb="30">
      <t>ユライ</t>
    </rPh>
    <rPh sb="32" eb="34">
      <t>ネンリョウ</t>
    </rPh>
    <phoneticPr fontId="5"/>
  </si>
  <si>
    <t>上記以外の非化石燃料</t>
    <rPh sb="0" eb="2">
      <t>ジョウキ</t>
    </rPh>
    <rPh sb="2" eb="4">
      <t>イガイ</t>
    </rPh>
    <rPh sb="5" eb="8">
      <t>ヒカセキ</t>
    </rPh>
    <rPh sb="8" eb="10">
      <t>ネンリョウ</t>
    </rPh>
    <phoneticPr fontId="5"/>
  </si>
  <si>
    <t>目標設定ガス排出量　合計</t>
    <rPh sb="0" eb="2">
      <t>モクヒョウ</t>
    </rPh>
    <rPh sb="2" eb="4">
      <t>セッテイ</t>
    </rPh>
    <rPh sb="6" eb="9">
      <t>ハイシュツリョウ</t>
    </rPh>
    <rPh sb="10" eb="12">
      <t>ゴウケイ</t>
    </rPh>
    <phoneticPr fontId="5"/>
  </si>
  <si>
    <r>
      <t>埼玉県森林CO</t>
    </r>
    <r>
      <rPr>
        <vertAlign val="subscript"/>
        <sz val="11"/>
        <color theme="1"/>
        <rFont val="游明朝"/>
        <family val="1"/>
        <charset val="128"/>
      </rPr>
      <t>2</t>
    </r>
    <r>
      <rPr>
        <sz val="11"/>
        <color theme="1"/>
        <rFont val="游明朝"/>
        <family val="1"/>
        <charset val="128"/>
      </rPr>
      <t>吸収量認証制度
において認証されたCO</t>
    </r>
    <r>
      <rPr>
        <vertAlign val="subscript"/>
        <sz val="11"/>
        <color theme="1"/>
        <rFont val="游明朝"/>
        <family val="1"/>
        <charset val="128"/>
      </rPr>
      <t>2</t>
    </r>
    <r>
      <rPr>
        <sz val="11"/>
        <color theme="1"/>
        <rFont val="游明朝"/>
        <family val="1"/>
        <charset val="128"/>
      </rPr>
      <t>吸収量</t>
    </r>
    <phoneticPr fontId="5"/>
  </si>
  <si>
    <r>
      <t>千ｍ</t>
    </r>
    <r>
      <rPr>
        <vertAlign val="superscript"/>
        <sz val="11"/>
        <color theme="1"/>
        <rFont val="游明朝"/>
        <family val="1"/>
        <charset val="128"/>
      </rPr>
      <t xml:space="preserve">3 </t>
    </r>
    <r>
      <rPr>
        <sz val="11"/>
        <color theme="1"/>
        <rFont val="游明朝"/>
        <family val="1"/>
        <charset val="128"/>
      </rPr>
      <t>(SATP)</t>
    </r>
    <rPh sb="0" eb="1">
      <t>セン</t>
    </rPh>
    <phoneticPr fontId="6"/>
  </si>
  <si>
    <t>高炉ガス</t>
    <phoneticPr fontId="5"/>
  </si>
  <si>
    <t>排出係数改善及び証書等利用による削減量</t>
    <rPh sb="10" eb="11">
      <t>トウ</t>
    </rPh>
    <rPh sb="18" eb="19">
      <t>リョウ</t>
    </rPh>
    <phoneticPr fontId="5"/>
  </si>
  <si>
    <t>７</t>
    <phoneticPr fontId="5"/>
  </si>
  <si>
    <t>８</t>
    <phoneticPr fontId="5"/>
  </si>
  <si>
    <t>９</t>
    <phoneticPr fontId="5"/>
  </si>
  <si>
    <t>１０</t>
    <phoneticPr fontId="5"/>
  </si>
  <si>
    <t>１１</t>
    <phoneticPr fontId="5"/>
  </si>
  <si>
    <t>第4和暦年度 全角</t>
    <rPh sb="0" eb="1">
      <t>ダイ</t>
    </rPh>
    <rPh sb="2" eb="4">
      <t>ワレキ</t>
    </rPh>
    <rPh sb="4" eb="6">
      <t>ネンド</t>
    </rPh>
    <rPh sb="7" eb="9">
      <t>ゼンカク</t>
    </rPh>
    <phoneticPr fontId="5"/>
  </si>
  <si>
    <t>検証</t>
    <rPh sb="0" eb="2">
      <t>ケンショウ</t>
    </rPh>
    <phoneticPr fontId="5"/>
  </si>
  <si>
    <t>未実施</t>
    <rPh sb="0" eb="3">
      <t>ミジッシ</t>
    </rPh>
    <phoneticPr fontId="5"/>
  </si>
  <si>
    <t>事業所種別</t>
    <rPh sb="0" eb="3">
      <t>ジギョウジョ</t>
    </rPh>
    <rPh sb="3" eb="5">
      <t>シュベツ</t>
    </rPh>
    <phoneticPr fontId="5"/>
  </si>
  <si>
    <t>A</t>
    <phoneticPr fontId="5"/>
  </si>
  <si>
    <t>Bテナント</t>
    <phoneticPr fontId="5"/>
  </si>
  <si>
    <t>C</t>
    <phoneticPr fontId="5"/>
  </si>
  <si>
    <t>B</t>
    <phoneticPr fontId="5"/>
  </si>
  <si>
    <r>
      <t>目標設定ガス以外のCO</t>
    </r>
    <r>
      <rPr>
        <vertAlign val="subscript"/>
        <sz val="11"/>
        <color theme="1"/>
        <rFont val="游明朝"/>
        <family val="1"/>
        <charset val="128"/>
      </rPr>
      <t>2</t>
    </r>
    <rPh sb="0" eb="2">
      <t>モクヒョウ</t>
    </rPh>
    <rPh sb="2" eb="4">
      <t>セッテイ</t>
    </rPh>
    <rPh sb="6" eb="8">
      <t>イガイ</t>
    </rPh>
    <phoneticPr fontId="5"/>
  </si>
  <si>
    <t>実施済</t>
    <rPh sb="0" eb="2">
      <t>ジッシ</t>
    </rPh>
    <rPh sb="2" eb="3">
      <t>ズ</t>
    </rPh>
    <phoneticPr fontId="5"/>
  </si>
  <si>
    <t>L</t>
    <phoneticPr fontId="5"/>
  </si>
  <si>
    <r>
      <t>m</t>
    </r>
    <r>
      <rPr>
        <vertAlign val="superscript"/>
        <sz val="11"/>
        <color theme="1"/>
        <rFont val="游ゴシック"/>
        <family val="3"/>
        <charset val="128"/>
        <scheme val="minor"/>
      </rPr>
      <t>3</t>
    </r>
    <phoneticPr fontId="5"/>
  </si>
  <si>
    <r>
      <t>Nm</t>
    </r>
    <r>
      <rPr>
        <vertAlign val="superscript"/>
        <sz val="11"/>
        <color theme="1"/>
        <rFont val="游ゴシック"/>
        <family val="3"/>
        <charset val="128"/>
        <scheme val="minor"/>
      </rPr>
      <t>3</t>
    </r>
    <phoneticPr fontId="5"/>
  </si>
  <si>
    <t>kg</t>
    <phoneticPr fontId="5"/>
  </si>
  <si>
    <t>原料炭</t>
    <rPh sb="0" eb="2">
      <t>ゲンリョウ</t>
    </rPh>
    <rPh sb="2" eb="3">
      <t>タン</t>
    </rPh>
    <phoneticPr fontId="28"/>
  </si>
  <si>
    <t>一般炭</t>
    <rPh sb="0" eb="2">
      <t>イッパン</t>
    </rPh>
    <rPh sb="2" eb="3">
      <t>タン</t>
    </rPh>
    <phoneticPr fontId="28"/>
  </si>
  <si>
    <t>無煙炭</t>
    <rPh sb="0" eb="3">
      <t>ムエンタン</t>
    </rPh>
    <phoneticPr fontId="28"/>
  </si>
  <si>
    <t>石炭コークス</t>
    <rPh sb="0" eb="2">
      <t>セキタン</t>
    </rPh>
    <phoneticPr fontId="42"/>
  </si>
  <si>
    <t>コールタール</t>
  </si>
  <si>
    <t>コークス炉ガス</t>
    <rPh sb="4" eb="5">
      <t>ロ</t>
    </rPh>
    <phoneticPr fontId="42"/>
  </si>
  <si>
    <t>高炉ガス</t>
    <rPh sb="0" eb="2">
      <t>コウロ</t>
    </rPh>
    <phoneticPr fontId="42"/>
  </si>
  <si>
    <t>転炉ガス</t>
    <rPh sb="0" eb="2">
      <t>テンロ</t>
    </rPh>
    <phoneticPr fontId="42"/>
  </si>
  <si>
    <t>その他の燃料</t>
    <rPh sb="2" eb="3">
      <t>タ</t>
    </rPh>
    <rPh sb="4" eb="6">
      <t>ネンリョウ</t>
    </rPh>
    <phoneticPr fontId="11"/>
  </si>
  <si>
    <t>産業用蒸気</t>
  </si>
  <si>
    <t>産業用以外の蒸気</t>
  </si>
  <si>
    <t>温水</t>
  </si>
  <si>
    <t>冷水</t>
  </si>
  <si>
    <t>再エネ_電気</t>
    <rPh sb="0" eb="1">
      <t>サイ</t>
    </rPh>
    <rPh sb="4" eb="6">
      <t>デンキ</t>
    </rPh>
    <phoneticPr fontId="27"/>
  </si>
  <si>
    <t>再エネ_熱</t>
    <rPh sb="0" eb="1">
      <t>サイ</t>
    </rPh>
    <rPh sb="4" eb="5">
      <t>ネツ</t>
    </rPh>
    <phoneticPr fontId="27"/>
  </si>
  <si>
    <t>監視点</t>
    <rPh sb="0" eb="3">
      <t>カンシテン</t>
    </rPh>
    <phoneticPr fontId="5"/>
  </si>
  <si>
    <t>事業所概要_算定体制</t>
    <rPh sb="0" eb="3">
      <t>ジギョウジョ</t>
    </rPh>
    <rPh sb="3" eb="5">
      <t>ガイヨウ</t>
    </rPh>
    <rPh sb="6" eb="8">
      <t>サンテイ</t>
    </rPh>
    <rPh sb="8" eb="10">
      <t>タイセイ</t>
    </rPh>
    <phoneticPr fontId="5"/>
  </si>
  <si>
    <t>監視点用燃料種類</t>
    <rPh sb="0" eb="3">
      <t>カンシテン</t>
    </rPh>
    <rPh sb="3" eb="4">
      <t>ヨウ</t>
    </rPh>
    <rPh sb="4" eb="6">
      <t>ネンリョウ</t>
    </rPh>
    <rPh sb="6" eb="8">
      <t>シュルイ</t>
    </rPh>
    <phoneticPr fontId="5"/>
  </si>
  <si>
    <t>ジェット燃料油</t>
    <rPh sb="4" eb="6">
      <t>ネンリョウ</t>
    </rPh>
    <rPh sb="6" eb="7">
      <t>アブラ</t>
    </rPh>
    <phoneticPr fontId="5"/>
  </si>
  <si>
    <t>建築確認書類</t>
    <phoneticPr fontId="5"/>
  </si>
  <si>
    <t>登記簿</t>
    <phoneticPr fontId="5"/>
  </si>
  <si>
    <t>その他</t>
    <phoneticPr fontId="5"/>
  </si>
  <si>
    <t>床面積</t>
    <rPh sb="0" eb="3">
      <t>ユカメンセキ</t>
    </rPh>
    <phoneticPr fontId="5"/>
  </si>
  <si>
    <t>把握方法</t>
    <rPh sb="0" eb="2">
      <t>ハアク</t>
    </rPh>
    <rPh sb="2" eb="4">
      <t>ホウホウ</t>
    </rPh>
    <phoneticPr fontId="5"/>
  </si>
  <si>
    <t>変更の有無</t>
    <rPh sb="0" eb="2">
      <t>ヘンコウ</t>
    </rPh>
    <rPh sb="3" eb="5">
      <t>ウム</t>
    </rPh>
    <phoneticPr fontId="5"/>
  </si>
  <si>
    <t>変更なし</t>
    <phoneticPr fontId="5"/>
  </si>
  <si>
    <t>右記のとおり変更</t>
    <phoneticPr fontId="5"/>
  </si>
  <si>
    <t>シート名</t>
    <rPh sb="3" eb="4">
      <t>メイ</t>
    </rPh>
    <phoneticPr fontId="5"/>
  </si>
  <si>
    <t>リスト名</t>
    <rPh sb="3" eb="4">
      <t>メイ</t>
    </rPh>
    <phoneticPr fontId="5"/>
  </si>
  <si>
    <t>燃料の使用</t>
  </si>
  <si>
    <t>事業所外利用の移動体への供給</t>
    <phoneticPr fontId="6"/>
  </si>
  <si>
    <t>工事のためのエネルギー使用</t>
    <phoneticPr fontId="6"/>
  </si>
  <si>
    <t>住宅用途への供給</t>
    <phoneticPr fontId="6"/>
  </si>
  <si>
    <t>他事業所への燃料等の直接供給</t>
    <phoneticPr fontId="6"/>
  </si>
  <si>
    <t>コークス炉ガス</t>
  </si>
  <si>
    <t>液化石油ガス_LPG_プロパン・ブタン混合</t>
    <rPh sb="19" eb="21">
      <t>コンゴウ</t>
    </rPh>
    <phoneticPr fontId="4"/>
  </si>
  <si>
    <t>液化石油ガス_LPG_プロパン</t>
  </si>
  <si>
    <t>液化石油ガス_LPG_ブタン</t>
  </si>
  <si>
    <t>液化石油ガス_LPG_その他</t>
    <rPh sb="13" eb="14">
      <t>タ</t>
    </rPh>
    <phoneticPr fontId="4"/>
  </si>
  <si>
    <t>原油_コンデンセートを除く</t>
    <rPh sb="0" eb="2">
      <t>ゲンユ</t>
    </rPh>
    <rPh sb="11" eb="12">
      <t>ノゾ</t>
    </rPh>
    <phoneticPr fontId="6"/>
  </si>
  <si>
    <t>原油_コンデンセート_ＮＧＬ</t>
    <rPh sb="0" eb="2">
      <t>ゲンユ</t>
    </rPh>
    <phoneticPr fontId="6"/>
  </si>
  <si>
    <t>揮発油_ガソリン</t>
    <rPh sb="0" eb="3">
      <t>キハツユ</t>
    </rPh>
    <phoneticPr fontId="6"/>
  </si>
  <si>
    <t>液化天然ガス_ＬＮＧ</t>
    <rPh sb="0" eb="2">
      <t>エキカ</t>
    </rPh>
    <rPh sb="2" eb="4">
      <t>テンネン</t>
    </rPh>
    <phoneticPr fontId="6"/>
  </si>
  <si>
    <t>原料炭_輸入原料炭</t>
    <rPh sb="0" eb="2">
      <t>ゲンリョウ</t>
    </rPh>
    <rPh sb="2" eb="3">
      <t>スミ</t>
    </rPh>
    <rPh sb="4" eb="6">
      <t>ユニュウ</t>
    </rPh>
    <rPh sb="6" eb="8">
      <t>ゲンリョウ</t>
    </rPh>
    <rPh sb="8" eb="9">
      <t>タン</t>
    </rPh>
    <phoneticPr fontId="6"/>
  </si>
  <si>
    <t>原料炭_コークス炉用原料炭</t>
    <rPh sb="8" eb="9">
      <t>ロ</t>
    </rPh>
    <rPh sb="9" eb="10">
      <t>ヨウ</t>
    </rPh>
    <rPh sb="10" eb="12">
      <t>ゲンリョウ</t>
    </rPh>
    <rPh sb="12" eb="13">
      <t>タン</t>
    </rPh>
    <phoneticPr fontId="6"/>
  </si>
  <si>
    <t>原料炭_吹込用原料炭</t>
    <rPh sb="4" eb="6">
      <t>フキコ</t>
    </rPh>
    <rPh sb="6" eb="7">
      <t>ヨウ</t>
    </rPh>
    <rPh sb="7" eb="9">
      <t>ゲンリョウ</t>
    </rPh>
    <rPh sb="9" eb="10">
      <t>タン</t>
    </rPh>
    <phoneticPr fontId="6"/>
  </si>
  <si>
    <t>一般炭_輸入一般炭</t>
    <rPh sb="0" eb="2">
      <t>イッパン</t>
    </rPh>
    <rPh sb="2" eb="3">
      <t>スミ</t>
    </rPh>
    <rPh sb="4" eb="8">
      <t>ユニュウイッパン</t>
    </rPh>
    <rPh sb="8" eb="9">
      <t>スミ</t>
    </rPh>
    <phoneticPr fontId="5"/>
  </si>
  <si>
    <t>一般炭_国産一般炭</t>
    <rPh sb="0" eb="2">
      <t>イッパン</t>
    </rPh>
    <rPh sb="2" eb="3">
      <t>スミ</t>
    </rPh>
    <rPh sb="4" eb="6">
      <t>コクサン</t>
    </rPh>
    <rPh sb="6" eb="8">
      <t>イッパン</t>
    </rPh>
    <rPh sb="8" eb="9">
      <t>スミ</t>
    </rPh>
    <phoneticPr fontId="6"/>
  </si>
  <si>
    <t>無煙炭_輸入無煙炭</t>
    <rPh sb="4" eb="6">
      <t>ユニュウ</t>
    </rPh>
    <rPh sb="6" eb="9">
      <t>ムエンタン</t>
    </rPh>
    <phoneticPr fontId="6"/>
  </si>
  <si>
    <t>高炉ガス_発電用以外</t>
    <rPh sb="0" eb="2">
      <t>コウロ</t>
    </rPh>
    <rPh sb="5" eb="7">
      <t>ハツデン</t>
    </rPh>
    <rPh sb="7" eb="8">
      <t>ヨウ</t>
    </rPh>
    <rPh sb="8" eb="10">
      <t>イガイ</t>
    </rPh>
    <phoneticPr fontId="6"/>
  </si>
  <si>
    <t>高炉ガス_発電用</t>
    <rPh sb="0" eb="2">
      <t>コウロ</t>
    </rPh>
    <phoneticPr fontId="6"/>
  </si>
  <si>
    <t>他事業所への熱や電気の外部供給</t>
    <rPh sb="11" eb="13">
      <t>ガイブ</t>
    </rPh>
    <phoneticPr fontId="6"/>
  </si>
  <si>
    <t>単位発熱量/一次エネルギー換算係数</t>
    <rPh sb="0" eb="5">
      <t>タンイハツネツリョウ</t>
    </rPh>
    <rPh sb="6" eb="8">
      <t>イチジ</t>
    </rPh>
    <rPh sb="13" eb="17">
      <t>カンザンケイスウ</t>
    </rPh>
    <phoneticPr fontId="5"/>
  </si>
  <si>
    <t>数値</t>
    <rPh sb="0" eb="2">
      <t>スウチ</t>
    </rPh>
    <phoneticPr fontId="5"/>
  </si>
  <si>
    <t>第4計画期間</t>
    <rPh sb="0" eb="1">
      <t>ダイ</t>
    </rPh>
    <rPh sb="2" eb="4">
      <t>ケイカク</t>
    </rPh>
    <rPh sb="4" eb="6">
      <t>キカン</t>
    </rPh>
    <phoneticPr fontId="5"/>
  </si>
  <si>
    <r>
      <t>GJ/千m</t>
    </r>
    <r>
      <rPr>
        <vertAlign val="superscript"/>
        <sz val="11"/>
        <color theme="1"/>
        <rFont val="游ゴシック"/>
        <family val="3"/>
        <charset val="128"/>
        <scheme val="minor"/>
      </rPr>
      <t>3(</t>
    </r>
    <r>
      <rPr>
        <sz val="11"/>
        <color theme="1"/>
        <rFont val="游ゴシック"/>
        <family val="3"/>
        <charset val="128"/>
        <scheme val="minor"/>
      </rPr>
      <t>SATP)</t>
    </r>
    <phoneticPr fontId="5"/>
  </si>
  <si>
    <t>t-C/GJ</t>
    <phoneticPr fontId="5"/>
  </si>
  <si>
    <r>
      <t>GJ/N千m</t>
    </r>
    <r>
      <rPr>
        <vertAlign val="superscript"/>
        <sz val="11"/>
        <color theme="1"/>
        <rFont val="游ゴシック"/>
        <family val="3"/>
        <charset val="128"/>
        <scheme val="minor"/>
      </rPr>
      <t>3</t>
    </r>
    <phoneticPr fontId="5"/>
  </si>
  <si>
    <t>単位変換</t>
    <rPh sb="0" eb="2">
      <t>タンイ</t>
    </rPh>
    <rPh sb="2" eb="4">
      <t>ヘンカン</t>
    </rPh>
    <phoneticPr fontId="5"/>
  </si>
  <si>
    <t>燃料</t>
    <phoneticPr fontId="5"/>
  </si>
  <si>
    <t>電気・熱_都市ガス</t>
    <rPh sb="0" eb="2">
      <t>デンキ</t>
    </rPh>
    <rPh sb="3" eb="4">
      <t>ネツ</t>
    </rPh>
    <rPh sb="5" eb="7">
      <t>トシ</t>
    </rPh>
    <phoneticPr fontId="5"/>
  </si>
  <si>
    <t>都市ガスの使用</t>
    <rPh sb="0" eb="2">
      <t>トシ</t>
    </rPh>
    <rPh sb="5" eb="7">
      <t>シヨウ</t>
    </rPh>
    <phoneticPr fontId="5"/>
  </si>
  <si>
    <t>都市ガス</t>
    <rPh sb="0" eb="2">
      <t>トシ</t>
    </rPh>
    <phoneticPr fontId="5"/>
  </si>
  <si>
    <t>有</t>
    <rPh sb="0" eb="1">
      <t>アリ</t>
    </rPh>
    <phoneticPr fontId="5"/>
  </si>
  <si>
    <t>無</t>
    <rPh sb="0" eb="1">
      <t>ナ</t>
    </rPh>
    <phoneticPr fontId="5"/>
  </si>
  <si>
    <t>把握方法</t>
    <rPh sb="0" eb="2">
      <t>ハアク</t>
    </rPh>
    <rPh sb="2" eb="4">
      <t>ホウホウ</t>
    </rPh>
    <phoneticPr fontId="5"/>
  </si>
  <si>
    <t>計量器の実測値</t>
    <rPh sb="0" eb="3">
      <t>ケイリョウキ</t>
    </rPh>
    <rPh sb="4" eb="7">
      <t>ジッソクチ</t>
    </rPh>
    <phoneticPr fontId="5"/>
  </si>
  <si>
    <t>その他</t>
    <rPh sb="2" eb="3">
      <t>ホカ</t>
    </rPh>
    <phoneticPr fontId="5"/>
  </si>
  <si>
    <t>kWh</t>
  </si>
  <si>
    <t>kWh</t>
    <phoneticPr fontId="5"/>
  </si>
  <si>
    <t>L</t>
  </si>
  <si>
    <t>kg</t>
  </si>
  <si>
    <t>t</t>
  </si>
  <si>
    <t>m3</t>
  </si>
  <si>
    <t>単位リスト</t>
    <rPh sb="0" eb="2">
      <t>タンイ</t>
    </rPh>
    <phoneticPr fontId="5"/>
  </si>
  <si>
    <t>Nm3</t>
  </si>
  <si>
    <r>
      <t>千m</t>
    </r>
    <r>
      <rPr>
        <vertAlign val="superscript"/>
        <sz val="11"/>
        <color theme="1"/>
        <rFont val="游ゴシック"/>
        <family val="3"/>
        <charset val="128"/>
        <scheme val="minor"/>
      </rPr>
      <t>3</t>
    </r>
    <rPh sb="0" eb="1">
      <t>セン</t>
    </rPh>
    <phoneticPr fontId="5"/>
  </si>
  <si>
    <r>
      <t>千Nm</t>
    </r>
    <r>
      <rPr>
        <vertAlign val="superscript"/>
        <sz val="11"/>
        <color theme="1"/>
        <rFont val="游ゴシック"/>
        <family val="3"/>
        <charset val="128"/>
        <scheme val="minor"/>
      </rPr>
      <t>3</t>
    </r>
    <rPh sb="0" eb="1">
      <t>セン</t>
    </rPh>
    <phoneticPr fontId="5"/>
  </si>
  <si>
    <r>
      <t>m</t>
    </r>
    <r>
      <rPr>
        <vertAlign val="superscript"/>
        <sz val="11"/>
        <color theme="1"/>
        <rFont val="游ゴシック"/>
        <family val="3"/>
        <charset val="128"/>
        <scheme val="minor"/>
      </rPr>
      <t>3</t>
    </r>
    <r>
      <rPr>
        <sz val="11"/>
        <color theme="1"/>
        <rFont val="游ゴシック"/>
        <family val="3"/>
        <charset val="128"/>
        <scheme val="minor"/>
      </rPr>
      <t>（SATP)</t>
    </r>
    <phoneticPr fontId="5"/>
  </si>
  <si>
    <r>
      <t>千m</t>
    </r>
    <r>
      <rPr>
        <vertAlign val="superscript"/>
        <sz val="11"/>
        <color theme="1"/>
        <rFont val="游ゴシック"/>
        <family val="3"/>
        <charset val="128"/>
        <scheme val="minor"/>
      </rPr>
      <t>3</t>
    </r>
    <r>
      <rPr>
        <sz val="11"/>
        <color theme="1"/>
        <rFont val="游ゴシック"/>
        <family val="3"/>
        <charset val="128"/>
        <scheme val="minor"/>
      </rPr>
      <t>（SATP)</t>
    </r>
    <rPh sb="0" eb="1">
      <t>セン</t>
    </rPh>
    <phoneticPr fontId="5"/>
  </si>
  <si>
    <t>燃料</t>
    <rPh sb="0" eb="2">
      <t>ネンリョウ</t>
    </rPh>
    <phoneticPr fontId="5"/>
  </si>
  <si>
    <t>熱の使用</t>
    <rPh sb="0" eb="1">
      <t>ネツ</t>
    </rPh>
    <rPh sb="2" eb="4">
      <t>シヨウ</t>
    </rPh>
    <phoneticPr fontId="5"/>
  </si>
  <si>
    <t>メニューA</t>
  </si>
  <si>
    <t>メニューB</t>
  </si>
  <si>
    <t>メニューC</t>
  </si>
  <si>
    <t>メニューD</t>
  </si>
  <si>
    <t>メニューE</t>
  </si>
  <si>
    <t>メニューF</t>
  </si>
  <si>
    <t>メニューG</t>
  </si>
  <si>
    <t>メニューH</t>
  </si>
  <si>
    <t>メニューI</t>
  </si>
  <si>
    <t>メニューJ</t>
  </si>
  <si>
    <t>メニューK</t>
  </si>
  <si>
    <t>メニューL</t>
  </si>
  <si>
    <t>メニューM</t>
  </si>
  <si>
    <t>メニューN</t>
  </si>
  <si>
    <t>メニューO</t>
  </si>
  <si>
    <t>メニューP</t>
  </si>
  <si>
    <t>メニューQ</t>
  </si>
  <si>
    <t>登録番号</t>
    <rPh sb="0" eb="2">
      <t>トウロク</t>
    </rPh>
    <rPh sb="2" eb="4">
      <t>バンゴウ</t>
    </rPh>
    <phoneticPr fontId="5"/>
  </si>
  <si>
    <t>メニュー名</t>
    <rPh sb="4" eb="5">
      <t>メイ</t>
    </rPh>
    <phoneticPr fontId="5"/>
  </si>
  <si>
    <t>契約メニューの有無</t>
    <rPh sb="0" eb="2">
      <t>ケイヤク</t>
    </rPh>
    <rPh sb="7" eb="9">
      <t>ウム</t>
    </rPh>
    <phoneticPr fontId="5"/>
  </si>
  <si>
    <t>国公表値</t>
    <rPh sb="0" eb="1">
      <t>クニ</t>
    </rPh>
    <rPh sb="1" eb="4">
      <t>コウヒョウチ</t>
    </rPh>
    <phoneticPr fontId="5"/>
  </si>
  <si>
    <t>国代替値</t>
    <rPh sb="0" eb="1">
      <t>クニ</t>
    </rPh>
    <rPh sb="1" eb="4">
      <t>ダイタイチ</t>
    </rPh>
    <phoneticPr fontId="5"/>
  </si>
  <si>
    <t>計量器の検定</t>
    <rPh sb="0" eb="3">
      <t>ケイリョウキ</t>
    </rPh>
    <rPh sb="4" eb="6">
      <t>ケンテイ</t>
    </rPh>
    <phoneticPr fontId="5"/>
  </si>
  <si>
    <t>低圧用</t>
    <rPh sb="0" eb="3">
      <t>テイアツヨウ</t>
    </rPh>
    <phoneticPr fontId="5"/>
  </si>
  <si>
    <t>電気・熱_都市ガス</t>
    <phoneticPr fontId="5"/>
  </si>
  <si>
    <t>再エネ電気・熱</t>
    <rPh sb="0" eb="1">
      <t>サイ</t>
    </rPh>
    <rPh sb="3" eb="5">
      <t>デンキ</t>
    </rPh>
    <rPh sb="6" eb="7">
      <t>ネツ</t>
    </rPh>
    <phoneticPr fontId="5"/>
  </si>
  <si>
    <t>電気の使用_一般送配電事業者の電線路を介して供給された買電</t>
    <rPh sb="0" eb="2">
      <t>デンキ</t>
    </rPh>
    <rPh sb="3" eb="5">
      <t>シヨウ</t>
    </rPh>
    <phoneticPr fontId="5"/>
  </si>
  <si>
    <t>①一般送配電事業者の電線路を介して供給された買電_種類</t>
    <rPh sb="1" eb="3">
      <t>イッパン</t>
    </rPh>
    <rPh sb="3" eb="9">
      <t>ソウハイデンジギョウシャ</t>
    </rPh>
    <rPh sb="10" eb="13">
      <t>デンセンロ</t>
    </rPh>
    <rPh sb="14" eb="15">
      <t>カイ</t>
    </rPh>
    <rPh sb="17" eb="19">
      <t>キョウキュウ</t>
    </rPh>
    <rPh sb="22" eb="24">
      <t>バイデン</t>
    </rPh>
    <rPh sb="25" eb="27">
      <t>シュルイ</t>
    </rPh>
    <phoneticPr fontId="5"/>
  </si>
  <si>
    <t>①事業所内供給_排出活動の種類　</t>
    <rPh sb="1" eb="4">
      <t>ジギョウジョ</t>
    </rPh>
    <rPh sb="4" eb="5">
      <t>ナイ</t>
    </rPh>
    <rPh sb="5" eb="7">
      <t>キョウキュウ</t>
    </rPh>
    <phoneticPr fontId="5"/>
  </si>
  <si>
    <t>②算定対象から除く_排出活動の種類　</t>
    <rPh sb="1" eb="3">
      <t>サンテイ</t>
    </rPh>
    <rPh sb="3" eb="5">
      <t>タイショウ</t>
    </rPh>
    <rPh sb="7" eb="8">
      <t>ノゾ</t>
    </rPh>
    <phoneticPr fontId="5"/>
  </si>
  <si>
    <t>①②共通_燃料種類</t>
    <rPh sb="5" eb="7">
      <t>ネンリョウ</t>
    </rPh>
    <rPh sb="7" eb="9">
      <t>シュルイ</t>
    </rPh>
    <phoneticPr fontId="5"/>
  </si>
  <si>
    <t>①熱の使用_種類</t>
    <rPh sb="1" eb="2">
      <t>ネツ</t>
    </rPh>
    <rPh sb="3" eb="5">
      <t>シヨウ</t>
    </rPh>
    <rPh sb="6" eb="8">
      <t>シュルイ</t>
    </rPh>
    <phoneticPr fontId="5"/>
  </si>
  <si>
    <t>①都市ガスの使用_種類</t>
    <rPh sb="1" eb="3">
      <t>トシ</t>
    </rPh>
    <rPh sb="6" eb="8">
      <t>シヨウ</t>
    </rPh>
    <rPh sb="9" eb="11">
      <t>シュルイ</t>
    </rPh>
    <phoneticPr fontId="5"/>
  </si>
  <si>
    <t>②_種類_外部供給以外</t>
    <rPh sb="2" eb="4">
      <t>シュルイ</t>
    </rPh>
    <rPh sb="5" eb="7">
      <t>ガイブ</t>
    </rPh>
    <rPh sb="7" eb="9">
      <t>キョウキュウ</t>
    </rPh>
    <rPh sb="9" eb="11">
      <t>イガイ</t>
    </rPh>
    <phoneticPr fontId="5"/>
  </si>
  <si>
    <t>②_種類_外部供給</t>
    <rPh sb="2" eb="4">
      <t>シュルイ</t>
    </rPh>
    <rPh sb="5" eb="7">
      <t>ガイブ</t>
    </rPh>
    <rPh sb="7" eb="9">
      <t>キョウキュウ</t>
    </rPh>
    <phoneticPr fontId="5"/>
  </si>
  <si>
    <t>電気の使用_一般送配電事業者の電線路以外</t>
    <rPh sb="0" eb="2">
      <t>デンキ</t>
    </rPh>
    <rPh sb="3" eb="5">
      <t>シヨウ</t>
    </rPh>
    <phoneticPr fontId="5"/>
  </si>
  <si>
    <t>①一般送配電事業者の電線路以外_種類</t>
    <rPh sb="16" eb="18">
      <t>シュルイ</t>
    </rPh>
    <phoneticPr fontId="5"/>
  </si>
  <si>
    <t>③算定対象から除く_排出活動の種類</t>
    <rPh sb="1" eb="5">
      <t>サンテイタイショウ</t>
    </rPh>
    <rPh sb="7" eb="8">
      <t>ノゾ</t>
    </rPh>
    <rPh sb="10" eb="12">
      <t>ハイシュツ</t>
    </rPh>
    <rPh sb="12" eb="14">
      <t>カツドウ</t>
    </rPh>
    <rPh sb="15" eb="17">
      <t>シュルイ</t>
    </rPh>
    <phoneticPr fontId="5"/>
  </si>
  <si>
    <t>電気_オフサイト型PPA</t>
    <rPh sb="0" eb="2">
      <t>デンキ</t>
    </rPh>
    <rPh sb="8" eb="9">
      <t>ガタ</t>
    </rPh>
    <phoneticPr fontId="5"/>
  </si>
  <si>
    <t>熱_産業用蒸気</t>
    <rPh sb="0" eb="1">
      <t>ネツ</t>
    </rPh>
    <phoneticPr fontId="5"/>
  </si>
  <si>
    <t>熱_産業用以外の蒸気</t>
    <rPh sb="0" eb="1">
      <t>ネツ</t>
    </rPh>
    <phoneticPr fontId="5"/>
  </si>
  <si>
    <t>熱_温水</t>
    <rPh sb="0" eb="1">
      <t>ネツ</t>
    </rPh>
    <phoneticPr fontId="5"/>
  </si>
  <si>
    <t>熱_冷水</t>
    <rPh sb="0" eb="1">
      <t>ネツ</t>
    </rPh>
    <phoneticPr fontId="5"/>
  </si>
  <si>
    <t>電気_オンサイト型PPA</t>
    <rPh sb="0" eb="2">
      <t>デンキ</t>
    </rPh>
    <rPh sb="8" eb="9">
      <t>ガタ</t>
    </rPh>
    <phoneticPr fontId="5"/>
  </si>
  <si>
    <t>電気_自家発電</t>
    <rPh sb="0" eb="2">
      <t>デンキ</t>
    </rPh>
    <rPh sb="3" eb="7">
      <t>ジカハツデン</t>
    </rPh>
    <phoneticPr fontId="5"/>
  </si>
  <si>
    <t>電気_非燃料由来の非化石電気</t>
    <rPh sb="0" eb="2">
      <t>デンキ</t>
    </rPh>
    <rPh sb="3" eb="4">
      <t>ヒ</t>
    </rPh>
    <rPh sb="4" eb="6">
      <t>ネンリョウ</t>
    </rPh>
    <rPh sb="6" eb="8">
      <t>ユライ</t>
    </rPh>
    <rPh sb="9" eb="12">
      <t>ヒカセキ</t>
    </rPh>
    <rPh sb="12" eb="14">
      <t>デンキ</t>
    </rPh>
    <phoneticPr fontId="5"/>
  </si>
  <si>
    <t>電気_電気事業者からの買電</t>
    <rPh sb="0" eb="2">
      <t>デンキ</t>
    </rPh>
    <rPh sb="3" eb="5">
      <t>デンキ</t>
    </rPh>
    <rPh sb="5" eb="8">
      <t>ジギョウシャ</t>
    </rPh>
    <rPh sb="11" eb="13">
      <t>バイデン</t>
    </rPh>
    <phoneticPr fontId="5"/>
  </si>
  <si>
    <t>再エネの種類</t>
    <rPh sb="0" eb="1">
      <t>サイ</t>
    </rPh>
    <rPh sb="4" eb="6">
      <t>シュルイ</t>
    </rPh>
    <phoneticPr fontId="5"/>
  </si>
  <si>
    <t>太陽光</t>
    <rPh sb="0" eb="3">
      <t>タイヨウコウ</t>
    </rPh>
    <phoneticPr fontId="8"/>
  </si>
  <si>
    <t>風力</t>
    <rPh sb="0" eb="2">
      <t>フウリョク</t>
    </rPh>
    <phoneticPr fontId="8"/>
  </si>
  <si>
    <t>地熱</t>
    <rPh sb="0" eb="2">
      <t>チネツ</t>
    </rPh>
    <phoneticPr fontId="8"/>
  </si>
  <si>
    <t>水力</t>
    <rPh sb="0" eb="2">
      <t>スイリョク</t>
    </rPh>
    <phoneticPr fontId="8"/>
  </si>
  <si>
    <t>温泉熱</t>
    <rPh sb="0" eb="3">
      <t>オンセンネツ</t>
    </rPh>
    <phoneticPr fontId="8"/>
  </si>
  <si>
    <t>雪氷熱</t>
    <rPh sb="0" eb="3">
      <t>セッピョウネツ</t>
    </rPh>
    <phoneticPr fontId="8"/>
  </si>
  <si>
    <t>バイオマス</t>
    <phoneticPr fontId="5"/>
  </si>
  <si>
    <t>任意_海水熱</t>
    <rPh sb="0" eb="2">
      <t>ニンイ</t>
    </rPh>
    <phoneticPr fontId="5"/>
  </si>
  <si>
    <t>任意_河川水熱</t>
    <rPh sb="0" eb="2">
      <t>ニンイ</t>
    </rPh>
    <phoneticPr fontId="5"/>
  </si>
  <si>
    <t>任意_地下水熱</t>
    <rPh sb="0" eb="2">
      <t>ニンイ</t>
    </rPh>
    <phoneticPr fontId="5"/>
  </si>
  <si>
    <t>任意_地中熱</t>
    <rPh sb="0" eb="2">
      <t>ニンイ</t>
    </rPh>
    <phoneticPr fontId="5"/>
  </si>
  <si>
    <t>バイオマス燃料の種類</t>
    <rPh sb="5" eb="7">
      <t>ネンリョウ</t>
    </rPh>
    <rPh sb="8" eb="10">
      <t>シュルイ</t>
    </rPh>
    <phoneticPr fontId="5"/>
  </si>
  <si>
    <t>黒液</t>
  </si>
  <si>
    <t>木材</t>
  </si>
  <si>
    <t>木質廃材</t>
  </si>
  <si>
    <t>バイオエタノール</t>
  </si>
  <si>
    <t>バイオディーゼル</t>
  </si>
  <si>
    <t>バイオガス</t>
  </si>
  <si>
    <t>その他バイオマス</t>
  </si>
  <si>
    <t>環境価値</t>
    <rPh sb="0" eb="2">
      <t>カンキョウ</t>
    </rPh>
    <rPh sb="2" eb="4">
      <t>カチ</t>
    </rPh>
    <phoneticPr fontId="5"/>
  </si>
  <si>
    <t>電気</t>
    <rPh sb="0" eb="2">
      <t>デンキ</t>
    </rPh>
    <phoneticPr fontId="5"/>
  </si>
  <si>
    <t>GJ/千kWh</t>
    <rPh sb="3" eb="4">
      <t>セン</t>
    </rPh>
    <phoneticPr fontId="5"/>
  </si>
  <si>
    <t>設定しない</t>
    <rPh sb="0" eb="2">
      <t>セッテイ</t>
    </rPh>
    <phoneticPr fontId="5"/>
  </si>
  <si>
    <r>
      <t>t-CO</t>
    </r>
    <r>
      <rPr>
        <vertAlign val="subscript"/>
        <sz val="11"/>
        <color theme="1"/>
        <rFont val="游ゴシック"/>
        <family val="3"/>
        <charset val="128"/>
        <scheme val="minor"/>
      </rPr>
      <t>2</t>
    </r>
    <r>
      <rPr>
        <sz val="11"/>
        <color theme="1"/>
        <rFont val="游ゴシック"/>
        <family val="3"/>
        <charset val="128"/>
        <scheme val="minor"/>
      </rPr>
      <t>/千kWh</t>
    </r>
    <rPh sb="6" eb="7">
      <t>セン</t>
    </rPh>
    <phoneticPr fontId="5"/>
  </si>
  <si>
    <t>事業者記入値</t>
    <rPh sb="0" eb="3">
      <t>ジギョウシャ</t>
    </rPh>
    <rPh sb="3" eb="6">
      <t>キニュウチ</t>
    </rPh>
    <phoneticPr fontId="5"/>
  </si>
  <si>
    <t>GJ/GJ</t>
    <phoneticPr fontId="5"/>
  </si>
  <si>
    <t>気体単位変換</t>
    <rPh sb="0" eb="2">
      <t>キタイ</t>
    </rPh>
    <rPh sb="2" eb="4">
      <t>タンイ</t>
    </rPh>
    <rPh sb="4" eb="6">
      <t>ヘンカン</t>
    </rPh>
    <phoneticPr fontId="5"/>
  </si>
  <si>
    <r>
      <t>t-CO</t>
    </r>
    <r>
      <rPr>
        <vertAlign val="subscript"/>
        <sz val="11"/>
        <color theme="1"/>
        <rFont val="游ゴシック"/>
        <family val="3"/>
        <charset val="128"/>
        <scheme val="minor"/>
      </rPr>
      <t>2</t>
    </r>
    <r>
      <rPr>
        <sz val="11"/>
        <color theme="1"/>
        <rFont val="游ゴシック"/>
        <family val="3"/>
        <charset val="128"/>
        <scheme val="minor"/>
      </rPr>
      <t>/GJ</t>
    </r>
    <phoneticPr fontId="5"/>
  </si>
  <si>
    <t>第3計画期間（第3計画期間基準での目標設定ガス排出量計算用）</t>
    <rPh sb="0" eb="1">
      <t>ダイ</t>
    </rPh>
    <rPh sb="2" eb="4">
      <t>ケイカク</t>
    </rPh>
    <rPh sb="4" eb="6">
      <t>キカン</t>
    </rPh>
    <rPh sb="7" eb="8">
      <t>ダイ</t>
    </rPh>
    <rPh sb="9" eb="13">
      <t>ケイカクキカン</t>
    </rPh>
    <rPh sb="13" eb="15">
      <t>キジュン</t>
    </rPh>
    <rPh sb="17" eb="19">
      <t>モクヒョウ</t>
    </rPh>
    <rPh sb="19" eb="21">
      <t>セッテイ</t>
    </rPh>
    <rPh sb="23" eb="25">
      <t>ハイシュツ</t>
    </rPh>
    <rPh sb="25" eb="26">
      <t>リョウ</t>
    </rPh>
    <rPh sb="26" eb="29">
      <t>ケイサンヨウ</t>
    </rPh>
    <phoneticPr fontId="5"/>
  </si>
  <si>
    <t>第3計画期間（第3計画期間基準での目標設定ガス排出量計算用）</t>
    <rPh sb="0" eb="1">
      <t>ダイ</t>
    </rPh>
    <rPh sb="2" eb="4">
      <t>ケイカク</t>
    </rPh>
    <rPh sb="4" eb="6">
      <t>キカン</t>
    </rPh>
    <phoneticPr fontId="5"/>
  </si>
  <si>
    <r>
      <t>GJ/千m</t>
    </r>
    <r>
      <rPr>
        <vertAlign val="superscript"/>
        <sz val="11"/>
        <color theme="1"/>
        <rFont val="游ゴシック"/>
        <family val="3"/>
        <charset val="128"/>
        <scheme val="minor"/>
      </rPr>
      <t>3</t>
    </r>
    <r>
      <rPr>
        <sz val="11"/>
        <color theme="1"/>
        <rFont val="游ゴシック"/>
        <family val="3"/>
        <charset val="128"/>
        <scheme val="minor"/>
      </rPr>
      <t>(SATP)</t>
    </r>
    <rPh sb="3" eb="4">
      <t>セン</t>
    </rPh>
    <phoneticPr fontId="5"/>
  </si>
  <si>
    <t>t-C/GJ</t>
    <phoneticPr fontId="5"/>
  </si>
  <si>
    <r>
      <t>t-CO</t>
    </r>
    <r>
      <rPr>
        <vertAlign val="subscript"/>
        <sz val="11"/>
        <color theme="1"/>
        <rFont val="游ゴシック"/>
        <family val="3"/>
        <charset val="128"/>
        <scheme val="minor"/>
      </rPr>
      <t>2</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t>
    </r>
    <rPh sb="6" eb="7">
      <t>セン</t>
    </rPh>
    <phoneticPr fontId="5"/>
  </si>
  <si>
    <t>排出係数設定根拠_電気・熱</t>
    <rPh sb="0" eb="2">
      <t>ハイシュツ</t>
    </rPh>
    <rPh sb="2" eb="4">
      <t>ケイスウ</t>
    </rPh>
    <rPh sb="4" eb="6">
      <t>セッテイ</t>
    </rPh>
    <rPh sb="6" eb="8">
      <t>コンキョ</t>
    </rPh>
    <rPh sb="9" eb="11">
      <t>デンキ</t>
    </rPh>
    <rPh sb="12" eb="13">
      <t>ネツ</t>
    </rPh>
    <phoneticPr fontId="5"/>
  </si>
  <si>
    <t>排出係数設定根拠_都市ガス</t>
    <rPh sb="0" eb="2">
      <t>ハイシュツ</t>
    </rPh>
    <rPh sb="2" eb="4">
      <t>ケイスウ</t>
    </rPh>
    <rPh sb="4" eb="6">
      <t>セッテイ</t>
    </rPh>
    <rPh sb="6" eb="8">
      <t>コンキョ</t>
    </rPh>
    <rPh sb="9" eb="11">
      <t>トシ</t>
    </rPh>
    <phoneticPr fontId="5"/>
  </si>
  <si>
    <t>メーター種_都市ガス</t>
    <rPh sb="4" eb="5">
      <t>シュ</t>
    </rPh>
    <rPh sb="6" eb="8">
      <t>トシ</t>
    </rPh>
    <phoneticPr fontId="5"/>
  </si>
  <si>
    <t>バイオマス燃料種_持続可能性</t>
    <rPh sb="5" eb="7">
      <t>ネンリョウ</t>
    </rPh>
    <rPh sb="7" eb="8">
      <t>シュ</t>
    </rPh>
    <rPh sb="9" eb="11">
      <t>ジゾク</t>
    </rPh>
    <rPh sb="11" eb="14">
      <t>カノウセイ</t>
    </rPh>
    <phoneticPr fontId="5"/>
  </si>
  <si>
    <t>排出係数設定根拠_環境価値有の場合</t>
    <rPh sb="0" eb="2">
      <t>ハイシュツ</t>
    </rPh>
    <rPh sb="2" eb="4">
      <t>ケイスウ</t>
    </rPh>
    <rPh sb="4" eb="6">
      <t>セッテイ</t>
    </rPh>
    <rPh sb="6" eb="8">
      <t>コンキョ</t>
    </rPh>
    <rPh sb="9" eb="11">
      <t>カンキョウ</t>
    </rPh>
    <rPh sb="11" eb="13">
      <t>カチ</t>
    </rPh>
    <rPh sb="13" eb="14">
      <t>アリ</t>
    </rPh>
    <rPh sb="15" eb="17">
      <t>バアイ</t>
    </rPh>
    <phoneticPr fontId="5"/>
  </si>
  <si>
    <t>国代替値</t>
    <rPh sb="0" eb="4">
      <t>クニダイタイチ</t>
    </rPh>
    <phoneticPr fontId="5"/>
  </si>
  <si>
    <t>排出係数設定根拠_環境価値無の場合</t>
    <rPh sb="0" eb="2">
      <t>ハイシュツ</t>
    </rPh>
    <rPh sb="2" eb="4">
      <t>ケイスウ</t>
    </rPh>
    <rPh sb="4" eb="6">
      <t>セッテイ</t>
    </rPh>
    <rPh sb="6" eb="8">
      <t>コンキョ</t>
    </rPh>
    <rPh sb="9" eb="11">
      <t>カンキョウ</t>
    </rPh>
    <rPh sb="11" eb="13">
      <t>カチ</t>
    </rPh>
    <rPh sb="13" eb="14">
      <t>ナ</t>
    </rPh>
    <rPh sb="15" eb="17">
      <t>バアイ</t>
    </rPh>
    <phoneticPr fontId="5"/>
  </si>
  <si>
    <t>燃料
電気・熱_都市ガス
再エネ電気・熱</t>
    <rPh sb="0" eb="2">
      <t>ネンリョウ</t>
    </rPh>
    <rPh sb="13" eb="14">
      <t>サイ</t>
    </rPh>
    <rPh sb="16" eb="18">
      <t>デンキ</t>
    </rPh>
    <rPh sb="19" eb="20">
      <t>ネツ</t>
    </rPh>
    <phoneticPr fontId="5"/>
  </si>
  <si>
    <t>千kWh</t>
    <rPh sb="0" eb="1">
      <t>セン</t>
    </rPh>
    <phoneticPr fontId="5"/>
  </si>
  <si>
    <t>MJ</t>
    <phoneticPr fontId="5"/>
  </si>
  <si>
    <t>アンモニア</t>
  </si>
  <si>
    <t>セメントクリンカーの製造</t>
  </si>
  <si>
    <t>ソーダ灰の製造</t>
  </si>
  <si>
    <t>廃棄物の焼却：廃油（植物性のもの及び動物性のもの並びに特定有害産業廃棄物を除く）</t>
  </si>
  <si>
    <t xml:space="preserve">廃棄物の焼却：廃油（特定有害産業廃棄物に限る。） </t>
  </si>
  <si>
    <t>廃棄物の焼却：合成繊維</t>
  </si>
  <si>
    <t>廃棄物の焼却：廃タイヤ</t>
  </si>
  <si>
    <t>廃棄物の焼却：合成繊維及び廃ﾀｲﾔ以外の廃ﾌﾟﾗｽﾁｯｸ類（産業廃棄物）</t>
  </si>
  <si>
    <t>廃棄物の焼却：ポリエチレンテレフタレート製の容器</t>
  </si>
  <si>
    <t>廃棄物の焼却：廃プラスチック類（合成繊維、廃タイヤ、廃プラスチック類（産業廃棄物であるものに限る。）及びポリエチレンテレフタレート製の容器を除く。）</t>
  </si>
  <si>
    <t>廃棄物の焼却：紙くず</t>
  </si>
  <si>
    <t>廃棄物の焼却：紙おむつ</t>
  </si>
  <si>
    <t>生石灰の製造:石灰石</t>
  </si>
  <si>
    <t>生石灰の製造:ドロマイト</t>
  </si>
  <si>
    <t>ソーダ石灰ガラスの製造:石灰石</t>
  </si>
  <si>
    <t>ソーダ石灰ガラスの製造:ドロマイト</t>
  </si>
  <si>
    <t>ソーダ石灰ガラスの製造:ソーダ灰（国内産）</t>
  </si>
  <si>
    <t>ソーダ石灰ガラスの製造:ソーダ灰（輸入）</t>
  </si>
  <si>
    <t>ソーダ石灰ガラスの製造:炭酸バリウム</t>
  </si>
  <si>
    <t>ソーダ石灰ガラスの製造:炭酸カリウム</t>
  </si>
  <si>
    <t>ソーダ石灰ガラスの製造:炭酸ストロンチウム</t>
  </si>
  <si>
    <t>ソーダ石灰ガラスの製造:炭酸リチウム</t>
  </si>
  <si>
    <t>その他用途・プロセスでの炭酸塩の使用:石灰石</t>
  </si>
  <si>
    <t>その他用途・プロセスでの炭酸塩の使用:ドロマイト</t>
  </si>
  <si>
    <t>その他用途・プロセスでの炭酸塩の使用:ソーダ灰（国内産）</t>
  </si>
  <si>
    <t>その他用途・プロセスでの炭酸塩の使用:ソーダ灰（輸入）</t>
  </si>
  <si>
    <t>アンモニアの製造:石炭</t>
  </si>
  <si>
    <t>アンモニアの製造:石油コークス</t>
  </si>
  <si>
    <t>アンモニアの製造:ナフサ</t>
  </si>
  <si>
    <t>アンモニアの製造:液化天然ガス（LNG)</t>
  </si>
  <si>
    <t>アンモニアの製造:天然ガス（液化天然ガス（LNG)を除く）</t>
  </si>
  <si>
    <t>炭化けい素の製造</t>
  </si>
  <si>
    <t>炭化カルシウムの製造:製造された生石灰を炭化カルシウムの原料として使用した場合の生石灰の製造</t>
  </si>
  <si>
    <t>炭化カルシウムの製造:炭化カルシウムの製造</t>
  </si>
  <si>
    <t>二酸化チタンの製造:二酸化チタンをルチルから分離させる方法</t>
  </si>
  <si>
    <t>二酸化チタンの製造:塩化チタンと酸素を化学反応させる方法</t>
  </si>
  <si>
    <t>エチレン等の製造:エチレン（ナフサからの製造）</t>
  </si>
  <si>
    <t>エチレン等の製造:エチレン（軽油からの製造）</t>
  </si>
  <si>
    <t>エチレン等の製造:エチレン（エタンからの製造）</t>
  </si>
  <si>
    <t>エチレン等の製造:エチレン（プロパンからの製造）</t>
  </si>
  <si>
    <t>エチレン等の製造:エチレン（ブタンからの製造）</t>
  </si>
  <si>
    <t>エチレン等の製造:エチレン（その他原料からの製造）</t>
  </si>
  <si>
    <t>エチレン等の製造:クロロエチレン</t>
  </si>
  <si>
    <t>エチレン等の製造:酸化エチレン</t>
  </si>
  <si>
    <t>エチレン等の製造:アクリロニトリル</t>
  </si>
  <si>
    <t>エチレン等の製造:カーボンブラック</t>
  </si>
  <si>
    <t>エチレン等の製造:無水フタル酸</t>
  </si>
  <si>
    <t>エチレン等の製造:無水マレイン酸</t>
  </si>
  <si>
    <t>エチレン等の製造:水素</t>
  </si>
  <si>
    <t>カルシウムカーバイドを原料としたアセチレンの使用</t>
  </si>
  <si>
    <t>電気炉における炭素電極の使用</t>
  </si>
  <si>
    <t>鉄鋼の製造における鉱物の使用:石灰石</t>
  </si>
  <si>
    <t>鉄鋼の製造における鉱物の使用:ドロマイト</t>
  </si>
  <si>
    <t>鉄鋼の製造において生じるガスの燃焼（フレアリング）:高炉がス</t>
  </si>
  <si>
    <t>鉄鋼の製造において生じるガスの燃焼（フレアリング）:転炉ガス</t>
  </si>
  <si>
    <t>潤滑油等の使用:潤滑油</t>
  </si>
  <si>
    <t>潤滑油等の使用:グリース</t>
  </si>
  <si>
    <t>潤滑油等の使用:パラフィンろう</t>
  </si>
  <si>
    <t>非メタン揮発性有機化合物（NMVOC)を含む溶剤の焼却</t>
  </si>
  <si>
    <t>ドライアイスの製造</t>
  </si>
  <si>
    <t>ドライアイスの使用</t>
  </si>
  <si>
    <t>炭酸ガスのボンベへの封入</t>
  </si>
  <si>
    <t xml:space="preserve">炭酸ガスの使用に伴い排出されたCO2の量 </t>
  </si>
  <si>
    <t>その他活動によるCO2排出量1</t>
  </si>
  <si>
    <t>その他活動によるCO2排出量2</t>
  </si>
  <si>
    <t>その他活動によるCO2排出量3</t>
  </si>
  <si>
    <t>シート　燃料</t>
    <rPh sb="4" eb="6">
      <t>ネンリョウ</t>
    </rPh>
    <phoneticPr fontId="5"/>
  </si>
  <si>
    <t>シート　非化石燃料</t>
    <rPh sb="4" eb="9">
      <t>ヒカセキネンリョウ</t>
    </rPh>
    <phoneticPr fontId="5"/>
  </si>
  <si>
    <t>シート　その他ガス</t>
    <rPh sb="6" eb="7">
      <t>ホカ</t>
    </rPh>
    <phoneticPr fontId="5"/>
  </si>
  <si>
    <t>シート　証書_森林吸収量</t>
    <rPh sb="4" eb="6">
      <t>ショウショ</t>
    </rPh>
    <rPh sb="7" eb="12">
      <t>シンリンキュウシュウリョウ</t>
    </rPh>
    <phoneticPr fontId="5"/>
  </si>
  <si>
    <t>グリーン熱証書</t>
    <rPh sb="4" eb="5">
      <t>ネツ</t>
    </rPh>
    <rPh sb="5" eb="7">
      <t>ショウショ</t>
    </rPh>
    <phoneticPr fontId="5"/>
  </si>
  <si>
    <t>シート　電気・熱_都市ガス、再エネ電気・熱</t>
    <rPh sb="4" eb="6">
      <t>デンキ</t>
    </rPh>
    <rPh sb="7" eb="8">
      <t>ネツ</t>
    </rPh>
    <rPh sb="9" eb="11">
      <t>トシ</t>
    </rPh>
    <rPh sb="14" eb="15">
      <t>サイ</t>
    </rPh>
    <rPh sb="17" eb="19">
      <t>デンキ</t>
    </rPh>
    <rPh sb="20" eb="21">
      <t>ネツ</t>
    </rPh>
    <phoneticPr fontId="5"/>
  </si>
  <si>
    <t>証書_森林吸収量</t>
    <rPh sb="0" eb="2">
      <t>ショウショ</t>
    </rPh>
    <rPh sb="3" eb="5">
      <t>シンリン</t>
    </rPh>
    <rPh sb="5" eb="8">
      <t>キュウシュウリョウ</t>
    </rPh>
    <phoneticPr fontId="5"/>
  </si>
  <si>
    <t>種類</t>
    <rPh sb="0" eb="2">
      <t>シュルイ</t>
    </rPh>
    <phoneticPr fontId="5"/>
  </si>
  <si>
    <t>揮発油_ガソリン</t>
    <phoneticPr fontId="6"/>
  </si>
  <si>
    <t>ナフサ</t>
    <phoneticPr fontId="5"/>
  </si>
  <si>
    <t>液化石油ガス_LPG_プロパン</t>
    <phoneticPr fontId="5"/>
  </si>
  <si>
    <t>液化石油ガス_LPG_ブタン</t>
    <phoneticPr fontId="5"/>
  </si>
  <si>
    <t>コールタール</t>
    <phoneticPr fontId="5"/>
  </si>
  <si>
    <t>コークス炉ガス</t>
    <phoneticPr fontId="5"/>
  </si>
  <si>
    <t>７</t>
  </si>
  <si>
    <t>（１）都市ガス・ＬＰＧ以外の気体化石燃料</t>
    <rPh sb="16" eb="18">
      <t>カセキ</t>
    </rPh>
    <phoneticPr fontId="6"/>
  </si>
  <si>
    <t>（２）その他の化石燃料</t>
    <rPh sb="5" eb="6">
      <t>タ</t>
    </rPh>
    <rPh sb="7" eb="9">
      <t>カセキ</t>
    </rPh>
    <rPh sb="9" eb="11">
      <t>ネンリョウ</t>
    </rPh>
    <phoneticPr fontId="6"/>
  </si>
  <si>
    <t>換算係数</t>
    <rPh sb="0" eb="2">
      <t>カンザン</t>
    </rPh>
    <rPh sb="2" eb="4">
      <t>ケイスウ</t>
    </rPh>
    <phoneticPr fontId="5"/>
  </si>
  <si>
    <t>換算単位</t>
    <rPh sb="0" eb="2">
      <t>カンザン</t>
    </rPh>
    <rPh sb="2" eb="4">
      <t>タンイ</t>
    </rPh>
    <phoneticPr fontId="5"/>
  </si>
  <si>
    <t>石油系炭化水素ガス</t>
    <rPh sb="0" eb="3">
      <t>セキユケイ</t>
    </rPh>
    <rPh sb="3" eb="7">
      <t>タンカスイソ</t>
    </rPh>
    <phoneticPr fontId="5"/>
  </si>
  <si>
    <t>高炉ガス_発電用</t>
    <rPh sb="0" eb="2">
      <t>コウロ</t>
    </rPh>
    <rPh sb="5" eb="7">
      <t>ハツデン</t>
    </rPh>
    <rPh sb="7" eb="8">
      <t>ヨウ</t>
    </rPh>
    <phoneticPr fontId="6"/>
  </si>
  <si>
    <r>
      <t>m</t>
    </r>
    <r>
      <rPr>
        <vertAlign val="superscript"/>
        <sz val="11"/>
        <color theme="1"/>
        <rFont val="游ゴシック"/>
        <family val="3"/>
        <charset val="128"/>
        <scheme val="minor"/>
      </rPr>
      <t>3</t>
    </r>
    <r>
      <rPr>
        <sz val="11"/>
        <color theme="1"/>
        <rFont val="游ゴシック"/>
        <family val="3"/>
        <charset val="128"/>
        <scheme val="minor"/>
      </rPr>
      <t>→m</t>
    </r>
    <r>
      <rPr>
        <vertAlign val="superscript"/>
        <sz val="11"/>
        <color theme="1"/>
        <rFont val="游ゴシック"/>
        <family val="3"/>
        <charset val="128"/>
        <scheme val="minor"/>
      </rPr>
      <t>3</t>
    </r>
    <r>
      <rPr>
        <sz val="11"/>
        <color theme="1"/>
        <rFont val="游ゴシック"/>
        <family val="3"/>
        <charset val="128"/>
        <scheme val="minor"/>
      </rPr>
      <t>(SATP)への換算係数</t>
    </r>
    <rPh sb="13" eb="15">
      <t>カンザン</t>
    </rPh>
    <rPh sb="15" eb="17">
      <t>ケイスウ</t>
    </rPh>
    <phoneticPr fontId="5"/>
  </si>
  <si>
    <t>事業所概要_算定体制から圧力と温度を参照して計算</t>
    <rPh sb="12" eb="14">
      <t>アツリョク</t>
    </rPh>
    <rPh sb="15" eb="17">
      <t>オンド</t>
    </rPh>
    <rPh sb="18" eb="20">
      <t>サンショウ</t>
    </rPh>
    <rPh sb="22" eb="24">
      <t>ケイサン</t>
    </rPh>
    <phoneticPr fontId="5"/>
  </si>
  <si>
    <t>単位補正</t>
    <rPh sb="0" eb="2">
      <t>タンイ</t>
    </rPh>
    <rPh sb="2" eb="4">
      <t>ホセイ</t>
    </rPh>
    <phoneticPr fontId="5"/>
  </si>
  <si>
    <t>単位補正</t>
    <rPh sb="0" eb="2">
      <t>タンイ</t>
    </rPh>
    <rPh sb="2" eb="4">
      <t>ホセイ</t>
    </rPh>
    <phoneticPr fontId="5"/>
  </si>
  <si>
    <t>単位補正値</t>
    <rPh sb="0" eb="4">
      <t>タンイホセイ</t>
    </rPh>
    <rPh sb="4" eb="5">
      <t>チ</t>
    </rPh>
    <phoneticPr fontId="5"/>
  </si>
  <si>
    <t>単位換算</t>
    <rPh sb="0" eb="4">
      <t>タンイカンザン</t>
    </rPh>
    <phoneticPr fontId="5"/>
  </si>
  <si>
    <r>
      <t>千m</t>
    </r>
    <r>
      <rPr>
        <vertAlign val="superscript"/>
        <sz val="11"/>
        <color theme="1"/>
        <rFont val="游ゴシック"/>
        <family val="3"/>
        <charset val="128"/>
        <scheme val="minor"/>
      </rPr>
      <t>3</t>
    </r>
    <r>
      <rPr>
        <sz val="11"/>
        <color theme="1"/>
        <rFont val="游ゴシック"/>
        <family val="3"/>
        <charset val="128"/>
        <scheme val="minor"/>
      </rPr>
      <t>→tへの換算係数</t>
    </r>
    <rPh sb="0" eb="1">
      <t>セン</t>
    </rPh>
    <phoneticPr fontId="5"/>
  </si>
  <si>
    <r>
      <t>千m</t>
    </r>
    <r>
      <rPr>
        <vertAlign val="superscript"/>
        <sz val="11"/>
        <color theme="1"/>
        <rFont val="游ゴシック"/>
        <family val="3"/>
        <charset val="128"/>
        <scheme val="minor"/>
      </rPr>
      <t>3</t>
    </r>
    <r>
      <rPr>
        <sz val="11"/>
        <color theme="1"/>
        <rFont val="游ゴシック"/>
        <family val="3"/>
        <charset val="128"/>
        <scheme val="minor"/>
      </rPr>
      <t>→tへの換算係数　（m3を単位補正1000で割った値に、この換算係数を掛ける）</t>
    </r>
    <rPh sb="0" eb="1">
      <t>セン</t>
    </rPh>
    <rPh sb="16" eb="18">
      <t>タンイ</t>
    </rPh>
    <rPh sb="18" eb="20">
      <t>ホセイ</t>
    </rPh>
    <rPh sb="25" eb="26">
      <t>ワ</t>
    </rPh>
    <rPh sb="28" eb="29">
      <t>アタイ</t>
    </rPh>
    <rPh sb="33" eb="35">
      <t>カンザン</t>
    </rPh>
    <rPh sb="35" eb="37">
      <t>ケイスウ</t>
    </rPh>
    <rPh sb="38" eb="39">
      <t>カ</t>
    </rPh>
    <phoneticPr fontId="5"/>
  </si>
  <si>
    <t>使用量(年度計)
単位換算後</t>
    <rPh sb="0" eb="3">
      <t>シヨウリョウ</t>
    </rPh>
    <rPh sb="4" eb="6">
      <t>ネンド</t>
    </rPh>
    <rPh sb="6" eb="7">
      <t>ケイ</t>
    </rPh>
    <rPh sb="9" eb="11">
      <t>タンイ</t>
    </rPh>
    <rPh sb="11" eb="13">
      <t>カンザン</t>
    </rPh>
    <rPh sb="13" eb="14">
      <t>アト</t>
    </rPh>
    <phoneticPr fontId="5"/>
  </si>
  <si>
    <t>換算後単位</t>
    <rPh sb="0" eb="3">
      <t>カンザンアト</t>
    </rPh>
    <rPh sb="3" eb="5">
      <t>タンイ</t>
    </rPh>
    <phoneticPr fontId="5"/>
  </si>
  <si>
    <t>排出活動
選択</t>
    <rPh sb="0" eb="2">
      <t>ハイシュツ</t>
    </rPh>
    <rPh sb="2" eb="4">
      <t>カツドウ</t>
    </rPh>
    <rPh sb="5" eb="7">
      <t>センタク</t>
    </rPh>
    <phoneticPr fontId="5"/>
  </si>
  <si>
    <r>
      <t>Nm</t>
    </r>
    <r>
      <rPr>
        <vertAlign val="superscript"/>
        <sz val="11"/>
        <color theme="1"/>
        <rFont val="游ゴシック"/>
        <family val="3"/>
        <charset val="128"/>
        <scheme val="minor"/>
      </rPr>
      <t>3</t>
    </r>
    <r>
      <rPr>
        <sz val="11"/>
        <color theme="1"/>
        <rFont val="游ゴシック"/>
        <family val="3"/>
        <charset val="128"/>
        <scheme val="minor"/>
      </rPr>
      <t xml:space="preserve"> →m</t>
    </r>
    <r>
      <rPr>
        <vertAlign val="superscript"/>
        <sz val="11"/>
        <color theme="1"/>
        <rFont val="游ゴシック"/>
        <family val="3"/>
        <charset val="128"/>
        <scheme val="minor"/>
      </rPr>
      <t>3</t>
    </r>
    <r>
      <rPr>
        <sz val="11"/>
        <color theme="1"/>
        <rFont val="游ゴシック"/>
        <family val="3"/>
        <charset val="128"/>
        <scheme val="minor"/>
      </rPr>
      <t>(SATP)への換算係数</t>
    </r>
    <rPh sb="15" eb="17">
      <t>カンザン</t>
    </rPh>
    <rPh sb="17" eb="19">
      <t>ケイスウ</t>
    </rPh>
    <phoneticPr fontId="5"/>
  </si>
  <si>
    <r>
      <t>千Nm</t>
    </r>
    <r>
      <rPr>
        <vertAlign val="superscript"/>
        <sz val="11"/>
        <color theme="1"/>
        <rFont val="游ゴシック"/>
        <family val="3"/>
        <charset val="128"/>
        <scheme val="minor"/>
      </rPr>
      <t>3</t>
    </r>
    <r>
      <rPr>
        <sz val="11"/>
        <color theme="1"/>
        <rFont val="游ゴシック"/>
        <family val="3"/>
        <charset val="128"/>
        <scheme val="minor"/>
      </rPr>
      <t xml:space="preserve"> →千m</t>
    </r>
    <r>
      <rPr>
        <vertAlign val="superscript"/>
        <sz val="11"/>
        <color theme="1"/>
        <rFont val="游ゴシック"/>
        <family val="3"/>
        <charset val="128"/>
        <scheme val="minor"/>
      </rPr>
      <t>3</t>
    </r>
    <r>
      <rPr>
        <sz val="11"/>
        <color theme="1"/>
        <rFont val="游ゴシック"/>
        <family val="3"/>
        <charset val="128"/>
        <scheme val="minor"/>
      </rPr>
      <t>(SATP)への換算係数</t>
    </r>
    <rPh sb="0" eb="1">
      <t>セン</t>
    </rPh>
    <rPh sb="6" eb="7">
      <t>セン</t>
    </rPh>
    <rPh sb="17" eb="19">
      <t>カンザン</t>
    </rPh>
    <rPh sb="19" eb="21">
      <t>ケイスウ</t>
    </rPh>
    <phoneticPr fontId="5"/>
  </si>
  <si>
    <t>記入単位</t>
    <rPh sb="0" eb="2">
      <t>キニュウ</t>
    </rPh>
    <rPh sb="2" eb="4">
      <t>タンイ</t>
    </rPh>
    <phoneticPr fontId="5"/>
  </si>
  <si>
    <t>熱量</t>
    <rPh sb="0" eb="2">
      <t>ネツリョウ</t>
    </rPh>
    <phoneticPr fontId="5"/>
  </si>
  <si>
    <t>原料炭</t>
    <rPh sb="0" eb="2">
      <t>ゲンリョウ</t>
    </rPh>
    <rPh sb="2" eb="3">
      <t>スミ</t>
    </rPh>
    <phoneticPr fontId="6"/>
  </si>
  <si>
    <t>一般炭</t>
    <rPh sb="2" eb="3">
      <t>スミ</t>
    </rPh>
    <phoneticPr fontId="6"/>
  </si>
  <si>
    <t>無煙炭</t>
    <rPh sb="0" eb="3">
      <t>ムエンタン</t>
    </rPh>
    <phoneticPr fontId="6"/>
  </si>
  <si>
    <t>高炉ガス</t>
    <rPh sb="0" eb="2">
      <t>コウロ</t>
    </rPh>
    <phoneticPr fontId="6"/>
  </si>
  <si>
    <t>第4まとめ表
行番号</t>
    <rPh sb="0" eb="1">
      <t>ダイ</t>
    </rPh>
    <rPh sb="5" eb="6">
      <t>ヒョウ</t>
    </rPh>
    <rPh sb="7" eb="10">
      <t>ギョウバンゴウ</t>
    </rPh>
    <phoneticPr fontId="5"/>
  </si>
  <si>
    <t>第3まとめ表
行番号</t>
    <rPh sb="0" eb="1">
      <t>ダイ</t>
    </rPh>
    <rPh sb="5" eb="6">
      <t>ヒョウ</t>
    </rPh>
    <rPh sb="7" eb="10">
      <t>ギョウバンゴウ</t>
    </rPh>
    <phoneticPr fontId="5"/>
  </si>
  <si>
    <t>第3係数
排出係数</t>
    <rPh sb="0" eb="1">
      <t>ダイ</t>
    </rPh>
    <rPh sb="2" eb="4">
      <t>ケイスウ</t>
    </rPh>
    <rPh sb="5" eb="7">
      <t>ハイシュツ</t>
    </rPh>
    <rPh sb="7" eb="9">
      <t>ケイスウ</t>
    </rPh>
    <phoneticPr fontId="5"/>
  </si>
  <si>
    <t>第3係数
熱量[GJ]</t>
    <rPh sb="0" eb="1">
      <t>ダイ</t>
    </rPh>
    <rPh sb="2" eb="4">
      <t>ケイスウ</t>
    </rPh>
    <rPh sb="5" eb="7">
      <t>ネツリョウ</t>
    </rPh>
    <phoneticPr fontId="5"/>
  </si>
  <si>
    <t>第3係数
使用量（年度計)</t>
    <rPh sb="0" eb="1">
      <t>ダイ</t>
    </rPh>
    <rPh sb="2" eb="4">
      <t>ケイスウ</t>
    </rPh>
    <rPh sb="5" eb="8">
      <t>シヨウリョウ</t>
    </rPh>
    <rPh sb="9" eb="11">
      <t>ネンド</t>
    </rPh>
    <rPh sb="11" eb="12">
      <t>ケイ</t>
    </rPh>
    <phoneticPr fontId="5"/>
  </si>
  <si>
    <t>第3係数
単位発熱量</t>
    <rPh sb="0" eb="1">
      <t>ダイ</t>
    </rPh>
    <rPh sb="2" eb="4">
      <t>ケイスウ</t>
    </rPh>
    <rPh sb="5" eb="7">
      <t>タンイ</t>
    </rPh>
    <rPh sb="7" eb="10">
      <t>ハツネツリョウ</t>
    </rPh>
    <phoneticPr fontId="5"/>
  </si>
  <si>
    <t>第3係数気体単位換算
（SATP→N)</t>
    <rPh sb="0" eb="1">
      <t>ダイ</t>
    </rPh>
    <rPh sb="2" eb="4">
      <t>ケイスウ</t>
    </rPh>
    <rPh sb="4" eb="6">
      <t>キタイ</t>
    </rPh>
    <rPh sb="6" eb="8">
      <t>タンイ</t>
    </rPh>
    <rPh sb="8" eb="10">
      <t>カンザン</t>
    </rPh>
    <phoneticPr fontId="5"/>
  </si>
  <si>
    <r>
      <t>第3係数
排出量[t-CO</t>
    </r>
    <r>
      <rPr>
        <vertAlign val="subscript"/>
        <sz val="11"/>
        <color theme="1"/>
        <rFont val="游明朝"/>
        <family val="1"/>
        <charset val="128"/>
      </rPr>
      <t>2</t>
    </r>
    <r>
      <rPr>
        <sz val="11"/>
        <color theme="1"/>
        <rFont val="游明朝"/>
        <family val="1"/>
        <charset val="128"/>
      </rPr>
      <t>]</t>
    </r>
    <rPh sb="0" eb="1">
      <t>ダイ</t>
    </rPh>
    <rPh sb="2" eb="4">
      <t>ケイスウ</t>
    </rPh>
    <rPh sb="5" eb="7">
      <t>ハイシュツ</t>
    </rPh>
    <rPh sb="7" eb="8">
      <t>リョウ</t>
    </rPh>
    <phoneticPr fontId="5"/>
  </si>
  <si>
    <r>
      <t>千Nｍ</t>
    </r>
    <r>
      <rPr>
        <vertAlign val="superscript"/>
        <sz val="11"/>
        <color theme="1"/>
        <rFont val="游明朝"/>
        <family val="1"/>
        <charset val="128"/>
      </rPr>
      <t xml:space="preserve">3 </t>
    </r>
    <rPh sb="0" eb="1">
      <t>セン</t>
    </rPh>
    <phoneticPr fontId="6"/>
  </si>
  <si>
    <t>(参考）</t>
    <rPh sb="1" eb="3">
      <t>サンコウ</t>
    </rPh>
    <phoneticPr fontId="6"/>
  </si>
  <si>
    <t>自ら生成した電気熱</t>
    <rPh sb="0" eb="1">
      <t>ミズカ</t>
    </rPh>
    <rPh sb="2" eb="4">
      <t>セイセイ</t>
    </rPh>
    <rPh sb="6" eb="9">
      <t>デンキネツ</t>
    </rPh>
    <phoneticPr fontId="5"/>
  </si>
  <si>
    <t>自己作成値</t>
    <rPh sb="0" eb="2">
      <t>ジコ</t>
    </rPh>
    <rPh sb="2" eb="4">
      <t>サクセイ</t>
    </rPh>
    <rPh sb="4" eb="5">
      <t>チ</t>
    </rPh>
    <phoneticPr fontId="5"/>
  </si>
  <si>
    <t>自己作成値</t>
    <rPh sb="0" eb="2">
      <t>ジコ</t>
    </rPh>
    <rPh sb="2" eb="4">
      <t>サクセイ</t>
    </rPh>
    <rPh sb="4" eb="5">
      <t>チ</t>
    </rPh>
    <phoneticPr fontId="5"/>
  </si>
  <si>
    <t>対象</t>
    <rPh sb="0" eb="2">
      <t>タイショウ</t>
    </rPh>
    <phoneticPr fontId="5"/>
  </si>
  <si>
    <t>電気_自ら生成した電気</t>
    <rPh sb="0" eb="2">
      <t>デンキ</t>
    </rPh>
    <rPh sb="3" eb="4">
      <t>ミズカ</t>
    </rPh>
    <rPh sb="5" eb="7">
      <t>セイセイ</t>
    </rPh>
    <rPh sb="9" eb="11">
      <t>デンキ</t>
    </rPh>
    <phoneticPr fontId="5"/>
  </si>
  <si>
    <t>熱_自ら生成した熱</t>
    <rPh sb="0" eb="1">
      <t>ネツ</t>
    </rPh>
    <rPh sb="2" eb="3">
      <t>ミズカ</t>
    </rPh>
    <rPh sb="4" eb="6">
      <t>セイセイ</t>
    </rPh>
    <rPh sb="8" eb="9">
      <t>ネツ</t>
    </rPh>
    <phoneticPr fontId="5"/>
  </si>
  <si>
    <t>要記入</t>
    <rPh sb="0" eb="1">
      <t>ヨウ</t>
    </rPh>
    <rPh sb="1" eb="3">
      <t>キニュウ</t>
    </rPh>
    <phoneticPr fontId="5"/>
  </si>
  <si>
    <t>メータ種</t>
    <rPh sb="3" eb="4">
      <t>シュ</t>
    </rPh>
    <phoneticPr fontId="5"/>
  </si>
  <si>
    <t>供給事業者</t>
    <rPh sb="0" eb="2">
      <t>キョウキュウ</t>
    </rPh>
    <rPh sb="2" eb="5">
      <t>ジギョウシャ</t>
    </rPh>
    <phoneticPr fontId="5"/>
  </si>
  <si>
    <t>年度</t>
    <rPh sb="0" eb="2">
      <t>ネンド</t>
    </rPh>
    <phoneticPr fontId="5"/>
  </si>
  <si>
    <r>
      <t>単位発熱量[GJ/Nm</t>
    </r>
    <r>
      <rPr>
        <vertAlign val="superscript"/>
        <sz val="11"/>
        <color theme="1"/>
        <rFont val="游ゴシック"/>
        <family val="3"/>
        <charset val="128"/>
        <scheme val="minor"/>
      </rPr>
      <t>3</t>
    </r>
    <r>
      <rPr>
        <sz val="11"/>
        <color theme="1"/>
        <rFont val="游ゴシック"/>
        <family val="3"/>
        <charset val="128"/>
        <scheme val="minor"/>
      </rPr>
      <t>]</t>
    </r>
    <rPh sb="0" eb="5">
      <t>タンイハツネツリョウ</t>
    </rPh>
    <phoneticPr fontId="5"/>
  </si>
  <si>
    <r>
      <t>排出係数
[t-CO</t>
    </r>
    <r>
      <rPr>
        <vertAlign val="subscript"/>
        <sz val="11"/>
        <color theme="1"/>
        <rFont val="游ゴシック"/>
        <family val="3"/>
        <charset val="128"/>
        <scheme val="minor"/>
      </rPr>
      <t>2</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t>
    </r>
    <rPh sb="0" eb="2">
      <t>ハイシュツ</t>
    </rPh>
    <rPh sb="2" eb="4">
      <t>ケイスウ</t>
    </rPh>
    <rPh sb="12" eb="13">
      <t>セン</t>
    </rPh>
    <phoneticPr fontId="5"/>
  </si>
  <si>
    <r>
      <t>単位発熱量
[GJ/千m</t>
    </r>
    <r>
      <rPr>
        <vertAlign val="superscript"/>
        <sz val="11"/>
        <color theme="1"/>
        <rFont val="游ゴシック"/>
        <family val="3"/>
        <charset val="128"/>
        <scheme val="minor"/>
      </rPr>
      <t>3</t>
    </r>
    <r>
      <rPr>
        <sz val="11"/>
        <color theme="1"/>
        <rFont val="游ゴシック"/>
        <family val="3"/>
        <charset val="128"/>
        <scheme val="minor"/>
      </rPr>
      <t>(SATP)]</t>
    </r>
    <rPh sb="0" eb="2">
      <t>タンイ</t>
    </rPh>
    <rPh sb="2" eb="5">
      <t>ハツネツリョウ</t>
    </rPh>
    <rPh sb="10" eb="11">
      <t>セン</t>
    </rPh>
    <phoneticPr fontId="5"/>
  </si>
  <si>
    <t>デフォルト値</t>
    <rPh sb="5" eb="6">
      <t>チ</t>
    </rPh>
    <phoneticPr fontId="5"/>
  </si>
  <si>
    <t>電気_自己託送_非燃料由来の非化石電気</t>
    <rPh sb="0" eb="2">
      <t>デンキ</t>
    </rPh>
    <rPh sb="3" eb="7">
      <t>ジコタクソウ</t>
    </rPh>
    <rPh sb="8" eb="13">
      <t>ヒネンリョウユライ</t>
    </rPh>
    <rPh sb="14" eb="17">
      <t>ヒカセキ</t>
    </rPh>
    <rPh sb="17" eb="19">
      <t>デンキ</t>
    </rPh>
    <phoneticPr fontId="5"/>
  </si>
  <si>
    <t>電気_自己託送_非燃料由来の非化石電気以外</t>
    <rPh sb="0" eb="2">
      <t>デンキ</t>
    </rPh>
    <rPh sb="3" eb="7">
      <t>ジコタクソウ</t>
    </rPh>
    <rPh sb="8" eb="13">
      <t>ヒネンリョウユライ</t>
    </rPh>
    <rPh sb="14" eb="19">
      <t>ヒカセキデンキ</t>
    </rPh>
    <rPh sb="19" eb="21">
      <t>イガイ</t>
    </rPh>
    <phoneticPr fontId="5"/>
  </si>
  <si>
    <t>非FIT非化石証書_再生可能エネルギー指定</t>
    <rPh sb="0" eb="1">
      <t>ヒ</t>
    </rPh>
    <rPh sb="4" eb="7">
      <t>ヒカセキ</t>
    </rPh>
    <rPh sb="7" eb="9">
      <t>ショウショ</t>
    </rPh>
    <rPh sb="10" eb="12">
      <t>サイセイ</t>
    </rPh>
    <rPh sb="12" eb="14">
      <t>カノウ</t>
    </rPh>
    <rPh sb="19" eb="21">
      <t>シテイ</t>
    </rPh>
    <phoneticPr fontId="5"/>
  </si>
  <si>
    <t>任意_大気熱_ヒートポンプを除く</t>
    <rPh sb="0" eb="2">
      <t>ニンイ</t>
    </rPh>
    <phoneticPr fontId="5"/>
  </si>
  <si>
    <t>排出係数
[t-CO2/千m3(SATP)]</t>
    <rPh sb="0" eb="4">
      <t>ハイシュツケイスウ</t>
    </rPh>
    <phoneticPr fontId="5"/>
  </si>
  <si>
    <t>電気事業者名</t>
    <rPh sb="0" eb="6">
      <t>デンキジギョウシャメイ</t>
    </rPh>
    <phoneticPr fontId="5"/>
  </si>
  <si>
    <t>メニューR</t>
  </si>
  <si>
    <t>メニューS</t>
  </si>
  <si>
    <t>メニューT</t>
  </si>
  <si>
    <t>メニュー名リスト</t>
    <rPh sb="4" eb="5">
      <t>メイ</t>
    </rPh>
    <phoneticPr fontId="5"/>
  </si>
  <si>
    <t>調整後排出係数[t-CO2/kWh]</t>
    <phoneticPr fontId="5"/>
  </si>
  <si>
    <t>国平均値</t>
    <rPh sb="0" eb="1">
      <t>クニ</t>
    </rPh>
    <rPh sb="1" eb="3">
      <t>ヘイキン</t>
    </rPh>
    <rPh sb="3" eb="4">
      <t>チ</t>
    </rPh>
    <phoneticPr fontId="5"/>
  </si>
  <si>
    <t>排出係数
[t-CO2/kWh]</t>
    <phoneticPr fontId="5"/>
  </si>
  <si>
    <t>電気事業者名リスト</t>
    <rPh sb="0" eb="6">
      <t>デンキジギョウシャメイ</t>
    </rPh>
    <phoneticPr fontId="5"/>
  </si>
  <si>
    <t>伊奈都市ガス(株)_13A</t>
    <rPh sb="0" eb="2">
      <t>イナ</t>
    </rPh>
    <rPh sb="2" eb="4">
      <t>トシ</t>
    </rPh>
    <rPh sb="6" eb="9">
      <t>カブ</t>
    </rPh>
    <phoneticPr fontId="3"/>
  </si>
  <si>
    <t>入間ガス(株)_13A</t>
    <rPh sb="0" eb="2">
      <t>イルマ</t>
    </rPh>
    <rPh sb="4" eb="7">
      <t>カブ</t>
    </rPh>
    <phoneticPr fontId="3"/>
  </si>
  <si>
    <t>太田都市ガス(株)_13A</t>
    <rPh sb="0" eb="2">
      <t>オオタ</t>
    </rPh>
    <rPh sb="2" eb="4">
      <t>トシ</t>
    </rPh>
    <rPh sb="6" eb="9">
      <t>カブ</t>
    </rPh>
    <phoneticPr fontId="3"/>
  </si>
  <si>
    <t>角栄ガス(株)_13A</t>
    <rPh sb="4" eb="7">
      <t>カブ</t>
    </rPh>
    <phoneticPr fontId="5"/>
  </si>
  <si>
    <t>埼玉ガス(株)_13A</t>
    <rPh sb="0" eb="2">
      <t>サイタマ</t>
    </rPh>
    <rPh sb="4" eb="7">
      <t>カブ</t>
    </rPh>
    <phoneticPr fontId="3"/>
  </si>
  <si>
    <t>坂戸ガス(株)_13A</t>
    <rPh sb="4" eb="7">
      <t>カブ</t>
    </rPh>
    <phoneticPr fontId="5"/>
  </si>
  <si>
    <t>幸手都市ガス(株)_13A</t>
    <rPh sb="6" eb="9">
      <t>カブ</t>
    </rPh>
    <phoneticPr fontId="5"/>
  </si>
  <si>
    <t>松栄ガス(株)_13A</t>
    <rPh sb="4" eb="7">
      <t>カブ</t>
    </rPh>
    <phoneticPr fontId="5"/>
  </si>
  <si>
    <t>新日本瓦斯(株)_13A</t>
    <rPh sb="0" eb="3">
      <t>シンニホン</t>
    </rPh>
    <rPh sb="3" eb="5">
      <t>ガス</t>
    </rPh>
    <rPh sb="5" eb="8">
      <t>カブ</t>
    </rPh>
    <phoneticPr fontId="3"/>
  </si>
  <si>
    <t>西武ガス(株)_13A</t>
    <rPh sb="4" eb="7">
      <t>カブ</t>
    </rPh>
    <phoneticPr fontId="5"/>
  </si>
  <si>
    <t>大東ガス(株)_13A</t>
    <rPh sb="0" eb="2">
      <t>ダイトウ</t>
    </rPh>
    <rPh sb="4" eb="7">
      <t>カブ</t>
    </rPh>
    <phoneticPr fontId="3"/>
  </si>
  <si>
    <t>秩父ガス(株)_13A</t>
    <rPh sb="0" eb="2">
      <t>チチブ</t>
    </rPh>
    <rPh sb="4" eb="7">
      <t>カブ</t>
    </rPh>
    <phoneticPr fontId="3"/>
  </si>
  <si>
    <t>東彩ガス(株)_13A</t>
    <rPh sb="4" eb="7">
      <t>カブ</t>
    </rPh>
    <phoneticPr fontId="5"/>
  </si>
  <si>
    <t>日高都市ガス(株)_13A</t>
    <rPh sb="0" eb="2">
      <t>ヒダカ</t>
    </rPh>
    <rPh sb="2" eb="4">
      <t>トシ</t>
    </rPh>
    <rPh sb="6" eb="9">
      <t>カブ</t>
    </rPh>
    <phoneticPr fontId="3"/>
  </si>
  <si>
    <t>武州ガス(株)_13A</t>
    <rPh sb="0" eb="2">
      <t>ブシュウ</t>
    </rPh>
    <rPh sb="4" eb="7">
      <t>カブ</t>
    </rPh>
    <phoneticPr fontId="3"/>
  </si>
  <si>
    <t>本庄ガス(株)_13A</t>
    <rPh sb="0" eb="2">
      <t>ホンジョウ</t>
    </rPh>
    <rPh sb="4" eb="7">
      <t>カブ</t>
    </rPh>
    <phoneticPr fontId="3"/>
  </si>
  <si>
    <t>武蔵野ガス(株)_13A</t>
    <rPh sb="0" eb="3">
      <t>ムサシノ</t>
    </rPh>
    <rPh sb="5" eb="8">
      <t>カブ</t>
    </rPh>
    <phoneticPr fontId="3"/>
  </si>
  <si>
    <t>東京ガス(株)_13A</t>
    <rPh sb="4" eb="7">
      <t>カブ</t>
    </rPh>
    <phoneticPr fontId="3"/>
  </si>
  <si>
    <t>鷲宮ガス(株)_13A</t>
    <rPh sb="0" eb="2">
      <t>ワシミヤ</t>
    </rPh>
    <rPh sb="4" eb="7">
      <t>カブ</t>
    </rPh>
    <phoneticPr fontId="3"/>
  </si>
  <si>
    <t>堀川産業(株)_13A</t>
    <rPh sb="0" eb="2">
      <t>ホリカワ</t>
    </rPh>
    <rPh sb="2" eb="4">
      <t>サンギョウ</t>
    </rPh>
    <rPh sb="4" eb="7">
      <t>カブ</t>
    </rPh>
    <phoneticPr fontId="3"/>
  </si>
  <si>
    <t>登録番号</t>
    <rPh sb="0" eb="4">
      <t>トウロクバンゴウ</t>
    </rPh>
    <phoneticPr fontId="5"/>
  </si>
  <si>
    <t>A0020</t>
    <phoneticPr fontId="5"/>
  </si>
  <si>
    <t>A0002</t>
    <phoneticPr fontId="5"/>
  </si>
  <si>
    <t>東京電力エナジーパートナー(株)</t>
    <rPh sb="13" eb="16">
      <t>カブ</t>
    </rPh>
    <phoneticPr fontId="5"/>
  </si>
  <si>
    <t>東京電力エナジーパートナー(株)_13A</t>
    <rPh sb="13" eb="16">
      <t>カブ</t>
    </rPh>
    <phoneticPr fontId="5"/>
  </si>
  <si>
    <t>メニュー名</t>
    <rPh sb="4" eb="5">
      <t>メイ</t>
    </rPh>
    <phoneticPr fontId="5"/>
  </si>
  <si>
    <t>メニューA</t>
    <phoneticPr fontId="5"/>
  </si>
  <si>
    <t>残差</t>
  </si>
  <si>
    <t>残差</t>
    <rPh sb="0" eb="2">
      <t>ザンサ</t>
    </rPh>
    <phoneticPr fontId="5"/>
  </si>
  <si>
    <t>ガス事業者名</t>
    <rPh sb="2" eb="5">
      <t>ジギョウシャ</t>
    </rPh>
    <rPh sb="5" eb="6">
      <t>メイ</t>
    </rPh>
    <phoneticPr fontId="5"/>
  </si>
  <si>
    <t>ガス事業者名リスト</t>
    <rPh sb="2" eb="5">
      <t>ジギョウシャ</t>
    </rPh>
    <rPh sb="5" eb="6">
      <t>メイ</t>
    </rPh>
    <phoneticPr fontId="5"/>
  </si>
  <si>
    <t>002</t>
    <phoneticPr fontId="44"/>
  </si>
  <si>
    <t>東京ガスエンジニアリングソリューションズ株式会社</t>
    <phoneticPr fontId="44"/>
  </si>
  <si>
    <t>田町駅東口北地域</t>
    <phoneticPr fontId="44"/>
  </si>
  <si>
    <t>006</t>
    <phoneticPr fontId="44"/>
  </si>
  <si>
    <t>丸の内熱供給株式会社</t>
    <rPh sb="0" eb="1">
      <t>マル</t>
    </rPh>
    <rPh sb="2" eb="3">
      <t>ウチ</t>
    </rPh>
    <rPh sb="3" eb="6">
      <t>ネツキョウキュウ</t>
    </rPh>
    <rPh sb="6" eb="10">
      <t>カブシキガイシャ</t>
    </rPh>
    <phoneticPr fontId="44"/>
  </si>
  <si>
    <t>残差</t>
    <rPh sb="0" eb="2">
      <t>ザンサ</t>
    </rPh>
    <phoneticPr fontId="44"/>
  </si>
  <si>
    <t>009</t>
    <phoneticPr fontId="44"/>
  </si>
  <si>
    <t>池袋地域冷暖房株式会社</t>
    <phoneticPr fontId="44"/>
  </si>
  <si>
    <t>東池袋地域</t>
    <phoneticPr fontId="44"/>
  </si>
  <si>
    <t>014</t>
    <phoneticPr fontId="44"/>
  </si>
  <si>
    <t>新都市熱供給株式会社</t>
    <phoneticPr fontId="44"/>
  </si>
  <si>
    <t>016</t>
    <phoneticPr fontId="44"/>
  </si>
  <si>
    <t>西池袋熱供給株式会社</t>
    <phoneticPr fontId="44"/>
  </si>
  <si>
    <t>西池袋地域</t>
    <phoneticPr fontId="44"/>
  </si>
  <si>
    <t>020</t>
    <phoneticPr fontId="44"/>
  </si>
  <si>
    <t>東京都市サービス株式会社</t>
    <phoneticPr fontId="44"/>
  </si>
  <si>
    <t>芝浦4丁目地域</t>
    <phoneticPr fontId="44"/>
  </si>
  <si>
    <t>銀座5・6丁目地域</t>
  </si>
  <si>
    <t>新川地域</t>
  </si>
  <si>
    <t>神田駿河台地域</t>
  </si>
  <si>
    <t>箱崎地域</t>
  </si>
  <si>
    <t>幕張新都心ハイテク・ビジネス地域</t>
  </si>
  <si>
    <t>高崎市中央・城址地域</t>
  </si>
  <si>
    <t>本駒込2丁目地域</t>
  </si>
  <si>
    <t>大崎1丁目地域</t>
  </si>
  <si>
    <t>晴海アイランド地域</t>
  </si>
  <si>
    <t>府中日鋼町地域</t>
  </si>
  <si>
    <t>横浜市北仲通南地域</t>
  </si>
  <si>
    <t>024</t>
    <phoneticPr fontId="44"/>
  </si>
  <si>
    <t>みなとみらい二十一熱供給株式会社</t>
    <rPh sb="6" eb="9">
      <t>ニジュウイチ</t>
    </rPh>
    <rPh sb="9" eb="10">
      <t>ネツ</t>
    </rPh>
    <rPh sb="10" eb="12">
      <t>キョウキュウ</t>
    </rPh>
    <rPh sb="12" eb="16">
      <t>カブシキガイシャ</t>
    </rPh>
    <phoneticPr fontId="44"/>
  </si>
  <si>
    <t>033</t>
    <phoneticPr fontId="44"/>
  </si>
  <si>
    <t>新宿熱供給株式会社</t>
    <phoneticPr fontId="44"/>
  </si>
  <si>
    <t>039</t>
    <phoneticPr fontId="44"/>
  </si>
  <si>
    <t>株式会社福岡エネルギーサービス</t>
    <rPh sb="0" eb="4">
      <t>カブシキ</t>
    </rPh>
    <rPh sb="4" eb="6">
      <t>フクオカ</t>
    </rPh>
    <phoneticPr fontId="44"/>
  </si>
  <si>
    <t>シーサイドももち地域</t>
    <phoneticPr fontId="44"/>
  </si>
  <si>
    <t>西鉄福岡駅再開発地域</t>
    <rPh sb="0" eb="2">
      <t>ニシテツ</t>
    </rPh>
    <rPh sb="2" eb="5">
      <t>フクオカエキ</t>
    </rPh>
    <rPh sb="5" eb="8">
      <t>サイカイハツ</t>
    </rPh>
    <rPh sb="8" eb="10">
      <t>チイキ</t>
    </rPh>
    <phoneticPr fontId="44"/>
  </si>
  <si>
    <t>下川端再開発地域</t>
    <rPh sb="0" eb="3">
      <t>シモカワバタ</t>
    </rPh>
    <rPh sb="3" eb="6">
      <t>サイカイハツ</t>
    </rPh>
    <rPh sb="6" eb="8">
      <t>チイキ</t>
    </rPh>
    <phoneticPr fontId="44"/>
  </si>
  <si>
    <t>047</t>
    <phoneticPr fontId="44"/>
  </si>
  <si>
    <t>東京下水道エネルギー株式会社　後楽事業所</t>
    <phoneticPr fontId="44"/>
  </si>
  <si>
    <t>後楽一丁目地域</t>
    <rPh sb="5" eb="7">
      <t>チイキ</t>
    </rPh>
    <phoneticPr fontId="44"/>
  </si>
  <si>
    <t>050</t>
    <phoneticPr fontId="44"/>
  </si>
  <si>
    <t>新宿南エネルギーサービス株式会社</t>
    <phoneticPr fontId="44"/>
  </si>
  <si>
    <t>057</t>
  </si>
  <si>
    <t>錦糸町熱供給株式会社</t>
    <phoneticPr fontId="44"/>
  </si>
  <si>
    <t>058</t>
  </si>
  <si>
    <t>品川熱供給株式会社</t>
    <rPh sb="0" eb="2">
      <t>シナガワ</t>
    </rPh>
    <rPh sb="2" eb="3">
      <t>ネツ</t>
    </rPh>
    <rPh sb="3" eb="5">
      <t>キョウキュウ</t>
    </rPh>
    <rPh sb="5" eb="7">
      <t>カブシキ</t>
    </rPh>
    <rPh sb="7" eb="9">
      <t>カイシャ</t>
    </rPh>
    <phoneticPr fontId="6"/>
  </si>
  <si>
    <t>品川東口南地域</t>
    <rPh sb="0" eb="2">
      <t>シナガワ</t>
    </rPh>
    <rPh sb="2" eb="4">
      <t>ヒガシグチ</t>
    </rPh>
    <rPh sb="4" eb="5">
      <t>ミナミ</t>
    </rPh>
    <rPh sb="5" eb="7">
      <t>チイキ</t>
    </rPh>
    <phoneticPr fontId="6"/>
  </si>
  <si>
    <t>064</t>
    <phoneticPr fontId="44"/>
  </si>
  <si>
    <t>山王熱供給株式会社</t>
    <rPh sb="0" eb="2">
      <t>サンノウ</t>
    </rPh>
    <rPh sb="2" eb="5">
      <t>ネツキョウキュウ</t>
    </rPh>
    <rPh sb="5" eb="9">
      <t>カブシキガイシャ</t>
    </rPh>
    <phoneticPr fontId="44"/>
  </si>
  <si>
    <t>065</t>
  </si>
  <si>
    <t>渋谷熱供給株式会社</t>
    <phoneticPr fontId="44"/>
  </si>
  <si>
    <t>069</t>
    <phoneticPr fontId="44"/>
  </si>
  <si>
    <t>073</t>
    <phoneticPr fontId="44"/>
  </si>
  <si>
    <t>ＤＨＣ名古屋株式会社</t>
    <phoneticPr fontId="44"/>
  </si>
  <si>
    <t>名駅東地域</t>
    <rPh sb="3" eb="5">
      <t>チイキ</t>
    </rPh>
    <phoneticPr fontId="44"/>
  </si>
  <si>
    <t>079</t>
    <phoneticPr fontId="44"/>
  </si>
  <si>
    <t>虎ノ門エネルギーネットワーク株式会社</t>
    <rPh sb="0" eb="1">
      <t>トラ</t>
    </rPh>
    <rPh sb="2" eb="3">
      <t>モン</t>
    </rPh>
    <rPh sb="14" eb="18">
      <t>カブシキガイシャ</t>
    </rPh>
    <phoneticPr fontId="44"/>
  </si>
  <si>
    <t>虎ノ門一・二丁目地域</t>
  </si>
  <si>
    <t>虎ノ門・麻布台地域</t>
  </si>
  <si>
    <t>メニューA</t>
    <phoneticPr fontId="44"/>
  </si>
  <si>
    <t>メニューB</t>
    <phoneticPr fontId="44"/>
  </si>
  <si>
    <t>品川エネルギーサービス株式会社</t>
    <phoneticPr fontId="44"/>
  </si>
  <si>
    <t>006</t>
  </si>
  <si>
    <t>009</t>
  </si>
  <si>
    <t>池袋地域冷暖房株式会社</t>
  </si>
  <si>
    <t>020</t>
  </si>
  <si>
    <t>東京都市サービス株式会社</t>
  </si>
  <si>
    <t>024</t>
  </si>
  <si>
    <t>039</t>
  </si>
  <si>
    <t>079</t>
  </si>
  <si>
    <t>熱供給事業者名</t>
    <rPh sb="0" eb="1">
      <t>ネツ</t>
    </rPh>
    <rPh sb="1" eb="3">
      <t>キョウキュウ</t>
    </rPh>
    <rPh sb="3" eb="6">
      <t>ジギョウシャ</t>
    </rPh>
    <rPh sb="6" eb="7">
      <t>メイ</t>
    </rPh>
    <phoneticPr fontId="5"/>
  </si>
  <si>
    <t>熱供給事業者名リスト</t>
    <rPh sb="0" eb="1">
      <t>ネツ</t>
    </rPh>
    <rPh sb="1" eb="3">
      <t>キョウキュウ</t>
    </rPh>
    <rPh sb="3" eb="6">
      <t>ジギョウシャ</t>
    </rPh>
    <rPh sb="6" eb="7">
      <t>メイ</t>
    </rPh>
    <phoneticPr fontId="5"/>
  </si>
  <si>
    <t>メニューB</t>
    <phoneticPr fontId="5"/>
  </si>
  <si>
    <t>メニューC</t>
    <phoneticPr fontId="5"/>
  </si>
  <si>
    <r>
      <t>排出係数
[t-CO</t>
    </r>
    <r>
      <rPr>
        <vertAlign val="subscript"/>
        <sz val="11"/>
        <color theme="1"/>
        <rFont val="游ゴシック"/>
        <family val="3"/>
        <charset val="128"/>
        <scheme val="minor"/>
      </rPr>
      <t>2</t>
    </r>
    <r>
      <rPr>
        <sz val="11"/>
        <color theme="1"/>
        <rFont val="游ゴシック"/>
        <family val="3"/>
        <charset val="128"/>
        <scheme val="minor"/>
      </rPr>
      <t>/GJ]</t>
    </r>
    <rPh sb="0" eb="2">
      <t>ハイシュツ</t>
    </rPh>
    <rPh sb="2" eb="4">
      <t>ケイスウ</t>
    </rPh>
    <phoneticPr fontId="5"/>
  </si>
  <si>
    <t>排出係数
国代替値</t>
    <rPh sb="0" eb="2">
      <t>ハイシュツ</t>
    </rPh>
    <rPh sb="2" eb="4">
      <t>ケイスウ</t>
    </rPh>
    <rPh sb="5" eb="6">
      <t>クニ</t>
    </rPh>
    <rPh sb="6" eb="9">
      <t>ダイタイチ</t>
    </rPh>
    <phoneticPr fontId="5"/>
  </si>
  <si>
    <t>排出係数
国公表値</t>
    <rPh sb="0" eb="2">
      <t>ハイシュツ</t>
    </rPh>
    <rPh sb="2" eb="4">
      <t>ケイスウ</t>
    </rPh>
    <rPh sb="5" eb="6">
      <t>クニ</t>
    </rPh>
    <rPh sb="6" eb="9">
      <t>コウヒョウチ</t>
    </rPh>
    <phoneticPr fontId="5"/>
  </si>
  <si>
    <t>令和７年度</t>
  </si>
  <si>
    <t>令和８年度</t>
  </si>
  <si>
    <t>令和９年度</t>
  </si>
  <si>
    <t>令和１０年度</t>
  </si>
  <si>
    <t>令和１１年度</t>
  </si>
  <si>
    <t>電気</t>
    <rPh sb="0" eb="2">
      <t>デンキ</t>
    </rPh>
    <phoneticPr fontId="5"/>
  </si>
  <si>
    <t>熱</t>
    <rPh sb="0" eb="1">
      <t>ネツ</t>
    </rPh>
    <phoneticPr fontId="5"/>
  </si>
  <si>
    <t>都市ガス</t>
    <rPh sb="0" eb="2">
      <t>トシ</t>
    </rPh>
    <phoneticPr fontId="5"/>
  </si>
  <si>
    <t>参照用</t>
    <rPh sb="0" eb="2">
      <t>サンショウ</t>
    </rPh>
    <rPh sb="2" eb="3">
      <t>ヨウ</t>
    </rPh>
    <phoneticPr fontId="5"/>
  </si>
  <si>
    <t>検索キー</t>
    <rPh sb="0" eb="2">
      <t>ケンサク</t>
    </rPh>
    <phoneticPr fontId="5"/>
  </si>
  <si>
    <t>検索キー</t>
    <rPh sb="0" eb="2">
      <t>ケンサク</t>
    </rPh>
    <phoneticPr fontId="5"/>
  </si>
  <si>
    <t>使用量年度計 
[固有単位]</t>
    <rPh sb="9" eb="11">
      <t>コユウ</t>
    </rPh>
    <rPh sb="11" eb="13">
      <t>タンイ</t>
    </rPh>
    <phoneticPr fontId="5"/>
  </si>
  <si>
    <t>単位発熱量
[GJ/固有単位]</t>
    <phoneticPr fontId="5"/>
  </si>
  <si>
    <t>排出係数
[t-C/GJ]</t>
    <phoneticPr fontId="5"/>
  </si>
  <si>
    <t>一次エネルギー
換算係数
[GJ/固有単位]</t>
    <rPh sb="0" eb="2">
      <t>イチジ</t>
    </rPh>
    <rPh sb="8" eb="12">
      <t>カンザンケイスウ</t>
    </rPh>
    <rPh sb="17" eb="19">
      <t>コユウ</t>
    </rPh>
    <rPh sb="19" eb="21">
      <t>タンイ</t>
    </rPh>
    <phoneticPr fontId="5"/>
  </si>
  <si>
    <t>排出係数
選択結果</t>
    <rPh sb="0" eb="2">
      <t>ハイシュツ</t>
    </rPh>
    <rPh sb="2" eb="4">
      <t>ケイスウ</t>
    </rPh>
    <rPh sb="5" eb="7">
      <t>センタク</t>
    </rPh>
    <rPh sb="7" eb="9">
      <t>ケッカ</t>
    </rPh>
    <phoneticPr fontId="5"/>
  </si>
  <si>
    <t>002</t>
  </si>
  <si>
    <t>東京ガスエンジニアリングソリューションズ株式会社</t>
  </si>
  <si>
    <t>田町駅東口北地域</t>
  </si>
  <si>
    <t>東池袋地域</t>
  </si>
  <si>
    <t>014</t>
  </si>
  <si>
    <t>新都市熱供給株式会社</t>
  </si>
  <si>
    <t>016</t>
  </si>
  <si>
    <t>西池袋熱供給株式会社</t>
  </si>
  <si>
    <t>西池袋地域</t>
  </si>
  <si>
    <t>芝浦4丁目地域</t>
  </si>
  <si>
    <t>033</t>
  </si>
  <si>
    <t>新宿熱供給株式会社</t>
  </si>
  <si>
    <t>シーサイドももち地域</t>
  </si>
  <si>
    <t>047</t>
  </si>
  <si>
    <t>東京下水道エネルギー株式会社　後楽事業所</t>
  </si>
  <si>
    <t>050</t>
  </si>
  <si>
    <t>新宿南エネルギーサービス株式会社</t>
  </si>
  <si>
    <t>錦糸町熱供給株式会社</t>
  </si>
  <si>
    <t>064</t>
  </si>
  <si>
    <t>渋谷熱供給株式会社</t>
  </si>
  <si>
    <t>069</t>
  </si>
  <si>
    <t>品川エネルギーサービス株式会社</t>
  </si>
  <si>
    <t>073</t>
  </si>
  <si>
    <t>ＤＨＣ名古屋株式会社</t>
  </si>
  <si>
    <t>地域</t>
    <rPh sb="0" eb="2">
      <t>チイキ</t>
    </rPh>
    <phoneticPr fontId="5"/>
  </si>
  <si>
    <t>排出係数
単位</t>
    <rPh sb="0" eb="2">
      <t>ハイシュツ</t>
    </rPh>
    <rPh sb="2" eb="4">
      <t>ケイスウ</t>
    </rPh>
    <rPh sb="5" eb="7">
      <t>タンイ</t>
    </rPh>
    <phoneticPr fontId="5"/>
  </si>
  <si>
    <t>SHK制度公表資料からの転記時は千kwhではなくkWh単位</t>
    <rPh sb="3" eb="5">
      <t>セイド</t>
    </rPh>
    <rPh sb="5" eb="7">
      <t>コウヒョウ</t>
    </rPh>
    <rPh sb="7" eb="9">
      <t>シリョウ</t>
    </rPh>
    <rPh sb="12" eb="14">
      <t>テンキ</t>
    </rPh>
    <rPh sb="14" eb="15">
      <t>ジ</t>
    </rPh>
    <rPh sb="16" eb="17">
      <t>セン</t>
    </rPh>
    <rPh sb="27" eb="29">
      <t>タンイ</t>
    </rPh>
    <phoneticPr fontId="5"/>
  </si>
  <si>
    <t>使用量
（年度計）
[固有単位]</t>
    <rPh sb="0" eb="3">
      <t>シヨウリョウ</t>
    </rPh>
    <rPh sb="5" eb="7">
      <t>ネンド</t>
    </rPh>
    <rPh sb="7" eb="8">
      <t>ケイ</t>
    </rPh>
    <rPh sb="11" eb="13">
      <t>コユウ</t>
    </rPh>
    <phoneticPr fontId="5"/>
  </si>
  <si>
    <t>単位補正</t>
    <rPh sb="0" eb="2">
      <t>タンイ</t>
    </rPh>
    <rPh sb="2" eb="4">
      <t>ホセイ</t>
    </rPh>
    <phoneticPr fontId="5"/>
  </si>
  <si>
    <t>MJ</t>
  </si>
  <si>
    <t>GJ</t>
  </si>
  <si>
    <t>kWh</t>
    <phoneticPr fontId="5"/>
  </si>
  <si>
    <t>千kWh</t>
    <rPh sb="0" eb="1">
      <t>セン</t>
    </rPh>
    <phoneticPr fontId="5"/>
  </si>
  <si>
    <t>MJ</t>
    <phoneticPr fontId="5"/>
  </si>
  <si>
    <t>GJ</t>
    <phoneticPr fontId="5"/>
  </si>
  <si>
    <t>都市ガス低圧用</t>
    <rPh sb="0" eb="2">
      <t>トシ</t>
    </rPh>
    <rPh sb="4" eb="7">
      <t>テイアツヨウ</t>
    </rPh>
    <phoneticPr fontId="5"/>
  </si>
  <si>
    <r>
      <t>m</t>
    </r>
    <r>
      <rPr>
        <vertAlign val="superscript"/>
        <sz val="11"/>
        <color theme="1"/>
        <rFont val="游ゴシック"/>
        <family val="3"/>
        <charset val="128"/>
        <scheme val="minor"/>
      </rPr>
      <t>3</t>
    </r>
    <r>
      <rPr>
        <sz val="11"/>
        <color theme="1"/>
        <rFont val="游ゴシック"/>
        <family val="3"/>
        <charset val="128"/>
        <scheme val="minor"/>
      </rPr>
      <t>→m</t>
    </r>
    <r>
      <rPr>
        <vertAlign val="superscript"/>
        <sz val="11"/>
        <color theme="1"/>
        <rFont val="游ゴシック"/>
        <family val="3"/>
        <charset val="128"/>
        <scheme val="minor"/>
      </rPr>
      <t>3</t>
    </r>
    <r>
      <rPr>
        <sz val="11"/>
        <color theme="1"/>
        <rFont val="游ゴシック"/>
        <family val="3"/>
        <charset val="128"/>
        <scheme val="minor"/>
      </rPr>
      <t>(SATP)への換算係数　=  千m</t>
    </r>
    <r>
      <rPr>
        <vertAlign val="superscript"/>
        <sz val="11"/>
        <color theme="1"/>
        <rFont val="游ゴシック"/>
        <family val="3"/>
        <charset val="128"/>
        <scheme val="minor"/>
      </rPr>
      <t>3</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(SATP)への換算係数</t>
    </r>
    <rPh sb="13" eb="15">
      <t>カンザン</t>
    </rPh>
    <rPh sb="15" eb="17">
      <t>ケイスウ</t>
    </rPh>
    <rPh sb="21" eb="22">
      <t>セン</t>
    </rPh>
    <rPh sb="25" eb="26">
      <t>セン</t>
    </rPh>
    <phoneticPr fontId="5"/>
  </si>
  <si>
    <r>
      <t>千m</t>
    </r>
    <r>
      <rPr>
        <vertAlign val="superscript"/>
        <sz val="11"/>
        <color theme="1"/>
        <rFont val="游ゴシック"/>
        <family val="3"/>
        <charset val="128"/>
        <scheme val="minor"/>
      </rPr>
      <t>3</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(SATP)への換算係数</t>
    </r>
    <rPh sb="0" eb="1">
      <t>セン</t>
    </rPh>
    <rPh sb="4" eb="5">
      <t>セン</t>
    </rPh>
    <phoneticPr fontId="5"/>
  </si>
  <si>
    <r>
      <t>Nm</t>
    </r>
    <r>
      <rPr>
        <vertAlign val="superscript"/>
        <sz val="11"/>
        <color theme="1"/>
        <rFont val="游ゴシック"/>
        <family val="3"/>
        <charset val="128"/>
        <scheme val="minor"/>
      </rPr>
      <t>3</t>
    </r>
    <phoneticPr fontId="5"/>
  </si>
  <si>
    <r>
      <t>Nm</t>
    </r>
    <r>
      <rPr>
        <b/>
        <vertAlign val="superscript"/>
        <sz val="11"/>
        <color theme="1"/>
        <rFont val="游ゴシック"/>
        <family val="3"/>
        <charset val="128"/>
        <scheme val="minor"/>
      </rPr>
      <t>3</t>
    </r>
    <phoneticPr fontId="5"/>
  </si>
  <si>
    <t>単位換算</t>
    <rPh sb="0" eb="2">
      <t>タンイ</t>
    </rPh>
    <rPh sb="2" eb="4">
      <t>カンザン</t>
    </rPh>
    <phoneticPr fontId="5"/>
  </si>
  <si>
    <t>要記入</t>
    <rPh sb="0" eb="3">
      <t>ヨウキニュウ</t>
    </rPh>
    <phoneticPr fontId="5"/>
  </si>
  <si>
    <r>
      <t>m</t>
    </r>
    <r>
      <rPr>
        <vertAlign val="superscript"/>
        <sz val="11"/>
        <color theme="1"/>
        <rFont val="游ゴシック"/>
        <family val="3"/>
        <charset val="128"/>
        <scheme val="minor"/>
      </rPr>
      <t>3</t>
    </r>
    <r>
      <rPr>
        <sz val="11"/>
        <color theme="1"/>
        <rFont val="游ゴシック"/>
        <family val="3"/>
        <charset val="128"/>
        <scheme val="minor"/>
      </rPr>
      <t>（SATP)</t>
    </r>
    <phoneticPr fontId="5"/>
  </si>
  <si>
    <t>都市ガス単位換算
（SATP→N)</t>
    <rPh sb="0" eb="2">
      <t>トシ</t>
    </rPh>
    <rPh sb="4" eb="6">
      <t>タンイ</t>
    </rPh>
    <rPh sb="6" eb="8">
      <t>カンザン</t>
    </rPh>
    <phoneticPr fontId="5"/>
  </si>
  <si>
    <t>都市ガス
第3係数熱量
[GJ]</t>
    <rPh sb="0" eb="2">
      <t>トシ</t>
    </rPh>
    <rPh sb="5" eb="6">
      <t>ダイ</t>
    </rPh>
    <rPh sb="7" eb="9">
      <t>ケイスウ</t>
    </rPh>
    <rPh sb="9" eb="11">
      <t>ネツリョウ</t>
    </rPh>
    <phoneticPr fontId="5"/>
  </si>
  <si>
    <r>
      <t>第3係数
CO</t>
    </r>
    <r>
      <rPr>
        <vertAlign val="subscript"/>
        <sz val="11"/>
        <color theme="1"/>
        <rFont val="游明朝"/>
        <family val="1"/>
        <charset val="128"/>
      </rPr>
      <t>２</t>
    </r>
    <r>
      <rPr>
        <sz val="11"/>
        <color theme="1"/>
        <rFont val="游明朝"/>
        <family val="1"/>
        <charset val="128"/>
      </rPr>
      <t>排出量
[t-CO</t>
    </r>
    <r>
      <rPr>
        <vertAlign val="subscript"/>
        <sz val="11"/>
        <color theme="1"/>
        <rFont val="游明朝"/>
        <family val="1"/>
        <charset val="128"/>
      </rPr>
      <t>2</t>
    </r>
    <r>
      <rPr>
        <sz val="11"/>
        <color theme="1"/>
        <rFont val="游明朝"/>
        <family val="1"/>
        <charset val="128"/>
      </rPr>
      <t>]</t>
    </r>
    <rPh sb="0" eb="1">
      <t>ダイ</t>
    </rPh>
    <rPh sb="2" eb="4">
      <t>ケイスウ</t>
    </rPh>
    <rPh sb="8" eb="11">
      <t>ハイシュツリョウ</t>
    </rPh>
    <phoneticPr fontId="5"/>
  </si>
  <si>
    <t>第4まとめ表
行番号</t>
    <rPh sb="0" eb="1">
      <t>ダイ</t>
    </rPh>
    <rPh sb="5" eb="6">
      <t>ヒョウ</t>
    </rPh>
    <rPh sb="7" eb="8">
      <t>ギョウ</t>
    </rPh>
    <rPh sb="8" eb="10">
      <t>バンゴウ</t>
    </rPh>
    <phoneticPr fontId="5"/>
  </si>
  <si>
    <t>第3まとめ表
行番号</t>
    <rPh sb="0" eb="1">
      <t>ダイ</t>
    </rPh>
    <rPh sb="5" eb="6">
      <t>ヒョウ</t>
    </rPh>
    <rPh sb="7" eb="8">
      <t>ギョウ</t>
    </rPh>
    <rPh sb="8" eb="10">
      <t>バンゴウ</t>
    </rPh>
    <phoneticPr fontId="5"/>
  </si>
  <si>
    <t>電気・熱_都市ガスシート</t>
    <rPh sb="0" eb="2">
      <t>デンキ</t>
    </rPh>
    <rPh sb="3" eb="4">
      <t>ネツ</t>
    </rPh>
    <rPh sb="5" eb="7">
      <t>トシ</t>
    </rPh>
    <phoneticPr fontId="5"/>
  </si>
  <si>
    <t>燃料シート</t>
    <rPh sb="0" eb="2">
      <t>ネンリョウ</t>
    </rPh>
    <phoneticPr fontId="5"/>
  </si>
  <si>
    <t>電気_自己託送_非燃料由来の非化石電気以外</t>
    <rPh sb="0" eb="2">
      <t>デンキ</t>
    </rPh>
    <rPh sb="3" eb="7">
      <t>ジコタクソウ</t>
    </rPh>
    <rPh sb="8" eb="9">
      <t>ヒ</t>
    </rPh>
    <rPh sb="9" eb="11">
      <t>ネンリョウ</t>
    </rPh>
    <rPh sb="11" eb="13">
      <t>ユライ</t>
    </rPh>
    <rPh sb="14" eb="15">
      <t>ヒ</t>
    </rPh>
    <rPh sb="15" eb="17">
      <t>カセキ</t>
    </rPh>
    <rPh sb="17" eb="19">
      <t>デンキ</t>
    </rPh>
    <rPh sb="19" eb="21">
      <t>イガイ</t>
    </rPh>
    <phoneticPr fontId="5"/>
  </si>
  <si>
    <r>
      <t>単位発熱量
[MJ/m</t>
    </r>
    <r>
      <rPr>
        <vertAlign val="superscript"/>
        <sz val="10"/>
        <color theme="1"/>
        <rFont val="游明朝"/>
        <family val="1"/>
        <charset val="128"/>
      </rPr>
      <t xml:space="preserve">3
</t>
    </r>
    <r>
      <rPr>
        <sz val="10"/>
        <color theme="1"/>
        <rFont val="游明朝"/>
        <family val="1"/>
        <charset val="128"/>
      </rPr>
      <t>(SATP)]</t>
    </r>
    <rPh sb="0" eb="2">
      <t>タンイ</t>
    </rPh>
    <rPh sb="2" eb="5">
      <t>ハツネツリョウ</t>
    </rPh>
    <phoneticPr fontId="5"/>
  </si>
  <si>
    <t>電気・熱</t>
    <rPh sb="0" eb="2">
      <t>デンキ</t>
    </rPh>
    <rPh sb="3" eb="4">
      <t>ネツ</t>
    </rPh>
    <phoneticPr fontId="5"/>
  </si>
  <si>
    <r>
      <t>CO</t>
    </r>
    <r>
      <rPr>
        <vertAlign val="subscript"/>
        <sz val="10"/>
        <color theme="1"/>
        <rFont val="游明朝"/>
        <family val="1"/>
        <charset val="128"/>
      </rPr>
      <t>２</t>
    </r>
    <r>
      <rPr>
        <sz val="10"/>
        <color theme="1"/>
        <rFont val="游明朝"/>
        <family val="1"/>
        <charset val="128"/>
      </rPr>
      <t>排出量
[t-CO</t>
    </r>
    <r>
      <rPr>
        <vertAlign val="subscript"/>
        <sz val="10"/>
        <color theme="1"/>
        <rFont val="游明朝"/>
        <family val="1"/>
        <charset val="128"/>
      </rPr>
      <t>2</t>
    </r>
    <r>
      <rPr>
        <sz val="10"/>
        <color theme="1"/>
        <rFont val="游明朝"/>
        <family val="1"/>
        <charset val="128"/>
      </rPr>
      <t>]</t>
    </r>
    <rPh sb="3" eb="6">
      <t>ハイシュツリョウ</t>
    </rPh>
    <phoneticPr fontId="5"/>
  </si>
  <si>
    <r>
      <t>排出係数
[t-CO</t>
    </r>
    <r>
      <rPr>
        <vertAlign val="subscript"/>
        <sz val="10"/>
        <color theme="1"/>
        <rFont val="游明朝"/>
        <family val="1"/>
        <charset val="128"/>
      </rPr>
      <t>2</t>
    </r>
    <r>
      <rPr>
        <sz val="10"/>
        <color theme="1"/>
        <rFont val="游明朝"/>
        <family val="1"/>
        <charset val="128"/>
      </rPr>
      <t>/固有単位]</t>
    </r>
    <rPh sb="0" eb="2">
      <t>ハイシュツ</t>
    </rPh>
    <rPh sb="2" eb="4">
      <t>ケイスウ</t>
    </rPh>
    <rPh sb="12" eb="16">
      <t>コユウタンイ</t>
    </rPh>
    <phoneticPr fontId="5"/>
  </si>
  <si>
    <t>ごみ固形燃料（RDF）</t>
    <phoneticPr fontId="5"/>
  </si>
  <si>
    <t>非表示</t>
    <rPh sb="0" eb="3">
      <t>ヒヒョウジ</t>
    </rPh>
    <phoneticPr fontId="5"/>
  </si>
  <si>
    <t>単位_データ入力規則参照</t>
    <rPh sb="0" eb="2">
      <t>タンイ</t>
    </rPh>
    <rPh sb="6" eb="8">
      <t>ニュウリョク</t>
    </rPh>
    <rPh sb="8" eb="10">
      <t>キソク</t>
    </rPh>
    <rPh sb="10" eb="12">
      <t>サンショウ</t>
    </rPh>
    <phoneticPr fontId="5"/>
  </si>
  <si>
    <r>
      <t>t-CO</t>
    </r>
    <r>
      <rPr>
        <vertAlign val="subscript"/>
        <sz val="11"/>
        <color theme="1"/>
        <rFont val="游明朝"/>
        <family val="1"/>
        <charset val="128"/>
      </rPr>
      <t>2</t>
    </r>
    <r>
      <rPr>
        <sz val="11"/>
        <color theme="1"/>
        <rFont val="游明朝"/>
        <family val="1"/>
        <charset val="128"/>
      </rPr>
      <t>/t</t>
    </r>
    <phoneticPr fontId="6"/>
  </si>
  <si>
    <r>
      <t>t-CO</t>
    </r>
    <r>
      <rPr>
        <vertAlign val="subscript"/>
        <sz val="11"/>
        <color theme="1"/>
        <rFont val="游明朝"/>
        <family val="1"/>
        <charset val="128"/>
      </rPr>
      <t>2</t>
    </r>
    <r>
      <rPr>
        <sz val="11"/>
        <color theme="1"/>
        <rFont val="游明朝"/>
        <family val="1"/>
        <charset val="128"/>
      </rPr>
      <t>/kL</t>
    </r>
    <phoneticPr fontId="6"/>
  </si>
  <si>
    <t>使　用　量
（端数処理後）</t>
    <phoneticPr fontId="6"/>
  </si>
  <si>
    <t>熱量
[GJ]</t>
    <rPh sb="0" eb="2">
      <t>ネツリョウ</t>
    </rPh>
    <phoneticPr fontId="5"/>
  </si>
  <si>
    <r>
      <t>目標設定ガス以外のCO</t>
    </r>
    <r>
      <rPr>
        <vertAlign val="subscript"/>
        <sz val="11"/>
        <color indexed="8"/>
        <rFont val="游明朝"/>
        <family val="1"/>
        <charset val="128"/>
      </rPr>
      <t>2</t>
    </r>
    <r>
      <rPr>
        <sz val="11"/>
        <color indexed="8"/>
        <rFont val="游明朝"/>
        <family val="1"/>
        <charset val="128"/>
      </rPr>
      <t xml:space="preserve">
[t-CO</t>
    </r>
    <r>
      <rPr>
        <vertAlign val="subscript"/>
        <sz val="11"/>
        <color indexed="8"/>
        <rFont val="游明朝"/>
        <family val="1"/>
        <charset val="128"/>
      </rPr>
      <t>2</t>
    </r>
    <r>
      <rPr>
        <sz val="11"/>
        <color indexed="8"/>
        <rFont val="游明朝"/>
        <family val="1"/>
        <charset val="128"/>
      </rPr>
      <t>]</t>
    </r>
    <rPh sb="0" eb="4">
      <t>モクヒョウセッテイ</t>
    </rPh>
    <rPh sb="6" eb="8">
      <t>イガイ</t>
    </rPh>
    <phoneticPr fontId="5"/>
  </si>
  <si>
    <r>
      <t xml:space="preserve">排出係数
</t>
    </r>
    <r>
      <rPr>
        <sz val="10"/>
        <color theme="1"/>
        <rFont val="游明朝"/>
        <family val="1"/>
        <charset val="128"/>
      </rPr>
      <t>（その他の温室効果ガス欄は
地球温暖化係数）</t>
    </r>
    <rPh sb="8" eb="9">
      <t>タ</t>
    </rPh>
    <rPh sb="10" eb="12">
      <t>オンシツ</t>
    </rPh>
    <rPh sb="12" eb="14">
      <t>コウカ</t>
    </rPh>
    <rPh sb="16" eb="17">
      <t>ラン</t>
    </rPh>
    <rPh sb="19" eb="21">
      <t>チキュウ</t>
    </rPh>
    <rPh sb="21" eb="24">
      <t>オンダンカ</t>
    </rPh>
    <rPh sb="24" eb="26">
      <t>ケイスウ</t>
    </rPh>
    <phoneticPr fontId="6"/>
  </si>
  <si>
    <r>
      <t>t-CO</t>
    </r>
    <r>
      <rPr>
        <vertAlign val="subscript"/>
        <sz val="14"/>
        <color theme="1"/>
        <rFont val="游明朝"/>
        <family val="1"/>
        <charset val="128"/>
      </rPr>
      <t>2</t>
    </r>
    <phoneticPr fontId="5"/>
  </si>
  <si>
    <r>
      <t>t-CO</t>
    </r>
    <r>
      <rPr>
        <vertAlign val="subscript"/>
        <sz val="11"/>
        <color theme="1"/>
        <rFont val="游明朝"/>
        <family val="1"/>
        <charset val="128"/>
      </rPr>
      <t>2</t>
    </r>
    <r>
      <rPr>
        <sz val="11"/>
        <color theme="1"/>
        <rFont val="游明朝"/>
        <family val="1"/>
        <charset val="128"/>
      </rPr>
      <t>/千m</t>
    </r>
    <r>
      <rPr>
        <vertAlign val="superscript"/>
        <sz val="11"/>
        <color theme="1"/>
        <rFont val="游明朝"/>
        <family val="1"/>
        <charset val="128"/>
      </rPr>
      <t>3</t>
    </r>
    <rPh sb="6" eb="7">
      <t>セン</t>
    </rPh>
    <phoneticPr fontId="6"/>
  </si>
  <si>
    <r>
      <t>t-CO</t>
    </r>
    <r>
      <rPr>
        <vertAlign val="subscript"/>
        <sz val="11"/>
        <color theme="1"/>
        <rFont val="游明朝"/>
        <family val="1"/>
        <charset val="128"/>
      </rPr>
      <t>2</t>
    </r>
    <r>
      <rPr>
        <sz val="11"/>
        <color theme="1"/>
        <rFont val="游明朝"/>
        <family val="1"/>
        <charset val="128"/>
      </rPr>
      <t>/Nm</t>
    </r>
    <r>
      <rPr>
        <vertAlign val="superscript"/>
        <sz val="11"/>
        <color theme="1"/>
        <rFont val="游明朝"/>
        <family val="1"/>
        <charset val="128"/>
      </rPr>
      <t>3</t>
    </r>
    <phoneticPr fontId="6"/>
  </si>
  <si>
    <t>単位補正</t>
    <rPh sb="0" eb="2">
      <t>タンイ</t>
    </rPh>
    <rPh sb="2" eb="4">
      <t>ホセイ</t>
    </rPh>
    <phoneticPr fontId="5"/>
  </si>
  <si>
    <t>単位補正後使用量</t>
    <rPh sb="0" eb="2">
      <t>タンイ</t>
    </rPh>
    <rPh sb="2" eb="4">
      <t>ホセイ</t>
    </rPh>
    <rPh sb="4" eb="5">
      <t>アト</t>
    </rPh>
    <rPh sb="5" eb="8">
      <t>シヨウリョウ</t>
    </rPh>
    <phoneticPr fontId="6"/>
  </si>
  <si>
    <r>
      <t>t-CO</t>
    </r>
    <r>
      <rPr>
        <vertAlign val="subscript"/>
        <sz val="11"/>
        <color theme="1"/>
        <rFont val="游明朝"/>
        <family val="1"/>
        <charset val="128"/>
      </rPr>
      <t>2</t>
    </r>
    <r>
      <rPr>
        <sz val="11"/>
        <color theme="1"/>
        <rFont val="游明朝"/>
        <family val="1"/>
        <charset val="128"/>
      </rPr>
      <t>/t-CH</t>
    </r>
    <r>
      <rPr>
        <vertAlign val="subscript"/>
        <sz val="11"/>
        <color theme="1"/>
        <rFont val="游明朝"/>
        <family val="1"/>
        <charset val="128"/>
      </rPr>
      <t>4</t>
    </r>
    <phoneticPr fontId="6"/>
  </si>
  <si>
    <r>
      <t>t-CO</t>
    </r>
    <r>
      <rPr>
        <vertAlign val="subscript"/>
        <sz val="11"/>
        <color theme="1"/>
        <rFont val="游明朝"/>
        <family val="1"/>
        <charset val="128"/>
      </rPr>
      <t>2</t>
    </r>
    <r>
      <rPr>
        <sz val="11"/>
        <color theme="1"/>
        <rFont val="游明朝"/>
        <family val="1"/>
        <charset val="128"/>
      </rPr>
      <t>/t-N</t>
    </r>
    <r>
      <rPr>
        <vertAlign val="subscript"/>
        <sz val="11"/>
        <color theme="1"/>
        <rFont val="游明朝"/>
        <family val="1"/>
        <charset val="128"/>
      </rPr>
      <t>2</t>
    </r>
    <r>
      <rPr>
        <sz val="11"/>
        <color theme="1"/>
        <rFont val="游明朝"/>
        <family val="1"/>
        <charset val="128"/>
      </rPr>
      <t>O</t>
    </r>
    <phoneticPr fontId="6"/>
  </si>
  <si>
    <r>
      <t>t-CO</t>
    </r>
    <r>
      <rPr>
        <vertAlign val="subscript"/>
        <sz val="11"/>
        <color theme="1"/>
        <rFont val="游明朝"/>
        <family val="1"/>
        <charset val="128"/>
      </rPr>
      <t>2</t>
    </r>
    <r>
      <rPr>
        <sz val="11"/>
        <color theme="1"/>
        <rFont val="游明朝"/>
        <family val="1"/>
        <charset val="128"/>
      </rPr>
      <t>/t-SF</t>
    </r>
    <r>
      <rPr>
        <vertAlign val="subscript"/>
        <sz val="11"/>
        <color theme="1"/>
        <rFont val="游明朝"/>
        <family val="1"/>
        <charset val="128"/>
      </rPr>
      <t>6</t>
    </r>
    <phoneticPr fontId="6"/>
  </si>
  <si>
    <r>
      <t>t-CO</t>
    </r>
    <r>
      <rPr>
        <vertAlign val="subscript"/>
        <sz val="11"/>
        <color theme="1"/>
        <rFont val="游明朝"/>
        <family val="1"/>
        <charset val="128"/>
      </rPr>
      <t>2</t>
    </r>
    <r>
      <rPr>
        <sz val="11"/>
        <color theme="1"/>
        <rFont val="游明朝"/>
        <family val="1"/>
        <charset val="128"/>
      </rPr>
      <t>/t-NF</t>
    </r>
    <r>
      <rPr>
        <vertAlign val="subscript"/>
        <sz val="11"/>
        <color theme="1"/>
        <rFont val="游明朝"/>
        <family val="1"/>
        <charset val="128"/>
      </rPr>
      <t>3</t>
    </r>
    <phoneticPr fontId="6"/>
  </si>
  <si>
    <t>t</t>
    <phoneticPr fontId="5"/>
  </si>
  <si>
    <t>kL</t>
    <phoneticPr fontId="5"/>
  </si>
  <si>
    <t>非表示</t>
    <rPh sb="0" eb="3">
      <t>ヒヒョウジ</t>
    </rPh>
    <phoneticPr fontId="5"/>
  </si>
  <si>
    <r>
      <t>千m</t>
    </r>
    <r>
      <rPr>
        <vertAlign val="superscript"/>
        <sz val="11"/>
        <color theme="1"/>
        <rFont val="游明朝"/>
        <family val="1"/>
        <charset val="128"/>
      </rPr>
      <t>3</t>
    </r>
    <phoneticPr fontId="5"/>
  </si>
  <si>
    <r>
      <t>Nm</t>
    </r>
    <r>
      <rPr>
        <vertAlign val="superscript"/>
        <sz val="11"/>
        <color theme="1"/>
        <rFont val="游明朝"/>
        <family val="1"/>
        <charset val="128"/>
      </rPr>
      <t>3</t>
    </r>
    <phoneticPr fontId="5"/>
  </si>
  <si>
    <r>
      <t>t-SF</t>
    </r>
    <r>
      <rPr>
        <vertAlign val="subscript"/>
        <sz val="11"/>
        <color theme="1"/>
        <rFont val="游明朝"/>
        <family val="1"/>
        <charset val="128"/>
      </rPr>
      <t>6</t>
    </r>
    <phoneticPr fontId="5"/>
  </si>
  <si>
    <r>
      <t>t-NF</t>
    </r>
    <r>
      <rPr>
        <vertAlign val="subscript"/>
        <sz val="11"/>
        <color theme="1"/>
        <rFont val="游明朝"/>
        <family val="1"/>
        <charset val="128"/>
      </rPr>
      <t>3</t>
    </r>
    <phoneticPr fontId="5"/>
  </si>
  <si>
    <r>
      <t>t-CH</t>
    </r>
    <r>
      <rPr>
        <vertAlign val="subscript"/>
        <sz val="11"/>
        <color theme="1"/>
        <rFont val="游明朝"/>
        <family val="1"/>
        <charset val="128"/>
      </rPr>
      <t>4</t>
    </r>
    <phoneticPr fontId="5"/>
  </si>
  <si>
    <r>
      <t>t-N</t>
    </r>
    <r>
      <rPr>
        <vertAlign val="subscript"/>
        <sz val="11"/>
        <color theme="1"/>
        <rFont val="游明朝"/>
        <family val="1"/>
        <charset val="128"/>
      </rPr>
      <t>2</t>
    </r>
    <r>
      <rPr>
        <sz val="11"/>
        <color theme="1"/>
        <rFont val="游明朝"/>
        <family val="1"/>
        <charset val="128"/>
      </rPr>
      <t>O</t>
    </r>
    <phoneticPr fontId="5"/>
  </si>
  <si>
    <t>種類</t>
    <rPh sb="0" eb="2">
      <t>シュルイ</t>
    </rPh>
    <phoneticPr fontId="5"/>
  </si>
  <si>
    <t>再エネ種類選択</t>
    <rPh sb="0" eb="1">
      <t>サイ</t>
    </rPh>
    <rPh sb="3" eb="5">
      <t>シュルイ</t>
    </rPh>
    <rPh sb="5" eb="7">
      <t>センタク</t>
    </rPh>
    <phoneticPr fontId="5"/>
  </si>
  <si>
    <t>バイオマス種類選択</t>
    <rPh sb="5" eb="7">
      <t>シュルイ</t>
    </rPh>
    <rPh sb="7" eb="9">
      <t>センタク</t>
    </rPh>
    <phoneticPr fontId="5"/>
  </si>
  <si>
    <t>有</t>
    <rPh sb="0" eb="1">
      <t>アリ</t>
    </rPh>
    <phoneticPr fontId="5"/>
  </si>
  <si>
    <t>無</t>
    <rPh sb="0" eb="1">
      <t>ナ</t>
    </rPh>
    <phoneticPr fontId="5"/>
  </si>
  <si>
    <t>一次エネルギー換算係数</t>
    <rPh sb="0" eb="2">
      <t>イチジ</t>
    </rPh>
    <rPh sb="7" eb="11">
      <t>カンザンケイスウ</t>
    </rPh>
    <phoneticPr fontId="5"/>
  </si>
  <si>
    <t>一次エネルギー
換算係数
[GJ/固有単位]</t>
    <rPh sb="0" eb="2">
      <t>イチジ</t>
    </rPh>
    <rPh sb="8" eb="12">
      <t>カンザンケイスウ</t>
    </rPh>
    <phoneticPr fontId="5"/>
  </si>
  <si>
    <t>燃料
電気・熱_都市ガス</t>
    <rPh sb="0" eb="2">
      <t>ネンリョウ</t>
    </rPh>
    <phoneticPr fontId="5"/>
  </si>
  <si>
    <t>把握方法_事業所内</t>
    <rPh sb="0" eb="2">
      <t>ハアク</t>
    </rPh>
    <rPh sb="2" eb="4">
      <t>ホウホウ</t>
    </rPh>
    <rPh sb="5" eb="8">
      <t>ジギョウジョ</t>
    </rPh>
    <rPh sb="8" eb="9">
      <t>ウチ</t>
    </rPh>
    <phoneticPr fontId="5"/>
  </si>
  <si>
    <t>電気_仮想電力購入契約</t>
    <rPh sb="0" eb="2">
      <t>デンキ</t>
    </rPh>
    <rPh sb="3" eb="5">
      <t>カソウ</t>
    </rPh>
    <rPh sb="5" eb="7">
      <t>デンリョク</t>
    </rPh>
    <rPh sb="7" eb="9">
      <t>コウニュウ</t>
    </rPh>
    <rPh sb="9" eb="11">
      <t>ケイヤク</t>
    </rPh>
    <phoneticPr fontId="5"/>
  </si>
  <si>
    <t>環境価値_仮想電力契約</t>
    <rPh sb="0" eb="2">
      <t>カンキョウ</t>
    </rPh>
    <rPh sb="2" eb="4">
      <t>カチ</t>
    </rPh>
    <rPh sb="5" eb="7">
      <t>カソウ</t>
    </rPh>
    <rPh sb="7" eb="11">
      <t>デンリョクケイヤク</t>
    </rPh>
    <phoneticPr fontId="5"/>
  </si>
  <si>
    <t>環境価値の有無選択</t>
    <rPh sb="0" eb="4">
      <t>カンキョウカチ</t>
    </rPh>
    <rPh sb="5" eb="7">
      <t>ウム</t>
    </rPh>
    <rPh sb="7" eb="9">
      <t>センタク</t>
    </rPh>
    <phoneticPr fontId="5"/>
  </si>
  <si>
    <t>排出係数設定根拠_仮想電力契約購入の場合</t>
    <rPh sb="0" eb="2">
      <t>ハイシュツ</t>
    </rPh>
    <rPh sb="2" eb="4">
      <t>ケイスウ</t>
    </rPh>
    <rPh sb="4" eb="6">
      <t>セッテイ</t>
    </rPh>
    <rPh sb="6" eb="8">
      <t>コンキョ</t>
    </rPh>
    <rPh sb="9" eb="11">
      <t>カソウ</t>
    </rPh>
    <rPh sb="11" eb="15">
      <t>デンリョクケイヤク</t>
    </rPh>
    <rPh sb="15" eb="17">
      <t>コウニュウ</t>
    </rPh>
    <rPh sb="18" eb="20">
      <t>バアイ</t>
    </rPh>
    <phoneticPr fontId="5"/>
  </si>
  <si>
    <t>国代替値</t>
    <rPh sb="0" eb="1">
      <t>クニ</t>
    </rPh>
    <rPh sb="1" eb="4">
      <t>ダイタイチ</t>
    </rPh>
    <phoneticPr fontId="5"/>
  </si>
  <si>
    <t>目標設定ガスの算定対象外</t>
    <rPh sb="0" eb="4">
      <t>モクヒョウセッテイ</t>
    </rPh>
    <rPh sb="7" eb="9">
      <t>サンテイ</t>
    </rPh>
    <rPh sb="9" eb="12">
      <t>タイショウガイ</t>
    </rPh>
    <phoneticPr fontId="5"/>
  </si>
  <si>
    <t>排出係数設定根拠</t>
    <rPh sb="0" eb="2">
      <t>ハイシュツ</t>
    </rPh>
    <rPh sb="2" eb="4">
      <t>ケイスウ</t>
    </rPh>
    <rPh sb="4" eb="6">
      <t>セッテイ</t>
    </rPh>
    <rPh sb="6" eb="8">
      <t>コンキョ</t>
    </rPh>
    <phoneticPr fontId="5"/>
  </si>
  <si>
    <t>排出係数</t>
    <rPh sb="0" eb="2">
      <t>ハイシュツ</t>
    </rPh>
    <rPh sb="2" eb="4">
      <t>ケイスウ</t>
    </rPh>
    <phoneticPr fontId="5"/>
  </si>
  <si>
    <t>国代替値</t>
    <rPh sb="0" eb="4">
      <t>クニダイタイチ</t>
    </rPh>
    <phoneticPr fontId="5"/>
  </si>
  <si>
    <t>使用量
（年度計）
[記入単位]</t>
    <phoneticPr fontId="5"/>
  </si>
  <si>
    <t>使用量(年度計)
単位補正後</t>
    <rPh sb="0" eb="3">
      <t>シヨウリョウ</t>
    </rPh>
    <rPh sb="4" eb="6">
      <t>ネンド</t>
    </rPh>
    <rPh sb="6" eb="7">
      <t>ケイ</t>
    </rPh>
    <rPh sb="9" eb="11">
      <t>タンイ</t>
    </rPh>
    <rPh sb="11" eb="13">
      <t>ホセイ</t>
    </rPh>
    <rPh sb="13" eb="14">
      <t>アト</t>
    </rPh>
    <phoneticPr fontId="5"/>
  </si>
  <si>
    <r>
      <t>CO</t>
    </r>
    <r>
      <rPr>
        <vertAlign val="subscript"/>
        <sz val="11"/>
        <color theme="1"/>
        <rFont val="游明朝"/>
        <family val="1"/>
        <charset val="128"/>
      </rPr>
      <t>2</t>
    </r>
    <r>
      <rPr>
        <sz val="11"/>
        <color theme="1"/>
        <rFont val="游明朝"/>
        <family val="1"/>
        <charset val="128"/>
      </rPr>
      <t>排出量</t>
    </r>
    <rPh sb="3" eb="5">
      <t>ハイシュツ</t>
    </rPh>
    <rPh sb="5" eb="6">
      <t>リョウ</t>
    </rPh>
    <phoneticPr fontId="5"/>
  </si>
  <si>
    <t>正負</t>
    <rPh sb="0" eb="2">
      <t>セイフ</t>
    </rPh>
    <phoneticPr fontId="5"/>
  </si>
  <si>
    <t>②　事業所外から供給される再生可能エネルギー等により発電した電気及び発生させた熱</t>
    <rPh sb="2" eb="5">
      <t>ジギョウジョ</t>
    </rPh>
    <rPh sb="5" eb="6">
      <t>ガイ</t>
    </rPh>
    <rPh sb="13" eb="15">
      <t>サイセイ</t>
    </rPh>
    <rPh sb="15" eb="17">
      <t>カノウ</t>
    </rPh>
    <rPh sb="22" eb="23">
      <t>トウ</t>
    </rPh>
    <rPh sb="26" eb="28">
      <t>ハツデン</t>
    </rPh>
    <rPh sb="30" eb="32">
      <t>デンキ</t>
    </rPh>
    <rPh sb="32" eb="33">
      <t>オヨ</t>
    </rPh>
    <rPh sb="34" eb="36">
      <t>ハッセイ</t>
    </rPh>
    <rPh sb="39" eb="40">
      <t>ネツ</t>
    </rPh>
    <phoneticPr fontId="5"/>
  </si>
  <si>
    <t>①　事業所等で再生可能エネルギー等により発電した電気及び発生させた熱の自家消費</t>
    <rPh sb="2" eb="5">
      <t>ジギョウジョ</t>
    </rPh>
    <rPh sb="5" eb="6">
      <t>トウ</t>
    </rPh>
    <rPh sb="7" eb="9">
      <t>サイセイ</t>
    </rPh>
    <rPh sb="9" eb="11">
      <t>カノウ</t>
    </rPh>
    <rPh sb="16" eb="17">
      <t>トウ</t>
    </rPh>
    <rPh sb="20" eb="22">
      <t>ハツデン</t>
    </rPh>
    <rPh sb="24" eb="26">
      <t>デンキ</t>
    </rPh>
    <rPh sb="26" eb="27">
      <t>オヨ</t>
    </rPh>
    <rPh sb="28" eb="30">
      <t>ハッセイ</t>
    </rPh>
    <rPh sb="33" eb="34">
      <t>ネツ</t>
    </rPh>
    <rPh sb="35" eb="39">
      <t>ジカショウヒ</t>
    </rPh>
    <phoneticPr fontId="5"/>
  </si>
  <si>
    <t>②事業所外からの供給_排出活動の種類　</t>
    <phoneticPr fontId="5"/>
  </si>
  <si>
    <t>①自家消費_排出活動の種類</t>
    <phoneticPr fontId="5"/>
  </si>
  <si>
    <t>①事業所内_熱の使用_種類</t>
    <rPh sb="1" eb="4">
      <t>ジギョウジョ</t>
    </rPh>
    <rPh sb="4" eb="5">
      <t>ナイ</t>
    </rPh>
    <rPh sb="6" eb="7">
      <t>ネツ</t>
    </rPh>
    <rPh sb="8" eb="10">
      <t>シヨウ</t>
    </rPh>
    <rPh sb="11" eb="13">
      <t>シュルイ</t>
    </rPh>
    <phoneticPr fontId="5"/>
  </si>
  <si>
    <t>①事業所内_電気の使用_種類</t>
    <rPh sb="1" eb="4">
      <t>ジギョウジョ</t>
    </rPh>
    <rPh sb="4" eb="5">
      <t>ナイ</t>
    </rPh>
    <rPh sb="6" eb="8">
      <t>デンキ</t>
    </rPh>
    <rPh sb="9" eb="11">
      <t>シヨウ</t>
    </rPh>
    <rPh sb="12" eb="14">
      <t>シュルイ</t>
    </rPh>
    <phoneticPr fontId="5"/>
  </si>
  <si>
    <t>②事業所外_電気の使用_種類</t>
    <rPh sb="1" eb="4">
      <t>ジギョウジョ</t>
    </rPh>
    <rPh sb="4" eb="5">
      <t>ソト</t>
    </rPh>
    <rPh sb="6" eb="8">
      <t>デンキ</t>
    </rPh>
    <rPh sb="9" eb="11">
      <t>シヨウ</t>
    </rPh>
    <rPh sb="12" eb="14">
      <t>シュルイ</t>
    </rPh>
    <phoneticPr fontId="5"/>
  </si>
  <si>
    <t>②事業所外_熱の使用_種類</t>
    <rPh sb="1" eb="4">
      <t>ジギョウジョ</t>
    </rPh>
    <rPh sb="4" eb="5">
      <t>ソト</t>
    </rPh>
    <rPh sb="6" eb="7">
      <t>ネツ</t>
    </rPh>
    <rPh sb="8" eb="10">
      <t>シヨウ</t>
    </rPh>
    <rPh sb="11" eb="13">
      <t>シュルイ</t>
    </rPh>
    <phoneticPr fontId="5"/>
  </si>
  <si>
    <t>バイオマス燃料持続可能性</t>
    <rPh sb="5" eb="7">
      <t>ネンリョウ</t>
    </rPh>
    <rPh sb="7" eb="9">
      <t>ジゾク</t>
    </rPh>
    <rPh sb="9" eb="12">
      <t>カノウセイ</t>
    </rPh>
    <phoneticPr fontId="5"/>
  </si>
  <si>
    <t>排出係数設定根拠_バイオマス燃料_持続可能性無の場合</t>
    <rPh sb="0" eb="2">
      <t>ハイシュツ</t>
    </rPh>
    <rPh sb="2" eb="4">
      <t>ケイスウ</t>
    </rPh>
    <rPh sb="4" eb="6">
      <t>セッテイ</t>
    </rPh>
    <rPh sb="6" eb="8">
      <t>コンキョ</t>
    </rPh>
    <rPh sb="14" eb="16">
      <t>ネンリョウ</t>
    </rPh>
    <rPh sb="24" eb="26">
      <t>バアイ</t>
    </rPh>
    <phoneticPr fontId="5"/>
  </si>
  <si>
    <t>把握方法_事業所外</t>
    <rPh sb="0" eb="2">
      <t>ハアク</t>
    </rPh>
    <rPh sb="2" eb="4">
      <t>ホウホウ</t>
    </rPh>
    <rPh sb="5" eb="8">
      <t>ジギョウジョ</t>
    </rPh>
    <rPh sb="8" eb="9">
      <t>ガイ</t>
    </rPh>
    <phoneticPr fontId="5"/>
  </si>
  <si>
    <t>熱量実測値
対象再エネ</t>
    <rPh sb="0" eb="2">
      <t>ネツリョウ</t>
    </rPh>
    <rPh sb="2" eb="5">
      <t>ジッソクチ</t>
    </rPh>
    <rPh sb="6" eb="8">
      <t>タイショウ</t>
    </rPh>
    <rPh sb="8" eb="9">
      <t>サイ</t>
    </rPh>
    <phoneticPr fontId="5"/>
  </si>
  <si>
    <t>自家消費_事業所外利用の移動体への供給</t>
    <rPh sb="0" eb="4">
      <t>ジカショウヒ</t>
    </rPh>
    <phoneticPr fontId="6"/>
  </si>
  <si>
    <t>自家消費_工事のためのエネルギー使用</t>
    <rPh sb="0" eb="4">
      <t>ジカショウヒ</t>
    </rPh>
    <phoneticPr fontId="6"/>
  </si>
  <si>
    <t>自家消費_住宅用途への供給</t>
    <rPh sb="0" eb="4">
      <t>ジカショウヒ</t>
    </rPh>
    <phoneticPr fontId="6"/>
  </si>
  <si>
    <t>自家消費_他事業所への燃料等の直接供給</t>
    <rPh sb="0" eb="4">
      <t>ジカショウヒ</t>
    </rPh>
    <phoneticPr fontId="6"/>
  </si>
  <si>
    <t>自家消費以外_事業所外利用の移動体への供給</t>
    <rPh sb="0" eb="4">
      <t>ジカショウヒ</t>
    </rPh>
    <rPh sb="4" eb="6">
      <t>イガイ</t>
    </rPh>
    <phoneticPr fontId="6"/>
  </si>
  <si>
    <t>自家消費以外_住宅用途への供給</t>
    <phoneticPr fontId="6"/>
  </si>
  <si>
    <t>自家消費以外_他事業所への燃料等の直接供給</t>
    <phoneticPr fontId="6"/>
  </si>
  <si>
    <t>③自家消費_種類</t>
    <rPh sb="1" eb="5">
      <t>ジカショウヒ</t>
    </rPh>
    <rPh sb="6" eb="8">
      <t>シュルイ</t>
    </rPh>
    <phoneticPr fontId="5"/>
  </si>
  <si>
    <t>③自家消費以外（事業所外からの供給)_種類</t>
    <rPh sb="1" eb="7">
      <t>ジカショウヒイガイ</t>
    </rPh>
    <rPh sb="8" eb="12">
      <t>ジギョウジョソト</t>
    </rPh>
    <rPh sb="15" eb="17">
      <t>キョウキュウ</t>
    </rPh>
    <rPh sb="19" eb="21">
      <t>シュルイ</t>
    </rPh>
    <phoneticPr fontId="5"/>
  </si>
  <si>
    <t>自家消費以外_工事のためのエネルギー使用</t>
    <phoneticPr fontId="6"/>
  </si>
  <si>
    <t>再エネ電気・熱</t>
    <rPh sb="0" eb="1">
      <t>サイ</t>
    </rPh>
    <rPh sb="3" eb="5">
      <t>デンキ</t>
    </rPh>
    <rPh sb="6" eb="7">
      <t>ネツ</t>
    </rPh>
    <phoneticPr fontId="5"/>
  </si>
  <si>
    <t>自家消費</t>
    <rPh sb="0" eb="4">
      <t>ジカショウヒ</t>
    </rPh>
    <phoneticPr fontId="5"/>
  </si>
  <si>
    <t>熱</t>
    <rPh sb="0" eb="1">
      <t>ネツ</t>
    </rPh>
    <phoneticPr fontId="5"/>
  </si>
  <si>
    <t>環境価値</t>
    <rPh sb="0" eb="2">
      <t>カンキョウ</t>
    </rPh>
    <rPh sb="2" eb="4">
      <t>カチ</t>
    </rPh>
    <phoneticPr fontId="5"/>
  </si>
  <si>
    <t>区分</t>
    <rPh sb="0" eb="2">
      <t>クブン</t>
    </rPh>
    <phoneticPr fontId="5"/>
  </si>
  <si>
    <t>自家消費</t>
    <rPh sb="0" eb="4">
      <t>ジカショウヒ</t>
    </rPh>
    <phoneticPr fontId="5"/>
  </si>
  <si>
    <t>自家消費以外</t>
    <rPh sb="0" eb="4">
      <t>ジカショウヒ</t>
    </rPh>
    <rPh sb="4" eb="6">
      <t>イガイ</t>
    </rPh>
    <phoneticPr fontId="5"/>
  </si>
  <si>
    <t>電気</t>
    <rPh sb="0" eb="2">
      <t>デンキ</t>
    </rPh>
    <phoneticPr fontId="5"/>
  </si>
  <si>
    <t>バイオマス
持続可能性</t>
    <rPh sb="6" eb="8">
      <t>ジゾク</t>
    </rPh>
    <rPh sb="8" eb="11">
      <t>カノウセイ</t>
    </rPh>
    <phoneticPr fontId="5"/>
  </si>
  <si>
    <t>自家消費以外_仮想電力購入契約</t>
    <rPh sb="0" eb="4">
      <t>ジカショウヒ</t>
    </rPh>
    <rPh sb="4" eb="6">
      <t>イガイ</t>
    </rPh>
    <rPh sb="7" eb="9">
      <t>カソウ</t>
    </rPh>
    <rPh sb="9" eb="15">
      <t>デンリョクコウニュウケイヤク</t>
    </rPh>
    <phoneticPr fontId="5"/>
  </si>
  <si>
    <t>区分</t>
    <rPh sb="0" eb="2">
      <t>クブン</t>
    </rPh>
    <phoneticPr fontId="5"/>
  </si>
  <si>
    <t>環境価値</t>
    <rPh sb="0" eb="2">
      <t>カンキョウ</t>
    </rPh>
    <rPh sb="2" eb="4">
      <t>カチ</t>
    </rPh>
    <phoneticPr fontId="5"/>
  </si>
  <si>
    <t>自家消費</t>
    <rPh sb="0" eb="2">
      <t>ジカ</t>
    </rPh>
    <rPh sb="2" eb="4">
      <t>ショウヒ</t>
    </rPh>
    <phoneticPr fontId="5"/>
  </si>
  <si>
    <t>バイオマス持続可能性</t>
    <rPh sb="5" eb="7">
      <t>ジゾク</t>
    </rPh>
    <rPh sb="7" eb="10">
      <t>カノウセイ</t>
    </rPh>
    <phoneticPr fontId="5"/>
  </si>
  <si>
    <t>森林吸収量_埼玉県森林CO2吸収量認証制度</t>
    <rPh sb="0" eb="5">
      <t>シンリンキュウシュウリョウ</t>
    </rPh>
    <phoneticPr fontId="5"/>
  </si>
  <si>
    <t>森林吸収量_Jクレジット制度</t>
    <rPh sb="0" eb="5">
      <t>シンリンキュウシュウリョウ</t>
    </rPh>
    <rPh sb="12" eb="14">
      <t>セイド</t>
    </rPh>
    <phoneticPr fontId="5"/>
  </si>
  <si>
    <t>森林吸収量</t>
    <rPh sb="0" eb="5">
      <t>シンリンキュウシュウリョウ</t>
    </rPh>
    <phoneticPr fontId="5"/>
  </si>
  <si>
    <t>非FIT非化石証書_再生可能エネルギー指定</t>
  </si>
  <si>
    <t>単位</t>
    <rPh sb="0" eb="2">
      <t>タンイ</t>
    </rPh>
    <phoneticPr fontId="5"/>
  </si>
  <si>
    <t>区分</t>
    <rPh sb="0" eb="2">
      <t>クブン</t>
    </rPh>
    <phoneticPr fontId="5"/>
  </si>
  <si>
    <t>全国平均係数</t>
    <rPh sb="0" eb="2">
      <t>ゼンコク</t>
    </rPh>
    <rPh sb="2" eb="4">
      <t>ヘイキン</t>
    </rPh>
    <rPh sb="4" eb="6">
      <t>ケイスウ</t>
    </rPh>
    <phoneticPr fontId="5"/>
  </si>
  <si>
    <t>排出係数</t>
    <rPh sb="0" eb="2">
      <t>ハイシュツ</t>
    </rPh>
    <rPh sb="2" eb="4">
      <t>ケイスウ</t>
    </rPh>
    <phoneticPr fontId="5"/>
  </si>
  <si>
    <t>単位補正</t>
    <rPh sb="0" eb="2">
      <t>タンイ</t>
    </rPh>
    <rPh sb="2" eb="4">
      <t>ホセイ</t>
    </rPh>
    <phoneticPr fontId="5"/>
  </si>
  <si>
    <t>保有量
単位補正値</t>
    <rPh sb="0" eb="3">
      <t>ホユウリョウ</t>
    </rPh>
    <rPh sb="4" eb="9">
      <t>タンイホセイチ</t>
    </rPh>
    <phoneticPr fontId="5"/>
  </si>
  <si>
    <t>削減量</t>
    <rPh sb="0" eb="3">
      <t>サクゲンリョウ</t>
    </rPh>
    <phoneticPr fontId="5"/>
  </si>
  <si>
    <t>証書_森林吸収量</t>
    <rPh sb="0" eb="2">
      <t>ショウショ</t>
    </rPh>
    <rPh sb="3" eb="8">
      <t>シンリンキュウシュウリョウ</t>
    </rPh>
    <phoneticPr fontId="5"/>
  </si>
  <si>
    <t>第4まとめ表</t>
    <rPh sb="0" eb="1">
      <t>ダイ</t>
    </rPh>
    <rPh sb="5" eb="6">
      <t>ヒョウ</t>
    </rPh>
    <phoneticPr fontId="5"/>
  </si>
  <si>
    <t>第3まとめ表</t>
    <rPh sb="0" eb="1">
      <t>ダイ</t>
    </rPh>
    <rPh sb="5" eb="6">
      <t>ヒョウ</t>
    </rPh>
    <phoneticPr fontId="5"/>
  </si>
  <si>
    <t>第4
まとめ表</t>
    <rPh sb="0" eb="1">
      <t>ダイ</t>
    </rPh>
    <rPh sb="6" eb="7">
      <t>ヒョウ</t>
    </rPh>
    <phoneticPr fontId="5"/>
  </si>
  <si>
    <t>第3
まとめ表</t>
    <rPh sb="0" eb="1">
      <t>ダイ</t>
    </rPh>
    <rPh sb="6" eb="7">
      <t>ヒョウ</t>
    </rPh>
    <phoneticPr fontId="5"/>
  </si>
  <si>
    <t>証書等</t>
    <rPh sb="0" eb="2">
      <t>ショウショ</t>
    </rPh>
    <rPh sb="2" eb="3">
      <t>トウ</t>
    </rPh>
    <phoneticPr fontId="5"/>
  </si>
  <si>
    <t>日本産業規格Ａ列４番</t>
    <phoneticPr fontId="5"/>
  </si>
  <si>
    <t>東京電力エナジーパートナー(株)</t>
    <phoneticPr fontId="5"/>
  </si>
  <si>
    <t>メニューU</t>
    <phoneticPr fontId="5"/>
  </si>
  <si>
    <t>メニューV</t>
    <phoneticPr fontId="5"/>
  </si>
  <si>
    <t>メニューW</t>
    <phoneticPr fontId="5"/>
  </si>
  <si>
    <t>メニューX</t>
    <phoneticPr fontId="5"/>
  </si>
  <si>
    <t>メニューY</t>
    <phoneticPr fontId="5"/>
  </si>
  <si>
    <t>メニューZ</t>
    <phoneticPr fontId="5"/>
  </si>
  <si>
    <t>メニューD</t>
    <phoneticPr fontId="5"/>
  </si>
  <si>
    <t>メニューE</t>
    <phoneticPr fontId="5"/>
  </si>
  <si>
    <t>報告対象の再生可能
エネルギーかどうか</t>
    <rPh sb="0" eb="2">
      <t>ホウコク</t>
    </rPh>
    <rPh sb="2" eb="4">
      <t>タイショウ</t>
    </rPh>
    <rPh sb="5" eb="9">
      <t>サイセイカノウ</t>
    </rPh>
    <phoneticPr fontId="5"/>
  </si>
  <si>
    <t>(バイオマス燃料の持続可能性の有無）</t>
    <rPh sb="6" eb="8">
      <t>ネンリョウ</t>
    </rPh>
    <rPh sb="9" eb="11">
      <t>ジゾク</t>
    </rPh>
    <rPh sb="11" eb="14">
      <t>カノウセイ</t>
    </rPh>
    <rPh sb="15" eb="17">
      <t>ウム</t>
    </rPh>
    <phoneticPr fontId="5"/>
  </si>
  <si>
    <t>(参考値)事業者全体</t>
  </si>
  <si>
    <t>環境価値_バイオマス持続可能性無</t>
    <rPh sb="0" eb="2">
      <t>カンキョウ</t>
    </rPh>
    <rPh sb="2" eb="4">
      <t>カチ</t>
    </rPh>
    <rPh sb="10" eb="12">
      <t>ジゾク</t>
    </rPh>
    <rPh sb="12" eb="15">
      <t>カノウセイ</t>
    </rPh>
    <rPh sb="15" eb="16">
      <t>ナ</t>
    </rPh>
    <phoneticPr fontId="5"/>
  </si>
  <si>
    <r>
      <t>証書等による削減量
t-CO</t>
    </r>
    <r>
      <rPr>
        <vertAlign val="subscript"/>
        <sz val="11"/>
        <color theme="1"/>
        <rFont val="游明朝"/>
        <family val="1"/>
        <charset val="128"/>
      </rPr>
      <t>2</t>
    </r>
    <rPh sb="0" eb="2">
      <t>ショウショ</t>
    </rPh>
    <rPh sb="2" eb="3">
      <t>トウ</t>
    </rPh>
    <rPh sb="6" eb="9">
      <t>サクゲンリョウ</t>
    </rPh>
    <phoneticPr fontId="5"/>
  </si>
  <si>
    <t>電気あるいは熱の使用量がある場合のみ対象の証書を選択可</t>
    <rPh sb="0" eb="2">
      <t>デンキ</t>
    </rPh>
    <rPh sb="6" eb="7">
      <t>ネツ</t>
    </rPh>
    <rPh sb="8" eb="11">
      <t>シヨウリョウ</t>
    </rPh>
    <rPh sb="14" eb="16">
      <t>バアイ</t>
    </rPh>
    <rPh sb="18" eb="20">
      <t>タイショウ</t>
    </rPh>
    <rPh sb="21" eb="23">
      <t>ショウショ</t>
    </rPh>
    <rPh sb="24" eb="26">
      <t>センタク</t>
    </rPh>
    <rPh sb="26" eb="27">
      <t>カ</t>
    </rPh>
    <phoneticPr fontId="5"/>
  </si>
  <si>
    <t>種類_熱なし</t>
    <rPh sb="0" eb="2">
      <t>シュルイ</t>
    </rPh>
    <rPh sb="3" eb="4">
      <t>ネツ</t>
    </rPh>
    <phoneticPr fontId="5"/>
  </si>
  <si>
    <t>種類_電気なし</t>
    <rPh sb="0" eb="2">
      <t>シュルイ</t>
    </rPh>
    <rPh sb="3" eb="5">
      <t>デンキ</t>
    </rPh>
    <phoneticPr fontId="5"/>
  </si>
  <si>
    <t>種類_森林吸収量のみ</t>
    <rPh sb="0" eb="2">
      <t>シュルイ</t>
    </rPh>
    <rPh sb="3" eb="7">
      <t>シンリンキュウシュウ</t>
    </rPh>
    <rPh sb="7" eb="8">
      <t>リョウ</t>
    </rPh>
    <phoneticPr fontId="5"/>
  </si>
  <si>
    <r>
      <t>単位発熱量
[MJ/Nm</t>
    </r>
    <r>
      <rPr>
        <vertAlign val="superscript"/>
        <sz val="10"/>
        <color theme="1"/>
        <rFont val="游明朝"/>
        <family val="1"/>
        <charset val="128"/>
      </rPr>
      <t>3</t>
    </r>
    <r>
      <rPr>
        <sz val="10"/>
        <color theme="1"/>
        <rFont val="游明朝"/>
        <family val="1"/>
        <charset val="128"/>
      </rPr>
      <t>]</t>
    </r>
    <rPh sb="0" eb="2">
      <t>タンイ</t>
    </rPh>
    <rPh sb="2" eb="5">
      <t>ハツネツリョウ</t>
    </rPh>
    <phoneticPr fontId="5"/>
  </si>
  <si>
    <t>バイオディーゼル</t>
    <phoneticPr fontId="5"/>
  </si>
  <si>
    <t>電気_「オンサイト型PPA、自家発電、非燃料由来の非化石電気」以外からの買電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5"/>
  </si>
  <si>
    <t>供給会社等
選択または入力可能</t>
    <rPh sb="0" eb="4">
      <t>キョウキュウカイシャ</t>
    </rPh>
    <rPh sb="4" eb="5">
      <t>トウ</t>
    </rPh>
    <rPh sb="6" eb="8">
      <t>センタク</t>
    </rPh>
    <rPh sb="11" eb="15">
      <t>ニュウリョクカノウ</t>
    </rPh>
    <phoneticPr fontId="5"/>
  </si>
  <si>
    <t>電気_「オンサイト型PPA_自家発電_非燃料由来の非化石電気」以外からの買電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5"/>
  </si>
  <si>
    <t>乗率_排出量</t>
    <rPh sb="0" eb="2">
      <t>ジョウリツ</t>
    </rPh>
    <rPh sb="3" eb="6">
      <t>ハイシュツリョウ</t>
    </rPh>
    <phoneticPr fontId="5"/>
  </si>
  <si>
    <t>乗率_除外する排出量</t>
    <rPh sb="0" eb="2">
      <t>ジョウリツ</t>
    </rPh>
    <rPh sb="3" eb="5">
      <t>ジョガイ</t>
    </rPh>
    <rPh sb="7" eb="10">
      <t>ハイシュツリョウ</t>
    </rPh>
    <phoneticPr fontId="5"/>
  </si>
  <si>
    <t>乗率選択</t>
    <rPh sb="0" eb="2">
      <t>ジョウリツ</t>
    </rPh>
    <rPh sb="2" eb="4">
      <t>センタク</t>
    </rPh>
    <phoneticPr fontId="5"/>
  </si>
  <si>
    <t>（A事業所，Bテナント等事業所用）</t>
    <rPh sb="11" eb="12">
      <t>トウ</t>
    </rPh>
    <phoneticPr fontId="6"/>
  </si>
  <si>
    <t>A,Bテナント等事業所算定資料１</t>
    <rPh sb="7" eb="8">
      <t>トウ</t>
    </rPh>
    <rPh sb="8" eb="11">
      <t>ジギョウショ</t>
    </rPh>
    <rPh sb="11" eb="13">
      <t>サンテイ</t>
    </rPh>
    <rPh sb="13" eb="15">
      <t>シリョウ</t>
    </rPh>
    <phoneticPr fontId="6"/>
  </si>
  <si>
    <t>２ー１　燃料使用量</t>
    <rPh sb="4" eb="6">
      <t>ネンリョウ</t>
    </rPh>
    <rPh sb="6" eb="9">
      <t>シヨウリョウ</t>
    </rPh>
    <phoneticPr fontId="6"/>
  </si>
  <si>
    <t>使用量(年度計) 
[記入単位]</t>
    <rPh sb="0" eb="3">
      <t>シヨウリョウ</t>
    </rPh>
    <rPh sb="4" eb="6">
      <t>ネンド</t>
    </rPh>
    <rPh sb="6" eb="7">
      <t>ケイ</t>
    </rPh>
    <rPh sb="11" eb="13">
      <t>キニュウ</t>
    </rPh>
    <rPh sb="13" eb="15">
      <t>タンイ</t>
    </rPh>
    <phoneticPr fontId="5"/>
  </si>
  <si>
    <t>使用量(年度計:乗率反映） 
[記入単位]</t>
    <rPh sb="0" eb="3">
      <t>シヨウリョウ</t>
    </rPh>
    <rPh sb="4" eb="6">
      <t>ネンド</t>
    </rPh>
    <rPh sb="6" eb="7">
      <t>ケイ</t>
    </rPh>
    <rPh sb="16" eb="18">
      <t>キニュウ</t>
    </rPh>
    <rPh sb="18" eb="20">
      <t>タンイ</t>
    </rPh>
    <phoneticPr fontId="5"/>
  </si>
  <si>
    <t>使用量（年度計）
[記入単位]</t>
    <rPh sb="0" eb="3">
      <t>シヨウリョウ</t>
    </rPh>
    <rPh sb="4" eb="6">
      <t>ネンド</t>
    </rPh>
    <rPh sb="6" eb="7">
      <t>ケイ</t>
    </rPh>
    <rPh sb="10" eb="12">
      <t>キニュウ</t>
    </rPh>
    <rPh sb="12" eb="14">
      <t>タンイ</t>
    </rPh>
    <phoneticPr fontId="5"/>
  </si>
  <si>
    <t>使用量（年度計:乗率反映）
[記入単位]</t>
    <rPh sb="0" eb="3">
      <t>シヨウリョウ</t>
    </rPh>
    <rPh sb="4" eb="6">
      <t>ネンド</t>
    </rPh>
    <rPh sb="6" eb="7">
      <t>ケイ</t>
    </rPh>
    <rPh sb="8" eb="12">
      <t>ジョウリツハンエイ</t>
    </rPh>
    <rPh sb="15" eb="17">
      <t>キニュウ</t>
    </rPh>
    <rPh sb="17" eb="19">
      <t>タンイ</t>
    </rPh>
    <phoneticPr fontId="5"/>
  </si>
  <si>
    <t>2－２　再生可能エネルギー以外の電気・熱の使用量及び都市ガスの使用量</t>
    <phoneticPr fontId="6"/>
  </si>
  <si>
    <t>２－５　再生可能エネルギー等由来の証書等の利用</t>
    <rPh sb="4" eb="6">
      <t>サイセイ</t>
    </rPh>
    <rPh sb="6" eb="8">
      <t>カノウ</t>
    </rPh>
    <rPh sb="13" eb="14">
      <t>トウ</t>
    </rPh>
    <rPh sb="14" eb="16">
      <t>ユライ</t>
    </rPh>
    <rPh sb="17" eb="19">
      <t>ショウショ</t>
    </rPh>
    <rPh sb="19" eb="20">
      <t>トウ</t>
    </rPh>
    <rPh sb="21" eb="23">
      <t>リヨウ</t>
    </rPh>
    <phoneticPr fontId="5"/>
  </si>
  <si>
    <t>A,Bテナント等事業所算定資料２ー５</t>
    <rPh sb="7" eb="8">
      <t>トウ</t>
    </rPh>
    <rPh sb="8" eb="11">
      <t>ジギョウショ</t>
    </rPh>
    <rPh sb="11" eb="13">
      <t>サンテイ</t>
    </rPh>
    <rPh sb="13" eb="15">
      <t>シリョウ</t>
    </rPh>
    <phoneticPr fontId="6"/>
  </si>
  <si>
    <t>A,Bテナント等事業所算定資料３</t>
    <phoneticPr fontId="6"/>
  </si>
  <si>
    <t>３燃料等使用量及び目標設定ガス排出量</t>
    <phoneticPr fontId="5"/>
  </si>
  <si>
    <t>４その他の温室効果ガス排出量</t>
    <rPh sb="3" eb="4">
      <t>ホカ</t>
    </rPh>
    <rPh sb="5" eb="9">
      <t>オンシツコウカ</t>
    </rPh>
    <rPh sb="11" eb="14">
      <t>ハイシュツリョウ</t>
    </rPh>
    <phoneticPr fontId="5"/>
  </si>
  <si>
    <t>A,Bテナント等事業所算定資料２ー４</t>
    <phoneticPr fontId="6"/>
  </si>
  <si>
    <t>２－４　非化石燃料使用量</t>
    <phoneticPr fontId="6"/>
  </si>
  <si>
    <t>2－3　再生可能エネルギー由来の電気・熱の使用量</t>
    <rPh sb="13" eb="15">
      <t>ユライ</t>
    </rPh>
    <phoneticPr fontId="6"/>
  </si>
  <si>
    <t>使用量
（年度計:乗率反映）
[記入単位]</t>
    <rPh sb="9" eb="13">
      <t>ジョウリツハンエイ</t>
    </rPh>
    <phoneticPr fontId="5"/>
  </si>
  <si>
    <t>A,Bテナント等事業所算定資料４</t>
    <rPh sb="7" eb="8">
      <t>トウ</t>
    </rPh>
    <rPh sb="8" eb="11">
      <t>ジギョウショ</t>
    </rPh>
    <rPh sb="11" eb="13">
      <t>サンテイ</t>
    </rPh>
    <rPh sb="13" eb="15">
      <t>シリョウ</t>
    </rPh>
    <phoneticPr fontId="6"/>
  </si>
  <si>
    <t>ID_RENEWENERGY_TYPE_CALC</t>
  </si>
  <si>
    <t>バイオマス</t>
  </si>
  <si>
    <t>ID_BIOMASS_FUEL_TYPE</t>
  </si>
  <si>
    <t>ID_FUEL</t>
    <phoneticPr fontId="5"/>
  </si>
  <si>
    <t>SUPPLIER</t>
    <phoneticPr fontId="5"/>
  </si>
  <si>
    <t>MENU</t>
    <phoneticPr fontId="5"/>
  </si>
  <si>
    <t>CALORIFIC_VALUE</t>
    <phoneticPr fontId="5"/>
  </si>
  <si>
    <t>CALORIFIC_VALUE2</t>
    <phoneticPr fontId="5"/>
  </si>
  <si>
    <t>EF_BASIS</t>
    <phoneticPr fontId="5"/>
  </si>
  <si>
    <t>EMISSION_FACTOR</t>
    <phoneticPr fontId="5"/>
  </si>
  <si>
    <t>AMOUNT</t>
    <phoneticPr fontId="5"/>
  </si>
  <si>
    <t>COEFFICIENTS</t>
    <phoneticPr fontId="5"/>
  </si>
  <si>
    <t>ID_RENEWENERGY_TYPE_CALC</t>
    <phoneticPr fontId="5"/>
  </si>
  <si>
    <t>ID_BIOMASS_FUEL_TYPE</t>
    <phoneticPr fontId="5"/>
  </si>
  <si>
    <t>補正係数</t>
    <rPh sb="0" eb="2">
      <t>ホセイ</t>
    </rPh>
    <rPh sb="2" eb="4">
      <t>ケイスウ</t>
    </rPh>
    <phoneticPr fontId="5"/>
  </si>
  <si>
    <t>排出係数
数式or値チェック</t>
    <rPh sb="0" eb="2">
      <t>ハイシュツ</t>
    </rPh>
    <rPh sb="2" eb="4">
      <t>ケイスウ</t>
    </rPh>
    <rPh sb="5" eb="7">
      <t>スウシキ</t>
    </rPh>
    <rPh sb="9" eb="10">
      <t>アタイ</t>
    </rPh>
    <phoneticPr fontId="5"/>
  </si>
  <si>
    <t>保守的
算定
（乗率）</t>
    <phoneticPr fontId="5"/>
  </si>
  <si>
    <t>保守的
算定
（乗率）</t>
    <rPh sb="0" eb="3">
      <t>ホシュテキ</t>
    </rPh>
    <rPh sb="4" eb="6">
      <t>サンテイ</t>
    </rPh>
    <rPh sb="8" eb="9">
      <t>ジョウ</t>
    </rPh>
    <rPh sb="9" eb="10">
      <t>リツ</t>
    </rPh>
    <phoneticPr fontId="5"/>
  </si>
  <si>
    <t>都市ガス
発熱量
数式or値チェック</t>
    <rPh sb="0" eb="2">
      <t>トシ</t>
    </rPh>
    <rPh sb="5" eb="8">
      <t>ハツネツリョウ</t>
    </rPh>
    <phoneticPr fontId="5"/>
  </si>
  <si>
    <t>削減量
数式OR数値</t>
    <rPh sb="0" eb="3">
      <t>サクゲンリョウ</t>
    </rPh>
    <rPh sb="4" eb="6">
      <t>スウシキ</t>
    </rPh>
    <rPh sb="8" eb="10">
      <t>スウチ</t>
    </rPh>
    <phoneticPr fontId="5"/>
  </si>
  <si>
    <t>A,Bテナント等事業所算定資料２ー３</t>
    <phoneticPr fontId="6"/>
  </si>
  <si>
    <t>A,Bテナント等事業所算定資料２ー２</t>
    <phoneticPr fontId="6"/>
  </si>
  <si>
    <t>A,Bテナント等事業所算定資料２ー１</t>
    <phoneticPr fontId="6"/>
  </si>
  <si>
    <t>使用量
(端数処理前）</t>
    <rPh sb="0" eb="3">
      <t>シヨウリョウ</t>
    </rPh>
    <rPh sb="5" eb="7">
      <t>ハスウ</t>
    </rPh>
    <rPh sb="7" eb="9">
      <t>ショリ</t>
    </rPh>
    <rPh sb="9" eb="10">
      <t>マエ</t>
    </rPh>
    <phoneticPr fontId="5"/>
  </si>
  <si>
    <t>システム読取用</t>
    <rPh sb="4" eb="6">
      <t>ヨミトリ</t>
    </rPh>
    <rPh sb="6" eb="7">
      <t>ヨウ</t>
    </rPh>
    <phoneticPr fontId="5"/>
  </si>
  <si>
    <t>六ふっ化硫黄</t>
    <rPh sb="0" eb="1">
      <t>ロク</t>
    </rPh>
    <rPh sb="3" eb="4">
      <t>カ</t>
    </rPh>
    <rPh sb="4" eb="6">
      <t>イオウ</t>
    </rPh>
    <phoneticPr fontId="6"/>
  </si>
  <si>
    <t>※</t>
    <phoneticPr fontId="5"/>
  </si>
  <si>
    <t>A0269</t>
    <phoneticPr fontId="5"/>
  </si>
  <si>
    <t>A0003</t>
    <phoneticPr fontId="5"/>
  </si>
  <si>
    <t>A0004</t>
    <phoneticPr fontId="5"/>
  </si>
  <si>
    <t>A0006</t>
    <phoneticPr fontId="5"/>
  </si>
  <si>
    <t>A0007</t>
    <phoneticPr fontId="5"/>
  </si>
  <si>
    <t>A0008</t>
    <phoneticPr fontId="5"/>
  </si>
  <si>
    <t>A0009</t>
    <phoneticPr fontId="5"/>
  </si>
  <si>
    <t>A0011</t>
    <phoneticPr fontId="5"/>
  </si>
  <si>
    <t>A0012</t>
    <phoneticPr fontId="5"/>
  </si>
  <si>
    <t>A0013</t>
    <phoneticPr fontId="5"/>
  </si>
  <si>
    <t>A0014</t>
    <phoneticPr fontId="5"/>
  </si>
  <si>
    <t>A0015</t>
    <phoneticPr fontId="5"/>
  </si>
  <si>
    <t>A0016</t>
    <phoneticPr fontId="5"/>
  </si>
  <si>
    <t>A0017</t>
    <phoneticPr fontId="5"/>
  </si>
  <si>
    <t>A0018</t>
    <phoneticPr fontId="5"/>
  </si>
  <si>
    <t>A0019</t>
    <phoneticPr fontId="5"/>
  </si>
  <si>
    <t>A0021</t>
    <phoneticPr fontId="5"/>
  </si>
  <si>
    <t>A0023</t>
    <phoneticPr fontId="5"/>
  </si>
  <si>
    <t>A0024</t>
    <phoneticPr fontId="5"/>
  </si>
  <si>
    <t>A0025</t>
    <phoneticPr fontId="5"/>
  </si>
  <si>
    <t>A0026</t>
    <phoneticPr fontId="5"/>
  </si>
  <si>
    <t>A0027</t>
    <phoneticPr fontId="5"/>
  </si>
  <si>
    <t>A0031</t>
    <phoneticPr fontId="5"/>
  </si>
  <si>
    <t>A0032</t>
    <phoneticPr fontId="5"/>
  </si>
  <si>
    <t>A0034</t>
    <phoneticPr fontId="5"/>
  </si>
  <si>
    <t>A0035</t>
    <phoneticPr fontId="5"/>
  </si>
  <si>
    <t>A0036</t>
    <phoneticPr fontId="5"/>
  </si>
  <si>
    <t>A0039</t>
    <phoneticPr fontId="5"/>
  </si>
  <si>
    <t>A0040</t>
    <phoneticPr fontId="5"/>
  </si>
  <si>
    <t>A0042</t>
    <phoneticPr fontId="5"/>
  </si>
  <si>
    <t>A0043</t>
    <phoneticPr fontId="5"/>
  </si>
  <si>
    <t>A0045</t>
    <phoneticPr fontId="5"/>
  </si>
  <si>
    <t>A0046</t>
    <phoneticPr fontId="5"/>
  </si>
  <si>
    <t>A0048</t>
    <phoneticPr fontId="5"/>
  </si>
  <si>
    <t>A0049</t>
    <phoneticPr fontId="5"/>
  </si>
  <si>
    <t>A0050</t>
    <phoneticPr fontId="5"/>
  </si>
  <si>
    <t>A0051</t>
    <phoneticPr fontId="5"/>
  </si>
  <si>
    <t>A0052</t>
    <phoneticPr fontId="5"/>
  </si>
  <si>
    <t>A0053</t>
    <phoneticPr fontId="5"/>
  </si>
  <si>
    <t>A0054</t>
    <phoneticPr fontId="5"/>
  </si>
  <si>
    <t>A0055</t>
    <phoneticPr fontId="5"/>
  </si>
  <si>
    <t>A0056</t>
    <phoneticPr fontId="5"/>
  </si>
  <si>
    <t>A0057</t>
    <phoneticPr fontId="5"/>
  </si>
  <si>
    <t>A0058</t>
    <phoneticPr fontId="5"/>
  </si>
  <si>
    <t>A0060</t>
    <phoneticPr fontId="5"/>
  </si>
  <si>
    <t>A0061</t>
    <phoneticPr fontId="5"/>
  </si>
  <si>
    <t>A0062</t>
    <phoneticPr fontId="5"/>
  </si>
  <si>
    <t>A0063</t>
    <phoneticPr fontId="5"/>
  </si>
  <si>
    <t>A0064</t>
    <phoneticPr fontId="5"/>
  </si>
  <si>
    <t>A0065</t>
    <phoneticPr fontId="5"/>
  </si>
  <si>
    <t>A0066</t>
    <phoneticPr fontId="5"/>
  </si>
  <si>
    <t>A0067</t>
    <phoneticPr fontId="5"/>
  </si>
  <si>
    <t>A0068</t>
    <phoneticPr fontId="5"/>
  </si>
  <si>
    <t>A0069</t>
    <phoneticPr fontId="5"/>
  </si>
  <si>
    <t>A0070</t>
    <phoneticPr fontId="5"/>
  </si>
  <si>
    <t>A0071</t>
    <phoneticPr fontId="5"/>
  </si>
  <si>
    <t>A0072</t>
    <phoneticPr fontId="5"/>
  </si>
  <si>
    <t>A0073</t>
    <phoneticPr fontId="5"/>
  </si>
  <si>
    <t>A0075</t>
    <phoneticPr fontId="5"/>
  </si>
  <si>
    <t>A0076</t>
    <phoneticPr fontId="5"/>
  </si>
  <si>
    <t>A0077</t>
    <phoneticPr fontId="5"/>
  </si>
  <si>
    <t>A0079</t>
    <phoneticPr fontId="5"/>
  </si>
  <si>
    <t>A0080</t>
    <phoneticPr fontId="5"/>
  </si>
  <si>
    <t>A0081</t>
    <phoneticPr fontId="5"/>
  </si>
  <si>
    <t>A0082</t>
    <phoneticPr fontId="5"/>
  </si>
  <si>
    <t>A0084</t>
    <phoneticPr fontId="5"/>
  </si>
  <si>
    <t>A0085</t>
    <phoneticPr fontId="5"/>
  </si>
  <si>
    <t>A0086</t>
    <phoneticPr fontId="5"/>
  </si>
  <si>
    <t>A0088</t>
    <phoneticPr fontId="5"/>
  </si>
  <si>
    <t>A0089</t>
    <phoneticPr fontId="5"/>
  </si>
  <si>
    <t>A0090</t>
    <phoneticPr fontId="5"/>
  </si>
  <si>
    <t>A0092</t>
    <phoneticPr fontId="5"/>
  </si>
  <si>
    <t>A0093</t>
    <phoneticPr fontId="5"/>
  </si>
  <si>
    <t>A0104</t>
    <phoneticPr fontId="5"/>
  </si>
  <si>
    <t>A0120</t>
    <phoneticPr fontId="5"/>
  </si>
  <si>
    <t>A0121</t>
    <phoneticPr fontId="5"/>
  </si>
  <si>
    <t>A0122</t>
    <phoneticPr fontId="5"/>
  </si>
  <si>
    <t>A0123</t>
    <phoneticPr fontId="5"/>
  </si>
  <si>
    <t>A0124</t>
    <phoneticPr fontId="5"/>
  </si>
  <si>
    <t>A0126</t>
    <phoneticPr fontId="5"/>
  </si>
  <si>
    <t>A0130</t>
    <phoneticPr fontId="5"/>
  </si>
  <si>
    <t>A0133</t>
    <phoneticPr fontId="5"/>
  </si>
  <si>
    <t>A0134</t>
    <phoneticPr fontId="5"/>
  </si>
  <si>
    <t>A0135</t>
    <phoneticPr fontId="5"/>
  </si>
  <si>
    <t>A0136</t>
    <phoneticPr fontId="5"/>
  </si>
  <si>
    <t>A0137</t>
    <phoneticPr fontId="5"/>
  </si>
  <si>
    <t>A0138</t>
    <phoneticPr fontId="5"/>
  </si>
  <si>
    <t>A0140</t>
    <phoneticPr fontId="5"/>
  </si>
  <si>
    <t>A0141</t>
    <phoneticPr fontId="5"/>
  </si>
  <si>
    <t>A0142</t>
    <phoneticPr fontId="5"/>
  </si>
  <si>
    <t>A0143</t>
    <phoneticPr fontId="5"/>
  </si>
  <si>
    <t>A0144</t>
    <phoneticPr fontId="5"/>
  </si>
  <si>
    <t>A0145</t>
    <phoneticPr fontId="5"/>
  </si>
  <si>
    <t>A0149</t>
    <phoneticPr fontId="5"/>
  </si>
  <si>
    <t>A0150</t>
    <phoneticPr fontId="5"/>
  </si>
  <si>
    <t>A0151</t>
    <phoneticPr fontId="5"/>
  </si>
  <si>
    <t>A0153</t>
    <phoneticPr fontId="5"/>
  </si>
  <si>
    <t>A0154</t>
    <phoneticPr fontId="5"/>
  </si>
  <si>
    <t>A0155</t>
    <phoneticPr fontId="5"/>
  </si>
  <si>
    <t>A0156</t>
    <phoneticPr fontId="5"/>
  </si>
  <si>
    <t>A0157</t>
    <phoneticPr fontId="5"/>
  </si>
  <si>
    <t>A0158</t>
    <phoneticPr fontId="5"/>
  </si>
  <si>
    <t>A0159</t>
    <phoneticPr fontId="5"/>
  </si>
  <si>
    <t>A0160</t>
    <phoneticPr fontId="5"/>
  </si>
  <si>
    <t>A0161</t>
    <phoneticPr fontId="5"/>
  </si>
  <si>
    <t>A0162</t>
    <phoneticPr fontId="5"/>
  </si>
  <si>
    <t>A0163</t>
    <phoneticPr fontId="5"/>
  </si>
  <si>
    <t>A0164</t>
    <phoneticPr fontId="5"/>
  </si>
  <si>
    <t>A0165</t>
    <phoneticPr fontId="5"/>
  </si>
  <si>
    <t>A0166</t>
    <phoneticPr fontId="5"/>
  </si>
  <si>
    <t>A0167</t>
    <phoneticPr fontId="5"/>
  </si>
  <si>
    <t>A0168</t>
    <phoneticPr fontId="5"/>
  </si>
  <si>
    <t>A0169</t>
    <phoneticPr fontId="5"/>
  </si>
  <si>
    <t>A0170</t>
    <phoneticPr fontId="5"/>
  </si>
  <si>
    <t>A0172</t>
    <phoneticPr fontId="5"/>
  </si>
  <si>
    <t>A0173</t>
    <phoneticPr fontId="5"/>
  </si>
  <si>
    <t>A0175</t>
    <phoneticPr fontId="5"/>
  </si>
  <si>
    <t>A0177</t>
    <phoneticPr fontId="5"/>
  </si>
  <si>
    <t>A0178</t>
    <phoneticPr fontId="5"/>
  </si>
  <si>
    <t>A0179</t>
    <phoneticPr fontId="5"/>
  </si>
  <si>
    <t>A0180</t>
    <phoneticPr fontId="5"/>
  </si>
  <si>
    <t>A0181</t>
    <phoneticPr fontId="5"/>
  </si>
  <si>
    <t>A0184</t>
    <phoneticPr fontId="5"/>
  </si>
  <si>
    <t>A0185</t>
    <phoneticPr fontId="5"/>
  </si>
  <si>
    <t>A0186</t>
    <phoneticPr fontId="5"/>
  </si>
  <si>
    <t>A0187</t>
    <phoneticPr fontId="5"/>
  </si>
  <si>
    <t>A0188</t>
    <phoneticPr fontId="5"/>
  </si>
  <si>
    <t>A0189</t>
    <phoneticPr fontId="5"/>
  </si>
  <si>
    <t>A0190</t>
    <phoneticPr fontId="5"/>
  </si>
  <si>
    <t>A0193</t>
    <phoneticPr fontId="5"/>
  </si>
  <si>
    <t>A0195</t>
    <phoneticPr fontId="5"/>
  </si>
  <si>
    <t>A0196</t>
    <phoneticPr fontId="5"/>
  </si>
  <si>
    <t>A0197</t>
    <phoneticPr fontId="5"/>
  </si>
  <si>
    <t>A0199</t>
    <phoneticPr fontId="5"/>
  </si>
  <si>
    <t>A0200</t>
    <phoneticPr fontId="5"/>
  </si>
  <si>
    <t>A0203</t>
    <phoneticPr fontId="5"/>
  </si>
  <si>
    <t>A0204</t>
    <phoneticPr fontId="5"/>
  </si>
  <si>
    <t>A0206</t>
    <phoneticPr fontId="5"/>
  </si>
  <si>
    <t>A0209</t>
    <phoneticPr fontId="5"/>
  </si>
  <si>
    <t>A0210</t>
    <phoneticPr fontId="5"/>
  </si>
  <si>
    <t>A0211</t>
    <phoneticPr fontId="5"/>
  </si>
  <si>
    <t>A0213</t>
    <phoneticPr fontId="5"/>
  </si>
  <si>
    <t>A0214</t>
    <phoneticPr fontId="5"/>
  </si>
  <si>
    <t>A0216</t>
    <phoneticPr fontId="5"/>
  </si>
  <si>
    <t>A0217</t>
    <phoneticPr fontId="5"/>
  </si>
  <si>
    <t>A0218</t>
    <phoneticPr fontId="5"/>
  </si>
  <si>
    <t>A0220</t>
    <phoneticPr fontId="5"/>
  </si>
  <si>
    <t>A0221</t>
    <phoneticPr fontId="5"/>
  </si>
  <si>
    <t>A0222</t>
    <phoneticPr fontId="5"/>
  </si>
  <si>
    <t>A0227</t>
    <phoneticPr fontId="5"/>
  </si>
  <si>
    <t>A0228</t>
    <phoneticPr fontId="5"/>
  </si>
  <si>
    <t>A0229</t>
    <phoneticPr fontId="5"/>
  </si>
  <si>
    <t>A0230</t>
    <phoneticPr fontId="5"/>
  </si>
  <si>
    <t>A0231</t>
    <phoneticPr fontId="5"/>
  </si>
  <si>
    <t>A0232</t>
    <phoneticPr fontId="5"/>
  </si>
  <si>
    <t>A0234</t>
    <phoneticPr fontId="5"/>
  </si>
  <si>
    <t>A0236</t>
    <phoneticPr fontId="5"/>
  </si>
  <si>
    <t>A0237</t>
    <phoneticPr fontId="5"/>
  </si>
  <si>
    <t>A0238</t>
    <phoneticPr fontId="5"/>
  </si>
  <si>
    <t>A0239</t>
    <phoneticPr fontId="5"/>
  </si>
  <si>
    <t>A0240</t>
    <phoneticPr fontId="5"/>
  </si>
  <si>
    <t>A0241</t>
    <phoneticPr fontId="5"/>
  </si>
  <si>
    <t>A0243</t>
    <phoneticPr fontId="5"/>
  </si>
  <si>
    <t>A0245</t>
    <phoneticPr fontId="5"/>
  </si>
  <si>
    <t>A0246</t>
    <phoneticPr fontId="5"/>
  </si>
  <si>
    <t>A0248</t>
    <phoneticPr fontId="5"/>
  </si>
  <si>
    <t>A0250</t>
    <phoneticPr fontId="5"/>
  </si>
  <si>
    <t>A0253</t>
    <phoneticPr fontId="5"/>
  </si>
  <si>
    <t>A0256</t>
    <phoneticPr fontId="5"/>
  </si>
  <si>
    <t>A0258</t>
    <phoneticPr fontId="5"/>
  </si>
  <si>
    <t>A0259</t>
    <phoneticPr fontId="5"/>
  </si>
  <si>
    <t>A0260</t>
    <phoneticPr fontId="5"/>
  </si>
  <si>
    <t>A0261</t>
    <phoneticPr fontId="5"/>
  </si>
  <si>
    <t>A0264</t>
    <phoneticPr fontId="5"/>
  </si>
  <si>
    <t>A0265</t>
    <phoneticPr fontId="5"/>
  </si>
  <si>
    <t>A0266</t>
    <phoneticPr fontId="5"/>
  </si>
  <si>
    <t>A0267</t>
    <phoneticPr fontId="5"/>
  </si>
  <si>
    <t>A0268</t>
    <phoneticPr fontId="5"/>
  </si>
  <si>
    <t>A0270</t>
    <phoneticPr fontId="5"/>
  </si>
  <si>
    <t>A0271</t>
    <phoneticPr fontId="5"/>
  </si>
  <si>
    <t>A0272</t>
    <phoneticPr fontId="5"/>
  </si>
  <si>
    <t>A0273</t>
    <phoneticPr fontId="5"/>
  </si>
  <si>
    <t>A0274</t>
    <phoneticPr fontId="5"/>
  </si>
  <si>
    <t>A0275</t>
    <phoneticPr fontId="5"/>
  </si>
  <si>
    <t>A0276</t>
    <phoneticPr fontId="5"/>
  </si>
  <si>
    <t>A0277</t>
    <phoneticPr fontId="5"/>
  </si>
  <si>
    <t>A0278</t>
    <phoneticPr fontId="5"/>
  </si>
  <si>
    <t>A0280</t>
    <phoneticPr fontId="5"/>
  </si>
  <si>
    <t>A0281</t>
    <phoneticPr fontId="5"/>
  </si>
  <si>
    <t>A0283</t>
    <phoneticPr fontId="5"/>
  </si>
  <si>
    <t>A0284</t>
    <phoneticPr fontId="5"/>
  </si>
  <si>
    <t>A0285</t>
    <phoneticPr fontId="5"/>
  </si>
  <si>
    <t>A0286</t>
    <phoneticPr fontId="5"/>
  </si>
  <si>
    <t>A0287</t>
    <phoneticPr fontId="5"/>
  </si>
  <si>
    <t>A0288</t>
    <phoneticPr fontId="5"/>
  </si>
  <si>
    <t>A0292</t>
    <phoneticPr fontId="5"/>
  </si>
  <si>
    <t>A0293</t>
    <phoneticPr fontId="5"/>
  </si>
  <si>
    <t>A0295</t>
    <phoneticPr fontId="5"/>
  </si>
  <si>
    <t>A0296</t>
    <phoneticPr fontId="5"/>
  </si>
  <si>
    <t>A0300</t>
    <phoneticPr fontId="5"/>
  </si>
  <si>
    <t>A0303</t>
    <phoneticPr fontId="5"/>
  </si>
  <si>
    <t>A0305</t>
    <phoneticPr fontId="5"/>
  </si>
  <si>
    <t>A0306</t>
    <phoneticPr fontId="5"/>
  </si>
  <si>
    <t>A0310</t>
    <phoneticPr fontId="5"/>
  </si>
  <si>
    <t>A0311</t>
    <phoneticPr fontId="5"/>
  </si>
  <si>
    <t>A0314</t>
    <phoneticPr fontId="5"/>
  </si>
  <si>
    <t>A0315</t>
    <phoneticPr fontId="5"/>
  </si>
  <si>
    <t>A0317</t>
    <phoneticPr fontId="5"/>
  </si>
  <si>
    <t>A0318</t>
    <phoneticPr fontId="5"/>
  </si>
  <si>
    <t>A0323</t>
    <phoneticPr fontId="5"/>
  </si>
  <si>
    <t>A0330</t>
    <phoneticPr fontId="5"/>
  </si>
  <si>
    <t>A0332</t>
    <phoneticPr fontId="5"/>
  </si>
  <si>
    <t>A0336</t>
    <phoneticPr fontId="5"/>
  </si>
  <si>
    <t>A0337</t>
    <phoneticPr fontId="5"/>
  </si>
  <si>
    <t>A0338</t>
    <phoneticPr fontId="5"/>
  </si>
  <si>
    <t>A0342</t>
    <phoneticPr fontId="5"/>
  </si>
  <si>
    <t>A0343</t>
    <phoneticPr fontId="5"/>
  </si>
  <si>
    <t>A0344</t>
    <phoneticPr fontId="5"/>
  </si>
  <si>
    <t>A0345</t>
    <phoneticPr fontId="5"/>
  </si>
  <si>
    <t>A0348</t>
    <phoneticPr fontId="5"/>
  </si>
  <si>
    <t>A0349</t>
    <phoneticPr fontId="5"/>
  </si>
  <si>
    <t>A0350</t>
    <phoneticPr fontId="5"/>
  </si>
  <si>
    <t>A0351</t>
    <phoneticPr fontId="5"/>
  </si>
  <si>
    <t>A0352</t>
    <phoneticPr fontId="5"/>
  </si>
  <si>
    <t>A0353</t>
    <phoneticPr fontId="5"/>
  </si>
  <si>
    <t>A0355</t>
    <phoneticPr fontId="5"/>
  </si>
  <si>
    <t>A0356</t>
    <phoneticPr fontId="5"/>
  </si>
  <si>
    <t>A0362</t>
    <phoneticPr fontId="5"/>
  </si>
  <si>
    <t>A0364</t>
    <phoneticPr fontId="5"/>
  </si>
  <si>
    <t>A0365</t>
    <phoneticPr fontId="5"/>
  </si>
  <si>
    <t>A0366</t>
    <phoneticPr fontId="5"/>
  </si>
  <si>
    <t>A0367</t>
    <phoneticPr fontId="5"/>
  </si>
  <si>
    <t>A0368</t>
    <phoneticPr fontId="5"/>
  </si>
  <si>
    <t>A0371</t>
    <phoneticPr fontId="5"/>
  </si>
  <si>
    <t>A0372</t>
    <phoneticPr fontId="5"/>
  </si>
  <si>
    <t>A0376</t>
    <phoneticPr fontId="5"/>
  </si>
  <si>
    <t>A0378</t>
    <phoneticPr fontId="5"/>
  </si>
  <si>
    <t>A0380</t>
    <phoneticPr fontId="5"/>
  </si>
  <si>
    <t>A0381</t>
    <phoneticPr fontId="5"/>
  </si>
  <si>
    <t>A0382</t>
    <phoneticPr fontId="5"/>
  </si>
  <si>
    <t>A0383</t>
    <phoneticPr fontId="5"/>
  </si>
  <si>
    <t>A0385</t>
    <phoneticPr fontId="5"/>
  </si>
  <si>
    <t>A0386</t>
    <phoneticPr fontId="5"/>
  </si>
  <si>
    <t>A0388</t>
    <phoneticPr fontId="5"/>
  </si>
  <si>
    <t>A0389</t>
    <phoneticPr fontId="5"/>
  </si>
  <si>
    <t>A0391</t>
    <phoneticPr fontId="5"/>
  </si>
  <si>
    <t>A0392</t>
    <phoneticPr fontId="5"/>
  </si>
  <si>
    <t>A0397</t>
    <phoneticPr fontId="5"/>
  </si>
  <si>
    <t>A0398</t>
    <phoneticPr fontId="5"/>
  </si>
  <si>
    <t>A0405</t>
    <phoneticPr fontId="5"/>
  </si>
  <si>
    <t>A0407</t>
    <phoneticPr fontId="5"/>
  </si>
  <si>
    <t>A0411</t>
    <phoneticPr fontId="5"/>
  </si>
  <si>
    <t>A0413</t>
    <phoneticPr fontId="5"/>
  </si>
  <si>
    <t>A0415</t>
    <phoneticPr fontId="5"/>
  </si>
  <si>
    <t>A0419</t>
    <phoneticPr fontId="5"/>
  </si>
  <si>
    <t>A0420</t>
    <phoneticPr fontId="5"/>
  </si>
  <si>
    <t>A0425</t>
    <phoneticPr fontId="5"/>
  </si>
  <si>
    <t>A0429</t>
    <phoneticPr fontId="5"/>
  </si>
  <si>
    <t>A0430</t>
    <phoneticPr fontId="5"/>
  </si>
  <si>
    <t>A0431</t>
    <phoneticPr fontId="5"/>
  </si>
  <si>
    <t>A0435</t>
    <phoneticPr fontId="5"/>
  </si>
  <si>
    <t>A0437</t>
    <phoneticPr fontId="5"/>
  </si>
  <si>
    <t>A0438</t>
    <phoneticPr fontId="5"/>
  </si>
  <si>
    <t>A0439</t>
    <phoneticPr fontId="5"/>
  </si>
  <si>
    <t>A0440</t>
    <phoneticPr fontId="5"/>
  </si>
  <si>
    <t>A0442</t>
    <phoneticPr fontId="5"/>
  </si>
  <si>
    <t>A0443</t>
    <phoneticPr fontId="5"/>
  </si>
  <si>
    <t>A0446</t>
    <phoneticPr fontId="5"/>
  </si>
  <si>
    <t>A0447</t>
    <phoneticPr fontId="5"/>
  </si>
  <si>
    <t>A0451</t>
    <phoneticPr fontId="5"/>
  </si>
  <si>
    <t>A0452</t>
    <phoneticPr fontId="5"/>
  </si>
  <si>
    <t>A0454</t>
    <phoneticPr fontId="5"/>
  </si>
  <si>
    <t>A0456</t>
    <phoneticPr fontId="5"/>
  </si>
  <si>
    <t>A0457</t>
    <phoneticPr fontId="5"/>
  </si>
  <si>
    <t>A0461</t>
    <phoneticPr fontId="5"/>
  </si>
  <si>
    <t>A0463</t>
    <phoneticPr fontId="5"/>
  </si>
  <si>
    <t>A0465</t>
    <phoneticPr fontId="5"/>
  </si>
  <si>
    <t>A0467</t>
    <phoneticPr fontId="5"/>
  </si>
  <si>
    <t>A0468</t>
    <phoneticPr fontId="5"/>
  </si>
  <si>
    <t>A0470</t>
    <phoneticPr fontId="5"/>
  </si>
  <si>
    <t>A0471</t>
    <phoneticPr fontId="5"/>
  </si>
  <si>
    <t>A0472</t>
    <phoneticPr fontId="5"/>
  </si>
  <si>
    <t>A0473</t>
    <phoneticPr fontId="5"/>
  </si>
  <si>
    <t>A0476</t>
    <phoneticPr fontId="5"/>
  </si>
  <si>
    <t>A0477</t>
    <phoneticPr fontId="5"/>
  </si>
  <si>
    <t>A0480</t>
    <phoneticPr fontId="5"/>
  </si>
  <si>
    <t>A0481</t>
    <phoneticPr fontId="5"/>
  </si>
  <si>
    <t>A0482</t>
    <phoneticPr fontId="5"/>
  </si>
  <si>
    <t>A0490</t>
    <phoneticPr fontId="5"/>
  </si>
  <si>
    <t>A0491</t>
    <phoneticPr fontId="5"/>
  </si>
  <si>
    <t>A0493</t>
    <phoneticPr fontId="5"/>
  </si>
  <si>
    <t>A0494</t>
    <phoneticPr fontId="5"/>
  </si>
  <si>
    <t>A0495</t>
    <phoneticPr fontId="5"/>
  </si>
  <si>
    <t>A0499</t>
    <phoneticPr fontId="5"/>
  </si>
  <si>
    <t>A0500</t>
    <phoneticPr fontId="5"/>
  </si>
  <si>
    <t>A0501</t>
    <phoneticPr fontId="5"/>
  </si>
  <si>
    <t>A0502</t>
    <phoneticPr fontId="5"/>
  </si>
  <si>
    <t>A0503</t>
    <phoneticPr fontId="5"/>
  </si>
  <si>
    <t>A0506</t>
    <phoneticPr fontId="5"/>
  </si>
  <si>
    <t>A0507</t>
    <phoneticPr fontId="5"/>
  </si>
  <si>
    <t>A0511</t>
    <phoneticPr fontId="5"/>
  </si>
  <si>
    <t>A0513</t>
    <phoneticPr fontId="5"/>
  </si>
  <si>
    <t>A0514</t>
    <phoneticPr fontId="5"/>
  </si>
  <si>
    <t>A0515</t>
    <phoneticPr fontId="5"/>
  </si>
  <si>
    <t>A0518</t>
    <phoneticPr fontId="5"/>
  </si>
  <si>
    <t>A0519</t>
    <phoneticPr fontId="5"/>
  </si>
  <si>
    <t>A0520</t>
    <phoneticPr fontId="5"/>
  </si>
  <si>
    <t>A0525</t>
    <phoneticPr fontId="5"/>
  </si>
  <si>
    <t>A0526</t>
    <phoneticPr fontId="5"/>
  </si>
  <si>
    <t>A0528</t>
    <phoneticPr fontId="5"/>
  </si>
  <si>
    <t>A0529</t>
    <phoneticPr fontId="5"/>
  </si>
  <si>
    <t>A0532</t>
    <phoneticPr fontId="5"/>
  </si>
  <si>
    <t>A0533</t>
    <phoneticPr fontId="5"/>
  </si>
  <si>
    <t>A0534</t>
    <phoneticPr fontId="5"/>
  </si>
  <si>
    <t>A0538</t>
    <phoneticPr fontId="5"/>
  </si>
  <si>
    <t>A0539</t>
    <phoneticPr fontId="5"/>
  </si>
  <si>
    <t>A0543</t>
    <phoneticPr fontId="5"/>
  </si>
  <si>
    <t>A0546</t>
    <phoneticPr fontId="5"/>
  </si>
  <si>
    <t>A0547</t>
    <phoneticPr fontId="5"/>
  </si>
  <si>
    <t>A0549</t>
    <phoneticPr fontId="5"/>
  </si>
  <si>
    <t>A0550</t>
    <phoneticPr fontId="5"/>
  </si>
  <si>
    <t>A0551</t>
    <phoneticPr fontId="5"/>
  </si>
  <si>
    <t>A0552</t>
    <phoneticPr fontId="5"/>
  </si>
  <si>
    <t>A0553</t>
    <phoneticPr fontId="5"/>
  </si>
  <si>
    <t>A0555</t>
    <phoneticPr fontId="5"/>
  </si>
  <si>
    <t>A0556</t>
    <phoneticPr fontId="5"/>
  </si>
  <si>
    <t>A0558</t>
    <phoneticPr fontId="5"/>
  </si>
  <si>
    <t>A0559</t>
    <phoneticPr fontId="5"/>
  </si>
  <si>
    <t>A0560</t>
    <phoneticPr fontId="5"/>
  </si>
  <si>
    <t>A0562</t>
    <phoneticPr fontId="5"/>
  </si>
  <si>
    <t>A0565</t>
    <phoneticPr fontId="5"/>
  </si>
  <si>
    <t>A0567</t>
    <phoneticPr fontId="5"/>
  </si>
  <si>
    <t>A0570</t>
    <phoneticPr fontId="5"/>
  </si>
  <si>
    <t>A0571</t>
    <phoneticPr fontId="5"/>
  </si>
  <si>
    <t>A0572</t>
    <phoneticPr fontId="5"/>
  </si>
  <si>
    <t>A0573</t>
    <phoneticPr fontId="5"/>
  </si>
  <si>
    <t>A0574</t>
    <phoneticPr fontId="5"/>
  </si>
  <si>
    <t>A0577</t>
    <phoneticPr fontId="5"/>
  </si>
  <si>
    <t>A0578</t>
    <phoneticPr fontId="5"/>
  </si>
  <si>
    <t>A0581</t>
    <phoneticPr fontId="5"/>
  </si>
  <si>
    <t>A0582</t>
    <phoneticPr fontId="5"/>
  </si>
  <si>
    <t>A0584</t>
    <phoneticPr fontId="5"/>
  </si>
  <si>
    <t>A0586</t>
    <phoneticPr fontId="5"/>
  </si>
  <si>
    <t>A0587</t>
    <phoneticPr fontId="5"/>
  </si>
  <si>
    <t>A0589</t>
    <phoneticPr fontId="5"/>
  </si>
  <si>
    <t>A0590</t>
    <phoneticPr fontId="5"/>
  </si>
  <si>
    <t>A0596</t>
    <phoneticPr fontId="5"/>
  </si>
  <si>
    <t>A0598</t>
    <phoneticPr fontId="5"/>
  </si>
  <si>
    <t>A0602</t>
    <phoneticPr fontId="5"/>
  </si>
  <si>
    <t>A0603</t>
    <phoneticPr fontId="5"/>
  </si>
  <si>
    <t>A0605</t>
    <phoneticPr fontId="5"/>
  </si>
  <si>
    <t>A0609</t>
    <phoneticPr fontId="5"/>
  </si>
  <si>
    <t>A0610</t>
    <phoneticPr fontId="5"/>
  </si>
  <si>
    <t>A0611</t>
    <phoneticPr fontId="5"/>
  </si>
  <si>
    <t>A0612</t>
    <phoneticPr fontId="5"/>
  </si>
  <si>
    <t>A0615</t>
    <phoneticPr fontId="5"/>
  </si>
  <si>
    <t>A0617</t>
    <phoneticPr fontId="5"/>
  </si>
  <si>
    <t>A0620</t>
    <phoneticPr fontId="5"/>
  </si>
  <si>
    <t>A0622</t>
    <phoneticPr fontId="5"/>
  </si>
  <si>
    <t>A0624</t>
    <phoneticPr fontId="5"/>
  </si>
  <si>
    <t>A0627</t>
    <phoneticPr fontId="5"/>
  </si>
  <si>
    <t>A0629</t>
    <phoneticPr fontId="5"/>
  </si>
  <si>
    <t>A0630</t>
    <phoneticPr fontId="5"/>
  </si>
  <si>
    <t>A0631</t>
    <phoneticPr fontId="5"/>
  </si>
  <si>
    <t>A0632</t>
    <phoneticPr fontId="5"/>
  </si>
  <si>
    <t>A0639</t>
    <phoneticPr fontId="5"/>
  </si>
  <si>
    <t>A0640</t>
    <phoneticPr fontId="5"/>
  </si>
  <si>
    <t>A0641</t>
    <phoneticPr fontId="5"/>
  </si>
  <si>
    <t>A0642</t>
    <phoneticPr fontId="5"/>
  </si>
  <si>
    <t>A0644</t>
    <phoneticPr fontId="5"/>
  </si>
  <si>
    <t>A0648</t>
    <phoneticPr fontId="5"/>
  </si>
  <si>
    <t>A0649</t>
    <phoneticPr fontId="5"/>
  </si>
  <si>
    <t>A0650</t>
    <phoneticPr fontId="5"/>
  </si>
  <si>
    <t>A0653</t>
    <phoneticPr fontId="5"/>
  </si>
  <si>
    <t>A0654</t>
    <phoneticPr fontId="5"/>
  </si>
  <si>
    <t>A0655</t>
    <phoneticPr fontId="5"/>
  </si>
  <si>
    <t>A0656</t>
    <phoneticPr fontId="5"/>
  </si>
  <si>
    <t>A0659</t>
    <phoneticPr fontId="5"/>
  </si>
  <si>
    <t>A0660</t>
    <phoneticPr fontId="5"/>
  </si>
  <si>
    <t>A0664</t>
    <phoneticPr fontId="5"/>
  </si>
  <si>
    <t>A0666</t>
    <phoneticPr fontId="5"/>
  </si>
  <si>
    <t>A0667</t>
    <phoneticPr fontId="5"/>
  </si>
  <si>
    <t>A0668</t>
    <phoneticPr fontId="5"/>
  </si>
  <si>
    <t>A0670</t>
    <phoneticPr fontId="5"/>
  </si>
  <si>
    <t>A0671</t>
    <phoneticPr fontId="5"/>
  </si>
  <si>
    <t>A0673</t>
    <phoneticPr fontId="5"/>
  </si>
  <si>
    <t>A0676</t>
    <phoneticPr fontId="5"/>
  </si>
  <si>
    <t>A0677</t>
    <phoneticPr fontId="5"/>
  </si>
  <si>
    <t>A0680</t>
    <phoneticPr fontId="5"/>
  </si>
  <si>
    <t>A0681</t>
    <phoneticPr fontId="5"/>
  </si>
  <si>
    <t>A0683</t>
    <phoneticPr fontId="5"/>
  </si>
  <si>
    <t>A0685</t>
    <phoneticPr fontId="5"/>
  </si>
  <si>
    <t>A0687</t>
    <phoneticPr fontId="5"/>
  </si>
  <si>
    <t>A0689</t>
    <phoneticPr fontId="5"/>
  </si>
  <si>
    <t>A0690</t>
    <phoneticPr fontId="5"/>
  </si>
  <si>
    <t>A0692</t>
    <phoneticPr fontId="5"/>
  </si>
  <si>
    <t>A0693</t>
    <phoneticPr fontId="5"/>
  </si>
  <si>
    <t>A0695</t>
    <phoneticPr fontId="5"/>
  </si>
  <si>
    <t>A0696</t>
    <phoneticPr fontId="5"/>
  </si>
  <si>
    <t>A0698</t>
    <phoneticPr fontId="5"/>
  </si>
  <si>
    <t>A0699</t>
    <phoneticPr fontId="5"/>
  </si>
  <si>
    <t>A0702</t>
    <phoneticPr fontId="5"/>
  </si>
  <si>
    <t>A0703</t>
    <phoneticPr fontId="5"/>
  </si>
  <si>
    <t>A0704</t>
    <phoneticPr fontId="5"/>
  </si>
  <si>
    <t>A0705</t>
    <phoneticPr fontId="5"/>
  </si>
  <si>
    <t>A0707</t>
    <phoneticPr fontId="5"/>
  </si>
  <si>
    <t>A0708</t>
    <phoneticPr fontId="5"/>
  </si>
  <si>
    <t>A0709</t>
    <phoneticPr fontId="5"/>
  </si>
  <si>
    <t>A0711</t>
    <phoneticPr fontId="5"/>
  </si>
  <si>
    <t>A0712</t>
    <phoneticPr fontId="5"/>
  </si>
  <si>
    <t>A0714</t>
    <phoneticPr fontId="5"/>
  </si>
  <si>
    <t>A0715</t>
    <phoneticPr fontId="5"/>
  </si>
  <si>
    <t>A0716</t>
    <phoneticPr fontId="5"/>
  </si>
  <si>
    <t>A0718</t>
    <phoneticPr fontId="5"/>
  </si>
  <si>
    <t>A0720</t>
    <phoneticPr fontId="5"/>
  </si>
  <si>
    <t>A0721</t>
    <phoneticPr fontId="5"/>
  </si>
  <si>
    <t>A0722</t>
    <phoneticPr fontId="5"/>
  </si>
  <si>
    <t>A0726</t>
    <phoneticPr fontId="5"/>
  </si>
  <si>
    <t>A0729</t>
    <phoneticPr fontId="5"/>
  </si>
  <si>
    <t>A0730</t>
    <phoneticPr fontId="5"/>
  </si>
  <si>
    <t>A0732</t>
    <phoneticPr fontId="5"/>
  </si>
  <si>
    <t>A0733</t>
    <phoneticPr fontId="5"/>
  </si>
  <si>
    <t>A0737</t>
    <phoneticPr fontId="5"/>
  </si>
  <si>
    <t>A0738</t>
    <phoneticPr fontId="5"/>
  </si>
  <si>
    <t>A0739</t>
    <phoneticPr fontId="5"/>
  </si>
  <si>
    <t>A0740</t>
    <phoneticPr fontId="5"/>
  </si>
  <si>
    <t>A0742</t>
    <phoneticPr fontId="5"/>
  </si>
  <si>
    <t>A0743</t>
    <phoneticPr fontId="5"/>
  </si>
  <si>
    <t>A0744</t>
    <phoneticPr fontId="5"/>
  </si>
  <si>
    <t>A0746</t>
    <phoneticPr fontId="5"/>
  </si>
  <si>
    <t>A0747</t>
    <phoneticPr fontId="5"/>
  </si>
  <si>
    <t>A0748</t>
    <phoneticPr fontId="5"/>
  </si>
  <si>
    <t>A0752</t>
    <phoneticPr fontId="5"/>
  </si>
  <si>
    <t>A0753</t>
    <phoneticPr fontId="5"/>
  </si>
  <si>
    <t>A0754</t>
    <phoneticPr fontId="5"/>
  </si>
  <si>
    <t>A0758</t>
    <phoneticPr fontId="5"/>
  </si>
  <si>
    <t>A0759</t>
    <phoneticPr fontId="5"/>
  </si>
  <si>
    <t>A0760</t>
    <phoneticPr fontId="5"/>
  </si>
  <si>
    <t>A0764</t>
    <phoneticPr fontId="5"/>
  </si>
  <si>
    <t>A0770</t>
    <phoneticPr fontId="5"/>
  </si>
  <si>
    <t>A0772</t>
    <phoneticPr fontId="5"/>
  </si>
  <si>
    <t>A0773</t>
    <phoneticPr fontId="5"/>
  </si>
  <si>
    <t>A0777</t>
    <phoneticPr fontId="5"/>
  </si>
  <si>
    <t>A0781</t>
    <phoneticPr fontId="5"/>
  </si>
  <si>
    <t>A0783</t>
    <phoneticPr fontId="5"/>
  </si>
  <si>
    <t>A0785</t>
    <phoneticPr fontId="5"/>
  </si>
  <si>
    <t>A0786</t>
    <phoneticPr fontId="5"/>
  </si>
  <si>
    <t>A0792</t>
    <phoneticPr fontId="5"/>
  </si>
  <si>
    <t>A0793</t>
    <phoneticPr fontId="5"/>
  </si>
  <si>
    <t>A0796</t>
    <phoneticPr fontId="5"/>
  </si>
  <si>
    <t>A0798</t>
    <phoneticPr fontId="5"/>
  </si>
  <si>
    <t>A0799</t>
    <phoneticPr fontId="5"/>
  </si>
  <si>
    <t>A0800</t>
    <phoneticPr fontId="5"/>
  </si>
  <si>
    <t>A0802</t>
    <phoneticPr fontId="5"/>
  </si>
  <si>
    <t>A0803</t>
    <phoneticPr fontId="5"/>
  </si>
  <si>
    <t>A0806</t>
    <phoneticPr fontId="5"/>
  </si>
  <si>
    <t>A0807</t>
    <phoneticPr fontId="5"/>
  </si>
  <si>
    <t>A0808</t>
    <phoneticPr fontId="5"/>
  </si>
  <si>
    <t>A0809</t>
    <phoneticPr fontId="5"/>
  </si>
  <si>
    <t>A0810</t>
    <phoneticPr fontId="5"/>
  </si>
  <si>
    <t>A0812</t>
    <phoneticPr fontId="5"/>
  </si>
  <si>
    <t>A0817</t>
    <phoneticPr fontId="5"/>
  </si>
  <si>
    <t>A0819</t>
    <phoneticPr fontId="5"/>
  </si>
  <si>
    <t>A0820</t>
    <phoneticPr fontId="5"/>
  </si>
  <si>
    <t>A0821</t>
    <phoneticPr fontId="5"/>
  </si>
  <si>
    <t>A0822</t>
    <phoneticPr fontId="5"/>
  </si>
  <si>
    <t>A0824</t>
    <phoneticPr fontId="5"/>
  </si>
  <si>
    <t>A0825</t>
    <phoneticPr fontId="5"/>
  </si>
  <si>
    <t>A0826</t>
    <phoneticPr fontId="5"/>
  </si>
  <si>
    <t>A0827</t>
    <phoneticPr fontId="5"/>
  </si>
  <si>
    <t>A0829</t>
    <phoneticPr fontId="5"/>
  </si>
  <si>
    <t>A0831</t>
    <phoneticPr fontId="5"/>
  </si>
  <si>
    <t>A0835</t>
    <phoneticPr fontId="5"/>
  </si>
  <si>
    <t>A0838</t>
    <phoneticPr fontId="5"/>
  </si>
  <si>
    <t>A0839</t>
    <phoneticPr fontId="5"/>
  </si>
  <si>
    <t>A0840</t>
    <phoneticPr fontId="5"/>
  </si>
  <si>
    <t>A0843</t>
    <phoneticPr fontId="5"/>
  </si>
  <si>
    <t>A0844</t>
    <phoneticPr fontId="5"/>
  </si>
  <si>
    <t>A0847</t>
    <phoneticPr fontId="5"/>
  </si>
  <si>
    <t>A0849</t>
    <phoneticPr fontId="5"/>
  </si>
  <si>
    <t>A0851</t>
    <phoneticPr fontId="5"/>
  </si>
  <si>
    <t>A0852</t>
    <phoneticPr fontId="5"/>
  </si>
  <si>
    <t>A0853</t>
    <phoneticPr fontId="5"/>
  </si>
  <si>
    <t>A0854</t>
    <phoneticPr fontId="5"/>
  </si>
  <si>
    <t>A0857</t>
    <phoneticPr fontId="5"/>
  </si>
  <si>
    <t>A0859</t>
    <phoneticPr fontId="5"/>
  </si>
  <si>
    <t>A0860</t>
    <phoneticPr fontId="5"/>
  </si>
  <si>
    <t>A0863</t>
    <phoneticPr fontId="5"/>
  </si>
  <si>
    <t>A0865</t>
    <phoneticPr fontId="5"/>
  </si>
  <si>
    <t>A0866</t>
    <phoneticPr fontId="5"/>
  </si>
  <si>
    <t>A0867</t>
    <phoneticPr fontId="5"/>
  </si>
  <si>
    <t>A0868</t>
    <phoneticPr fontId="5"/>
  </si>
  <si>
    <t>A0869</t>
    <phoneticPr fontId="5"/>
  </si>
  <si>
    <t>A0870</t>
    <phoneticPr fontId="5"/>
  </si>
  <si>
    <t>A0871</t>
    <phoneticPr fontId="5"/>
  </si>
  <si>
    <t>A0873</t>
    <phoneticPr fontId="5"/>
  </si>
  <si>
    <t>A0874</t>
    <phoneticPr fontId="5"/>
  </si>
  <si>
    <t>A0877</t>
    <phoneticPr fontId="5"/>
  </si>
  <si>
    <t>A0880</t>
    <phoneticPr fontId="5"/>
  </si>
  <si>
    <t>A0881</t>
    <phoneticPr fontId="5"/>
  </si>
  <si>
    <t>A0882</t>
    <phoneticPr fontId="5"/>
  </si>
  <si>
    <t>A0883</t>
    <phoneticPr fontId="5"/>
  </si>
  <si>
    <t>A0886</t>
    <phoneticPr fontId="5"/>
  </si>
  <si>
    <t>A0888</t>
    <phoneticPr fontId="5"/>
  </si>
  <si>
    <t>A0890</t>
    <phoneticPr fontId="5"/>
  </si>
  <si>
    <t>A0893</t>
    <phoneticPr fontId="5"/>
  </si>
  <si>
    <t>A0903</t>
    <phoneticPr fontId="5"/>
  </si>
  <si>
    <t>A0905</t>
    <phoneticPr fontId="5"/>
  </si>
  <si>
    <t>A0906</t>
    <phoneticPr fontId="5"/>
  </si>
  <si>
    <t>イーレックス(株)</t>
    <phoneticPr fontId="5"/>
  </si>
  <si>
    <t>リエスパワー(株)</t>
    <phoneticPr fontId="5"/>
  </si>
  <si>
    <t>エバーグリーン・リテイリング(株)</t>
    <phoneticPr fontId="5"/>
  </si>
  <si>
    <t>エバーグリーン・マーケティング(株)</t>
    <phoneticPr fontId="5"/>
  </si>
  <si>
    <t>(株)SEウイングズ</t>
    <phoneticPr fontId="5"/>
  </si>
  <si>
    <t>(株)イーセル</t>
    <phoneticPr fontId="5"/>
  </si>
  <si>
    <t>(株)エネット</t>
    <phoneticPr fontId="5"/>
  </si>
  <si>
    <t>須賀川瓦斯(株)</t>
    <phoneticPr fontId="5"/>
  </si>
  <si>
    <t>出光興産(株)</t>
    <phoneticPr fontId="5"/>
  </si>
  <si>
    <t>(株)オプテージ</t>
    <phoneticPr fontId="5"/>
  </si>
  <si>
    <t>エネサーブ(株)</t>
    <phoneticPr fontId="5"/>
  </si>
  <si>
    <t>(株)エネワンでんき</t>
    <phoneticPr fontId="5"/>
  </si>
  <si>
    <t>ミツウロコグリーンエネルギー(株)</t>
    <phoneticPr fontId="5"/>
  </si>
  <si>
    <t>(株)リエネ</t>
    <phoneticPr fontId="5"/>
  </si>
  <si>
    <t>ネクストパワーやまと(株)</t>
    <phoneticPr fontId="5"/>
  </si>
  <si>
    <t>日本テクノ(株)</t>
    <phoneticPr fontId="5"/>
  </si>
  <si>
    <t>中央電力エナジー(株)</t>
    <phoneticPr fontId="5"/>
  </si>
  <si>
    <t>(株)Looop</t>
    <phoneticPr fontId="5"/>
  </si>
  <si>
    <t>(株)ナンワ(旧：(株)ナンワエナジー)</t>
    <phoneticPr fontId="5"/>
  </si>
  <si>
    <t>静岡ガス＆パワー(株)</t>
    <phoneticPr fontId="5"/>
  </si>
  <si>
    <t>荏原環境プラント(株)</t>
    <phoneticPr fontId="5"/>
  </si>
  <si>
    <t>東京エコサービス(株)</t>
    <phoneticPr fontId="5"/>
  </si>
  <si>
    <t>ダイヤモンドパワー(株)</t>
    <phoneticPr fontId="5"/>
  </si>
  <si>
    <t>(株)新出光</t>
    <phoneticPr fontId="5"/>
  </si>
  <si>
    <t>セントラル石油瓦斯(株)</t>
    <phoneticPr fontId="5"/>
  </si>
  <si>
    <t>一般財団法人泉佐野電力</t>
    <phoneticPr fontId="5"/>
  </si>
  <si>
    <t>コスモエネルギーソリューションズ(株)</t>
    <phoneticPr fontId="5"/>
  </si>
  <si>
    <t>(株)グリーンサークル</t>
    <phoneticPr fontId="5"/>
  </si>
  <si>
    <t>北海道瓦斯(株)</t>
    <phoneticPr fontId="5"/>
  </si>
  <si>
    <t>アルカナエナジー(株)</t>
    <phoneticPr fontId="5"/>
  </si>
  <si>
    <t>新エネルギー開発(株)</t>
    <phoneticPr fontId="5"/>
  </si>
  <si>
    <t>伊藤忠エネクス(株)</t>
    <phoneticPr fontId="5"/>
  </si>
  <si>
    <t>(株)VーPower</t>
    <phoneticPr fontId="5"/>
  </si>
  <si>
    <t>大和エネルギー(株)</t>
    <phoneticPr fontId="5"/>
  </si>
  <si>
    <t>大阪瓦斯(株)</t>
    <phoneticPr fontId="5"/>
  </si>
  <si>
    <t>エフビットコミュニケーションズ(株)　</t>
    <phoneticPr fontId="5"/>
  </si>
  <si>
    <t>ENEOS Power(株)（旧:ENEOS(株)）</t>
    <phoneticPr fontId="5"/>
  </si>
  <si>
    <t>真庭バイオエネルギー(株)</t>
    <phoneticPr fontId="5"/>
  </si>
  <si>
    <t>三井物産(株)</t>
    <phoneticPr fontId="5"/>
  </si>
  <si>
    <t>オリックス(株)</t>
    <phoneticPr fontId="5"/>
  </si>
  <si>
    <t>(株)エネサンス関東</t>
    <phoneticPr fontId="5"/>
  </si>
  <si>
    <t>(株)UPDATER</t>
    <phoneticPr fontId="5"/>
  </si>
  <si>
    <t>シン・エナジー(株)</t>
    <phoneticPr fontId="5"/>
  </si>
  <si>
    <t>(株)サニックス</t>
    <phoneticPr fontId="5"/>
  </si>
  <si>
    <t>(株)コンシェルジュ</t>
    <phoneticPr fontId="5"/>
  </si>
  <si>
    <t>(株)アイ・グリッド・ソリューションズ</t>
    <phoneticPr fontId="5"/>
  </si>
  <si>
    <t>サミットエナジー(株)</t>
    <phoneticPr fontId="5"/>
  </si>
  <si>
    <t>リコージャパン(株)</t>
    <phoneticPr fontId="5"/>
  </si>
  <si>
    <t>(株)エネルギア・ソリューション・アンド・サービス</t>
    <phoneticPr fontId="5"/>
  </si>
  <si>
    <t>東京ガス(株)</t>
    <phoneticPr fontId="5"/>
  </si>
  <si>
    <t>テス・エンジニアリング(株)</t>
    <phoneticPr fontId="5"/>
  </si>
  <si>
    <t>青梅ガス(株)</t>
    <phoneticPr fontId="5"/>
  </si>
  <si>
    <t>(株)イーネットワークシステムズ</t>
    <phoneticPr fontId="5"/>
  </si>
  <si>
    <t>(株)エネアーク関東</t>
    <phoneticPr fontId="5"/>
  </si>
  <si>
    <t>(株)東急パワーサプライ</t>
    <phoneticPr fontId="5"/>
  </si>
  <si>
    <t>王子・伊藤忠エネクス電力販売(株)</t>
    <phoneticPr fontId="5"/>
  </si>
  <si>
    <t>伊藤忠商事(株)</t>
    <phoneticPr fontId="5"/>
  </si>
  <si>
    <t>(株)エコスタイル</t>
    <phoneticPr fontId="5"/>
  </si>
  <si>
    <t>入間ガス(株)</t>
    <phoneticPr fontId="5"/>
  </si>
  <si>
    <t>(株)とんでんホールディングス</t>
    <phoneticPr fontId="5"/>
  </si>
  <si>
    <t>日鉄エンジニアリング(株)</t>
    <phoneticPr fontId="5"/>
  </si>
  <si>
    <t>auエネルギー＆ライフ(株)</t>
    <phoneticPr fontId="5"/>
  </si>
  <si>
    <t>イワタニ関東(株)</t>
    <phoneticPr fontId="5"/>
  </si>
  <si>
    <t>イワタニ首都圏(株)</t>
    <phoneticPr fontId="5"/>
  </si>
  <si>
    <t>サーラeエナジー(株)</t>
    <phoneticPr fontId="5"/>
  </si>
  <si>
    <t>(株)地球クラブ</t>
    <phoneticPr fontId="5"/>
  </si>
  <si>
    <t>西部瓦斯(株)</t>
    <phoneticPr fontId="5"/>
  </si>
  <si>
    <t>東邦ガス(株)</t>
    <phoneticPr fontId="5"/>
  </si>
  <si>
    <t>シナネン(株)</t>
    <phoneticPr fontId="5"/>
  </si>
  <si>
    <t>カワサキグリーンエナジー(株)</t>
    <phoneticPr fontId="5"/>
  </si>
  <si>
    <t>大一ガス(株)</t>
    <phoneticPr fontId="5"/>
  </si>
  <si>
    <t>(株)リミックスポイント</t>
    <phoneticPr fontId="5"/>
  </si>
  <si>
    <t>(株)中海テレビ放送</t>
    <phoneticPr fontId="5"/>
  </si>
  <si>
    <t>パシフィックパワー(株)</t>
    <phoneticPr fontId="5"/>
  </si>
  <si>
    <t>(株)ジェイコム札幌</t>
    <phoneticPr fontId="5"/>
  </si>
  <si>
    <t>鹿児島電力(株)</t>
    <phoneticPr fontId="5"/>
  </si>
  <si>
    <t>太陽ガス(株)</t>
    <phoneticPr fontId="5"/>
  </si>
  <si>
    <t>アーバンエナジー(株)</t>
    <phoneticPr fontId="5"/>
  </si>
  <si>
    <t>パワーネクスト(株)</t>
    <phoneticPr fontId="5"/>
  </si>
  <si>
    <t>合同会社北上新電力</t>
    <phoneticPr fontId="5"/>
  </si>
  <si>
    <t>(株)タクマエナジー</t>
    <phoneticPr fontId="5"/>
  </si>
  <si>
    <t>丸紅新電力(株)</t>
    <phoneticPr fontId="5"/>
  </si>
  <si>
    <t>奈良電力(株)</t>
    <phoneticPr fontId="5"/>
  </si>
  <si>
    <t>カナデビア(株)（旧:日立造船(株)）</t>
    <phoneticPr fontId="5"/>
  </si>
  <si>
    <t>大東ガス(株)</t>
    <phoneticPr fontId="5"/>
  </si>
  <si>
    <t>パナソニックオペレーショナルエクセレンス(株)</t>
    <phoneticPr fontId="5"/>
  </si>
  <si>
    <t>アストモスエネルギー(株)</t>
    <phoneticPr fontId="5"/>
  </si>
  <si>
    <t>(株)関電エネルギーソリューション</t>
    <phoneticPr fontId="5"/>
  </si>
  <si>
    <t>MCリテールエナジー(株)</t>
    <phoneticPr fontId="5"/>
  </si>
  <si>
    <t>(株)北九州パワー</t>
    <phoneticPr fontId="5"/>
  </si>
  <si>
    <t>武州瓦斯(株)</t>
    <phoneticPr fontId="5"/>
  </si>
  <si>
    <t>リニューアブル・ジャパン(株)</t>
    <phoneticPr fontId="5"/>
  </si>
  <si>
    <t>大垣ガス(株)</t>
    <phoneticPr fontId="5"/>
  </si>
  <si>
    <t>(株)藤田商店</t>
    <phoneticPr fontId="5"/>
  </si>
  <si>
    <t>(株)グローバルエンジニアリング</t>
    <phoneticPr fontId="5"/>
  </si>
  <si>
    <t>九州エナジー(株)</t>
    <phoneticPr fontId="5"/>
  </si>
  <si>
    <t>(株)トヨタエナジーソリューションズ</t>
    <phoneticPr fontId="5"/>
  </si>
  <si>
    <t>(株)エナリス・パワー・マーケティング</t>
    <phoneticPr fontId="5"/>
  </si>
  <si>
    <t>歌舞伎エナジー(株)</t>
    <phoneticPr fontId="5"/>
  </si>
  <si>
    <t>みやまスマートエネルギー(株)</t>
    <phoneticPr fontId="5"/>
  </si>
  <si>
    <t>エフィシエント(株)</t>
    <phoneticPr fontId="5"/>
  </si>
  <si>
    <t>(株)生活クラブエナジー</t>
    <phoneticPr fontId="5"/>
  </si>
  <si>
    <t>生活協同組合コープこうべ</t>
    <phoneticPr fontId="5"/>
  </si>
  <si>
    <t>(株)シーエナジー</t>
    <phoneticPr fontId="5"/>
  </si>
  <si>
    <t>角栄ガス(株)</t>
    <phoneticPr fontId="5"/>
  </si>
  <si>
    <t>京葉瓦斯(株)</t>
    <phoneticPr fontId="5"/>
  </si>
  <si>
    <t>TOPPANホールディングス(株)</t>
    <phoneticPr fontId="5"/>
  </si>
  <si>
    <t>伊勢崎ガス(株)</t>
    <phoneticPr fontId="5"/>
  </si>
  <si>
    <t>キヤノンマーケティングジャパン(株)</t>
    <phoneticPr fontId="5"/>
  </si>
  <si>
    <t>(株)とっとり市民電力</t>
    <phoneticPr fontId="5"/>
  </si>
  <si>
    <t>(株)エクスゲート(旧：(株)イーエムアイ)</t>
    <phoneticPr fontId="5"/>
  </si>
  <si>
    <t>佐野瓦斯(株)</t>
    <phoneticPr fontId="5"/>
  </si>
  <si>
    <t>桐生瓦斯(株)</t>
    <phoneticPr fontId="5"/>
  </si>
  <si>
    <t>森の電力(株)</t>
    <phoneticPr fontId="5"/>
  </si>
  <si>
    <t>大和ハウス工業(株)</t>
    <phoneticPr fontId="5"/>
  </si>
  <si>
    <t>HTBエナジー(株)</t>
    <phoneticPr fontId="5"/>
  </si>
  <si>
    <t>(株)アシストワンエナジー</t>
    <phoneticPr fontId="5"/>
  </si>
  <si>
    <t>(株)フソウ・エナジー</t>
    <phoneticPr fontId="5"/>
  </si>
  <si>
    <t>湘南電力(株)</t>
    <phoneticPr fontId="5"/>
  </si>
  <si>
    <t>大東建託パートナーズ(株)</t>
    <phoneticPr fontId="5"/>
  </si>
  <si>
    <t>Japan電力(株)</t>
    <phoneticPr fontId="5"/>
  </si>
  <si>
    <t>電源開発(株)</t>
    <phoneticPr fontId="5"/>
  </si>
  <si>
    <t>鈴与商事(株)</t>
    <phoneticPr fontId="5"/>
  </si>
  <si>
    <t>ワタミエナジー(株)</t>
    <phoneticPr fontId="5"/>
  </si>
  <si>
    <t>(株)パルシステム電力</t>
    <phoneticPr fontId="5"/>
  </si>
  <si>
    <t>SBパワー(株)</t>
    <phoneticPr fontId="5"/>
  </si>
  <si>
    <t>NFパワーサービス(株)</t>
    <phoneticPr fontId="5"/>
  </si>
  <si>
    <t>ひおき地域エネルギー(株)</t>
    <phoneticPr fontId="5"/>
  </si>
  <si>
    <t>和歌山電力(株)</t>
    <phoneticPr fontId="5"/>
  </si>
  <si>
    <t>日本瓦斯(株)(日本ガス(株))</t>
    <phoneticPr fontId="5"/>
  </si>
  <si>
    <t>九電みらいエナジー(株)</t>
    <phoneticPr fontId="5"/>
  </si>
  <si>
    <t>(株)フォレストパワー</t>
    <phoneticPr fontId="5"/>
  </si>
  <si>
    <t>日高都市ガス(株)</t>
    <phoneticPr fontId="5"/>
  </si>
  <si>
    <t>(株)アドバンテック</t>
    <phoneticPr fontId="5"/>
  </si>
  <si>
    <t>ローカルエナジー(株)</t>
    <phoneticPr fontId="5"/>
  </si>
  <si>
    <t>エネックス(株)</t>
    <phoneticPr fontId="5"/>
  </si>
  <si>
    <t>(株)レクスポート</t>
    <phoneticPr fontId="5"/>
  </si>
  <si>
    <t>なでしこ電力(株)</t>
    <phoneticPr fontId="5"/>
  </si>
  <si>
    <t>日田グリーン電力(株)</t>
    <phoneticPr fontId="5"/>
  </si>
  <si>
    <t>埼玉ガス(株)</t>
    <phoneticPr fontId="5"/>
  </si>
  <si>
    <t>宮崎パワーライン(株)</t>
    <phoneticPr fontId="5"/>
  </si>
  <si>
    <t>(株)パワー・オプティマイザー</t>
    <phoneticPr fontId="5"/>
  </si>
  <si>
    <t>(株)UーPOWER</t>
    <phoneticPr fontId="5"/>
  </si>
  <si>
    <t>(株)TTSパワー</t>
    <phoneticPr fontId="5"/>
  </si>
  <si>
    <t>(株)岩手ウッドパワー</t>
    <phoneticPr fontId="5"/>
  </si>
  <si>
    <t>里山パワーワークス(株)</t>
    <phoneticPr fontId="5"/>
  </si>
  <si>
    <t>(株)中之条パワー</t>
    <phoneticPr fontId="5"/>
  </si>
  <si>
    <t>日産トレーデイング(株)</t>
    <phoneticPr fontId="5"/>
  </si>
  <si>
    <t>(株)エネウィル</t>
    <phoneticPr fontId="5"/>
  </si>
  <si>
    <t>Next Power(株)</t>
    <phoneticPr fontId="5"/>
  </si>
  <si>
    <t>はりま電力(株)</t>
    <phoneticPr fontId="5"/>
  </si>
  <si>
    <t>(株)浜松新電力</t>
    <phoneticPr fontId="5"/>
  </si>
  <si>
    <t>ゼロワットパワー(株)</t>
    <phoneticPr fontId="5"/>
  </si>
  <si>
    <t>アストマックス(株)</t>
    <phoneticPr fontId="5"/>
  </si>
  <si>
    <t>(株)やまがた新電力</t>
    <phoneticPr fontId="5"/>
  </si>
  <si>
    <t>一般社団法人東松島みらいとし機構</t>
    <phoneticPr fontId="5"/>
  </si>
  <si>
    <t>(株)グリーンパワー大東</t>
    <phoneticPr fontId="5"/>
  </si>
  <si>
    <t>(株)シーラソーラー</t>
    <phoneticPr fontId="5"/>
  </si>
  <si>
    <t>御所野縄文電力(株)</t>
    <phoneticPr fontId="5"/>
  </si>
  <si>
    <t>(株)カーボンニュートラル</t>
    <phoneticPr fontId="5"/>
  </si>
  <si>
    <t>宮古新電力(株)</t>
    <phoneticPr fontId="5"/>
  </si>
  <si>
    <t>長崎地域電力(株)</t>
    <phoneticPr fontId="5"/>
  </si>
  <si>
    <t>(株)エネアーク関西</t>
    <phoneticPr fontId="5"/>
  </si>
  <si>
    <t>近畿電力(株)</t>
    <phoneticPr fontId="5"/>
  </si>
  <si>
    <t>新電力おおいた(株)</t>
    <phoneticPr fontId="5"/>
  </si>
  <si>
    <t>(株)日本セレモニー</t>
    <phoneticPr fontId="5"/>
  </si>
  <si>
    <t>(株)池見石油店</t>
    <phoneticPr fontId="5"/>
  </si>
  <si>
    <t>芝浦電力(株)</t>
    <phoneticPr fontId="5"/>
  </si>
  <si>
    <t>(株)地域創生ホールディングス</t>
    <phoneticPr fontId="5"/>
  </si>
  <si>
    <t>(株)エーコープサービス</t>
    <phoneticPr fontId="5"/>
  </si>
  <si>
    <t>宮崎瓦斯(株)(旧：(株)宮崎ガスリビング)</t>
    <phoneticPr fontId="5"/>
  </si>
  <si>
    <t>山陰エレキ・アライアンス(株)</t>
    <phoneticPr fontId="5"/>
  </si>
  <si>
    <t>(株)ジョヴィ</t>
    <phoneticPr fontId="5"/>
  </si>
  <si>
    <t xml:space="preserve">ミライフ東日本(株) </t>
    <phoneticPr fontId="5"/>
  </si>
  <si>
    <t>山陰酸素工業(株)</t>
    <phoneticPr fontId="5"/>
  </si>
  <si>
    <t>武陽ガス(株)</t>
    <phoneticPr fontId="5"/>
  </si>
  <si>
    <t>常石商事(株)</t>
    <phoneticPr fontId="5"/>
  </si>
  <si>
    <t>北海道電力(株)</t>
    <phoneticPr fontId="5"/>
  </si>
  <si>
    <t>東北電力(株)</t>
    <phoneticPr fontId="5"/>
  </si>
  <si>
    <t>中部電力ミライズ(株)</t>
    <phoneticPr fontId="5"/>
  </si>
  <si>
    <t>北陸電力(株)</t>
    <phoneticPr fontId="5"/>
  </si>
  <si>
    <t>関西電力(株)</t>
    <phoneticPr fontId="5"/>
  </si>
  <si>
    <t>中国電力(株)</t>
    <phoneticPr fontId="5"/>
  </si>
  <si>
    <t>四国電力(株)</t>
    <phoneticPr fontId="5"/>
  </si>
  <si>
    <t>九州電力(株)</t>
    <phoneticPr fontId="5"/>
  </si>
  <si>
    <t>沖縄電力(株)</t>
    <phoneticPr fontId="5"/>
  </si>
  <si>
    <t>北日本石油(株)</t>
    <phoneticPr fontId="5"/>
  </si>
  <si>
    <t>千葉電力(株)</t>
    <phoneticPr fontId="5"/>
  </si>
  <si>
    <t>やめエネルギー(株)</t>
    <phoneticPr fontId="5"/>
  </si>
  <si>
    <t>(株)アースインフィニティ</t>
    <phoneticPr fontId="5"/>
  </si>
  <si>
    <t>足利ガス(株)</t>
    <phoneticPr fontId="5"/>
  </si>
  <si>
    <t>(株)Misumi</t>
    <phoneticPr fontId="5"/>
  </si>
  <si>
    <t>米子瓦斯(株)</t>
    <phoneticPr fontId="5"/>
  </si>
  <si>
    <t>(株)エルピオ</t>
    <phoneticPr fontId="5"/>
  </si>
  <si>
    <t>浜田ガス(株)</t>
    <phoneticPr fontId="5"/>
  </si>
  <si>
    <t>(株)アメニティ電力</t>
    <phoneticPr fontId="5"/>
  </si>
  <si>
    <t>岡田建設(株)</t>
    <phoneticPr fontId="5"/>
  </si>
  <si>
    <t>出雲ガス(株)</t>
    <phoneticPr fontId="5"/>
  </si>
  <si>
    <t>一般社団法人グリーンコープでんき</t>
    <phoneticPr fontId="5"/>
  </si>
  <si>
    <t>公益財団法人東京都環境公社</t>
    <phoneticPr fontId="5"/>
  </si>
  <si>
    <t>(株)ファミリーネット・ジャパン</t>
    <phoneticPr fontId="5"/>
  </si>
  <si>
    <t>MKステーションズ(株)</t>
    <phoneticPr fontId="5"/>
  </si>
  <si>
    <t>フラワーペイメント(株)</t>
    <phoneticPr fontId="5"/>
  </si>
  <si>
    <t>(株)JTBコミュニケーションデザイン</t>
    <phoneticPr fontId="5"/>
  </si>
  <si>
    <t>全農エネルギー(株)</t>
    <phoneticPr fontId="5"/>
  </si>
  <si>
    <t>(株)ハルエネ</t>
    <phoneticPr fontId="5"/>
  </si>
  <si>
    <t>(株)ビビット</t>
    <phoneticPr fontId="5"/>
  </si>
  <si>
    <t>(株)おおた電力</t>
    <phoneticPr fontId="5"/>
  </si>
  <si>
    <t>伊藤忠プランテック(株)</t>
    <phoneticPr fontId="5"/>
  </si>
  <si>
    <t>(株)オカモト</t>
    <phoneticPr fontId="5"/>
  </si>
  <si>
    <t>キタコー(株)</t>
    <phoneticPr fontId="5"/>
  </si>
  <si>
    <t>香川電力(株)　</t>
    <phoneticPr fontId="5"/>
  </si>
  <si>
    <t>(株)PinT</t>
    <phoneticPr fontId="5"/>
  </si>
  <si>
    <t>(株)沖縄ガスニューパワー</t>
    <phoneticPr fontId="5"/>
  </si>
  <si>
    <t>諏訪瓦斯(株)</t>
    <phoneticPr fontId="5"/>
  </si>
  <si>
    <t>エッセンシャルエナジー(株)</t>
    <phoneticPr fontId="5"/>
  </si>
  <si>
    <t>(株)いちき串木野電力</t>
    <phoneticPr fontId="5"/>
  </si>
  <si>
    <t>(株)クローバー・テクノロジーズ</t>
    <phoneticPr fontId="5"/>
  </si>
  <si>
    <t>西武ガス(株)</t>
    <phoneticPr fontId="5"/>
  </si>
  <si>
    <t>松本ガス(株)</t>
    <phoneticPr fontId="5"/>
  </si>
  <si>
    <t>南部だんだんエナジー(株)</t>
    <phoneticPr fontId="5"/>
  </si>
  <si>
    <t>(株)エフエネ</t>
    <phoneticPr fontId="5"/>
  </si>
  <si>
    <t>こなんウルトラパワー(株)</t>
    <phoneticPr fontId="5"/>
  </si>
  <si>
    <t>(株)CHIBAむつざわエナジー</t>
    <phoneticPr fontId="5"/>
  </si>
  <si>
    <t>(株)関西空調</t>
    <phoneticPr fontId="5"/>
  </si>
  <si>
    <t>奥出雲電力(株)</t>
    <phoneticPr fontId="5"/>
  </si>
  <si>
    <t>レジル(株)</t>
    <phoneticPr fontId="5"/>
  </si>
  <si>
    <t>(株)成田香取エネルギー</t>
    <phoneticPr fontId="5"/>
  </si>
  <si>
    <t>(株)CWS</t>
    <phoneticPr fontId="5"/>
  </si>
  <si>
    <t>ふくしま新電力(株)</t>
    <phoneticPr fontId="5"/>
  </si>
  <si>
    <t>ティーダッシュ合同会社</t>
    <phoneticPr fontId="5"/>
  </si>
  <si>
    <t>(株)エネクスライフサービス</t>
    <phoneticPr fontId="5"/>
  </si>
  <si>
    <t>ネイチャーエナジー小国(株)</t>
    <phoneticPr fontId="5"/>
  </si>
  <si>
    <t>リエスパワーネクスト(株)</t>
    <phoneticPr fontId="5"/>
  </si>
  <si>
    <t>エネルギーパワー(株)</t>
    <phoneticPr fontId="5"/>
  </si>
  <si>
    <t>(株)グリムスパワー</t>
    <phoneticPr fontId="5"/>
  </si>
  <si>
    <t>自然電力(株)</t>
    <phoneticPr fontId="5"/>
  </si>
  <si>
    <t>本庄ガス(株)</t>
    <phoneticPr fontId="5"/>
  </si>
  <si>
    <t>青森県民エナジー(株)</t>
    <phoneticPr fontId="5"/>
  </si>
  <si>
    <t>国際航業(株)</t>
    <phoneticPr fontId="5"/>
  </si>
  <si>
    <t>ローカルでんき(株)</t>
    <phoneticPr fontId="5"/>
  </si>
  <si>
    <t>(株)明治産業</t>
    <phoneticPr fontId="5"/>
  </si>
  <si>
    <t>岡山電力(株)</t>
    <phoneticPr fontId="5"/>
  </si>
  <si>
    <t>ミライフ(株)</t>
    <phoneticPr fontId="5"/>
  </si>
  <si>
    <t>楽天モバイル(株)(旧：楽天エナジー(株))</t>
    <phoneticPr fontId="5"/>
  </si>
  <si>
    <t>うすきエネルギー(株)</t>
    <phoneticPr fontId="5"/>
  </si>
  <si>
    <t>森のエネルギー(株)</t>
    <phoneticPr fontId="5"/>
  </si>
  <si>
    <t>岐阜電力(株)</t>
    <phoneticPr fontId="5"/>
  </si>
  <si>
    <t>名南共同エネルギー(株)</t>
    <phoneticPr fontId="5"/>
  </si>
  <si>
    <t>Apaman Energy(株)</t>
    <phoneticPr fontId="5"/>
  </si>
  <si>
    <t>アストマックス・エネルギー(株)</t>
    <phoneticPr fontId="5"/>
  </si>
  <si>
    <t>ALL GREEN POWER(株)</t>
    <phoneticPr fontId="5"/>
  </si>
  <si>
    <t>福井電力(株)</t>
    <phoneticPr fontId="5"/>
  </si>
  <si>
    <t>(株)MKエネルギー</t>
    <phoneticPr fontId="5"/>
  </si>
  <si>
    <t>エネラボ(株)</t>
    <phoneticPr fontId="5"/>
  </si>
  <si>
    <t>スマートエナジー磐田(株)</t>
    <phoneticPr fontId="5"/>
  </si>
  <si>
    <t>そうまIグリッド合同会社</t>
    <phoneticPr fontId="5"/>
  </si>
  <si>
    <t>エネトレード(株)</t>
    <phoneticPr fontId="5"/>
  </si>
  <si>
    <t>ニシムラ(株)</t>
    <phoneticPr fontId="5"/>
  </si>
  <si>
    <t>(株)さくら新電力</t>
    <phoneticPr fontId="5"/>
  </si>
  <si>
    <t>(株)グローアップ</t>
    <phoneticPr fontId="5"/>
  </si>
  <si>
    <t>いこま市民パワー(株)</t>
    <phoneticPr fontId="5"/>
  </si>
  <si>
    <t>おもてなし山形(株)</t>
    <phoneticPr fontId="5"/>
  </si>
  <si>
    <t>長野都市ガス(株)</t>
    <phoneticPr fontId="5"/>
  </si>
  <si>
    <t>上田ガス(株)</t>
    <phoneticPr fontId="5"/>
  </si>
  <si>
    <t>日本瓦斯(株)</t>
    <phoneticPr fontId="5"/>
  </si>
  <si>
    <t>(株)シグナストラスト</t>
    <phoneticPr fontId="5"/>
  </si>
  <si>
    <t>ゲーテハウス(株)</t>
    <phoneticPr fontId="5"/>
  </si>
  <si>
    <t>JPエネルギー(株)</t>
    <phoneticPr fontId="5"/>
  </si>
  <si>
    <t>兵庫電力(株)</t>
    <phoneticPr fontId="5"/>
  </si>
  <si>
    <t>Cocoテラスたがわ(株)</t>
    <phoneticPr fontId="5"/>
  </si>
  <si>
    <t>東北電力エナジートレーディング(株)</t>
    <phoneticPr fontId="5"/>
  </si>
  <si>
    <t>(株)まち未来製作所</t>
    <phoneticPr fontId="5"/>
  </si>
  <si>
    <t>(株)どさんこパワー</t>
    <phoneticPr fontId="5"/>
  </si>
  <si>
    <t>トリニティエナジー(株)</t>
    <phoneticPr fontId="5"/>
  </si>
  <si>
    <t>(株)LIXIL TEPCO スマートパートナーズ</t>
    <phoneticPr fontId="5"/>
  </si>
  <si>
    <t>(株)NEXT ONE</t>
    <phoneticPr fontId="5"/>
  </si>
  <si>
    <t>(株)テラス(旧：(株)ネオ・コーポレーション)</t>
    <phoneticPr fontId="5"/>
  </si>
  <si>
    <t>つばさでんき(株)(旧：(株)アルファライズ)</t>
    <phoneticPr fontId="5"/>
  </si>
  <si>
    <t>おおすみ半島スマートエネルギー(株)</t>
    <phoneticPr fontId="5"/>
  </si>
  <si>
    <t>おきなわコープエナジー(株)</t>
    <phoneticPr fontId="5"/>
  </si>
  <si>
    <t>久慈地域エネルギー(株)</t>
    <phoneticPr fontId="5"/>
  </si>
  <si>
    <t>弘前ガス(株)</t>
    <phoneticPr fontId="5"/>
  </si>
  <si>
    <t>(株)フォーバルテレコム</t>
    <phoneticPr fontId="5"/>
  </si>
  <si>
    <t>(株)ストエネ</t>
    <phoneticPr fontId="5"/>
  </si>
  <si>
    <t>くるめエネルギー(株)</t>
    <phoneticPr fontId="5"/>
  </si>
  <si>
    <t>松阪新電力(株)</t>
    <phoneticPr fontId="5"/>
  </si>
  <si>
    <t>ヒューリックプロパティソリューション(株)</t>
    <phoneticPr fontId="5"/>
  </si>
  <si>
    <t>宮崎電力(株)</t>
    <phoneticPr fontId="5"/>
  </si>
  <si>
    <t>(株)CDエナジーダイレクト</t>
    <phoneticPr fontId="5"/>
  </si>
  <si>
    <t>Q.ENESTでんき(株)</t>
    <phoneticPr fontId="5"/>
  </si>
  <si>
    <t>(株)ぶんごおおのエナジー</t>
    <phoneticPr fontId="5"/>
  </si>
  <si>
    <t>ヴィジョナリーパワー(株)</t>
    <phoneticPr fontId="5"/>
  </si>
  <si>
    <t>有明エナジー(株)</t>
    <phoneticPr fontId="5"/>
  </si>
  <si>
    <t>厚木瓦斯(株)</t>
    <phoneticPr fontId="5"/>
  </si>
  <si>
    <t>(株)エネ・ビジョン</t>
    <phoneticPr fontId="5"/>
  </si>
  <si>
    <t>イワタニ三重(株)</t>
    <phoneticPr fontId="5"/>
  </si>
  <si>
    <t>(株)マルヰ</t>
    <phoneticPr fontId="5"/>
  </si>
  <si>
    <t>大多喜ガス(株)</t>
    <phoneticPr fontId="5"/>
  </si>
  <si>
    <t>鈴与電力(株)</t>
    <phoneticPr fontId="5"/>
  </si>
  <si>
    <t>コープ電力(株)</t>
    <phoneticPr fontId="5"/>
  </si>
  <si>
    <t>亀岡ふるさとエナジー(株)</t>
    <phoneticPr fontId="5"/>
  </si>
  <si>
    <t>(株)織戸組</t>
    <phoneticPr fontId="5"/>
  </si>
  <si>
    <t>ふかやeパワー(株)</t>
    <phoneticPr fontId="5"/>
  </si>
  <si>
    <t>(株)Link Life</t>
    <phoneticPr fontId="5"/>
  </si>
  <si>
    <t>(株)グローバルキャスト</t>
    <phoneticPr fontId="5"/>
  </si>
  <si>
    <t>日本エネルギー総合システム(株)</t>
    <phoneticPr fontId="5"/>
  </si>
  <si>
    <t>イワタニ東海(株)</t>
    <phoneticPr fontId="5"/>
  </si>
  <si>
    <t>(株)ところざわ未来電力</t>
    <phoneticPr fontId="5"/>
  </si>
  <si>
    <t>朝日ガスエナジー(株)</t>
    <phoneticPr fontId="5"/>
  </si>
  <si>
    <t>(株)エネファント</t>
    <phoneticPr fontId="5"/>
  </si>
  <si>
    <t>(株)エスエナジー</t>
    <phoneticPr fontId="5"/>
  </si>
  <si>
    <t>(株)フリクト電力(旧：(株)Mpower)</t>
    <phoneticPr fontId="5"/>
  </si>
  <si>
    <t>秩父新電力(株)</t>
    <phoneticPr fontId="5"/>
  </si>
  <si>
    <t>みよしエナジー(株)</t>
    <phoneticPr fontId="5"/>
  </si>
  <si>
    <t>綿半パートナーズ(株)</t>
    <phoneticPr fontId="5"/>
  </si>
  <si>
    <t>(株)karch</t>
    <phoneticPr fontId="5"/>
  </si>
  <si>
    <t>(株)かみでん里山公社</t>
    <phoneticPr fontId="5"/>
  </si>
  <si>
    <t>(株)三郷ひまわりエナジー</t>
    <phoneticPr fontId="5"/>
  </si>
  <si>
    <t>(株)球磨村森電力</t>
    <phoneticPr fontId="5"/>
  </si>
  <si>
    <t>くこくエネルギー(株)</t>
    <phoneticPr fontId="5"/>
  </si>
  <si>
    <t>(株)エコログ</t>
    <phoneticPr fontId="5"/>
  </si>
  <si>
    <t>飯田まちづくり電力(株)</t>
    <phoneticPr fontId="5"/>
  </si>
  <si>
    <t>イワタニ長野(株)</t>
    <phoneticPr fontId="5"/>
  </si>
  <si>
    <t>シェルジャパン(株)</t>
    <phoneticPr fontId="5"/>
  </si>
  <si>
    <t>石油資源開発(株)</t>
    <phoneticPr fontId="5"/>
  </si>
  <si>
    <t>越後天然ガス(株)</t>
    <phoneticPr fontId="5"/>
  </si>
  <si>
    <t>坂戸ガス(株)</t>
    <phoneticPr fontId="5"/>
  </si>
  <si>
    <t>(株)デベロップ</t>
    <phoneticPr fontId="5"/>
  </si>
  <si>
    <t>(株)テレ・マーカー</t>
    <phoneticPr fontId="5"/>
  </si>
  <si>
    <t>MGCエネルギー(株)</t>
    <phoneticPr fontId="5"/>
  </si>
  <si>
    <t>福島フェニックス電力(株)</t>
    <phoneticPr fontId="5"/>
  </si>
  <si>
    <t>(株)美作国電力</t>
    <phoneticPr fontId="5"/>
  </si>
  <si>
    <t>八幡商事(株)</t>
    <phoneticPr fontId="5"/>
  </si>
  <si>
    <t>おいでんエネルギー(株)</t>
    <phoneticPr fontId="5"/>
  </si>
  <si>
    <t>(株)イシオ</t>
    <phoneticPr fontId="5"/>
  </si>
  <si>
    <t>北陸電力ビズ・エナジーソリューション(株)</t>
    <phoneticPr fontId="5"/>
  </si>
  <si>
    <t>リニューアブルトレード(株)</t>
    <phoneticPr fontId="5"/>
  </si>
  <si>
    <t>ICT伊那みらいでんき(株)(旧:丸紅伊那みらいでんき(株))</t>
    <phoneticPr fontId="5"/>
  </si>
  <si>
    <t>富士山エナジー(株)</t>
    <phoneticPr fontId="5"/>
  </si>
  <si>
    <t>WSエナジー(株)</t>
    <phoneticPr fontId="5"/>
  </si>
  <si>
    <t>TERA Energy(株)</t>
    <phoneticPr fontId="5"/>
  </si>
  <si>
    <t>MCPD(株)</t>
    <phoneticPr fontId="5"/>
  </si>
  <si>
    <t>グリーンシティこばやし(株)</t>
    <phoneticPr fontId="5"/>
  </si>
  <si>
    <t>(株)吉田石油店</t>
    <phoneticPr fontId="5"/>
  </si>
  <si>
    <t>スマートエナジー熊本(株)</t>
    <phoneticPr fontId="5"/>
  </si>
  <si>
    <t>福山未来エナジー(株)</t>
    <phoneticPr fontId="5"/>
  </si>
  <si>
    <t>五島市民電力(株)</t>
    <phoneticPr fontId="5"/>
  </si>
  <si>
    <t>リストプロパティーズ(株)</t>
    <phoneticPr fontId="5"/>
  </si>
  <si>
    <t>(株)情熱電力</t>
    <phoneticPr fontId="5"/>
  </si>
  <si>
    <t>バンプーパワートレーディング合同会社</t>
    <phoneticPr fontId="5"/>
  </si>
  <si>
    <t>(株)センカク</t>
    <phoneticPr fontId="5"/>
  </si>
  <si>
    <t>(株)ミナサポ</t>
    <phoneticPr fontId="5"/>
  </si>
  <si>
    <t>唐津電力(株)</t>
    <phoneticPr fontId="5"/>
  </si>
  <si>
    <t>RE100電力(株)</t>
    <phoneticPr fontId="5"/>
  </si>
  <si>
    <t>日本エネルギーファーム(株)</t>
    <phoneticPr fontId="5"/>
  </si>
  <si>
    <t>(株)イーネットワーク</t>
    <phoneticPr fontId="5"/>
  </si>
  <si>
    <t>スマートエコエナジー(株)</t>
    <phoneticPr fontId="5"/>
  </si>
  <si>
    <t>(株)LENETS</t>
    <phoneticPr fontId="5"/>
  </si>
  <si>
    <t>アイエスジー(株)</t>
    <phoneticPr fontId="5"/>
  </si>
  <si>
    <t>(株)エネクル</t>
    <phoneticPr fontId="5"/>
  </si>
  <si>
    <t>フィンテックラボ協同組合</t>
    <phoneticPr fontId="5"/>
  </si>
  <si>
    <t>新電力新潟(株)</t>
    <phoneticPr fontId="5"/>
  </si>
  <si>
    <t>(株)タケエイでんき</t>
    <phoneticPr fontId="5"/>
  </si>
  <si>
    <t>気仙沼グリーンエナジー(株)</t>
    <phoneticPr fontId="5"/>
  </si>
  <si>
    <t>(株)ユーラスグリーンエナジー</t>
    <phoneticPr fontId="5"/>
  </si>
  <si>
    <t>酒田天然瓦斯(株)</t>
    <phoneticPr fontId="5"/>
  </si>
  <si>
    <t>東亜ガス(株)</t>
    <phoneticPr fontId="5"/>
  </si>
  <si>
    <t>(株)三河の山里コミュニティパワー</t>
    <phoneticPr fontId="5"/>
  </si>
  <si>
    <t>新潟スワンエナジー(株)</t>
    <phoneticPr fontId="5"/>
  </si>
  <si>
    <t>グリーンピープルズパワー(株)</t>
    <phoneticPr fontId="5"/>
  </si>
  <si>
    <t>(株)マルイファシリティーズ</t>
    <phoneticPr fontId="5"/>
  </si>
  <si>
    <t>(株)デンケン</t>
    <phoneticPr fontId="5"/>
  </si>
  <si>
    <t>(株)東名</t>
    <phoneticPr fontId="5"/>
  </si>
  <si>
    <t>NTTアノードエナジー(株)</t>
    <phoneticPr fontId="5"/>
  </si>
  <si>
    <t>スマート電気(株)</t>
    <phoneticPr fontId="5"/>
  </si>
  <si>
    <t>(株)唐津パワーホールディングス</t>
    <phoneticPr fontId="5"/>
  </si>
  <si>
    <t>(株)クリーンエネルギー総合研究所</t>
    <phoneticPr fontId="5"/>
  </si>
  <si>
    <t>(株)かづのパワー</t>
    <phoneticPr fontId="5"/>
  </si>
  <si>
    <t>UNIVERGY(株)</t>
    <phoneticPr fontId="5"/>
  </si>
  <si>
    <t>デジタルグリッド(株)</t>
    <phoneticPr fontId="5"/>
  </si>
  <si>
    <t>(株)西九州させぼパワーズ</t>
    <phoneticPr fontId="5"/>
  </si>
  <si>
    <t>たんたんエナジー(株)</t>
    <phoneticPr fontId="5"/>
  </si>
  <si>
    <t>(株)能勢・豊能まちづくり</t>
    <phoneticPr fontId="5"/>
  </si>
  <si>
    <t>(株)再エネ思考電力</t>
    <phoneticPr fontId="5"/>
  </si>
  <si>
    <t>(株)スマート</t>
    <phoneticPr fontId="5"/>
  </si>
  <si>
    <t>(株)ジャパネットサービスイノベーション</t>
    <phoneticPr fontId="5"/>
  </si>
  <si>
    <t>KBN(株)</t>
    <phoneticPr fontId="5"/>
  </si>
  <si>
    <t>(株)しおさい電力</t>
    <phoneticPr fontId="5"/>
  </si>
  <si>
    <t>会津エナジー(株)</t>
    <phoneticPr fontId="5"/>
  </si>
  <si>
    <t>うべ未来エネルギー(株)</t>
    <phoneticPr fontId="5"/>
  </si>
  <si>
    <t>永井自動車工業(株)</t>
    <phoneticPr fontId="5"/>
  </si>
  <si>
    <t>陸前高田しみんエネルギー(株)</t>
    <phoneticPr fontId="5"/>
  </si>
  <si>
    <t>(株)チャームドライフ</t>
    <phoneticPr fontId="5"/>
  </si>
  <si>
    <t>スターティア(株)</t>
    <phoneticPr fontId="5"/>
  </si>
  <si>
    <t>東広島スマートエネルギー(株)</t>
    <phoneticPr fontId="5"/>
  </si>
  <si>
    <t>旭化成(株)</t>
    <phoneticPr fontId="5"/>
  </si>
  <si>
    <t>京和ガス(株)</t>
    <phoneticPr fontId="5"/>
  </si>
  <si>
    <t>KMパワー(株)</t>
    <phoneticPr fontId="5"/>
  </si>
  <si>
    <t>(株)Okazaki</t>
    <phoneticPr fontId="5"/>
  </si>
  <si>
    <t>(株)エフオン</t>
    <phoneticPr fontId="5"/>
  </si>
  <si>
    <t>(株)岡崎さくら電力</t>
    <phoneticPr fontId="5"/>
  </si>
  <si>
    <t>旭マルヰ(株)(旧：旭マルヰガス(株))</t>
    <phoneticPr fontId="5"/>
  </si>
  <si>
    <t>ENEOSリニューアブル・エナジー・ソリューションズ(株)(旧：JREトレーディング(株))</t>
    <phoneticPr fontId="5"/>
  </si>
  <si>
    <t>Castleton Commodities Japan合同会社</t>
    <phoneticPr fontId="5"/>
  </si>
  <si>
    <t>神戸電力(株)</t>
    <phoneticPr fontId="5"/>
  </si>
  <si>
    <t>Valhall合同会社</t>
    <phoneticPr fontId="5"/>
  </si>
  <si>
    <t>エア・ウォーター・ライフソリューション(株)</t>
    <phoneticPr fontId="5"/>
  </si>
  <si>
    <t>生活協同組合ひろしま</t>
    <phoneticPr fontId="5"/>
  </si>
  <si>
    <t>(株)RenoLabo</t>
    <phoneticPr fontId="5"/>
  </si>
  <si>
    <t>アークエルテクノロジーズ(株)</t>
    <phoneticPr fontId="5"/>
  </si>
  <si>
    <t>エルメック(株)</t>
    <phoneticPr fontId="5"/>
  </si>
  <si>
    <t>(株)オズエナジー</t>
    <phoneticPr fontId="5"/>
  </si>
  <si>
    <t>レモンガス(株)</t>
    <phoneticPr fontId="5"/>
  </si>
  <si>
    <t>(株)日本海水</t>
    <phoneticPr fontId="5"/>
  </si>
  <si>
    <t>しろくま電力(株)</t>
    <phoneticPr fontId="5"/>
  </si>
  <si>
    <t>中小企業支援(株)</t>
    <phoneticPr fontId="5"/>
  </si>
  <si>
    <t>サントラベラーズサービス有限会社</t>
    <phoneticPr fontId="5"/>
  </si>
  <si>
    <t>八千代エンジニヤリング(株)</t>
    <phoneticPr fontId="5"/>
  </si>
  <si>
    <t>神楽電力(株)</t>
    <phoneticPr fontId="5"/>
  </si>
  <si>
    <t>ゆきぐに新電力(株)</t>
    <phoneticPr fontId="5"/>
  </si>
  <si>
    <t>(株)ながさきサステナエナジー</t>
    <phoneticPr fontId="5"/>
  </si>
  <si>
    <t>葛尾創生電力(株)</t>
    <phoneticPr fontId="5"/>
  </si>
  <si>
    <t>(株)EFでんき(旧：(株)ライフエナジー)</t>
    <phoneticPr fontId="5"/>
  </si>
  <si>
    <t>(株)グルーヴエナジー</t>
    <phoneticPr fontId="5"/>
  </si>
  <si>
    <t>高知ニューエナジー(株)</t>
    <phoneticPr fontId="5"/>
  </si>
  <si>
    <t>もみじ電力(株)</t>
    <phoneticPr fontId="5"/>
  </si>
  <si>
    <t>(株)縁人</t>
    <phoneticPr fontId="5"/>
  </si>
  <si>
    <t>T＆Tエナジー(株)</t>
    <phoneticPr fontId="5"/>
  </si>
  <si>
    <t>(株)ルーク</t>
    <phoneticPr fontId="5"/>
  </si>
  <si>
    <t>かけがわ報徳パワー(株)</t>
    <phoneticPr fontId="5"/>
  </si>
  <si>
    <t>SustainableEnergy(株)</t>
    <phoneticPr fontId="5"/>
  </si>
  <si>
    <t>穂の国とよはし電力(株)</t>
    <phoneticPr fontId="5"/>
  </si>
  <si>
    <t>イワタニセントラル北海道(株)</t>
    <phoneticPr fontId="5"/>
  </si>
  <si>
    <t>ホームタウンエナジー(株)</t>
    <phoneticPr fontId="5"/>
  </si>
  <si>
    <t>(株)彩の国でんき</t>
    <phoneticPr fontId="5"/>
  </si>
  <si>
    <t>(株)みやきエネルギー</t>
    <phoneticPr fontId="5"/>
  </si>
  <si>
    <t>(株)クリーンベンチャー21</t>
    <phoneticPr fontId="5"/>
  </si>
  <si>
    <t>三河商事(株)</t>
    <phoneticPr fontId="5"/>
  </si>
  <si>
    <t>沖縄新エネ開発(株)</t>
    <phoneticPr fontId="5"/>
  </si>
  <si>
    <t>(株)ほくだん</t>
    <phoneticPr fontId="5"/>
  </si>
  <si>
    <t>(株)エスコ</t>
    <phoneticPr fontId="5"/>
  </si>
  <si>
    <t>(株)Qvou</t>
    <phoneticPr fontId="5"/>
  </si>
  <si>
    <t>住友商事(株)</t>
    <phoneticPr fontId="5"/>
  </si>
  <si>
    <t>(株)丸の内電力</t>
    <phoneticPr fontId="5"/>
  </si>
  <si>
    <t>(株)中京電力</t>
    <phoneticPr fontId="5"/>
  </si>
  <si>
    <t>(株)クオリティプラス</t>
    <phoneticPr fontId="5"/>
  </si>
  <si>
    <t>Y.W.C.(株)</t>
    <phoneticPr fontId="5"/>
  </si>
  <si>
    <t>(株)MTエナジー</t>
    <phoneticPr fontId="5"/>
  </si>
  <si>
    <t>TGオクトパスエナジー(株)</t>
    <phoneticPr fontId="5"/>
  </si>
  <si>
    <t>東北電力フロンティア(株)</t>
    <phoneticPr fontId="5"/>
  </si>
  <si>
    <t>(株)ファラデー</t>
    <phoneticPr fontId="5"/>
  </si>
  <si>
    <t>三菱HCキャピタルエナジー(株)</t>
    <phoneticPr fontId="5"/>
  </si>
  <si>
    <t>(株)Meisin</t>
    <phoneticPr fontId="5"/>
  </si>
  <si>
    <t>大塚ビジネスサポート(株)</t>
    <phoneticPr fontId="5"/>
  </si>
  <si>
    <t>出雲ケーブルビジョン(株)</t>
    <phoneticPr fontId="5"/>
  </si>
  <si>
    <t>いずも縁結び電力(株)</t>
    <phoneticPr fontId="5"/>
  </si>
  <si>
    <t>恵那電力(株)</t>
    <phoneticPr fontId="5"/>
  </si>
  <si>
    <t>宇都宮ライトパワー(株)</t>
    <phoneticPr fontId="5"/>
  </si>
  <si>
    <t>帯広電力(株)</t>
    <phoneticPr fontId="5"/>
  </si>
  <si>
    <t>フジ物産(株)</t>
    <phoneticPr fontId="5"/>
  </si>
  <si>
    <t>金沢エナジー(株)</t>
    <phoneticPr fontId="5"/>
  </si>
  <si>
    <t>(株)なんとエナジー</t>
    <phoneticPr fontId="5"/>
  </si>
  <si>
    <t>(株)ボーダレス・ジャパン</t>
    <phoneticPr fontId="5"/>
  </si>
  <si>
    <t>(株)ワット</t>
    <phoneticPr fontId="5"/>
  </si>
  <si>
    <t>ジケイ・スペース(株)</t>
    <phoneticPr fontId="5"/>
  </si>
  <si>
    <t>広島ガス(株)</t>
    <phoneticPr fontId="5"/>
  </si>
  <si>
    <t>(株)IQg</t>
    <phoneticPr fontId="5"/>
  </si>
  <si>
    <t>最適でんき(株)（旧：エナジーサプライ(株)）</t>
    <phoneticPr fontId="5"/>
  </si>
  <si>
    <t>(株)FPS</t>
    <phoneticPr fontId="5"/>
  </si>
  <si>
    <t>大熊るるるん電力(株)</t>
    <phoneticPr fontId="5"/>
  </si>
  <si>
    <t>(株)レックス</t>
    <phoneticPr fontId="5"/>
  </si>
  <si>
    <t>おきたま新電力(株)</t>
    <phoneticPr fontId="5"/>
  </si>
  <si>
    <t>河原実業(株)</t>
    <phoneticPr fontId="5"/>
  </si>
  <si>
    <t>(株)stc</t>
    <phoneticPr fontId="5"/>
  </si>
  <si>
    <t>(株)工営エナジー</t>
    <phoneticPr fontId="5"/>
  </si>
  <si>
    <t>アースシグナルソリューションズ(株)</t>
    <phoneticPr fontId="5"/>
  </si>
  <si>
    <t>シントウエナジー(株)</t>
    <phoneticPr fontId="5"/>
  </si>
  <si>
    <t>那須野ヶ原みらい電力(株)</t>
    <phoneticPr fontId="5"/>
  </si>
  <si>
    <t>柏崎あい・あーるエナジー(株)</t>
    <phoneticPr fontId="5"/>
  </si>
  <si>
    <t>京セラ(株)</t>
    <phoneticPr fontId="5"/>
  </si>
  <si>
    <t>(株)鳥取みらい電力</t>
    <phoneticPr fontId="5"/>
  </si>
  <si>
    <t>鈴鹿グリーンエナジー(株)</t>
    <phoneticPr fontId="5"/>
  </si>
  <si>
    <t>一般社団法人東北自動車産業グリーンエネルギー普及協会</t>
    <phoneticPr fontId="5"/>
  </si>
  <si>
    <t>刈谷知立みらい電力(株)</t>
    <phoneticPr fontId="5"/>
  </si>
  <si>
    <t>(株)パワーエックス</t>
    <phoneticPr fontId="5"/>
  </si>
  <si>
    <t>いちのみや未来エネルギー(株)</t>
    <phoneticPr fontId="5"/>
  </si>
  <si>
    <t>岡谷酸素(株)</t>
    <phoneticPr fontId="5"/>
  </si>
  <si>
    <t>(株)絆</t>
    <phoneticPr fontId="5"/>
  </si>
  <si>
    <t>東北エネルギーサービス(株)</t>
    <phoneticPr fontId="5"/>
  </si>
  <si>
    <t>(株)いなしきエナジー</t>
    <phoneticPr fontId="5"/>
  </si>
  <si>
    <t>ながのスマートパワー(株)</t>
    <phoneticPr fontId="5"/>
  </si>
  <si>
    <t>(株)ホクレン油機サービス</t>
    <phoneticPr fontId="5"/>
  </si>
  <si>
    <t>(株)JR東日本商事</t>
    <phoneticPr fontId="5"/>
  </si>
  <si>
    <t>岡山ガス(株)</t>
    <phoneticPr fontId="5"/>
  </si>
  <si>
    <t>合同会社グリーンパワーリテイリング</t>
    <phoneticPr fontId="5"/>
  </si>
  <si>
    <t>川崎未来エナジー(株)</t>
    <phoneticPr fontId="5"/>
  </si>
  <si>
    <t>(株)いずみみらい</t>
    <phoneticPr fontId="5"/>
  </si>
  <si>
    <t>(株)アット東京</t>
    <phoneticPr fontId="5"/>
  </si>
  <si>
    <t>(株)つるエネルギー</t>
    <phoneticPr fontId="5"/>
  </si>
  <si>
    <t>川重商事(株)</t>
    <phoneticPr fontId="5"/>
  </si>
  <si>
    <t>(株)JERA Cross</t>
    <phoneticPr fontId="5"/>
  </si>
  <si>
    <t>飛騨高山電力(株)</t>
    <phoneticPr fontId="5"/>
  </si>
  <si>
    <t>(株)リボンエナジー</t>
    <phoneticPr fontId="5"/>
  </si>
  <si>
    <t>(株)大崎クリエーション</t>
    <phoneticPr fontId="5"/>
  </si>
  <si>
    <t>(株)UPX</t>
    <phoneticPr fontId="5"/>
  </si>
  <si>
    <t>Miraiつのエナジー(株)</t>
    <phoneticPr fontId="5"/>
  </si>
  <si>
    <t>山口グリーンエネルギー(株)</t>
    <phoneticPr fontId="5"/>
  </si>
  <si>
    <t>(株)はちまんたいジオパワー</t>
    <phoneticPr fontId="5"/>
  </si>
  <si>
    <t>(株)アイモバイル</t>
    <phoneticPr fontId="5"/>
  </si>
  <si>
    <t>(参考値)事業者全体</t>
    <phoneticPr fontId="5"/>
  </si>
  <si>
    <t>メニューF</t>
    <phoneticPr fontId="5"/>
  </si>
  <si>
    <t>メニューG</t>
    <phoneticPr fontId="5"/>
  </si>
  <si>
    <t>メニューH</t>
    <phoneticPr fontId="5"/>
  </si>
  <si>
    <t>メニューI</t>
    <phoneticPr fontId="5"/>
  </si>
  <si>
    <t>メニューJ</t>
    <phoneticPr fontId="5"/>
  </si>
  <si>
    <t>メニューK</t>
    <phoneticPr fontId="5"/>
  </si>
  <si>
    <t>メニューL</t>
    <phoneticPr fontId="5"/>
  </si>
  <si>
    <t>メニューM</t>
    <phoneticPr fontId="5"/>
  </si>
  <si>
    <t>メニューN</t>
    <phoneticPr fontId="5"/>
  </si>
  <si>
    <t>メニューO</t>
    <phoneticPr fontId="5"/>
  </si>
  <si>
    <t>メニューP</t>
    <phoneticPr fontId="5"/>
  </si>
  <si>
    <t>メニューQ</t>
    <phoneticPr fontId="5"/>
  </si>
  <si>
    <t>メニューR</t>
    <phoneticPr fontId="5"/>
  </si>
  <si>
    <t>選択肢なし</t>
    <rPh sb="0" eb="3">
      <t>センタクシ</t>
    </rPh>
    <phoneticPr fontId="5"/>
  </si>
  <si>
    <t>使用量</t>
    <rPh sb="0" eb="3">
      <t>シヨウリョウ</t>
    </rPh>
    <phoneticPr fontId="5"/>
  </si>
  <si>
    <t>購買伝票等</t>
    <phoneticPr fontId="5"/>
  </si>
  <si>
    <t>②　算定対象から除く燃料使用量</t>
    <phoneticPr fontId="5"/>
  </si>
  <si>
    <t>②　算定対象から除く電気・熱・都市ガスの使用量</t>
    <rPh sb="10" eb="12">
      <t>デンキ</t>
    </rPh>
    <rPh sb="13" eb="14">
      <t>ネツ</t>
    </rPh>
    <rPh sb="15" eb="17">
      <t>トシ</t>
    </rPh>
    <rPh sb="20" eb="23">
      <t>シヨウリョウ</t>
    </rPh>
    <phoneticPr fontId="5"/>
  </si>
  <si>
    <t>③　算定対象から除く再生可能エネルギー由来の電気・熱</t>
    <rPh sb="10" eb="12">
      <t>サイセイ</t>
    </rPh>
    <rPh sb="12" eb="14">
      <t>カノウ</t>
    </rPh>
    <rPh sb="19" eb="21">
      <t>ユライ</t>
    </rPh>
    <rPh sb="22" eb="24">
      <t>デンキ</t>
    </rPh>
    <rPh sb="25" eb="26">
      <t>ネツ</t>
    </rPh>
    <phoneticPr fontId="5"/>
  </si>
  <si>
    <t>中間圧以上用</t>
    <rPh sb="0" eb="2">
      <t>チュウカン</t>
    </rPh>
    <rPh sb="2" eb="3">
      <t>アツ</t>
    </rPh>
    <rPh sb="3" eb="5">
      <t>イジョウ</t>
    </rPh>
    <rPh sb="5" eb="6">
      <t>ヨウ</t>
    </rPh>
    <phoneticPr fontId="5"/>
  </si>
  <si>
    <t>都市ガス中間圧以上用</t>
    <rPh sb="0" eb="2">
      <t>トシ</t>
    </rPh>
    <rPh sb="4" eb="6">
      <t>チュウカン</t>
    </rPh>
    <rPh sb="6" eb="7">
      <t>アツ</t>
    </rPh>
    <rPh sb="7" eb="9">
      <t>イジョウ</t>
    </rPh>
    <rPh sb="9" eb="10">
      <t>ヨウ</t>
    </rPh>
    <phoneticPr fontId="5"/>
  </si>
  <si>
    <t>第3計画期間の排出係数で算定した目標設定ガス排出量（基準排出量用）</t>
    <rPh sb="0" eb="1">
      <t>ダイ</t>
    </rPh>
    <rPh sb="2" eb="4">
      <t>ケイカク</t>
    </rPh>
    <rPh sb="4" eb="6">
      <t>キカン</t>
    </rPh>
    <rPh sb="7" eb="9">
      <t>ハイシュツ</t>
    </rPh>
    <rPh sb="9" eb="11">
      <t>ケイスウ</t>
    </rPh>
    <rPh sb="12" eb="14">
      <t>サンテイ</t>
    </rPh>
    <rPh sb="16" eb="18">
      <t>モクヒョウ</t>
    </rPh>
    <rPh sb="18" eb="20">
      <t>セッテイ</t>
    </rPh>
    <rPh sb="22" eb="24">
      <t>ハイシュツ</t>
    </rPh>
    <rPh sb="24" eb="25">
      <t>リョウ</t>
    </rPh>
    <rPh sb="26" eb="28">
      <t>キジュン</t>
    </rPh>
    <rPh sb="28" eb="30">
      <t>ハイシュツ</t>
    </rPh>
    <rPh sb="30" eb="31">
      <t>リョウ</t>
    </rPh>
    <rPh sb="31" eb="32">
      <t>ヨウ</t>
    </rPh>
    <phoneticPr fontId="5"/>
  </si>
  <si>
    <t>第3行番号</t>
    <rPh sb="0" eb="1">
      <t>ダイ</t>
    </rPh>
    <rPh sb="2" eb="5">
      <t>ギョウバンゴウ</t>
    </rPh>
    <phoneticPr fontId="5"/>
  </si>
  <si>
    <t>第3期排出係数</t>
    <rPh sb="0" eb="1">
      <t>ダイ</t>
    </rPh>
    <rPh sb="2" eb="3">
      <t>キ</t>
    </rPh>
    <rPh sb="3" eb="5">
      <t>ハイシュツ</t>
    </rPh>
    <rPh sb="5" eb="7">
      <t>ケイスウ</t>
    </rPh>
    <phoneticPr fontId="5"/>
  </si>
  <si>
    <t>第3係数CO2排出量</t>
    <rPh sb="0" eb="1">
      <t>ダイ</t>
    </rPh>
    <rPh sb="2" eb="4">
      <t>ケイスウ</t>
    </rPh>
    <rPh sb="7" eb="10">
      <t>ハイシュツリョウ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</si>
</sst>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000000"/>
    <numFmt numFmtId="177" formatCode="#"/>
    <numFmt numFmtId="178" formatCode="#,##0_ "/>
    <numFmt numFmtId="179" formatCode="#,##0;\-#,##0;#"/>
    <numFmt numFmtId="180" formatCode="#,##0.000_);[Red]\(#,##0.000\)"/>
    <numFmt numFmtId="181" formatCode="#,##0.00;\-#,##0.00;#.00"/>
    <numFmt numFmtId="182" formatCode="#,##0.000_ "/>
    <numFmt numFmtId="183" formatCode="#,##0.000;\-#,##0.000;#.000"/>
    <numFmt numFmtId="184" formatCode="#,##0.000;[Red]\-#,##0.000"/>
    <numFmt numFmtId="185" formatCode="#,##0.000;\-#,##0.000"/>
    <numFmt numFmtId="186" formatCode="[DBNum3]0"/>
    <numFmt numFmtId="187" formatCode="[$-411]ggge&quot;年&quot;m&quot;月&quot;d&quot;日&quot;;@"/>
    <numFmt numFmtId="188" formatCode="#,##0_ ;[Red]\-#,##0\ "/>
    <numFmt numFmtId="189" formatCode="0.000_ "/>
    <numFmt numFmtId="190" formatCode="0.0_ "/>
    <numFmt numFmtId="191" formatCode="0.000000_ "/>
    <numFmt numFmtId="192" formatCode="0.00_ "/>
    <numFmt numFmtId="193" formatCode="0.00_);[Red]\(0.00\)"/>
    <numFmt numFmtId="194" formatCode="0.0000_ "/>
    <numFmt numFmtId="195" formatCode="#,##0.0_);[Red]\(#,##0.0\)"/>
    <numFmt numFmtId="196" formatCode="#,##0.0_ "/>
    <numFmt numFmtId="197" formatCode="#,##0.0000;[Red]\-#,##0.0000"/>
    <numFmt numFmtId="198" formatCode="#,##0.0000_ "/>
    <numFmt numFmtId="199" formatCode="#,##0_);[Red]\(#,##0\)"/>
    <numFmt numFmtId="200" formatCode="0.000_);[Red]\(0.000\)"/>
    <numFmt numFmtId="201" formatCode="#,##0.0_ ;[Red]\-#,##0.0\ "/>
    <numFmt numFmtId="202" formatCode="0.0#\ "/>
    <numFmt numFmtId="203" formatCode="0_ "/>
  </numFmts>
  <fonts count="5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游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1"/>
      <color indexed="8"/>
      <name val="ＭＳ Ｐゴシック"/>
      <family val="3"/>
      <charset val="128"/>
    </font>
    <font>
      <sz val="9"/>
      <color rgb="FFFF0000"/>
      <name val="ＭＳ 明朝"/>
      <family val="1"/>
      <charset val="128"/>
    </font>
    <font>
      <sz val="18"/>
      <color theme="3"/>
      <name val="游ゴシック Light"/>
      <family val="2"/>
      <charset val="128"/>
      <scheme val="major"/>
    </font>
    <font>
      <b/>
      <sz val="13"/>
      <color theme="3"/>
      <name val="游ゴシック"/>
      <family val="2"/>
      <charset val="128"/>
      <scheme val="minor"/>
    </font>
    <font>
      <sz val="6"/>
      <color indexed="8"/>
      <name val="ＭＳ 明朝"/>
      <family val="1"/>
      <charset val="128"/>
    </font>
    <font>
      <sz val="11"/>
      <color theme="1"/>
      <name val="游明朝"/>
      <family val="1"/>
      <charset val="128"/>
    </font>
    <font>
      <vertAlign val="subscript"/>
      <sz val="11"/>
      <color theme="1"/>
      <name val="游明朝"/>
      <family val="1"/>
      <charset val="128"/>
    </font>
    <font>
      <sz val="14"/>
      <color theme="1"/>
      <name val="游明朝"/>
      <family val="1"/>
      <charset val="128"/>
    </font>
    <font>
      <sz val="9"/>
      <color theme="1"/>
      <name val="游明朝"/>
      <family val="1"/>
      <charset val="128"/>
    </font>
    <font>
      <vertAlign val="superscript"/>
      <sz val="11"/>
      <color theme="1"/>
      <name val="游明朝"/>
      <family val="1"/>
      <charset val="128"/>
    </font>
    <font>
      <sz val="8"/>
      <color theme="1"/>
      <name val="游明朝"/>
      <family val="1"/>
      <charset val="128"/>
    </font>
    <font>
      <sz val="16"/>
      <color theme="1"/>
      <name val="游明朝"/>
      <family val="1"/>
      <charset val="128"/>
    </font>
    <font>
      <sz val="11"/>
      <color indexed="8"/>
      <name val="游明朝"/>
      <family val="1"/>
      <charset val="128"/>
    </font>
    <font>
      <sz val="11"/>
      <name val="游明朝"/>
      <family val="1"/>
      <charset val="128"/>
    </font>
    <font>
      <b/>
      <sz val="11"/>
      <color rgb="FFFF0000"/>
      <name val="游明朝"/>
      <family val="1"/>
      <charset val="128"/>
    </font>
    <font>
      <sz val="10"/>
      <color theme="1"/>
      <name val="游明朝"/>
      <family val="1"/>
      <charset val="128"/>
    </font>
    <font>
      <b/>
      <sz val="9"/>
      <color indexed="81"/>
      <name val="ＭＳ Ｐ明朝"/>
      <family val="1"/>
      <charset val="128"/>
    </font>
    <font>
      <b/>
      <sz val="9"/>
      <color indexed="81"/>
      <name val="MS P ゴシック"/>
      <family val="3"/>
      <charset val="128"/>
    </font>
    <font>
      <sz val="6"/>
      <name val="ＭＳ Ｐゴシック"/>
      <family val="2"/>
      <charset val="128"/>
    </font>
    <font>
      <sz val="11"/>
      <color rgb="FF9C0006"/>
      <name val="ＭＳ Ｐゴシック"/>
      <family val="2"/>
      <charset val="128"/>
    </font>
    <font>
      <b/>
      <sz val="14"/>
      <name val="游明朝"/>
      <family val="1"/>
      <charset val="128"/>
    </font>
    <font>
      <sz val="16"/>
      <name val="游明朝"/>
      <family val="1"/>
      <charset val="128"/>
    </font>
    <font>
      <b/>
      <sz val="16"/>
      <name val="游明朝"/>
      <family val="1"/>
      <charset val="128"/>
    </font>
    <font>
      <b/>
      <sz val="14"/>
      <color theme="1"/>
      <name val="游明朝"/>
      <family val="1"/>
      <charset val="128"/>
    </font>
    <font>
      <sz val="20"/>
      <color theme="1"/>
      <name val="游明朝"/>
      <family val="1"/>
      <charset val="128"/>
    </font>
    <font>
      <sz val="14"/>
      <name val="游明朝"/>
      <family val="1"/>
      <charset val="128"/>
    </font>
    <font>
      <vertAlign val="subscript"/>
      <sz val="11"/>
      <color indexed="8"/>
      <name val="游明朝"/>
      <family val="1"/>
      <charset val="128"/>
    </font>
    <font>
      <sz val="11"/>
      <color theme="0" tint="-0.14999847407452621"/>
      <name val="游明朝"/>
      <family val="1"/>
      <charset val="128"/>
    </font>
    <font>
      <sz val="10"/>
      <name val="游明朝"/>
      <family val="1"/>
      <charset val="128"/>
    </font>
    <font>
      <sz val="10"/>
      <color theme="0" tint="-0.14999847407452621"/>
      <name val="游明朝"/>
      <family val="1"/>
      <charset val="128"/>
    </font>
    <font>
      <sz val="8"/>
      <name val="游明朝"/>
      <family val="1"/>
      <charset val="128"/>
    </font>
    <font>
      <sz val="14"/>
      <color indexed="8"/>
      <name val="游明朝"/>
      <family val="1"/>
      <charset val="128"/>
    </font>
    <font>
      <vertAlign val="superscript"/>
      <sz val="11"/>
      <color theme="1"/>
      <name val="游ゴシック"/>
      <family val="3"/>
      <charset val="128"/>
      <scheme val="minor"/>
    </font>
    <font>
      <b/>
      <sz val="11"/>
      <color rgb="FF3F3F3F"/>
      <name val="ＭＳ Ｐゴシック"/>
      <family val="2"/>
      <charset val="128"/>
    </font>
    <font>
      <vertAlign val="subscript"/>
      <sz val="11"/>
      <color theme="1"/>
      <name val="游ゴシック"/>
      <family val="3"/>
      <charset val="128"/>
      <scheme val="minor"/>
    </font>
    <font>
      <sz val="6"/>
      <name val="游ゴシック"/>
      <family val="2"/>
      <charset val="128"/>
      <scheme val="minor"/>
    </font>
    <font>
      <sz val="1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vertAlign val="superscript"/>
      <sz val="10"/>
      <color theme="1"/>
      <name val="游明朝"/>
      <family val="1"/>
      <charset val="128"/>
    </font>
    <font>
      <vertAlign val="subscript"/>
      <sz val="10"/>
      <color theme="1"/>
      <name val="游明朝"/>
      <family val="1"/>
      <charset val="128"/>
    </font>
    <font>
      <vertAlign val="subscript"/>
      <sz val="14"/>
      <color theme="1"/>
      <name val="游明朝"/>
      <family val="1"/>
      <charset val="128"/>
    </font>
  </fonts>
  <fills count="12">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0" tint="-0.499984740745262"/>
        <bgColor indexed="64"/>
      </patternFill>
    </fill>
    <fill>
      <patternFill patternType="solid">
        <fgColor rgb="FFD9D9D9"/>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double">
        <color indexed="64"/>
      </top>
      <bottom style="thin">
        <color indexed="64"/>
      </bottom>
      <diagonal/>
    </border>
    <border diagonalUp="1">
      <left style="medium">
        <color indexed="64"/>
      </left>
      <right/>
      <top style="double">
        <color indexed="64"/>
      </top>
      <bottom style="thin">
        <color indexed="64"/>
      </bottom>
      <diagonal style="thin">
        <color indexed="64"/>
      </diagonal>
    </border>
    <border>
      <left style="medium">
        <color indexed="64"/>
      </left>
      <right/>
      <top style="double">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bottom/>
      <diagonal/>
    </border>
    <border>
      <left style="medium">
        <color indexed="64"/>
      </left>
      <right style="thin">
        <color indexed="64"/>
      </right>
      <top/>
      <bottom style="double">
        <color indexed="64"/>
      </bottom>
      <diagonal/>
    </border>
    <border>
      <left/>
      <right/>
      <top style="double">
        <color indexed="64"/>
      </top>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diagonalUp="1">
      <left style="medium">
        <color indexed="64"/>
      </left>
      <right/>
      <top style="double">
        <color indexed="64"/>
      </top>
      <bottom style="medium">
        <color indexed="64"/>
      </bottom>
      <diagonal style="thin">
        <color indexed="64"/>
      </diagonal>
    </border>
    <border>
      <left style="thin">
        <color indexed="64"/>
      </left>
      <right style="medium">
        <color indexed="64"/>
      </right>
      <top style="double">
        <color indexed="64"/>
      </top>
      <bottom style="double">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bottom style="double">
        <color indexed="64"/>
      </bottom>
      <diagonal/>
    </border>
    <border diagonalUp="1">
      <left style="thin">
        <color indexed="64"/>
      </left>
      <right style="medium">
        <color indexed="64"/>
      </right>
      <top style="double">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uble">
        <color indexed="64"/>
      </top>
      <bottom/>
      <diagonal/>
    </border>
    <border diagonalUp="1">
      <left/>
      <right style="thin">
        <color indexed="64"/>
      </right>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medium">
        <color indexed="64"/>
      </left>
      <right/>
      <top style="medium">
        <color indexed="64"/>
      </top>
      <bottom style="hair">
        <color indexed="64"/>
      </bottom>
      <diagonal/>
    </border>
    <border diagonalUp="1">
      <left style="medium">
        <color indexed="64"/>
      </left>
      <right/>
      <top style="thin">
        <color indexed="64"/>
      </top>
      <bottom style="double">
        <color indexed="64"/>
      </bottom>
      <diagonal style="thin">
        <color indexed="64"/>
      </diagonal>
    </border>
    <border diagonalUp="1">
      <left style="medium">
        <color indexed="64"/>
      </left>
      <right/>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14">
    <xf numFmtId="0" fontId="0" fillId="0" borderId="0">
      <alignment vertical="center"/>
    </xf>
    <xf numFmtId="0" fontId="3" fillId="0" borderId="0">
      <alignment vertical="center"/>
    </xf>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1014">
    <xf numFmtId="0" fontId="0" fillId="0" borderId="0" xfId="0">
      <alignment vertical="center"/>
    </xf>
    <xf numFmtId="188" fontId="16" fillId="0" borderId="112" xfId="0" applyNumberFormat="1" applyFont="1" applyBorder="1" applyAlignment="1" applyProtection="1">
      <alignment horizontal="right" vertical="center" shrinkToFit="1"/>
      <protection hidden="1"/>
    </xf>
    <xf numFmtId="0" fontId="4" fillId="0" borderId="0" xfId="0" applyFont="1" applyProtection="1">
      <alignment vertical="center"/>
      <protection hidden="1"/>
    </xf>
    <xf numFmtId="0" fontId="14" fillId="0" borderId="0" xfId="0" applyFont="1" applyProtection="1">
      <alignment vertical="center"/>
      <protection hidden="1"/>
    </xf>
    <xf numFmtId="0" fontId="14" fillId="0" borderId="0" xfId="1" applyFont="1" applyProtection="1">
      <alignment vertical="center"/>
      <protection hidden="1"/>
    </xf>
    <xf numFmtId="14" fontId="14" fillId="0" borderId="0" xfId="1" applyNumberFormat="1" applyFont="1" applyProtection="1">
      <alignment vertical="center"/>
      <protection hidden="1"/>
    </xf>
    <xf numFmtId="0" fontId="14" fillId="0" borderId="5" xfId="1" applyFont="1" applyBorder="1" applyAlignment="1" applyProtection="1">
      <alignment horizontal="center" vertical="center"/>
      <protection hidden="1"/>
    </xf>
    <xf numFmtId="0" fontId="14" fillId="0" borderId="6" xfId="1" applyFont="1" applyBorder="1" applyProtection="1">
      <alignment vertical="center"/>
      <protection hidden="1"/>
    </xf>
    <xf numFmtId="0" fontId="14" fillId="0" borderId="10" xfId="0" applyFont="1" applyBorder="1" applyAlignment="1" applyProtection="1">
      <alignment horizontal="center" vertical="center"/>
      <protection hidden="1"/>
    </xf>
    <xf numFmtId="0" fontId="14" fillId="0" borderId="17" xfId="0" applyFont="1" applyBorder="1" applyAlignment="1" applyProtection="1">
      <alignment horizontal="centerContinuous" vertical="center"/>
      <protection hidden="1"/>
    </xf>
    <xf numFmtId="0" fontId="14" fillId="0" borderId="18" xfId="1" applyFont="1" applyBorder="1" applyProtection="1">
      <alignment vertical="center"/>
      <protection hidden="1"/>
    </xf>
    <xf numFmtId="0" fontId="14" fillId="0" borderId="21"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57" xfId="1" applyFont="1" applyBorder="1" applyAlignment="1" applyProtection="1">
      <alignment horizontal="distributed" vertical="center" wrapText="1" indent="1"/>
      <protection hidden="1"/>
    </xf>
    <xf numFmtId="0" fontId="14" fillId="0" borderId="90" xfId="1" applyFont="1" applyBorder="1" applyAlignment="1" applyProtection="1">
      <alignment horizontal="center" vertical="center" textRotation="255"/>
      <protection hidden="1"/>
    </xf>
    <xf numFmtId="0" fontId="14" fillId="0" borderId="90" xfId="0" applyFont="1" applyBorder="1" applyAlignment="1" applyProtection="1">
      <alignment horizontal="center" vertical="center" textRotation="255"/>
      <protection hidden="1"/>
    </xf>
    <xf numFmtId="0" fontId="14" fillId="0" borderId="90" xfId="1" applyFont="1" applyBorder="1" applyAlignment="1" applyProtection="1">
      <alignment horizontal="distributed" vertical="center" indent="1"/>
      <protection hidden="1"/>
    </xf>
    <xf numFmtId="180" fontId="14" fillId="0" borderId="90" xfId="2" applyNumberFormat="1" applyFont="1" applyFill="1" applyBorder="1" applyAlignment="1" applyProtection="1">
      <alignment horizontal="center" vertical="center" shrinkToFit="1"/>
      <protection hidden="1"/>
    </xf>
    <xf numFmtId="0" fontId="16" fillId="0" borderId="90" xfId="0" quotePrefix="1" applyFont="1" applyBorder="1" applyAlignment="1" applyProtection="1">
      <alignment horizontal="center" vertical="center" shrinkToFit="1"/>
      <protection hidden="1"/>
    </xf>
    <xf numFmtId="178" fontId="16" fillId="0" borderId="90" xfId="1" quotePrefix="1" applyNumberFormat="1"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textRotation="255"/>
      <protection hidden="1"/>
    </xf>
    <xf numFmtId="0" fontId="14" fillId="0" borderId="5" xfId="1" applyFont="1" applyBorder="1" applyAlignment="1" applyProtection="1">
      <alignment horizontal="distributed" vertical="center" indent="1"/>
      <protection hidden="1"/>
    </xf>
    <xf numFmtId="180" fontId="14" fillId="0" borderId="5" xfId="2" applyNumberFormat="1" applyFont="1" applyFill="1" applyBorder="1" applyAlignment="1" applyProtection="1">
      <alignment horizontal="center" vertical="center" shrinkToFit="1"/>
      <protection hidden="1"/>
    </xf>
    <xf numFmtId="178" fontId="16" fillId="0" borderId="5" xfId="0" quotePrefix="1" applyNumberFormat="1" applyFont="1" applyBorder="1" applyAlignment="1" applyProtection="1">
      <alignment horizontal="center" vertical="center" shrinkToFit="1"/>
      <protection hidden="1"/>
    </xf>
    <xf numFmtId="0" fontId="16" fillId="0" borderId="5" xfId="0" quotePrefix="1" applyFont="1" applyBorder="1" applyAlignment="1" applyProtection="1">
      <alignment horizontal="center" vertical="center" shrinkToFit="1"/>
      <protection hidden="1"/>
    </xf>
    <xf numFmtId="178" fontId="16" fillId="0" borderId="5" xfId="1" quotePrefix="1" applyNumberFormat="1" applyFont="1" applyBorder="1" applyAlignment="1" applyProtection="1">
      <alignment horizontal="center" vertical="center" shrinkToFit="1"/>
      <protection hidden="1"/>
    </xf>
    <xf numFmtId="0" fontId="14" fillId="0" borderId="87" xfId="0" applyFont="1" applyBorder="1" applyAlignment="1" applyProtection="1">
      <alignment horizontal="center" vertical="center"/>
      <protection hidden="1"/>
    </xf>
    <xf numFmtId="0" fontId="14" fillId="0" borderId="86" xfId="0" applyFont="1" applyBorder="1" applyAlignment="1" applyProtection="1">
      <alignment horizontal="center" vertical="center"/>
      <protection hidden="1"/>
    </xf>
    <xf numFmtId="0" fontId="14" fillId="0" borderId="62" xfId="0" applyFont="1" applyBorder="1" applyAlignment="1" applyProtection="1">
      <alignment horizontal="center" vertical="center" wrapText="1"/>
      <protection hidden="1"/>
    </xf>
    <xf numFmtId="0" fontId="14" fillId="0" borderId="68" xfId="0" applyFont="1" applyBorder="1" applyAlignment="1" applyProtection="1">
      <alignment horizontal="center" vertical="center" wrapText="1"/>
      <protection hidden="1"/>
    </xf>
    <xf numFmtId="0" fontId="14" fillId="0" borderId="64" xfId="0" applyFont="1" applyBorder="1" applyAlignment="1" applyProtection="1">
      <alignment horizontal="center" vertical="center"/>
      <protection hidden="1"/>
    </xf>
    <xf numFmtId="0" fontId="14" fillId="0" borderId="99" xfId="0" applyFont="1" applyBorder="1" applyAlignment="1" applyProtection="1">
      <alignment horizontal="centerContinuous" vertical="center" wrapText="1"/>
      <protection hidden="1"/>
    </xf>
    <xf numFmtId="0" fontId="14" fillId="0" borderId="23"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protection hidden="1"/>
    </xf>
    <xf numFmtId="0" fontId="14" fillId="0" borderId="96" xfId="0" applyFont="1" applyBorder="1" applyAlignment="1" applyProtection="1">
      <alignment horizontal="center" vertical="center" wrapText="1"/>
      <protection hidden="1"/>
    </xf>
    <xf numFmtId="0" fontId="14" fillId="0" borderId="1" xfId="0" applyFont="1" applyBorder="1" applyAlignment="1" applyProtection="1">
      <alignment horizontal="center" vertical="center" shrinkToFit="1"/>
      <protection hidden="1"/>
    </xf>
    <xf numFmtId="177" fontId="14" fillId="0" borderId="0" xfId="0" applyNumberFormat="1" applyFont="1" applyAlignment="1" applyProtection="1">
      <alignment horizontal="right" vertical="center"/>
      <protection hidden="1"/>
    </xf>
    <xf numFmtId="0" fontId="14" fillId="0" borderId="0" xfId="0" applyFont="1" applyAlignment="1" applyProtection="1">
      <alignment horizontal="center" vertical="center"/>
      <protection hidden="1"/>
    </xf>
    <xf numFmtId="178" fontId="16" fillId="5" borderId="1" xfId="0" applyNumberFormat="1" applyFont="1" applyFill="1" applyBorder="1" applyAlignment="1" applyProtection="1">
      <alignment vertical="center" shrinkToFit="1"/>
      <protection locked="0"/>
    </xf>
    <xf numFmtId="181" fontId="14" fillId="0" borderId="1" xfId="2" applyNumberFormat="1" applyFont="1" applyFill="1" applyBorder="1" applyAlignment="1" applyProtection="1">
      <alignment horizontal="center" vertical="center" shrinkToFit="1"/>
      <protection hidden="1"/>
    </xf>
    <xf numFmtId="0" fontId="14" fillId="0" borderId="0" xfId="0" applyFont="1" applyAlignment="1" applyProtection="1">
      <alignment vertical="center" shrinkToFit="1"/>
      <protection hidden="1"/>
    </xf>
    <xf numFmtId="0" fontId="14" fillId="0" borderId="0" xfId="0" applyFont="1" applyAlignment="1" applyProtection="1">
      <alignment horizontal="center" vertical="center" textRotation="255"/>
      <protection hidden="1"/>
    </xf>
    <xf numFmtId="0" fontId="14" fillId="0" borderId="0" xfId="0" applyFont="1" applyAlignment="1" applyProtection="1">
      <alignment horizontal="distributed" vertical="center" indent="1"/>
      <protection hidden="1"/>
    </xf>
    <xf numFmtId="178" fontId="16" fillId="0" borderId="0" xfId="0" applyNumberFormat="1" applyFont="1" applyAlignment="1" applyProtection="1">
      <alignment vertical="center" shrinkToFit="1"/>
      <protection locked="0"/>
    </xf>
    <xf numFmtId="0" fontId="14" fillId="0" borderId="0" xfId="0" applyFont="1" applyAlignment="1" applyProtection="1">
      <alignment horizontal="center" vertical="center" shrinkToFit="1"/>
      <protection hidden="1"/>
    </xf>
    <xf numFmtId="0" fontId="14" fillId="0" borderId="60" xfId="0" applyFont="1" applyBorder="1" applyAlignment="1" applyProtection="1">
      <alignment horizontal="center" vertical="center"/>
      <protection hidden="1"/>
    </xf>
    <xf numFmtId="178" fontId="16" fillId="5" borderId="24" xfId="0" applyNumberFormat="1" applyFont="1" applyFill="1" applyBorder="1" applyAlignment="1" applyProtection="1">
      <alignment vertical="center" shrinkToFit="1"/>
      <protection locked="0"/>
    </xf>
    <xf numFmtId="178" fontId="16" fillId="5" borderId="33" xfId="0" applyNumberFormat="1" applyFont="1" applyFill="1" applyBorder="1" applyAlignment="1" applyProtection="1">
      <alignment vertical="center" shrinkToFit="1"/>
      <protection locked="0"/>
    </xf>
    <xf numFmtId="178" fontId="16" fillId="5" borderId="32" xfId="0" applyNumberFormat="1" applyFont="1" applyFill="1" applyBorder="1" applyAlignment="1" applyProtection="1">
      <alignment vertical="center" shrinkToFit="1"/>
      <protection locked="0"/>
    </xf>
    <xf numFmtId="0" fontId="14" fillId="0" borderId="55" xfId="0" applyFont="1" applyBorder="1" applyAlignment="1" applyProtection="1">
      <alignment horizontal="center" vertical="center"/>
      <protection hidden="1"/>
    </xf>
    <xf numFmtId="0" fontId="14" fillId="0" borderId="55" xfId="0" applyFont="1" applyBorder="1" applyAlignment="1" applyProtection="1">
      <alignment horizontal="center" vertical="center" shrinkToFit="1"/>
      <protection hidden="1"/>
    </xf>
    <xf numFmtId="0" fontId="14" fillId="0" borderId="0" xfId="0" applyFont="1">
      <alignment vertical="center"/>
    </xf>
    <xf numFmtId="0" fontId="14" fillId="4" borderId="55" xfId="0" applyFont="1" applyFill="1" applyBorder="1" applyAlignment="1" applyProtection="1">
      <alignment vertical="center" shrinkToFit="1"/>
      <protection hidden="1"/>
    </xf>
    <xf numFmtId="0" fontId="14" fillId="4" borderId="1" xfId="0" applyFont="1" applyFill="1" applyBorder="1" applyAlignment="1" applyProtection="1">
      <alignment vertical="center" shrinkToFit="1"/>
      <protection hidden="1"/>
    </xf>
    <xf numFmtId="0" fontId="14" fillId="4" borderId="60" xfId="0" applyFont="1" applyFill="1" applyBorder="1" applyAlignment="1" applyProtection="1">
      <alignment vertical="center" shrinkToFit="1"/>
      <protection hidden="1"/>
    </xf>
    <xf numFmtId="0" fontId="14" fillId="4" borderId="1" xfId="0" applyFont="1" applyFill="1" applyBorder="1" applyAlignment="1" applyProtection="1">
      <alignment vertical="center" shrinkToFit="1"/>
      <protection locked="0"/>
    </xf>
    <xf numFmtId="0" fontId="14" fillId="0" borderId="111" xfId="0" applyFont="1" applyBorder="1">
      <alignment vertical="center"/>
    </xf>
    <xf numFmtId="0" fontId="14" fillId="0" borderId="109" xfId="0" applyFont="1" applyBorder="1">
      <alignment vertical="center"/>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6" xfId="0" applyFont="1" applyBorder="1" applyAlignment="1">
      <alignment horizontal="center" vertical="center" wrapText="1"/>
    </xf>
    <xf numFmtId="0" fontId="14" fillId="0" borderId="125" xfId="0" applyFont="1" applyBorder="1" applyAlignment="1">
      <alignment horizontal="center" vertical="center" wrapText="1"/>
    </xf>
    <xf numFmtId="0" fontId="14" fillId="0" borderId="121" xfId="0" applyFont="1" applyBorder="1" applyProtection="1">
      <alignment vertical="center"/>
      <protection hidden="1"/>
    </xf>
    <xf numFmtId="0" fontId="14" fillId="4" borderId="0" xfId="0" applyFont="1" applyFill="1" applyProtection="1">
      <alignment vertical="center"/>
      <protection hidden="1"/>
    </xf>
    <xf numFmtId="0" fontId="14" fillId="4" borderId="0" xfId="0" applyFont="1" applyFill="1" applyAlignment="1" applyProtection="1">
      <alignment horizontal="center" vertical="center"/>
      <protection hidden="1"/>
    </xf>
    <xf numFmtId="0" fontId="14" fillId="0" borderId="90" xfId="0" applyFont="1" applyBorder="1" applyProtection="1">
      <alignment vertical="center"/>
      <protection hidden="1"/>
    </xf>
    <xf numFmtId="0" fontId="20" fillId="0" borderId="0" xfId="0" applyFont="1" applyProtection="1">
      <alignment vertical="center"/>
      <protection hidden="1"/>
    </xf>
    <xf numFmtId="0" fontId="22" fillId="0" borderId="0" xfId="0" applyFont="1" applyAlignment="1" applyProtection="1">
      <alignment horizontal="left" vertical="center"/>
      <protection hidden="1"/>
    </xf>
    <xf numFmtId="0" fontId="23" fillId="4" borderId="0" xfId="0" applyFont="1" applyFill="1" applyProtection="1">
      <alignment vertical="center"/>
      <protection hidden="1"/>
    </xf>
    <xf numFmtId="0" fontId="19" fillId="4" borderId="0" xfId="0" applyFont="1" applyFill="1" applyProtection="1">
      <alignment vertical="center"/>
      <protection hidden="1"/>
    </xf>
    <xf numFmtId="0" fontId="20" fillId="4" borderId="0" xfId="0" applyFont="1" applyFill="1" applyProtection="1">
      <alignment vertical="center"/>
      <protection hidden="1"/>
    </xf>
    <xf numFmtId="0" fontId="30" fillId="0" borderId="0" xfId="0" applyFont="1" applyAlignment="1" applyProtection="1">
      <alignment horizontal="center" vertical="center"/>
      <protection hidden="1"/>
    </xf>
    <xf numFmtId="0" fontId="31" fillId="0" borderId="0" xfId="0" applyFont="1" applyAlignment="1" applyProtection="1">
      <alignment horizontal="center" vertical="center"/>
      <protection hidden="1"/>
    </xf>
    <xf numFmtId="0" fontId="33" fillId="0" borderId="0" xfId="0" applyFont="1" applyProtection="1">
      <alignment vertical="center"/>
      <protection hidden="1"/>
    </xf>
    <xf numFmtId="0" fontId="33" fillId="0" borderId="0" xfId="0" applyFont="1" applyAlignment="1" applyProtection="1">
      <alignment horizontal="centerContinuous" vertical="center"/>
      <protection hidden="1"/>
    </xf>
    <xf numFmtId="0" fontId="33" fillId="4" borderId="0" xfId="0" applyFont="1" applyFill="1" applyProtection="1">
      <alignment vertical="center"/>
      <protection hidden="1"/>
    </xf>
    <xf numFmtId="0" fontId="24" fillId="4" borderId="0" xfId="0" applyFont="1" applyFill="1" applyProtection="1">
      <alignment vertical="center"/>
      <protection hidden="1"/>
    </xf>
    <xf numFmtId="0" fontId="14" fillId="0" borderId="0" xfId="0" applyFont="1" applyAlignment="1" applyProtection="1">
      <alignment horizontal="right" vertical="center"/>
      <protection hidden="1"/>
    </xf>
    <xf numFmtId="0" fontId="14" fillId="0" borderId="5" xfId="0" applyFont="1" applyBorder="1" applyProtection="1">
      <alignment vertical="center"/>
      <protection hidden="1"/>
    </xf>
    <xf numFmtId="0" fontId="14" fillId="0" borderId="36" xfId="0" applyFont="1" applyBorder="1" applyProtection="1">
      <alignment vertical="center"/>
      <protection hidden="1"/>
    </xf>
    <xf numFmtId="0" fontId="14" fillId="0" borderId="34" xfId="0" applyFont="1" applyBorder="1" applyProtection="1">
      <alignment vertical="center"/>
      <protection hidden="1"/>
    </xf>
    <xf numFmtId="0" fontId="14" fillId="0" borderId="21" xfId="0" applyFont="1" applyBorder="1" applyProtection="1">
      <alignment vertical="center"/>
      <protection hidden="1"/>
    </xf>
    <xf numFmtId="0" fontId="14" fillId="0" borderId="25" xfId="0" applyFont="1" applyBorder="1" applyProtection="1">
      <alignment vertical="center"/>
      <protection hidden="1"/>
    </xf>
    <xf numFmtId="0" fontId="14" fillId="0" borderId="8" xfId="0" applyFont="1" applyBorder="1" applyProtection="1">
      <alignment vertical="center"/>
      <protection hidden="1"/>
    </xf>
    <xf numFmtId="0" fontId="14" fillId="4" borderId="0" xfId="0" applyFont="1" applyFill="1">
      <alignment vertical="center"/>
    </xf>
    <xf numFmtId="0" fontId="14" fillId="0" borderId="32" xfId="0" applyFont="1" applyBorder="1" applyAlignment="1" applyProtection="1">
      <alignment horizontal="distributed" vertical="center"/>
      <protection hidden="1"/>
    </xf>
    <xf numFmtId="0" fontId="14" fillId="6" borderId="1" xfId="0" applyFont="1" applyFill="1" applyBorder="1" applyAlignment="1" applyProtection="1">
      <alignment horizontal="center" vertical="center" shrinkToFit="1"/>
      <protection locked="0"/>
    </xf>
    <xf numFmtId="0" fontId="14" fillId="5" borderId="2" xfId="0" applyFont="1" applyFill="1" applyBorder="1" applyAlignment="1" applyProtection="1">
      <alignment vertical="center" shrinkToFit="1"/>
      <protection locked="0"/>
    </xf>
    <xf numFmtId="0" fontId="14" fillId="0" borderId="3" xfId="0" applyFont="1" applyBorder="1" applyAlignment="1" applyProtection="1">
      <alignment vertical="center" shrinkToFit="1"/>
      <protection hidden="1"/>
    </xf>
    <xf numFmtId="0" fontId="14" fillId="0" borderId="34" xfId="0" applyFont="1" applyBorder="1" applyAlignment="1" applyProtection="1">
      <alignment vertical="center" shrinkToFit="1"/>
      <protection hidden="1"/>
    </xf>
    <xf numFmtId="0" fontId="14" fillId="6" borderId="24" xfId="0" applyFont="1" applyFill="1" applyBorder="1" applyAlignment="1" applyProtection="1">
      <alignment horizontal="center" vertical="center" shrinkToFit="1"/>
      <protection locked="0"/>
    </xf>
    <xf numFmtId="0" fontId="14" fillId="5" borderId="23" xfId="0" applyFont="1" applyFill="1" applyBorder="1" applyAlignment="1" applyProtection="1">
      <alignment vertical="center" shrinkToFit="1"/>
      <protection locked="0"/>
    </xf>
    <xf numFmtId="0" fontId="14" fillId="0" borderId="22" xfId="0" applyFont="1" applyBorder="1" applyAlignment="1" applyProtection="1">
      <alignment vertical="center" shrinkToFit="1"/>
      <protection hidden="1"/>
    </xf>
    <xf numFmtId="0" fontId="14" fillId="0" borderId="25" xfId="0" applyFont="1" applyBorder="1" applyAlignment="1" applyProtection="1">
      <alignment vertical="center" shrinkToFit="1"/>
      <protection hidden="1"/>
    </xf>
    <xf numFmtId="0" fontId="14" fillId="0" borderId="120" xfId="0" applyFont="1" applyBorder="1" applyAlignment="1" applyProtection="1">
      <alignment horizontal="right" vertical="center"/>
      <protection hidden="1"/>
    </xf>
    <xf numFmtId="0" fontId="19" fillId="0" borderId="0" xfId="0" applyFont="1" applyAlignment="1" applyProtection="1">
      <alignment vertical="center" shrinkToFit="1"/>
      <protection hidden="1"/>
    </xf>
    <xf numFmtId="0" fontId="36" fillId="4" borderId="0" xfId="0" applyFont="1" applyFill="1" applyProtection="1">
      <alignment vertical="center"/>
      <protection hidden="1"/>
    </xf>
    <xf numFmtId="49" fontId="14" fillId="4" borderId="0" xfId="0" applyNumberFormat="1" applyFont="1" applyFill="1" applyProtection="1">
      <alignment vertical="center"/>
      <protection hidden="1"/>
    </xf>
    <xf numFmtId="49" fontId="36" fillId="4" borderId="0" xfId="0" applyNumberFormat="1" applyFont="1" applyFill="1" applyProtection="1">
      <alignment vertical="center"/>
      <protection hidden="1"/>
    </xf>
    <xf numFmtId="49" fontId="24" fillId="4" borderId="0" xfId="0" applyNumberFormat="1" applyFont="1" applyFill="1" applyProtection="1">
      <alignment vertical="center"/>
      <protection hidden="1"/>
    </xf>
    <xf numFmtId="49" fontId="37" fillId="4" borderId="0" xfId="0" applyNumberFormat="1" applyFont="1" applyFill="1" applyProtection="1">
      <alignment vertical="center"/>
      <protection hidden="1"/>
    </xf>
    <xf numFmtId="49" fontId="38" fillId="4" borderId="0" xfId="0" applyNumberFormat="1" applyFont="1" applyFill="1" applyProtection="1">
      <alignment vertical="center"/>
      <protection hidden="1"/>
    </xf>
    <xf numFmtId="0" fontId="14" fillId="2" borderId="0" xfId="0" applyFont="1" applyFill="1">
      <alignment vertical="center"/>
    </xf>
    <xf numFmtId="0" fontId="21" fillId="0" borderId="0" xfId="0" applyFont="1" applyProtection="1">
      <alignment vertical="center"/>
      <protection hidden="1"/>
    </xf>
    <xf numFmtId="0" fontId="21" fillId="0" borderId="0" xfId="0" applyFont="1" applyAlignment="1" applyProtection="1">
      <alignment horizontal="center" vertical="center" textRotation="255"/>
      <protection hidden="1"/>
    </xf>
    <xf numFmtId="0" fontId="39" fillId="0" borderId="0" xfId="0" applyFont="1" applyAlignment="1" applyProtection="1">
      <alignment horizontal="distributed" vertical="center" wrapText="1" indent="1"/>
      <protection hidden="1"/>
    </xf>
    <xf numFmtId="178" fontId="40" fillId="0" borderId="0" xfId="0" applyNumberFormat="1" applyFont="1" applyAlignment="1" applyProtection="1">
      <alignment vertical="center" shrinkToFit="1"/>
      <protection locked="0"/>
    </xf>
    <xf numFmtId="0" fontId="14" fillId="0" borderId="73" xfId="0" applyFont="1" applyBorder="1" applyProtection="1">
      <alignment vertical="center"/>
      <protection hidden="1"/>
    </xf>
    <xf numFmtId="0" fontId="14" fillId="0" borderId="2" xfId="1" applyFont="1" applyBorder="1" applyAlignment="1" applyProtection="1">
      <alignment horizontal="center" vertical="center" shrinkToFit="1"/>
      <protection hidden="1"/>
    </xf>
    <xf numFmtId="0" fontId="14" fillId="0" borderId="0" xfId="1" applyFont="1" applyAlignment="1" applyProtection="1">
      <alignment horizontal="center" vertical="center" shrinkToFit="1"/>
      <protection hidden="1"/>
    </xf>
    <xf numFmtId="178" fontId="16" fillId="0" borderId="90" xfId="0" quotePrefix="1" applyNumberFormat="1" applyFont="1" applyBorder="1" applyAlignment="1" applyProtection="1">
      <alignment horizontal="center" vertical="center" shrinkToFit="1"/>
      <protection hidden="1"/>
    </xf>
    <xf numFmtId="0" fontId="14" fillId="0" borderId="94" xfId="0" applyFont="1" applyBorder="1" applyAlignment="1" applyProtection="1">
      <alignment horizontal="center" vertical="center" wrapText="1"/>
      <protection hidden="1"/>
    </xf>
    <xf numFmtId="0" fontId="16" fillId="0" borderId="0" xfId="1" applyFont="1" applyAlignment="1" applyProtection="1">
      <alignment horizontal="right" vertical="center"/>
      <protection hidden="1"/>
    </xf>
    <xf numFmtId="49" fontId="0" fillId="0" borderId="0" xfId="0" applyNumberFormat="1">
      <alignment vertical="center"/>
    </xf>
    <xf numFmtId="0" fontId="0" fillId="0" borderId="0" xfId="0" applyProtection="1">
      <alignment vertical="center"/>
      <protection locked="0"/>
    </xf>
    <xf numFmtId="0" fontId="0" fillId="0" borderId="0" xfId="0" applyProtection="1">
      <alignment vertical="center"/>
      <protection hidden="1"/>
    </xf>
    <xf numFmtId="0" fontId="14" fillId="0" borderId="9"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32" xfId="0" applyFont="1" applyBorder="1" applyAlignment="1" applyProtection="1">
      <alignment horizontal="center" vertical="center"/>
      <protection hidden="1"/>
    </xf>
    <xf numFmtId="0" fontId="14" fillId="0" borderId="24" xfId="0" applyFont="1" applyBorder="1" applyAlignment="1" applyProtection="1">
      <alignment horizontal="center" vertical="center" wrapText="1"/>
      <protection hidden="1"/>
    </xf>
    <xf numFmtId="0" fontId="0" fillId="0" borderId="1" xfId="0" applyBorder="1">
      <alignment vertical="center"/>
    </xf>
    <xf numFmtId="0" fontId="16" fillId="0" borderId="5" xfId="0" applyFont="1" applyBorder="1" applyAlignment="1" applyProtection="1">
      <alignment vertical="center" shrinkToFit="1"/>
      <protection hidden="1"/>
    </xf>
    <xf numFmtId="0" fontId="14" fillId="0" borderId="32" xfId="0" applyFont="1" applyBorder="1" applyAlignment="1" applyProtection="1">
      <alignment horizontal="center" vertical="center" wrapText="1"/>
      <protection hidden="1"/>
    </xf>
    <xf numFmtId="0" fontId="0" fillId="0" borderId="135" xfId="0" applyBorder="1">
      <alignment vertical="center"/>
    </xf>
    <xf numFmtId="0" fontId="0" fillId="0" borderId="136" xfId="0" applyBorder="1">
      <alignment vertical="center"/>
    </xf>
    <xf numFmtId="189" fontId="0" fillId="0" borderId="136" xfId="0" applyNumberFormat="1" applyBorder="1">
      <alignment vertical="center"/>
    </xf>
    <xf numFmtId="190" fontId="0" fillId="0" borderId="136" xfId="0" applyNumberFormat="1" applyBorder="1">
      <alignment vertical="center"/>
    </xf>
    <xf numFmtId="0" fontId="0" fillId="0" borderId="137" xfId="0" applyBorder="1">
      <alignment vertical="center"/>
    </xf>
    <xf numFmtId="0" fontId="0" fillId="0" borderId="138" xfId="0" applyBorder="1">
      <alignment vertical="center"/>
    </xf>
    <xf numFmtId="0" fontId="0" fillId="0" borderId="139" xfId="0" applyBorder="1">
      <alignment vertical="center"/>
    </xf>
    <xf numFmtId="0" fontId="0" fillId="0" borderId="143" xfId="0" applyBorder="1">
      <alignment vertical="center"/>
    </xf>
    <xf numFmtId="0" fontId="0" fillId="0" borderId="144" xfId="0" applyBorder="1">
      <alignment vertical="center"/>
    </xf>
    <xf numFmtId="0" fontId="0" fillId="0" borderId="147" xfId="0" applyBorder="1">
      <alignment vertical="center"/>
    </xf>
    <xf numFmtId="0" fontId="0" fillId="0" borderId="145" xfId="0" applyBorder="1">
      <alignment vertical="center"/>
    </xf>
    <xf numFmtId="0" fontId="0" fillId="3" borderId="143" xfId="0" applyFill="1" applyBorder="1">
      <alignment vertical="center"/>
    </xf>
    <xf numFmtId="0" fontId="0" fillId="3" borderId="136" xfId="0" applyFill="1" applyBorder="1">
      <alignment vertical="center"/>
    </xf>
    <xf numFmtId="0" fontId="0" fillId="3" borderId="145" xfId="0" applyFill="1" applyBorder="1">
      <alignment vertical="center"/>
    </xf>
    <xf numFmtId="0" fontId="0" fillId="3" borderId="146" xfId="0" applyFill="1" applyBorder="1">
      <alignment vertical="center"/>
    </xf>
    <xf numFmtId="0" fontId="0" fillId="9" borderId="95" xfId="0" applyFill="1" applyBorder="1" applyAlignment="1">
      <alignment horizontal="center" vertical="center"/>
    </xf>
    <xf numFmtId="0" fontId="0" fillId="9" borderId="1" xfId="0" applyFill="1" applyBorder="1" applyAlignment="1">
      <alignment horizontal="center" vertical="center"/>
    </xf>
    <xf numFmtId="0" fontId="0" fillId="9" borderId="57" xfId="0" applyFill="1" applyBorder="1" applyAlignment="1">
      <alignment horizontal="center" vertical="center"/>
    </xf>
    <xf numFmtId="0" fontId="0" fillId="6" borderId="95" xfId="0" applyFill="1" applyBorder="1" applyAlignment="1">
      <alignment horizontal="center" vertical="center"/>
    </xf>
    <xf numFmtId="0" fontId="0" fillId="6" borderId="1" xfId="0" applyFill="1" applyBorder="1" applyAlignment="1">
      <alignment horizontal="center" vertical="center"/>
    </xf>
    <xf numFmtId="0" fontId="0" fillId="6" borderId="57" xfId="0" applyFill="1" applyBorder="1" applyAlignment="1">
      <alignment horizontal="center" vertical="center"/>
    </xf>
    <xf numFmtId="0" fontId="0" fillId="5" borderId="1" xfId="0" applyFill="1" applyBorder="1">
      <alignment vertical="center"/>
    </xf>
    <xf numFmtId="0" fontId="0" fillId="5" borderId="1" xfId="0" applyFill="1" applyBorder="1" applyAlignment="1">
      <alignment vertical="center" wrapText="1"/>
    </xf>
    <xf numFmtId="0" fontId="0" fillId="6" borderId="1" xfId="0" applyFill="1" applyBorder="1">
      <alignment vertical="center"/>
    </xf>
    <xf numFmtId="0" fontId="0" fillId="0" borderId="97" xfId="0" applyBorder="1">
      <alignment vertical="center"/>
    </xf>
    <xf numFmtId="193" fontId="0" fillId="0" borderId="143" xfId="0" applyNumberFormat="1" applyBorder="1">
      <alignment vertical="center"/>
    </xf>
    <xf numFmtId="193" fontId="0" fillId="0" borderId="143" xfId="0" applyNumberFormat="1" applyBorder="1" applyAlignment="1">
      <alignment horizontal="center" vertical="center"/>
    </xf>
    <xf numFmtId="0" fontId="0" fillId="2" borderId="143" xfId="0" applyFill="1" applyBorder="1">
      <alignment vertical="center"/>
    </xf>
    <xf numFmtId="190" fontId="0" fillId="2" borderId="136" xfId="0" applyNumberFormat="1" applyFill="1" applyBorder="1">
      <alignment vertical="center"/>
    </xf>
    <xf numFmtId="0" fontId="0" fillId="2" borderId="136" xfId="0" applyFill="1" applyBorder="1">
      <alignment vertical="center"/>
    </xf>
    <xf numFmtId="192" fontId="0" fillId="2" borderId="136" xfId="0" applyNumberFormat="1" applyFill="1" applyBorder="1">
      <alignment vertical="center"/>
    </xf>
    <xf numFmtId="0" fontId="0" fillId="0" borderId="136" xfId="0" applyBorder="1" applyAlignment="1">
      <alignment vertical="center" shrinkToFit="1"/>
    </xf>
    <xf numFmtId="0" fontId="0" fillId="0" borderId="135" xfId="0" applyBorder="1" applyAlignment="1">
      <alignment vertical="center" shrinkToFit="1"/>
    </xf>
    <xf numFmtId="0" fontId="0" fillId="0" borderId="137" xfId="0" applyBorder="1" applyAlignment="1">
      <alignment vertical="center" shrinkToFit="1"/>
    </xf>
    <xf numFmtId="0" fontId="0" fillId="0" borderId="146" xfId="0" applyBorder="1">
      <alignment vertical="center"/>
    </xf>
    <xf numFmtId="189" fontId="0" fillId="0" borderId="146" xfId="0" applyNumberFormat="1" applyBorder="1">
      <alignment vertical="center"/>
    </xf>
    <xf numFmtId="192" fontId="0" fillId="2" borderId="146" xfId="0" applyNumberFormat="1" applyFill="1" applyBorder="1">
      <alignment vertical="center"/>
    </xf>
    <xf numFmtId="0" fontId="0" fillId="2" borderId="146" xfId="0" applyFill="1" applyBorder="1">
      <alignment vertical="center"/>
    </xf>
    <xf numFmtId="0" fontId="0" fillId="0" borderId="142" xfId="0" applyBorder="1">
      <alignment vertical="center"/>
    </xf>
    <xf numFmtId="0" fontId="0" fillId="0" borderId="150" xfId="0" applyBorder="1">
      <alignment vertical="center"/>
    </xf>
    <xf numFmtId="0" fontId="14" fillId="0" borderId="0" xfId="0" applyFont="1" applyAlignment="1">
      <alignment vertical="center" shrinkToFit="1"/>
    </xf>
    <xf numFmtId="0" fontId="14" fillId="0" borderId="4" xfId="1" applyFont="1" applyBorder="1" applyAlignment="1" applyProtection="1">
      <alignment horizontal="center" vertical="center"/>
      <protection hidden="1"/>
    </xf>
    <xf numFmtId="0" fontId="0" fillId="7" borderId="135" xfId="0" applyFill="1" applyBorder="1">
      <alignment vertical="center"/>
    </xf>
    <xf numFmtId="0" fontId="0" fillId="7" borderId="136" xfId="0" applyFill="1" applyBorder="1">
      <alignment vertical="center"/>
    </xf>
    <xf numFmtId="0" fontId="0" fillId="7" borderId="137" xfId="0" applyFill="1" applyBorder="1">
      <alignment vertical="center"/>
    </xf>
    <xf numFmtId="0" fontId="0" fillId="0" borderId="148" xfId="0" applyBorder="1">
      <alignment vertical="center"/>
    </xf>
    <xf numFmtId="0" fontId="0" fillId="0" borderId="1" xfId="0" applyBorder="1" applyAlignment="1">
      <alignment horizontal="center" vertical="center"/>
    </xf>
    <xf numFmtId="0" fontId="14" fillId="0" borderId="12" xfId="0" applyFont="1" applyBorder="1" applyAlignment="1" applyProtection="1">
      <alignment horizontal="center" vertical="center" wrapText="1"/>
      <protection hidden="1"/>
    </xf>
    <xf numFmtId="14" fontId="14" fillId="0" borderId="35" xfId="0" applyNumberFormat="1" applyFont="1" applyBorder="1" applyAlignment="1" applyProtection="1">
      <alignment horizontal="center" vertical="center" textRotation="255" wrapText="1"/>
      <protection hidden="1"/>
    </xf>
    <xf numFmtId="0" fontId="14" fillId="0" borderId="56" xfId="0" applyFont="1" applyBorder="1" applyAlignment="1" applyProtection="1">
      <alignment horizontal="center" vertical="center" wrapText="1"/>
      <protection hidden="1"/>
    </xf>
    <xf numFmtId="0" fontId="0" fillId="0" borderId="38" xfId="0" applyBorder="1">
      <alignment vertical="center"/>
    </xf>
    <xf numFmtId="0" fontId="0" fillId="0" borderId="149" xfId="0" applyBorder="1">
      <alignment vertical="center"/>
    </xf>
    <xf numFmtId="0" fontId="0" fillId="0" borderId="140" xfId="0" applyBorder="1">
      <alignment vertical="center"/>
    </xf>
    <xf numFmtId="0" fontId="0" fillId="0" borderId="141" xfId="0" applyBorder="1">
      <alignment vertical="center"/>
    </xf>
    <xf numFmtId="0" fontId="0" fillId="0" borderId="1" xfId="0" applyBorder="1" applyAlignment="1">
      <alignment horizontal="center" vertical="center" wrapText="1"/>
    </xf>
    <xf numFmtId="176" fontId="14" fillId="0" borderId="1" xfId="0" applyNumberFormat="1" applyFont="1" applyBorder="1" applyAlignment="1" applyProtection="1">
      <alignment horizontal="center" vertical="center"/>
      <protection hidden="1"/>
    </xf>
    <xf numFmtId="0" fontId="0" fillId="2" borderId="1" xfId="0" applyFill="1" applyBorder="1" applyAlignment="1">
      <alignment horizontal="center" vertical="center"/>
    </xf>
    <xf numFmtId="191" fontId="0" fillId="0" borderId="135" xfId="0" applyNumberFormat="1" applyBorder="1">
      <alignment vertical="center"/>
    </xf>
    <xf numFmtId="191" fontId="0" fillId="0" borderId="136" xfId="0" applyNumberFormat="1" applyBorder="1">
      <alignment vertical="center"/>
    </xf>
    <xf numFmtId="0" fontId="0" fillId="2" borderId="37" xfId="0" applyFill="1" applyBorder="1">
      <alignment vertical="center"/>
    </xf>
    <xf numFmtId="0" fontId="0" fillId="0" borderId="151" xfId="0" applyBorder="1">
      <alignment vertical="center"/>
    </xf>
    <xf numFmtId="0" fontId="0" fillId="7" borderId="1" xfId="0" applyFill="1" applyBorder="1" applyAlignment="1">
      <alignment horizontal="center" vertical="center"/>
    </xf>
    <xf numFmtId="0" fontId="0" fillId="0" borderId="0" xfId="0" applyAlignment="1">
      <alignment horizontal="center" vertical="center"/>
    </xf>
    <xf numFmtId="0" fontId="0" fillId="0" borderId="33" xfId="0" applyBorder="1">
      <alignment vertical="center"/>
    </xf>
    <xf numFmtId="0" fontId="14" fillId="0" borderId="96" xfId="0" applyFont="1" applyBorder="1" applyAlignment="1" applyProtection="1">
      <alignment horizontal="center" vertical="center"/>
      <protection hidden="1"/>
    </xf>
    <xf numFmtId="0" fontId="14" fillId="0" borderId="53" xfId="0" applyFont="1" applyBorder="1" applyAlignment="1">
      <alignment vertical="center" shrinkToFit="1"/>
    </xf>
    <xf numFmtId="0" fontId="14" fillId="0" borderId="3" xfId="0" applyFont="1" applyBorder="1" applyAlignment="1">
      <alignment vertical="center" shrinkToFit="1"/>
    </xf>
    <xf numFmtId="0" fontId="0" fillId="7" borderId="149" xfId="0" applyFill="1" applyBorder="1">
      <alignment vertical="center"/>
    </xf>
    <xf numFmtId="0" fontId="14" fillId="0" borderId="1" xfId="0" applyFont="1" applyBorder="1" applyAlignment="1" applyProtection="1">
      <alignment horizontal="center" vertical="center"/>
      <protection hidden="1"/>
    </xf>
    <xf numFmtId="0" fontId="14" fillId="0" borderId="33" xfId="0" applyFont="1" applyBorder="1" applyAlignment="1" applyProtection="1">
      <alignment horizontal="distributed" vertical="center" wrapText="1" indent="1"/>
      <protection hidden="1"/>
    </xf>
    <xf numFmtId="0" fontId="14" fillId="0" borderId="1"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wrapText="1" indent="1"/>
      <protection hidden="1"/>
    </xf>
    <xf numFmtId="0" fontId="24" fillId="4" borderId="0" xfId="0" applyFont="1" applyFill="1" applyAlignment="1" applyProtection="1">
      <alignment horizontal="center" vertical="center"/>
      <protection hidden="1"/>
    </xf>
    <xf numFmtId="0" fontId="14" fillId="2" borderId="1" xfId="0" applyFont="1" applyFill="1" applyBorder="1">
      <alignment vertical="center"/>
    </xf>
    <xf numFmtId="0" fontId="4" fillId="4" borderId="36" xfId="0" applyFont="1" applyFill="1" applyBorder="1" applyAlignment="1" applyProtection="1">
      <alignment horizontal="center" vertical="center"/>
      <protection hidden="1"/>
    </xf>
    <xf numFmtId="0" fontId="4" fillId="4" borderId="0" xfId="0" applyFont="1" applyFill="1" applyProtection="1">
      <alignment vertical="center"/>
      <protection hidden="1"/>
    </xf>
    <xf numFmtId="0" fontId="14" fillId="4" borderId="118" xfId="0" applyFont="1" applyFill="1" applyBorder="1">
      <alignment vertical="center"/>
    </xf>
    <xf numFmtId="176" fontId="14" fillId="4" borderId="0" xfId="0" applyNumberFormat="1" applyFont="1" applyFill="1" applyAlignment="1" applyProtection="1">
      <alignment horizontal="center" vertical="center" shrinkToFit="1"/>
      <protection hidden="1"/>
    </xf>
    <xf numFmtId="177" fontId="14" fillId="4" borderId="0" xfId="0" applyNumberFormat="1" applyFont="1" applyFill="1" applyAlignment="1" applyProtection="1">
      <alignment horizontal="right" vertical="center"/>
      <protection hidden="1"/>
    </xf>
    <xf numFmtId="0" fontId="14" fillId="4" borderId="0" xfId="0" applyFont="1" applyFill="1" applyAlignment="1" applyProtection="1">
      <alignment horizontal="right" vertical="center" shrinkToFit="1"/>
      <protection hidden="1"/>
    </xf>
    <xf numFmtId="0" fontId="14" fillId="4" borderId="0" xfId="0" applyFont="1" applyFill="1" applyAlignment="1" applyProtection="1">
      <alignment horizontal="right" vertical="center"/>
      <protection hidden="1"/>
    </xf>
    <xf numFmtId="199" fontId="14" fillId="4" borderId="42" xfId="2" applyNumberFormat="1" applyFont="1" applyFill="1" applyBorder="1" applyAlignment="1" applyProtection="1">
      <alignment horizontal="right" vertical="center" shrinkToFit="1"/>
      <protection hidden="1"/>
    </xf>
    <xf numFmtId="199" fontId="14" fillId="4" borderId="2" xfId="2" applyNumberFormat="1" applyFont="1" applyFill="1" applyBorder="1" applyAlignment="1" applyProtection="1">
      <alignment horizontal="right" vertical="center" shrinkToFit="1"/>
      <protection hidden="1"/>
    </xf>
    <xf numFmtId="199" fontId="14" fillId="4" borderId="62" xfId="2" applyNumberFormat="1" applyFont="1" applyFill="1" applyBorder="1" applyAlignment="1" applyProtection="1">
      <alignment horizontal="right" vertical="center" shrinkToFit="1"/>
      <protection hidden="1"/>
    </xf>
    <xf numFmtId="199" fontId="14" fillId="4" borderId="54" xfId="2" applyNumberFormat="1" applyFont="1" applyFill="1" applyBorder="1" applyAlignment="1" applyProtection="1">
      <alignment horizontal="right" vertical="center" shrinkToFit="1"/>
      <protection hidden="1"/>
    </xf>
    <xf numFmtId="199" fontId="14" fillId="4" borderId="23" xfId="2" applyNumberFormat="1" applyFont="1" applyFill="1" applyBorder="1" applyAlignment="1" applyProtection="1">
      <alignment horizontal="right" vertical="center" shrinkToFit="1"/>
      <protection hidden="1"/>
    </xf>
    <xf numFmtId="0" fontId="14" fillId="4" borderId="31" xfId="0" applyFont="1" applyFill="1" applyBorder="1" applyAlignment="1" applyProtection="1">
      <alignment horizontal="center" vertical="center" wrapText="1"/>
      <protection hidden="1"/>
    </xf>
    <xf numFmtId="0" fontId="14" fillId="4" borderId="3" xfId="0" applyFont="1" applyFill="1" applyBorder="1" applyAlignment="1" applyProtection="1">
      <alignment horizontal="center" vertical="center" wrapText="1"/>
      <protection hidden="1"/>
    </xf>
    <xf numFmtId="0" fontId="14" fillId="4" borderId="86" xfId="0" applyFont="1" applyFill="1" applyBorder="1" applyAlignment="1" applyProtection="1">
      <alignment horizontal="center" vertical="center" wrapText="1"/>
      <protection hidden="1"/>
    </xf>
    <xf numFmtId="0" fontId="14" fillId="4" borderId="152" xfId="0" applyFont="1" applyFill="1" applyBorder="1" applyAlignment="1" applyProtection="1">
      <alignment horizontal="center" vertical="center" wrapText="1"/>
      <protection hidden="1"/>
    </xf>
    <xf numFmtId="0" fontId="14" fillId="4" borderId="38" xfId="0" applyFont="1" applyFill="1" applyBorder="1" applyAlignment="1" applyProtection="1">
      <alignment horizontal="center" vertical="center" wrapText="1"/>
      <protection hidden="1"/>
    </xf>
    <xf numFmtId="0" fontId="14" fillId="4" borderId="53" xfId="0" applyFont="1" applyFill="1" applyBorder="1" applyAlignment="1" applyProtection="1">
      <alignment horizontal="center" vertical="center" wrapText="1"/>
      <protection hidden="1"/>
    </xf>
    <xf numFmtId="0" fontId="14" fillId="4" borderId="22" xfId="0" applyFont="1" applyFill="1" applyBorder="1" applyAlignment="1" applyProtection="1">
      <alignment horizontal="center" vertical="center" wrapText="1"/>
      <protection hidden="1"/>
    </xf>
    <xf numFmtId="0" fontId="14" fillId="0" borderId="31" xfId="0" applyFont="1" applyBorder="1" applyAlignment="1" applyProtection="1">
      <alignment horizontal="left" vertical="center" wrapText="1"/>
      <protection hidden="1"/>
    </xf>
    <xf numFmtId="0" fontId="14" fillId="0" borderId="94" xfId="0" applyFont="1" applyBorder="1" applyAlignment="1" applyProtection="1">
      <alignment horizontal="left" vertical="center" wrapText="1" indent="1"/>
      <protection hidden="1"/>
    </xf>
    <xf numFmtId="0" fontId="14" fillId="0" borderId="3" xfId="0" applyFont="1" applyBorder="1" applyAlignment="1" applyProtection="1">
      <alignment horizontal="left" vertical="center" wrapText="1"/>
      <protection hidden="1"/>
    </xf>
    <xf numFmtId="0" fontId="14" fillId="0" borderId="57" xfId="0" applyFont="1" applyBorder="1" applyAlignment="1" applyProtection="1">
      <alignment horizontal="left" vertical="center" wrapText="1" indent="1"/>
      <protection hidden="1"/>
    </xf>
    <xf numFmtId="0" fontId="14" fillId="0" borderId="129" xfId="0" applyFont="1" applyBorder="1" applyAlignment="1" applyProtection="1">
      <alignment horizontal="left" vertical="center" wrapText="1"/>
      <protection hidden="1"/>
    </xf>
    <xf numFmtId="0" fontId="14" fillId="0" borderId="86" xfId="0" applyFont="1" applyBorder="1" applyAlignment="1" applyProtection="1">
      <alignment horizontal="left" vertical="center" wrapText="1"/>
      <protection hidden="1"/>
    </xf>
    <xf numFmtId="0" fontId="14" fillId="0" borderId="152" xfId="0" applyFont="1" applyBorder="1" applyAlignment="1" applyProtection="1">
      <alignment horizontal="left" vertical="center" wrapText="1"/>
      <protection hidden="1"/>
    </xf>
    <xf numFmtId="0" fontId="14" fillId="0" borderId="131" xfId="0" applyFont="1" applyBorder="1" applyAlignment="1" applyProtection="1">
      <alignment horizontal="center" vertical="center" wrapText="1"/>
      <protection hidden="1"/>
    </xf>
    <xf numFmtId="0" fontId="14" fillId="0" borderId="38" xfId="0" applyFont="1" applyBorder="1" applyAlignment="1" applyProtection="1">
      <alignment horizontal="left" vertical="center" wrapText="1"/>
      <protection hidden="1"/>
    </xf>
    <xf numFmtId="0" fontId="14" fillId="0" borderId="130" xfId="0" applyFont="1" applyBorder="1" applyAlignment="1" applyProtection="1">
      <alignment horizontal="center" vertical="center" wrapText="1"/>
      <protection hidden="1"/>
    </xf>
    <xf numFmtId="0" fontId="14" fillId="0" borderId="129" xfId="0" applyFont="1" applyBorder="1" applyAlignment="1" applyProtection="1">
      <alignment horizontal="center" vertical="center" wrapText="1"/>
      <protection hidden="1"/>
    </xf>
    <xf numFmtId="0" fontId="14" fillId="0" borderId="132" xfId="0" applyFont="1" applyBorder="1" applyAlignment="1" applyProtection="1">
      <alignment horizontal="center" vertical="center" wrapText="1"/>
      <protection hidden="1"/>
    </xf>
    <xf numFmtId="0" fontId="14" fillId="0" borderId="53" xfId="0" applyFont="1" applyBorder="1" applyAlignment="1" applyProtection="1">
      <alignment horizontal="left" vertical="center" wrapText="1"/>
      <protection hidden="1"/>
    </xf>
    <xf numFmtId="0" fontId="14" fillId="0" borderId="134" xfId="0" applyFont="1" applyBorder="1" applyAlignment="1" applyProtection="1">
      <alignment horizontal="center" vertical="center" wrapText="1"/>
      <protection hidden="1"/>
    </xf>
    <xf numFmtId="0" fontId="14" fillId="0" borderId="128" xfId="0" applyFont="1" applyBorder="1" applyAlignment="1" applyProtection="1">
      <alignment horizontal="center" vertical="center" wrapText="1"/>
      <protection hidden="1"/>
    </xf>
    <xf numFmtId="0" fontId="14" fillId="2" borderId="60" xfId="0" applyFont="1" applyFill="1" applyBorder="1">
      <alignment vertical="center"/>
    </xf>
    <xf numFmtId="193" fontId="14" fillId="0" borderId="42" xfId="2" applyNumberFormat="1" applyFont="1" applyFill="1" applyBorder="1" applyAlignment="1" applyProtection="1">
      <alignment horizontal="right" vertical="center" shrinkToFit="1"/>
      <protection hidden="1"/>
    </xf>
    <xf numFmtId="193" fontId="14" fillId="0" borderId="2" xfId="2" applyNumberFormat="1" applyFont="1" applyFill="1" applyBorder="1" applyAlignment="1" applyProtection="1">
      <alignment horizontal="right" vertical="center" shrinkToFit="1"/>
      <protection hidden="1"/>
    </xf>
    <xf numFmtId="193" fontId="14" fillId="0" borderId="54" xfId="2" applyNumberFormat="1" applyFont="1" applyFill="1" applyBorder="1" applyAlignment="1" applyProtection="1">
      <alignment horizontal="right" vertical="center" shrinkToFit="1"/>
      <protection hidden="1"/>
    </xf>
    <xf numFmtId="193" fontId="14" fillId="0" borderId="1" xfId="2" applyNumberFormat="1" applyFont="1" applyFill="1" applyBorder="1" applyAlignment="1" applyProtection="1">
      <alignment horizontal="right" vertical="center" shrinkToFit="1"/>
      <protection hidden="1"/>
    </xf>
    <xf numFmtId="193" fontId="14" fillId="0" borderId="60" xfId="2" applyNumberFormat="1" applyFont="1" applyFill="1" applyBorder="1" applyAlignment="1" applyProtection="1">
      <alignment horizontal="right" vertical="center" shrinkToFit="1"/>
      <protection hidden="1"/>
    </xf>
    <xf numFmtId="193" fontId="14" fillId="0" borderId="72" xfId="2" applyNumberFormat="1" applyFont="1" applyFill="1" applyBorder="1" applyAlignment="1" applyProtection="1">
      <alignment horizontal="right" vertical="center" shrinkToFit="1"/>
      <protection hidden="1"/>
    </xf>
    <xf numFmtId="193" fontId="14" fillId="0" borderId="67" xfId="2" applyNumberFormat="1" applyFont="1" applyFill="1" applyBorder="1" applyAlignment="1" applyProtection="1">
      <alignment horizontal="right" vertical="center" shrinkToFit="1"/>
      <protection hidden="1"/>
    </xf>
    <xf numFmtId="193" fontId="14" fillId="0" borderId="91" xfId="2" applyNumberFormat="1" applyFont="1" applyFill="1" applyBorder="1" applyAlignment="1" applyProtection="1">
      <alignment horizontal="right" vertical="center" shrinkToFit="1"/>
      <protection hidden="1"/>
    </xf>
    <xf numFmtId="199" fontId="14" fillId="5" borderId="33" xfId="0" applyNumberFormat="1" applyFont="1" applyFill="1" applyBorder="1" applyAlignment="1" applyProtection="1">
      <alignment vertical="center" shrinkToFit="1"/>
      <protection locked="0"/>
    </xf>
    <xf numFmtId="199" fontId="14" fillId="5" borderId="1" xfId="0" applyNumberFormat="1" applyFont="1" applyFill="1" applyBorder="1" applyAlignment="1" applyProtection="1">
      <alignment vertical="center" shrinkToFit="1"/>
      <protection locked="0"/>
    </xf>
    <xf numFmtId="199" fontId="14" fillId="5" borderId="68" xfId="0" applyNumberFormat="1" applyFont="1" applyFill="1" applyBorder="1" applyAlignment="1" applyProtection="1">
      <alignment vertical="center" shrinkToFit="1"/>
      <protection locked="0"/>
    </xf>
    <xf numFmtId="199" fontId="14" fillId="5" borderId="55" xfId="0" applyNumberFormat="1" applyFont="1" applyFill="1" applyBorder="1" applyAlignment="1" applyProtection="1">
      <alignment vertical="center" shrinkToFit="1"/>
      <protection locked="0"/>
    </xf>
    <xf numFmtId="199" fontId="14" fillId="5" borderId="24" xfId="0" applyNumberFormat="1" applyFont="1" applyFill="1" applyBorder="1" applyAlignment="1" applyProtection="1">
      <alignment vertical="center" shrinkToFit="1"/>
      <protection locked="0"/>
    </xf>
    <xf numFmtId="178" fontId="14" fillId="0" borderId="31" xfId="1" applyNumberFormat="1" applyFont="1" applyBorder="1" applyAlignment="1" applyProtection="1">
      <alignment horizontal="right" vertical="center"/>
      <protection hidden="1"/>
    </xf>
    <xf numFmtId="178" fontId="14" fillId="0" borderId="3" xfId="1" applyNumberFormat="1" applyFont="1" applyBorder="1" applyAlignment="1" applyProtection="1">
      <alignment horizontal="right" vertical="center"/>
      <protection hidden="1"/>
    </xf>
    <xf numFmtId="178" fontId="14" fillId="0" borderId="86" xfId="1" applyNumberFormat="1" applyFont="1" applyBorder="1" applyAlignment="1" applyProtection="1">
      <alignment horizontal="right" vertical="center"/>
      <protection hidden="1"/>
    </xf>
    <xf numFmtId="178" fontId="14" fillId="0" borderId="53" xfId="1" applyNumberFormat="1" applyFont="1" applyBorder="1" applyAlignment="1" applyProtection="1">
      <alignment horizontal="right" vertical="center"/>
      <protection hidden="1"/>
    </xf>
    <xf numFmtId="178" fontId="16" fillId="0" borderId="106" xfId="1" applyNumberFormat="1" applyFont="1" applyBorder="1" applyAlignment="1" applyProtection="1">
      <alignment horizontal="right" vertical="center"/>
      <protection hidden="1"/>
    </xf>
    <xf numFmtId="178" fontId="16" fillId="0" borderId="58" xfId="1" applyNumberFormat="1" applyFont="1" applyBorder="1" applyAlignment="1" applyProtection="1">
      <alignment horizontal="right" vertical="center"/>
      <protection hidden="1"/>
    </xf>
    <xf numFmtId="178" fontId="16" fillId="0" borderId="87" xfId="1" applyNumberFormat="1" applyFont="1" applyBorder="1" applyAlignment="1" applyProtection="1">
      <alignment horizontal="right" vertical="center"/>
      <protection hidden="1"/>
    </xf>
    <xf numFmtId="178" fontId="16" fillId="0" borderId="80" xfId="1" applyNumberFormat="1" applyFont="1" applyBorder="1" applyAlignment="1" applyProtection="1">
      <alignment horizontal="right" vertical="center"/>
      <protection hidden="1"/>
    </xf>
    <xf numFmtId="178" fontId="16" fillId="0" borderId="94" xfId="1" applyNumberFormat="1" applyFont="1" applyBorder="1" applyAlignment="1" applyProtection="1">
      <alignment horizontal="right" vertical="center"/>
      <protection hidden="1"/>
    </xf>
    <xf numFmtId="178" fontId="16" fillId="0" borderId="1" xfId="1" applyNumberFormat="1" applyFont="1" applyBorder="1" applyAlignment="1" applyProtection="1">
      <alignment horizontal="right" vertical="center"/>
      <protection hidden="1"/>
    </xf>
    <xf numFmtId="178" fontId="16" fillId="0" borderId="57" xfId="1" applyNumberFormat="1" applyFont="1" applyBorder="1" applyAlignment="1" applyProtection="1">
      <alignment horizontal="right" vertical="center"/>
      <protection hidden="1"/>
    </xf>
    <xf numFmtId="178" fontId="16" fillId="0" borderId="69" xfId="1" applyNumberFormat="1" applyFont="1" applyBorder="1" applyAlignment="1" applyProtection="1">
      <alignment horizontal="right" vertical="center"/>
      <protection hidden="1"/>
    </xf>
    <xf numFmtId="178" fontId="16" fillId="0" borderId="78" xfId="1" applyNumberFormat="1" applyFont="1" applyBorder="1" applyAlignment="1" applyProtection="1">
      <alignment horizontal="right" vertical="center"/>
      <protection hidden="1"/>
    </xf>
    <xf numFmtId="178" fontId="16" fillId="0" borderId="85" xfId="1" applyNumberFormat="1" applyFont="1" applyBorder="1" applyAlignment="1" applyProtection="1">
      <alignment horizontal="right" vertical="center"/>
      <protection hidden="1"/>
    </xf>
    <xf numFmtId="178" fontId="16" fillId="0" borderId="102" xfId="1" quotePrefix="1" applyNumberFormat="1" applyFont="1" applyBorder="1" applyAlignment="1" applyProtection="1">
      <alignment horizontal="right" vertical="center"/>
      <protection hidden="1"/>
    </xf>
    <xf numFmtId="178" fontId="16" fillId="0" borderId="104" xfId="1" quotePrefix="1" applyNumberFormat="1" applyFont="1" applyBorder="1" applyAlignment="1" applyProtection="1">
      <alignment horizontal="right" vertical="center"/>
      <protection hidden="1"/>
    </xf>
    <xf numFmtId="0" fontId="16" fillId="0" borderId="94" xfId="1" applyFont="1" applyBorder="1" applyProtection="1">
      <alignment vertical="center"/>
      <protection hidden="1"/>
    </xf>
    <xf numFmtId="0" fontId="16" fillId="0" borderId="57" xfId="1" applyFont="1" applyBorder="1" applyProtection="1">
      <alignment vertical="center"/>
      <protection hidden="1"/>
    </xf>
    <xf numFmtId="0" fontId="16" fillId="0" borderId="96" xfId="1" applyFont="1" applyBorder="1" applyProtection="1">
      <alignment vertical="center"/>
      <protection hidden="1"/>
    </xf>
    <xf numFmtId="0" fontId="14" fillId="0" borderId="0" xfId="0" applyFont="1" applyAlignment="1" applyProtection="1">
      <alignment horizontal="distributed" vertical="center" wrapText="1" indent="1"/>
      <protection hidden="1"/>
    </xf>
    <xf numFmtId="0" fontId="14" fillId="0" borderId="24" xfId="0" applyFont="1" applyBorder="1" applyAlignment="1" applyProtection="1">
      <alignment horizontal="distributed" vertical="center" indent="1"/>
      <protection hidden="1"/>
    </xf>
    <xf numFmtId="0" fontId="14" fillId="0" borderId="32"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indent="1"/>
      <protection locked="0"/>
    </xf>
    <xf numFmtId="0" fontId="14" fillId="0" borderId="55" xfId="0" applyFont="1" applyBorder="1" applyAlignment="1" applyProtection="1">
      <alignment horizontal="distributed" vertical="center" shrinkToFit="1"/>
      <protection hidden="1"/>
    </xf>
    <xf numFmtId="0" fontId="14" fillId="0" borderId="1" xfId="0" applyFont="1" applyBorder="1" applyAlignment="1" applyProtection="1">
      <alignment horizontal="distributed" vertical="center" shrinkToFit="1"/>
      <protection hidden="1"/>
    </xf>
    <xf numFmtId="0" fontId="14" fillId="0" borderId="1" xfId="0" applyFont="1" applyBorder="1" applyAlignment="1" applyProtection="1">
      <alignment horizontal="distributed" vertical="center" wrapText="1" shrinkToFit="1"/>
      <protection hidden="1"/>
    </xf>
    <xf numFmtId="0" fontId="14" fillId="4" borderId="0" xfId="0" applyFont="1" applyFill="1" applyAlignment="1" applyProtection="1">
      <alignment vertical="center" shrinkToFit="1"/>
      <protection hidden="1"/>
    </xf>
    <xf numFmtId="0" fontId="14" fillId="4" borderId="0" xfId="0" quotePrefix="1" applyFont="1" applyFill="1" applyAlignment="1" applyProtection="1">
      <alignment vertical="center" shrinkToFit="1"/>
      <protection hidden="1"/>
    </xf>
    <xf numFmtId="0" fontId="14" fillId="4" borderId="42" xfId="0" applyFont="1" applyFill="1" applyBorder="1" applyAlignment="1" applyProtection="1">
      <alignment vertical="center" shrinkToFit="1"/>
      <protection hidden="1"/>
    </xf>
    <xf numFmtId="0" fontId="14" fillId="4" borderId="2" xfId="0" applyFont="1" applyFill="1" applyBorder="1" applyAlignment="1" applyProtection="1">
      <alignment vertical="center" shrinkToFit="1"/>
      <protection hidden="1"/>
    </xf>
    <xf numFmtId="0" fontId="14" fillId="4" borderId="23" xfId="0" applyFont="1" applyFill="1" applyBorder="1" applyAlignment="1" applyProtection="1">
      <alignment vertical="center" shrinkToFit="1"/>
      <protection hidden="1"/>
    </xf>
    <xf numFmtId="0" fontId="14" fillId="4" borderId="31" xfId="0" quotePrefix="1" applyFont="1" applyFill="1" applyBorder="1" applyAlignment="1" applyProtection="1">
      <alignment vertical="center" shrinkToFit="1"/>
      <protection hidden="1"/>
    </xf>
    <xf numFmtId="0" fontId="14" fillId="4" borderId="3" xfId="0" quotePrefix="1" applyFont="1" applyFill="1" applyBorder="1" applyAlignment="1" applyProtection="1">
      <alignment vertical="center" shrinkToFit="1"/>
      <protection hidden="1"/>
    </xf>
    <xf numFmtId="0" fontId="14" fillId="4" borderId="22" xfId="0" quotePrefix="1" applyFont="1" applyFill="1" applyBorder="1" applyAlignment="1" applyProtection="1">
      <alignment vertical="center" shrinkToFit="1"/>
      <protection hidden="1"/>
    </xf>
    <xf numFmtId="4" fontId="16" fillId="0" borderId="33" xfId="2" applyNumberFormat="1" applyFont="1" applyFill="1" applyBorder="1" applyAlignment="1" applyProtection="1">
      <alignment horizontal="center" vertical="center" shrinkToFit="1"/>
      <protection hidden="1"/>
    </xf>
    <xf numFmtId="4" fontId="16" fillId="0" borderId="1" xfId="2" applyNumberFormat="1" applyFont="1" applyFill="1" applyBorder="1" applyAlignment="1" applyProtection="1">
      <alignment horizontal="center" vertical="center" shrinkToFit="1"/>
      <protection hidden="1"/>
    </xf>
    <xf numFmtId="181" fontId="16" fillId="0" borderId="1" xfId="2" applyNumberFormat="1" applyFont="1" applyFill="1" applyBorder="1" applyAlignment="1" applyProtection="1">
      <alignment horizontal="center" vertical="center" shrinkToFit="1"/>
      <protection hidden="1"/>
    </xf>
    <xf numFmtId="182" fontId="16" fillId="0" borderId="1" xfId="2" applyNumberFormat="1" applyFont="1" applyFill="1" applyBorder="1" applyAlignment="1" applyProtection="1">
      <alignment horizontal="center" vertical="center" shrinkToFit="1"/>
      <protection hidden="1"/>
    </xf>
    <xf numFmtId="183" fontId="16" fillId="0" borderId="1" xfId="2" applyNumberFormat="1" applyFont="1" applyFill="1" applyBorder="1" applyAlignment="1" applyProtection="1">
      <alignment horizontal="center" vertical="center" shrinkToFit="1"/>
      <protection hidden="1"/>
    </xf>
    <xf numFmtId="179" fontId="16" fillId="0" borderId="1" xfId="2" applyNumberFormat="1" applyFont="1" applyFill="1" applyBorder="1" applyAlignment="1" applyProtection="1">
      <alignment horizontal="center" vertical="center" shrinkToFit="1"/>
      <protection hidden="1"/>
    </xf>
    <xf numFmtId="0" fontId="16" fillId="0" borderId="1" xfId="0" applyFont="1" applyBorder="1" applyAlignment="1" applyProtection="1">
      <alignment horizontal="center" vertical="center" shrinkToFit="1"/>
      <protection hidden="1"/>
    </xf>
    <xf numFmtId="0" fontId="16" fillId="0" borderId="24" xfId="0" applyFont="1" applyBorder="1" applyAlignment="1" applyProtection="1">
      <alignment horizontal="center" vertical="center" shrinkToFit="1"/>
      <protection hidden="1"/>
    </xf>
    <xf numFmtId="0" fontId="16" fillId="0" borderId="32" xfId="0" applyFont="1" applyBorder="1" applyAlignment="1" applyProtection="1">
      <alignment horizontal="center" vertical="center" shrinkToFit="1"/>
      <protection hidden="1"/>
    </xf>
    <xf numFmtId="184" fontId="16" fillId="0" borderId="1" xfId="0" applyNumberFormat="1" applyFont="1" applyBorder="1" applyAlignment="1" applyProtection="1">
      <alignment horizontal="center" vertical="center" shrinkToFit="1"/>
      <protection hidden="1"/>
    </xf>
    <xf numFmtId="185" fontId="16" fillId="0" borderId="1" xfId="0" applyNumberFormat="1" applyFont="1" applyBorder="1" applyAlignment="1" applyProtection="1">
      <alignment horizontal="center" vertical="center" shrinkToFit="1"/>
      <protection hidden="1"/>
    </xf>
    <xf numFmtId="0" fontId="16" fillId="5" borderId="1" xfId="0" applyFont="1" applyFill="1" applyBorder="1" applyAlignment="1" applyProtection="1">
      <alignment horizontal="center" vertical="center" shrinkToFit="1"/>
      <protection locked="0"/>
    </xf>
    <xf numFmtId="189" fontId="16" fillId="0" borderId="1" xfId="0" quotePrefix="1" applyNumberFormat="1" applyFont="1" applyBorder="1" applyAlignment="1" applyProtection="1">
      <alignment horizontal="center" vertical="center" shrinkToFit="1"/>
      <protection hidden="1"/>
    </xf>
    <xf numFmtId="178" fontId="14" fillId="4" borderId="55" xfId="0" applyNumberFormat="1" applyFont="1" applyFill="1" applyBorder="1" applyAlignment="1" applyProtection="1">
      <alignment vertical="center" shrinkToFit="1"/>
      <protection hidden="1"/>
    </xf>
    <xf numFmtId="178" fontId="14" fillId="4" borderId="1" xfId="0" applyNumberFormat="1" applyFont="1" applyFill="1" applyBorder="1" applyAlignment="1" applyProtection="1">
      <alignment vertical="center" shrinkToFit="1"/>
      <protection hidden="1"/>
    </xf>
    <xf numFmtId="178" fontId="14" fillId="4" borderId="1" xfId="0" applyNumberFormat="1" applyFont="1" applyFill="1" applyBorder="1" applyAlignment="1" applyProtection="1">
      <alignment vertical="center" shrinkToFit="1"/>
      <protection locked="0"/>
    </xf>
    <xf numFmtId="200" fontId="16" fillId="5" borderId="55" xfId="0" applyNumberFormat="1" applyFont="1" applyFill="1" applyBorder="1" applyAlignment="1" applyProtection="1">
      <alignment vertical="center" shrinkToFit="1"/>
      <protection locked="0"/>
    </xf>
    <xf numFmtId="200" fontId="16" fillId="5" borderId="1" xfId="0" applyNumberFormat="1" applyFont="1" applyFill="1" applyBorder="1" applyAlignment="1" applyProtection="1">
      <alignment vertical="center" shrinkToFit="1"/>
      <protection locked="0"/>
    </xf>
    <xf numFmtId="200" fontId="14" fillId="0" borderId="60" xfId="0" applyNumberFormat="1" applyFont="1" applyBorder="1" applyAlignment="1" applyProtection="1">
      <alignment vertical="center" shrinkToFit="1"/>
      <protection hidden="1"/>
    </xf>
    <xf numFmtId="0" fontId="14" fillId="0" borderId="117" xfId="0" applyFont="1" applyBorder="1">
      <alignment vertical="center"/>
    </xf>
    <xf numFmtId="0" fontId="14" fillId="0" borderId="118" xfId="0" applyFont="1" applyBorder="1">
      <alignment vertical="center"/>
    </xf>
    <xf numFmtId="0" fontId="14" fillId="0" borderId="119" xfId="0" applyFont="1" applyBorder="1">
      <alignment vertical="center"/>
    </xf>
    <xf numFmtId="0" fontId="17" fillId="0" borderId="68" xfId="0" applyFont="1" applyBorder="1" applyAlignment="1">
      <alignment horizontal="center" vertical="center" wrapText="1"/>
    </xf>
    <xf numFmtId="0" fontId="0" fillId="5" borderId="37" xfId="0" applyFill="1" applyBorder="1">
      <alignment vertical="center"/>
    </xf>
    <xf numFmtId="0" fontId="0" fillId="6" borderId="33" xfId="0" applyFill="1" applyBorder="1">
      <alignment vertical="center"/>
    </xf>
    <xf numFmtId="0" fontId="4" fillId="2" borderId="36" xfId="0" applyFont="1" applyFill="1" applyBorder="1" applyAlignment="1" applyProtection="1">
      <alignment horizontal="center" vertical="center"/>
      <protection hidden="1"/>
    </xf>
    <xf numFmtId="0" fontId="4" fillId="2" borderId="0" xfId="0" applyFont="1" applyFill="1" applyProtection="1">
      <alignment vertical="center"/>
      <protection hidden="1"/>
    </xf>
    <xf numFmtId="0" fontId="14" fillId="2" borderId="118" xfId="0" applyFont="1" applyFill="1" applyBorder="1">
      <alignment vertical="center"/>
    </xf>
    <xf numFmtId="0" fontId="0" fillId="0" borderId="60" xfId="0" applyBorder="1">
      <alignment vertical="center"/>
    </xf>
    <xf numFmtId="0" fontId="0" fillId="0" borderId="0" xfId="0" applyAlignment="1">
      <alignment vertical="center" wrapText="1"/>
    </xf>
    <xf numFmtId="0" fontId="0" fillId="0" borderId="1" xfId="0" applyBorder="1" applyAlignment="1">
      <alignment vertical="center" wrapText="1"/>
    </xf>
    <xf numFmtId="188" fontId="16" fillId="0" borderId="29" xfId="2" applyNumberFormat="1" applyFont="1" applyFill="1" applyBorder="1" applyAlignment="1" applyProtection="1">
      <alignment horizontal="right" vertical="center" shrinkToFit="1"/>
      <protection hidden="1"/>
    </xf>
    <xf numFmtId="188" fontId="14" fillId="0" borderId="30" xfId="0" applyNumberFormat="1" applyFont="1" applyBorder="1" applyAlignment="1" applyProtection="1">
      <alignment horizontal="left" vertical="center" shrinkToFit="1"/>
      <protection hidden="1"/>
    </xf>
    <xf numFmtId="188" fontId="16" fillId="0" borderId="33" xfId="0" applyNumberFormat="1" applyFont="1" applyBorder="1" applyAlignment="1" applyProtection="1">
      <alignment horizontal="right" vertical="center" shrinkToFit="1"/>
      <protection hidden="1"/>
    </xf>
    <xf numFmtId="188" fontId="16" fillId="0" borderId="34" xfId="0" applyNumberFormat="1" applyFont="1" applyBorder="1" applyAlignment="1" applyProtection="1">
      <alignment horizontal="right" vertical="center" shrinkToFit="1"/>
      <protection hidden="1"/>
    </xf>
    <xf numFmtId="188" fontId="14" fillId="0" borderId="3" xfId="0" applyNumberFormat="1" applyFont="1" applyBorder="1" applyAlignment="1" applyProtection="1">
      <alignment horizontal="left" vertical="center" shrinkToFit="1"/>
      <protection hidden="1"/>
    </xf>
    <xf numFmtId="188" fontId="14" fillId="0" borderId="38" xfId="0" applyNumberFormat="1" applyFont="1" applyBorder="1" applyAlignment="1" applyProtection="1">
      <alignment horizontal="left" vertical="center" shrinkToFit="1"/>
      <protection hidden="1"/>
    </xf>
    <xf numFmtId="188" fontId="16" fillId="0" borderId="58" xfId="2" applyNumberFormat="1" applyFont="1" applyFill="1" applyBorder="1" applyAlignment="1" applyProtection="1">
      <alignment horizontal="right" vertical="center" shrinkToFit="1"/>
      <protection hidden="1"/>
    </xf>
    <xf numFmtId="188" fontId="14" fillId="0" borderId="3" xfId="0" applyNumberFormat="1" applyFont="1" applyBorder="1" applyAlignment="1" applyProtection="1">
      <alignment vertical="center" shrinkToFit="1"/>
      <protection hidden="1"/>
    </xf>
    <xf numFmtId="188" fontId="16" fillId="0" borderId="62" xfId="0" quotePrefix="1" applyNumberFormat="1" applyFont="1" applyBorder="1" applyAlignment="1" applyProtection="1">
      <alignment horizontal="right" vertical="center" shrinkToFit="1"/>
      <protection hidden="1"/>
    </xf>
    <xf numFmtId="188" fontId="16" fillId="0" borderId="68" xfId="1" quotePrefix="1" applyNumberFormat="1" applyFont="1" applyBorder="1" applyAlignment="1" applyProtection="1">
      <alignment horizontal="right" vertical="center" shrinkToFit="1"/>
      <protection hidden="1"/>
    </xf>
    <xf numFmtId="188" fontId="16" fillId="0" borderId="69" xfId="0" quotePrefix="1" applyNumberFormat="1" applyFont="1" applyBorder="1" applyAlignment="1" applyProtection="1">
      <alignment horizontal="right" vertical="center" shrinkToFit="1"/>
      <protection hidden="1"/>
    </xf>
    <xf numFmtId="188" fontId="16" fillId="0" borderId="51" xfId="2" applyNumberFormat="1" applyFont="1" applyFill="1" applyBorder="1" applyAlignment="1" applyProtection="1">
      <alignment horizontal="right" vertical="center" shrinkToFit="1"/>
      <protection hidden="1"/>
    </xf>
    <xf numFmtId="188" fontId="14" fillId="0" borderId="53" xfId="0" applyNumberFormat="1" applyFont="1" applyBorder="1" applyAlignment="1" applyProtection="1">
      <alignment horizontal="left" vertical="center" shrinkToFit="1"/>
      <protection hidden="1"/>
    </xf>
    <xf numFmtId="188" fontId="16" fillId="0" borderId="55" xfId="0" applyNumberFormat="1" applyFont="1" applyBorder="1" applyAlignment="1" applyProtection="1">
      <alignment horizontal="right" vertical="center" shrinkToFit="1"/>
      <protection hidden="1"/>
    </xf>
    <xf numFmtId="188" fontId="16" fillId="0" borderId="52" xfId="0" applyNumberFormat="1" applyFont="1" applyBorder="1" applyAlignment="1" applyProtection="1">
      <alignment horizontal="right" vertical="center" shrinkToFit="1"/>
      <protection hidden="1"/>
    </xf>
    <xf numFmtId="188" fontId="16" fillId="0" borderId="36" xfId="2" applyNumberFormat="1" applyFont="1" applyFill="1" applyBorder="1" applyAlignment="1" applyProtection="1">
      <alignment horizontal="right" vertical="center" shrinkToFit="1"/>
      <protection hidden="1"/>
    </xf>
    <xf numFmtId="188" fontId="16" fillId="0" borderId="60" xfId="0" applyNumberFormat="1" applyFont="1" applyBorder="1" applyAlignment="1" applyProtection="1">
      <alignment horizontal="right" vertical="center" shrinkToFit="1"/>
      <protection hidden="1"/>
    </xf>
    <xf numFmtId="188" fontId="16" fillId="0" borderId="61" xfId="0" applyNumberFormat="1" applyFont="1" applyBorder="1" applyAlignment="1" applyProtection="1">
      <alignment horizontal="right" vertical="center" shrinkToFit="1"/>
      <protection hidden="1"/>
    </xf>
    <xf numFmtId="188" fontId="14" fillId="0" borderId="60" xfId="0" applyNumberFormat="1" applyFont="1" applyBorder="1" applyAlignment="1" applyProtection="1">
      <alignment horizontal="right" vertical="center" shrinkToFit="1"/>
      <protection hidden="1"/>
    </xf>
    <xf numFmtId="188" fontId="16" fillId="0" borderId="57" xfId="0" applyNumberFormat="1" applyFont="1" applyBorder="1" applyAlignment="1" applyProtection="1">
      <alignment horizontal="right" vertical="center" shrinkToFit="1"/>
      <protection hidden="1"/>
    </xf>
    <xf numFmtId="188" fontId="16" fillId="0" borderId="45" xfId="0" quotePrefix="1" applyNumberFormat="1" applyFont="1" applyBorder="1" applyAlignment="1" applyProtection="1">
      <alignment horizontal="right" vertical="center" shrinkToFit="1"/>
      <protection hidden="1"/>
    </xf>
    <xf numFmtId="188" fontId="16" fillId="0" borderId="44" xfId="1" quotePrefix="1" applyNumberFormat="1" applyFont="1" applyBorder="1" applyAlignment="1" applyProtection="1">
      <alignment horizontal="right" vertical="center" shrinkToFit="1"/>
      <protection hidden="1"/>
    </xf>
    <xf numFmtId="188" fontId="16" fillId="0" borderId="59" xfId="0" applyNumberFormat="1" applyFont="1" applyBorder="1" applyAlignment="1" applyProtection="1">
      <alignment horizontal="right" vertical="center" shrinkToFit="1"/>
      <protection hidden="1"/>
    </xf>
    <xf numFmtId="188" fontId="16" fillId="0" borderId="60" xfId="0" applyNumberFormat="1" applyFont="1" applyBorder="1" applyAlignment="1" applyProtection="1">
      <alignment horizontal="center" vertical="center" shrinkToFit="1"/>
      <protection hidden="1"/>
    </xf>
    <xf numFmtId="188" fontId="16" fillId="0" borderId="61" xfId="0" applyNumberFormat="1" applyFont="1" applyBorder="1" applyAlignment="1" applyProtection="1">
      <alignment horizontal="center" vertical="center" shrinkToFit="1"/>
      <protection hidden="1"/>
    </xf>
    <xf numFmtId="188" fontId="16" fillId="0" borderId="60" xfId="0" applyNumberFormat="1" applyFont="1" applyBorder="1" applyAlignment="1" applyProtection="1">
      <alignment vertical="center" shrinkToFit="1"/>
      <protection hidden="1"/>
    </xf>
    <xf numFmtId="188" fontId="16" fillId="0" borderId="45" xfId="0" quotePrefix="1" applyNumberFormat="1" applyFont="1" applyBorder="1" applyAlignment="1" applyProtection="1">
      <alignment vertical="center" shrinkToFit="1"/>
      <protection hidden="1"/>
    </xf>
    <xf numFmtId="188" fontId="16" fillId="0" borderId="68" xfId="1" quotePrefix="1" applyNumberFormat="1" applyFont="1" applyBorder="1" applyAlignment="1" applyProtection="1">
      <alignment vertical="center" shrinkToFit="1"/>
      <protection hidden="1"/>
    </xf>
    <xf numFmtId="188" fontId="16" fillId="0" borderId="68" xfId="0" quotePrefix="1" applyNumberFormat="1" applyFont="1" applyBorder="1" applyAlignment="1" applyProtection="1">
      <alignment vertical="center" shrinkToFit="1"/>
      <protection hidden="1"/>
    </xf>
    <xf numFmtId="188" fontId="16" fillId="0" borderId="69" xfId="0" quotePrefix="1" applyNumberFormat="1" applyFont="1" applyBorder="1" applyAlignment="1" applyProtection="1">
      <alignment vertical="center" shrinkToFit="1"/>
      <protection hidden="1"/>
    </xf>
    <xf numFmtId="188" fontId="16" fillId="0" borderId="80" xfId="2" applyNumberFormat="1" applyFont="1" applyFill="1" applyBorder="1" applyAlignment="1" applyProtection="1">
      <alignment vertical="center" shrinkToFit="1"/>
      <protection hidden="1"/>
    </xf>
    <xf numFmtId="188" fontId="16" fillId="0" borderId="34" xfId="0" applyNumberFormat="1" applyFont="1" applyBorder="1" applyProtection="1">
      <alignment vertical="center"/>
      <protection hidden="1"/>
    </xf>
    <xf numFmtId="188" fontId="16" fillId="0" borderId="58" xfId="2" applyNumberFormat="1" applyFont="1" applyFill="1" applyBorder="1" applyAlignment="1" applyProtection="1">
      <alignment vertical="center" shrinkToFit="1"/>
      <protection hidden="1"/>
    </xf>
    <xf numFmtId="188" fontId="16" fillId="0" borderId="59" xfId="0" applyNumberFormat="1" applyFont="1" applyBorder="1" applyProtection="1">
      <alignment vertical="center"/>
      <protection hidden="1"/>
    </xf>
    <xf numFmtId="188" fontId="14" fillId="0" borderId="70" xfId="0" applyNumberFormat="1" applyFont="1" applyBorder="1" applyAlignment="1" applyProtection="1">
      <alignment vertical="center" shrinkToFit="1"/>
      <protection hidden="1"/>
    </xf>
    <xf numFmtId="188" fontId="20" fillId="0" borderId="72" xfId="0" applyNumberFormat="1" applyFont="1" applyBorder="1" applyAlignment="1" applyProtection="1">
      <alignment horizontal="right" vertical="center" indent="1" shrinkToFit="1"/>
      <protection hidden="1"/>
    </xf>
    <xf numFmtId="188" fontId="14" fillId="0" borderId="72" xfId="0" applyNumberFormat="1" applyFont="1" applyBorder="1" applyAlignment="1" applyProtection="1">
      <alignment vertical="center" shrinkToFit="1"/>
      <protection hidden="1"/>
    </xf>
    <xf numFmtId="188" fontId="16" fillId="0" borderId="78" xfId="0" applyNumberFormat="1" applyFont="1" applyBorder="1" applyAlignment="1" applyProtection="1">
      <alignment horizontal="right" vertical="center" shrinkToFit="1"/>
      <protection hidden="1"/>
    </xf>
    <xf numFmtId="188" fontId="14" fillId="0" borderId="41" xfId="0" applyNumberFormat="1" applyFont="1" applyBorder="1" applyAlignment="1" applyProtection="1">
      <alignment vertical="center" shrinkToFit="1"/>
      <protection hidden="1"/>
    </xf>
    <xf numFmtId="188" fontId="20" fillId="0" borderId="60" xfId="0" applyNumberFormat="1" applyFont="1" applyBorder="1" applyAlignment="1" applyProtection="1">
      <alignment horizontal="right" vertical="center" indent="1" shrinkToFit="1"/>
      <protection hidden="1"/>
    </xf>
    <xf numFmtId="188" fontId="14" fillId="0" borderId="60" xfId="0" applyNumberFormat="1" applyFont="1" applyBorder="1" applyAlignment="1" applyProtection="1">
      <alignment vertical="center" shrinkToFit="1"/>
      <protection hidden="1"/>
    </xf>
    <xf numFmtId="188" fontId="14" fillId="0" borderId="83" xfId="0" applyNumberFormat="1" applyFont="1" applyBorder="1" applyAlignment="1" applyProtection="1">
      <alignment vertical="center" shrinkToFit="1"/>
      <protection hidden="1"/>
    </xf>
    <xf numFmtId="188" fontId="20" fillId="0" borderId="84" xfId="0" applyNumberFormat="1" applyFont="1" applyBorder="1" applyAlignment="1" applyProtection="1">
      <alignment horizontal="right" vertical="center" indent="1" shrinkToFit="1"/>
      <protection hidden="1"/>
    </xf>
    <xf numFmtId="188" fontId="14" fillId="0" borderId="84" xfId="0" applyNumberFormat="1" applyFont="1" applyBorder="1" applyAlignment="1" applyProtection="1">
      <alignment vertical="center" shrinkToFit="1"/>
      <protection hidden="1"/>
    </xf>
    <xf numFmtId="188" fontId="16" fillId="0" borderId="76" xfId="0" quotePrefix="1" applyNumberFormat="1" applyFont="1" applyBorder="1" applyAlignment="1" applyProtection="1">
      <alignment horizontal="right" vertical="center" shrinkToFit="1"/>
      <protection hidden="1"/>
    </xf>
    <xf numFmtId="188" fontId="16" fillId="0" borderId="72" xfId="0" applyNumberFormat="1" applyFont="1" applyBorder="1" applyAlignment="1" applyProtection="1">
      <alignment horizontal="right" vertical="center" shrinkToFit="1"/>
      <protection hidden="1"/>
    </xf>
    <xf numFmtId="188" fontId="16" fillId="0" borderId="67" xfId="0" quotePrefix="1" applyNumberFormat="1" applyFont="1" applyBorder="1" applyAlignment="1" applyProtection="1">
      <alignment horizontal="right" vertical="center" shrinkToFit="1"/>
      <protection hidden="1"/>
    </xf>
    <xf numFmtId="188" fontId="16" fillId="0" borderId="51" xfId="2" applyNumberFormat="1" applyFont="1" applyFill="1" applyBorder="1" applyAlignment="1" applyProtection="1">
      <alignment vertical="center" shrinkToFit="1"/>
      <protection hidden="1"/>
    </xf>
    <xf numFmtId="188" fontId="16" fillId="0" borderId="72" xfId="0" applyNumberFormat="1" applyFont="1" applyBorder="1" applyAlignment="1" applyProtection="1">
      <alignment horizontal="center" vertical="center" shrinkToFit="1"/>
      <protection hidden="1"/>
    </xf>
    <xf numFmtId="188" fontId="16" fillId="0" borderId="29" xfId="2" applyNumberFormat="1" applyFont="1" applyFill="1" applyBorder="1" applyAlignment="1" applyProtection="1">
      <alignment vertical="center" shrinkToFit="1"/>
      <protection hidden="1"/>
    </xf>
    <xf numFmtId="188" fontId="16" fillId="0" borderId="67" xfId="0" quotePrefix="1" applyNumberFormat="1" applyFont="1" applyBorder="1" applyAlignment="1" applyProtection="1">
      <alignment horizontal="center" vertical="center" shrinkToFit="1"/>
      <protection hidden="1"/>
    </xf>
    <xf numFmtId="188" fontId="16" fillId="0" borderId="43" xfId="0" quotePrefix="1" applyNumberFormat="1" applyFont="1" applyBorder="1" applyAlignment="1" applyProtection="1">
      <alignment horizontal="right" vertical="center" shrinkToFit="1"/>
      <protection hidden="1"/>
    </xf>
    <xf numFmtId="188" fontId="16" fillId="0" borderId="20" xfId="0" quotePrefix="1" applyNumberFormat="1" applyFont="1" applyBorder="1" applyAlignment="1" applyProtection="1">
      <alignment horizontal="right" vertical="center" shrinkToFit="1"/>
      <protection hidden="1"/>
    </xf>
    <xf numFmtId="188" fontId="20" fillId="0" borderId="60" xfId="1" applyNumberFormat="1" applyFont="1" applyBorder="1" applyAlignment="1" applyProtection="1">
      <alignment horizontal="right" vertical="center" indent="1" shrinkToFit="1"/>
      <protection hidden="1"/>
    </xf>
    <xf numFmtId="188" fontId="14" fillId="0" borderId="60" xfId="1" applyNumberFormat="1" applyFont="1" applyBorder="1" applyAlignment="1" applyProtection="1">
      <alignment vertical="center" shrinkToFit="1"/>
      <protection hidden="1"/>
    </xf>
    <xf numFmtId="188" fontId="16" fillId="0" borderId="80" xfId="2" applyNumberFormat="1" applyFont="1" applyFill="1" applyBorder="1" applyAlignment="1" applyProtection="1">
      <alignment horizontal="right" vertical="center" shrinkToFit="1"/>
      <protection hidden="1"/>
    </xf>
    <xf numFmtId="188" fontId="16" fillId="0" borderId="67" xfId="0" applyNumberFormat="1" applyFont="1" applyBorder="1" applyAlignment="1" applyProtection="1">
      <alignment horizontal="right" vertical="center" shrinkToFit="1"/>
      <protection hidden="1"/>
    </xf>
    <xf numFmtId="0" fontId="14" fillId="6" borderId="33" xfId="0" applyFont="1" applyFill="1" applyBorder="1" applyAlignment="1" applyProtection="1">
      <alignment vertical="center" shrinkToFit="1"/>
      <protection locked="0"/>
    </xf>
    <xf numFmtId="0" fontId="14" fillId="10" borderId="33" xfId="0" applyFont="1" applyFill="1" applyBorder="1" applyAlignment="1" applyProtection="1">
      <alignment vertical="center" shrinkToFit="1"/>
      <protection locked="0"/>
    </xf>
    <xf numFmtId="0" fontId="14" fillId="10" borderId="55" xfId="0" applyFont="1" applyFill="1" applyBorder="1" applyAlignment="1" applyProtection="1">
      <alignment vertical="center" shrinkToFit="1"/>
      <protection locked="0"/>
    </xf>
    <xf numFmtId="0" fontId="14" fillId="10" borderId="1" xfId="0" applyFont="1" applyFill="1" applyBorder="1" applyAlignment="1" applyProtection="1">
      <alignment vertical="center" shrinkToFit="1"/>
      <protection locked="0"/>
    </xf>
    <xf numFmtId="0" fontId="14" fillId="10" borderId="24" xfId="0" applyFont="1" applyFill="1" applyBorder="1" applyAlignment="1" applyProtection="1">
      <alignment vertical="center" shrinkToFit="1"/>
      <protection locked="0"/>
    </xf>
    <xf numFmtId="0" fontId="14" fillId="6" borderId="24" xfId="0" applyFont="1" applyFill="1" applyBorder="1" applyAlignment="1" applyProtection="1">
      <alignment vertical="center" shrinkToFit="1"/>
      <protection locked="0"/>
    </xf>
    <xf numFmtId="0" fontId="14" fillId="6" borderId="33" xfId="0" applyFont="1" applyFill="1" applyBorder="1" applyAlignment="1" applyProtection="1">
      <alignment horizontal="left" vertical="center" wrapText="1" indent="1"/>
      <protection locked="0" hidden="1"/>
    </xf>
    <xf numFmtId="0" fontId="14" fillId="6" borderId="68" xfId="0" applyFont="1" applyFill="1" applyBorder="1" applyAlignment="1" applyProtection="1">
      <alignment horizontal="left" vertical="center" wrapText="1" indent="1"/>
      <protection locked="0" hidden="1"/>
    </xf>
    <xf numFmtId="0" fontId="14" fillId="6" borderId="24" xfId="0" applyFont="1" applyFill="1" applyBorder="1" applyAlignment="1" applyProtection="1">
      <alignment horizontal="left" vertical="center" wrapText="1" indent="1"/>
      <protection locked="0" hidden="1"/>
    </xf>
    <xf numFmtId="193" fontId="14" fillId="5" borderId="2" xfId="2" applyNumberFormat="1" applyFont="1" applyFill="1" applyBorder="1" applyAlignment="1" applyProtection="1">
      <alignment horizontal="right" vertical="center" shrinkToFit="1"/>
      <protection locked="0" hidden="1"/>
    </xf>
    <xf numFmtId="193" fontId="14" fillId="5" borderId="62" xfId="2" applyNumberFormat="1" applyFont="1" applyFill="1" applyBorder="1" applyAlignment="1" applyProtection="1">
      <alignment horizontal="right" vertical="center" shrinkToFit="1"/>
      <protection locked="0" hidden="1"/>
    </xf>
    <xf numFmtId="193" fontId="14" fillId="5" borderId="1" xfId="2" applyNumberFormat="1" applyFont="1" applyFill="1" applyBorder="1" applyAlignment="1" applyProtection="1">
      <alignment horizontal="right" vertical="center" shrinkToFit="1"/>
      <protection locked="0" hidden="1"/>
    </xf>
    <xf numFmtId="193" fontId="14" fillId="5" borderId="68" xfId="2" applyNumberFormat="1" applyFont="1" applyFill="1" applyBorder="1" applyAlignment="1" applyProtection="1">
      <alignment horizontal="right" vertical="center" shrinkToFit="1"/>
      <protection locked="0" hidden="1"/>
    </xf>
    <xf numFmtId="193" fontId="14" fillId="5" borderId="23" xfId="2" applyNumberFormat="1" applyFont="1" applyFill="1" applyBorder="1" applyAlignment="1" applyProtection="1">
      <alignment horizontal="right" vertical="center" shrinkToFit="1"/>
      <protection locked="0" hidden="1"/>
    </xf>
    <xf numFmtId="0" fontId="14" fillId="6" borderId="33" xfId="0" applyFont="1" applyFill="1" applyBorder="1" applyAlignment="1" applyProtection="1">
      <alignment horizontal="distributed" vertical="center" wrapText="1" indent="1"/>
      <protection locked="0" hidden="1"/>
    </xf>
    <xf numFmtId="0" fontId="14" fillId="6" borderId="24" xfId="0" applyFont="1" applyFill="1" applyBorder="1" applyAlignment="1" applyProtection="1">
      <alignment horizontal="distributed" vertical="center" wrapText="1" indent="1"/>
      <protection locked="0" hidden="1"/>
    </xf>
    <xf numFmtId="0" fontId="14" fillId="0" borderId="0" xfId="0" quotePrefix="1" applyFont="1">
      <alignment vertical="center"/>
    </xf>
    <xf numFmtId="201" fontId="14" fillId="0" borderId="0" xfId="0" applyNumberFormat="1" applyFont="1">
      <alignment vertical="center"/>
    </xf>
    <xf numFmtId="201" fontId="14" fillId="0" borderId="109" xfId="0" applyNumberFormat="1" applyFont="1" applyBorder="1">
      <alignment vertical="center"/>
    </xf>
    <xf numFmtId="178" fontId="14" fillId="5" borderId="1" xfId="0" applyNumberFormat="1" applyFont="1" applyFill="1" applyBorder="1" applyAlignment="1" applyProtection="1">
      <alignment horizontal="center" vertical="center" shrinkToFit="1"/>
      <protection locked="0"/>
    </xf>
    <xf numFmtId="0" fontId="14" fillId="0" borderId="22" xfId="0" applyFont="1" applyBorder="1" applyAlignment="1" applyProtection="1">
      <alignment horizontal="left" vertical="center" wrapText="1"/>
      <protection hidden="1"/>
    </xf>
    <xf numFmtId="191" fontId="0" fillId="0" borderId="149" xfId="0" applyNumberFormat="1" applyBorder="1">
      <alignment vertical="center"/>
    </xf>
    <xf numFmtId="0" fontId="0" fillId="0" borderId="149" xfId="0" applyBorder="1" applyAlignment="1">
      <alignment vertical="center" shrinkToFit="1"/>
    </xf>
    <xf numFmtId="188" fontId="16" fillId="0" borderId="96" xfId="0" applyNumberFormat="1" applyFont="1" applyBorder="1" applyAlignment="1" applyProtection="1">
      <alignment horizontal="right" vertical="center" shrinkToFit="1"/>
      <protection hidden="1"/>
    </xf>
    <xf numFmtId="188" fontId="16" fillId="0" borderId="94" xfId="0" applyNumberFormat="1" applyFont="1" applyBorder="1" applyAlignment="1" applyProtection="1">
      <alignment horizontal="right" vertical="center" shrinkToFit="1"/>
      <protection hidden="1"/>
    </xf>
    <xf numFmtId="188" fontId="16" fillId="0" borderId="85" xfId="0" applyNumberFormat="1" applyFont="1" applyBorder="1" applyAlignment="1" applyProtection="1">
      <alignment horizontal="right" vertical="center" shrinkToFit="1"/>
      <protection hidden="1"/>
    </xf>
    <xf numFmtId="188" fontId="16" fillId="0" borderId="69" xfId="0" applyNumberFormat="1" applyFont="1" applyBorder="1" applyAlignment="1" applyProtection="1">
      <alignment horizontal="right" vertical="center" shrinkToFit="1"/>
      <protection hidden="1"/>
    </xf>
    <xf numFmtId="188" fontId="16" fillId="0" borderId="114" xfId="0" applyNumberFormat="1" applyFont="1" applyBorder="1" applyAlignment="1" applyProtection="1">
      <alignment horizontal="right" vertical="center" shrinkToFit="1"/>
      <protection hidden="1"/>
    </xf>
    <xf numFmtId="201" fontId="14" fillId="4" borderId="33" xfId="0" applyNumberFormat="1" applyFont="1" applyFill="1" applyBorder="1" applyAlignment="1">
      <alignment vertical="center" shrinkToFit="1"/>
    </xf>
    <xf numFmtId="201" fontId="14" fillId="4" borderId="1" xfId="0" applyNumberFormat="1" applyFont="1" applyFill="1" applyBorder="1" applyAlignment="1">
      <alignment vertical="center" shrinkToFit="1"/>
    </xf>
    <xf numFmtId="201" fontId="14" fillId="4" borderId="35" xfId="0" applyNumberFormat="1" applyFont="1" applyFill="1" applyBorder="1" applyAlignment="1">
      <alignment vertical="center" shrinkToFit="1"/>
    </xf>
    <xf numFmtId="201" fontId="14" fillId="4" borderId="2" xfId="0" applyNumberFormat="1" applyFont="1" applyFill="1" applyBorder="1" applyAlignment="1">
      <alignment vertical="center" shrinkToFit="1"/>
    </xf>
    <xf numFmtId="188" fontId="16" fillId="0" borderId="50" xfId="0" applyNumberFormat="1" applyFont="1" applyBorder="1" applyAlignment="1" applyProtection="1">
      <alignment horizontal="right" vertical="center" shrinkToFit="1"/>
      <protection hidden="1"/>
    </xf>
    <xf numFmtId="188" fontId="16" fillId="0" borderId="1" xfId="0" applyNumberFormat="1" applyFont="1" applyBorder="1" applyAlignment="1" applyProtection="1">
      <alignment horizontal="right" vertical="center" shrinkToFit="1"/>
      <protection hidden="1"/>
    </xf>
    <xf numFmtId="188" fontId="16" fillId="0" borderId="155" xfId="0" applyNumberFormat="1" applyFont="1" applyBorder="1" applyAlignment="1" applyProtection="1">
      <alignment horizontal="right" vertical="center" shrinkToFit="1"/>
      <protection hidden="1"/>
    </xf>
    <xf numFmtId="178" fontId="16" fillId="0" borderId="12" xfId="1" applyNumberFormat="1" applyFont="1" applyBorder="1" applyAlignment="1" applyProtection="1">
      <alignment horizontal="right" vertical="center"/>
      <protection hidden="1"/>
    </xf>
    <xf numFmtId="178" fontId="16" fillId="0" borderId="50" xfId="1" applyNumberFormat="1" applyFont="1" applyBorder="1" applyAlignment="1" applyProtection="1">
      <alignment horizontal="right" vertical="center"/>
      <protection hidden="1"/>
    </xf>
    <xf numFmtId="0" fontId="14" fillId="0" borderId="22" xfId="0" applyFont="1" applyBorder="1" applyAlignment="1">
      <alignment vertical="center" shrinkToFit="1"/>
    </xf>
    <xf numFmtId="201" fontId="14" fillId="4" borderId="24" xfId="0" applyNumberFormat="1" applyFont="1" applyFill="1" applyBorder="1" applyAlignment="1">
      <alignment vertical="center" shrinkToFit="1"/>
    </xf>
    <xf numFmtId="188" fontId="16" fillId="0" borderId="57" xfId="0" quotePrefix="1" applyNumberFormat="1" applyFont="1" applyBorder="1" applyAlignment="1" applyProtection="1">
      <alignment vertical="center" shrinkToFit="1"/>
      <protection hidden="1"/>
    </xf>
    <xf numFmtId="178" fontId="16" fillId="0" borderId="23" xfId="1" applyNumberFormat="1" applyFont="1" applyBorder="1" applyAlignment="1" applyProtection="1">
      <alignment vertical="center" shrinkToFit="1"/>
      <protection hidden="1"/>
    </xf>
    <xf numFmtId="178" fontId="16" fillId="0" borderId="26" xfId="1" applyNumberFormat="1" applyFont="1" applyBorder="1" applyProtection="1">
      <alignment vertical="center"/>
      <protection hidden="1"/>
    </xf>
    <xf numFmtId="178" fontId="16" fillId="0" borderId="2" xfId="1" applyNumberFormat="1" applyFont="1" applyBorder="1" applyProtection="1">
      <alignment vertical="center"/>
      <protection hidden="1"/>
    </xf>
    <xf numFmtId="0" fontId="14" fillId="6" borderId="43" xfId="0" applyFont="1" applyFill="1" applyBorder="1" applyAlignment="1" applyProtection="1">
      <alignment vertical="center" shrinkToFit="1"/>
      <protection locked="0"/>
    </xf>
    <xf numFmtId="201" fontId="14" fillId="5" borderId="33" xfId="0" applyNumberFormat="1" applyFont="1" applyFill="1" applyBorder="1" applyAlignment="1" applyProtection="1">
      <alignment vertical="center" shrinkToFit="1"/>
      <protection locked="0"/>
    </xf>
    <xf numFmtId="201" fontId="14" fillId="5" borderId="1" xfId="0" applyNumberFormat="1" applyFont="1" applyFill="1" applyBorder="1" applyAlignment="1" applyProtection="1">
      <alignment vertical="center" shrinkToFit="1"/>
      <protection locked="0"/>
    </xf>
    <xf numFmtId="196" fontId="14" fillId="5" borderId="33" xfId="0" applyNumberFormat="1" applyFont="1" applyFill="1" applyBorder="1" applyAlignment="1" applyProtection="1">
      <alignment vertical="center" shrinkToFit="1"/>
      <protection locked="0"/>
    </xf>
    <xf numFmtId="196" fontId="14" fillId="5" borderId="1" xfId="0" applyNumberFormat="1" applyFont="1" applyFill="1" applyBorder="1" applyAlignment="1" applyProtection="1">
      <alignment vertical="center" shrinkToFit="1"/>
      <protection locked="0"/>
    </xf>
    <xf numFmtId="196" fontId="14" fillId="5" borderId="37" xfId="0" applyNumberFormat="1" applyFont="1" applyFill="1" applyBorder="1" applyAlignment="1" applyProtection="1">
      <alignment vertical="center" shrinkToFit="1"/>
      <protection locked="0"/>
    </xf>
    <xf numFmtId="0" fontId="14" fillId="5" borderId="33" xfId="0" applyFont="1" applyFill="1" applyBorder="1" applyAlignment="1" applyProtection="1">
      <alignment vertical="center" shrinkToFit="1"/>
      <protection locked="0"/>
    </xf>
    <xf numFmtId="0" fontId="14" fillId="5" borderId="1" xfId="0" applyFont="1" applyFill="1" applyBorder="1" applyAlignment="1" applyProtection="1">
      <alignment vertical="center" shrinkToFit="1"/>
      <protection locked="0"/>
    </xf>
    <xf numFmtId="0" fontId="14" fillId="5" borderId="24" xfId="0" applyFont="1" applyFill="1" applyBorder="1" applyAlignment="1" applyProtection="1">
      <alignment vertical="center" shrinkToFit="1"/>
      <protection locked="0"/>
    </xf>
    <xf numFmtId="0" fontId="14" fillId="4" borderId="120" xfId="0" applyFont="1" applyFill="1" applyBorder="1">
      <alignment vertical="center"/>
    </xf>
    <xf numFmtId="190" fontId="14" fillId="4" borderId="0" xfId="0" applyNumberFormat="1" applyFont="1" applyFill="1">
      <alignment vertical="center"/>
    </xf>
    <xf numFmtId="0" fontId="14" fillId="4" borderId="1" xfId="0" applyFont="1" applyFill="1" applyBorder="1">
      <alignment vertical="center"/>
    </xf>
    <xf numFmtId="190" fontId="14" fillId="4" borderId="1" xfId="0" applyNumberFormat="1" applyFont="1" applyFill="1" applyBorder="1">
      <alignment vertical="center"/>
    </xf>
    <xf numFmtId="192" fontId="14" fillId="4" borderId="1" xfId="0" applyNumberFormat="1" applyFont="1" applyFill="1" applyBorder="1">
      <alignment vertical="center"/>
    </xf>
    <xf numFmtId="0" fontId="14" fillId="4" borderId="0" xfId="0" applyFont="1" applyFill="1" applyAlignment="1">
      <alignment vertical="center" shrinkToFit="1"/>
    </xf>
    <xf numFmtId="0" fontId="14" fillId="4" borderId="1" xfId="0" applyFont="1" applyFill="1" applyBorder="1" applyAlignment="1">
      <alignment vertical="center" wrapText="1"/>
    </xf>
    <xf numFmtId="0" fontId="14" fillId="4" borderId="36" xfId="0" applyFont="1" applyFill="1" applyBorder="1">
      <alignment vertical="center"/>
    </xf>
    <xf numFmtId="0" fontId="14" fillId="4" borderId="0" xfId="0" applyFont="1" applyFill="1" applyAlignment="1">
      <alignment vertical="center" wrapText="1"/>
    </xf>
    <xf numFmtId="201" fontId="14" fillId="4" borderId="0" xfId="0" applyNumberFormat="1" applyFont="1" applyFill="1">
      <alignment vertical="center"/>
    </xf>
    <xf numFmtId="0" fontId="14" fillId="4" borderId="0" xfId="1" applyFont="1" applyFill="1" applyProtection="1">
      <alignment vertical="center"/>
      <protection hidden="1"/>
    </xf>
    <xf numFmtId="178" fontId="16" fillId="4" borderId="0" xfId="0" quotePrefix="1" applyNumberFormat="1" applyFont="1" applyFill="1" applyAlignment="1" applyProtection="1">
      <alignment horizontal="center" vertical="center" shrinkToFit="1"/>
      <protection hidden="1"/>
    </xf>
    <xf numFmtId="0" fontId="14" fillId="4" borderId="1" xfId="0" applyFont="1" applyFill="1" applyBorder="1" applyProtection="1">
      <alignment vertical="center"/>
      <protection hidden="1"/>
    </xf>
    <xf numFmtId="188" fontId="16" fillId="0" borderId="159" xfId="0" quotePrefix="1" applyNumberFormat="1" applyFont="1" applyBorder="1" applyAlignment="1" applyProtection="1">
      <alignment horizontal="right" vertical="center" shrinkToFit="1"/>
      <protection hidden="1"/>
    </xf>
    <xf numFmtId="0" fontId="14" fillId="4" borderId="0" xfId="1" applyFont="1" applyFill="1" applyAlignment="1" applyProtection="1">
      <alignment vertical="center" wrapText="1"/>
      <protection hidden="1"/>
    </xf>
    <xf numFmtId="0" fontId="14" fillId="5" borderId="42" xfId="0" applyFont="1" applyFill="1" applyBorder="1" applyAlignment="1" applyProtection="1">
      <alignment vertical="center" shrinkToFit="1"/>
      <protection locked="0"/>
    </xf>
    <xf numFmtId="0" fontId="14" fillId="0" borderId="37"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8"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8" xfId="0" applyFont="1" applyBorder="1" applyAlignment="1">
      <alignment horizontal="center" vertical="center" wrapText="1"/>
    </xf>
    <xf numFmtId="203" fontId="0" fillId="0" borderId="0" xfId="0" applyNumberFormat="1">
      <alignment vertical="center"/>
    </xf>
    <xf numFmtId="192" fontId="0" fillId="0" borderId="0" xfId="0" applyNumberFormat="1">
      <alignment vertical="center"/>
    </xf>
    <xf numFmtId="202" fontId="14" fillId="6" borderId="1" xfId="0" applyNumberFormat="1" applyFont="1" applyFill="1" applyBorder="1" applyAlignment="1" applyProtection="1">
      <alignment vertical="center" shrinkToFit="1"/>
      <protection locked="0"/>
    </xf>
    <xf numFmtId="202" fontId="14" fillId="6" borderId="24" xfId="0" applyNumberFormat="1" applyFont="1" applyFill="1" applyBorder="1" applyAlignment="1" applyProtection="1">
      <alignment vertical="center" shrinkToFit="1"/>
      <protection locked="0"/>
    </xf>
    <xf numFmtId="202" fontId="14" fillId="6" borderId="42" xfId="0" applyNumberFormat="1" applyFont="1" applyFill="1" applyBorder="1" applyAlignment="1" applyProtection="1">
      <alignment vertical="center" shrinkToFit="1"/>
      <protection locked="0"/>
    </xf>
    <xf numFmtId="188" fontId="16" fillId="0" borderId="55" xfId="0" applyNumberFormat="1" applyFont="1" applyBorder="1" applyAlignment="1" applyProtection="1">
      <alignment vertical="center" shrinkToFit="1"/>
      <protection hidden="1"/>
    </xf>
    <xf numFmtId="188" fontId="16" fillId="0" borderId="55" xfId="1" applyNumberFormat="1" applyFont="1" applyBorder="1" applyAlignment="1" applyProtection="1">
      <alignment vertical="center" shrinkToFit="1"/>
      <protection hidden="1"/>
    </xf>
    <xf numFmtId="188" fontId="16" fillId="0" borderId="1" xfId="0" applyNumberFormat="1" applyFont="1" applyBorder="1" applyAlignment="1" applyProtection="1">
      <alignment vertical="center" shrinkToFit="1"/>
      <protection hidden="1"/>
    </xf>
    <xf numFmtId="188" fontId="16" fillId="0" borderId="1" xfId="1" applyNumberFormat="1" applyFont="1" applyBorder="1" applyAlignment="1" applyProtection="1">
      <alignment vertical="center" shrinkToFit="1"/>
      <protection hidden="1"/>
    </xf>
    <xf numFmtId="188" fontId="16" fillId="0" borderId="68" xfId="0" applyNumberFormat="1" applyFont="1" applyBorder="1" applyAlignment="1" applyProtection="1">
      <alignment vertical="center" shrinkToFit="1"/>
      <protection hidden="1"/>
    </xf>
    <xf numFmtId="0" fontId="14" fillId="11" borderId="8" xfId="0" applyFont="1" applyFill="1" applyBorder="1" applyProtection="1">
      <alignment vertical="center"/>
      <protection hidden="1"/>
    </xf>
    <xf numFmtId="0" fontId="14" fillId="11" borderId="0" xfId="0" applyFont="1" applyFill="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horizontal="center" vertical="center"/>
      <protection hidden="1"/>
    </xf>
    <xf numFmtId="0" fontId="14" fillId="0" borderId="0" xfId="0" applyFont="1" applyProtection="1">
      <alignment vertical="center"/>
      <protection hidden="1"/>
    </xf>
    <xf numFmtId="0" fontId="24" fillId="0" borderId="32" xfId="0" applyFont="1" applyBorder="1" applyAlignment="1">
      <alignment horizontal="center" vertical="center" wrapText="1"/>
    </xf>
    <xf numFmtId="0" fontId="24" fillId="0" borderId="68" xfId="0" applyFont="1" applyBorder="1" applyAlignment="1">
      <alignment horizontal="center" vertical="center" wrapText="1"/>
    </xf>
    <xf numFmtId="0" fontId="14" fillId="0" borderId="0" xfId="0" applyFont="1">
      <alignment vertical="center"/>
    </xf>
    <xf numFmtId="0" fontId="20" fillId="8" borderId="0" xfId="0" applyFont="1" applyFill="1" applyProtection="1">
      <alignment vertical="center"/>
      <protection hidden="1"/>
    </xf>
    <xf numFmtId="0" fontId="14" fillId="6" borderId="113" xfId="0" applyFont="1" applyFill="1" applyBorder="1" applyAlignment="1" applyProtection="1">
      <alignment vertical="center" shrinkToFit="1"/>
      <protection locked="0"/>
    </xf>
    <xf numFmtId="0" fontId="4" fillId="0" borderId="88" xfId="0" applyFont="1" applyBorder="1" applyAlignment="1" applyProtection="1">
      <alignment horizontal="center" vertical="center"/>
      <protection hidden="1"/>
    </xf>
    <xf numFmtId="0" fontId="14" fillId="6" borderId="115" xfId="0" applyFont="1" applyFill="1" applyBorder="1" applyAlignment="1" applyProtection="1">
      <alignment vertical="center" shrinkToFit="1"/>
      <protection locked="0"/>
    </xf>
    <xf numFmtId="0" fontId="14" fillId="6" borderId="55" xfId="0" applyFont="1" applyFill="1" applyBorder="1" applyAlignment="1" applyProtection="1">
      <alignment vertical="center" shrinkToFit="1"/>
      <protection locked="0"/>
    </xf>
    <xf numFmtId="202" fontId="14" fillId="6" borderId="55" xfId="0" applyNumberFormat="1" applyFont="1" applyFill="1" applyBorder="1" applyAlignment="1" applyProtection="1">
      <alignment vertical="center" shrinkToFit="1"/>
      <protection locked="0"/>
    </xf>
    <xf numFmtId="190" fontId="14" fillId="4" borderId="54" xfId="0" applyNumberFormat="1" applyFont="1" applyFill="1" applyBorder="1" applyAlignment="1">
      <alignment vertical="center" shrinkToFit="1"/>
    </xf>
    <xf numFmtId="0" fontId="14" fillId="6" borderId="95" xfId="0" applyFont="1" applyFill="1" applyBorder="1" applyAlignment="1" applyProtection="1">
      <alignment vertical="center" shrinkToFit="1"/>
      <protection locked="0"/>
    </xf>
    <xf numFmtId="0" fontId="14" fillId="6" borderId="1" xfId="0" applyFont="1" applyFill="1" applyBorder="1" applyAlignment="1" applyProtection="1">
      <alignment vertical="center" shrinkToFit="1"/>
      <protection locked="0"/>
    </xf>
    <xf numFmtId="190" fontId="14" fillId="4" borderId="2" xfId="0" applyNumberFormat="1" applyFont="1" applyFill="1" applyBorder="1" applyAlignment="1">
      <alignment vertical="center" shrinkToFit="1"/>
    </xf>
    <xf numFmtId="0" fontId="14" fillId="6" borderId="116" xfId="0" applyFont="1" applyFill="1" applyBorder="1" applyAlignment="1" applyProtection="1">
      <alignment vertical="center" shrinkToFit="1"/>
      <protection locked="0"/>
    </xf>
    <xf numFmtId="0" fontId="14" fillId="6" borderId="68" xfId="0" applyFont="1" applyFill="1" applyBorder="1" applyAlignment="1" applyProtection="1">
      <alignment vertical="center" shrinkToFit="1"/>
      <protection locked="0"/>
    </xf>
    <xf numFmtId="202" fontId="14" fillId="6" borderId="68" xfId="0" applyNumberFormat="1" applyFont="1" applyFill="1" applyBorder="1" applyAlignment="1" applyProtection="1">
      <alignment vertical="center" shrinkToFit="1"/>
      <protection locked="0"/>
    </xf>
    <xf numFmtId="190" fontId="14" fillId="4" borderId="62" xfId="0" applyNumberFormat="1" applyFont="1" applyFill="1" applyBorder="1" applyAlignment="1">
      <alignment vertical="center" shrinkToFit="1"/>
    </xf>
    <xf numFmtId="0" fontId="14" fillId="6" borderId="98" xfId="0" applyFont="1" applyFill="1" applyBorder="1" applyAlignment="1" applyProtection="1">
      <alignment vertical="center" shrinkToFit="1"/>
      <protection locked="0"/>
    </xf>
    <xf numFmtId="190" fontId="14" fillId="4" borderId="23" xfId="0" applyNumberFormat="1" applyFont="1" applyFill="1" applyBorder="1" applyAlignment="1">
      <alignment vertical="center" shrinkToFit="1"/>
    </xf>
    <xf numFmtId="202" fontId="14" fillId="5" borderId="1" xfId="0" applyNumberFormat="1" applyFont="1" applyFill="1" applyBorder="1" applyAlignment="1" applyProtection="1">
      <alignment vertical="center" shrinkToFit="1"/>
      <protection locked="0"/>
    </xf>
    <xf numFmtId="202" fontId="14" fillId="5" borderId="24" xfId="0" applyNumberFormat="1" applyFont="1" applyFill="1" applyBorder="1" applyAlignment="1" applyProtection="1">
      <alignment vertical="center" shrinkToFit="1"/>
      <protection locked="0"/>
    </xf>
    <xf numFmtId="0" fontId="4" fillId="0" borderId="1" xfId="0" applyFont="1" applyBorder="1" applyAlignment="1" applyProtection="1">
      <alignment horizontal="center" vertical="center"/>
      <protection hidden="1"/>
    </xf>
    <xf numFmtId="0" fontId="14" fillId="4" borderId="1" xfId="0" applyFont="1" applyFill="1" applyBorder="1" applyAlignment="1">
      <alignment vertical="center" wrapText="1"/>
    </xf>
    <xf numFmtId="0" fontId="14" fillId="4" borderId="1" xfId="0" applyFont="1" applyFill="1" applyBorder="1">
      <alignment vertical="center"/>
    </xf>
    <xf numFmtId="0" fontId="0" fillId="3" borderId="1" xfId="0" applyFill="1" applyBorder="1" applyAlignment="1">
      <alignment horizontal="center" vertical="center"/>
    </xf>
    <xf numFmtId="0" fontId="0" fillId="3" borderId="1" xfId="0" applyFill="1" applyBorder="1">
      <alignment vertical="center"/>
    </xf>
    <xf numFmtId="0" fontId="14" fillId="4" borderId="1" xfId="0" applyFont="1" applyFill="1" applyBorder="1">
      <alignment vertical="center"/>
    </xf>
    <xf numFmtId="0" fontId="14" fillId="4" borderId="3" xfId="0" applyFont="1" applyFill="1" applyBorder="1">
      <alignment vertical="center"/>
    </xf>
    <xf numFmtId="0" fontId="14" fillId="4" borderId="1" xfId="0" applyFont="1" applyFill="1" applyBorder="1">
      <alignment vertical="center"/>
    </xf>
    <xf numFmtId="0" fontId="14" fillId="4" borderId="1" xfId="0" applyFont="1" applyFill="1" applyBorder="1">
      <alignment vertical="center"/>
    </xf>
    <xf numFmtId="0" fontId="14" fillId="4" borderId="1" xfId="0" applyFont="1" applyFill="1" applyBorder="1" applyAlignment="1">
      <alignment vertical="center" wrapText="1"/>
    </xf>
    <xf numFmtId="0" fontId="14" fillId="4" borderId="1" xfId="1" applyFont="1" applyFill="1" applyBorder="1" applyProtection="1">
      <alignment vertical="center"/>
      <protection hidden="1"/>
    </xf>
    <xf numFmtId="0" fontId="14" fillId="4" borderId="1" xfId="1" applyFont="1" applyFill="1" applyBorder="1" applyAlignment="1" applyProtection="1">
      <alignment vertical="center" wrapText="1"/>
      <protection hidden="1"/>
    </xf>
    <xf numFmtId="0" fontId="14" fillId="4" borderId="1" xfId="0" applyFont="1" applyFill="1" applyBorder="1">
      <alignment vertical="center"/>
    </xf>
    <xf numFmtId="0" fontId="0" fillId="0" borderId="1" xfId="0" applyBorder="1" applyAlignment="1">
      <alignment vertical="center" shrinkToFit="1"/>
    </xf>
    <xf numFmtId="49" fontId="45" fillId="0" borderId="1" xfId="0" quotePrefix="1" applyNumberFormat="1" applyFont="1" applyBorder="1" applyAlignment="1">
      <alignment horizontal="center" vertical="center"/>
    </xf>
    <xf numFmtId="0" fontId="45" fillId="0" borderId="1" xfId="0" applyFont="1" applyBorder="1" applyAlignment="1">
      <alignment vertical="center" shrinkToFit="1"/>
    </xf>
    <xf numFmtId="0" fontId="45" fillId="0" borderId="1" xfId="0" applyFont="1" applyBorder="1" applyAlignment="1">
      <alignment horizontal="left" vertical="center" shrinkToFit="1"/>
    </xf>
    <xf numFmtId="197" fontId="45" fillId="0" borderId="1" xfId="6" applyNumberFormat="1" applyFont="1" applyBorder="1" applyAlignment="1">
      <alignment horizontal="right" vertical="center" shrinkToFit="1"/>
    </xf>
    <xf numFmtId="49" fontId="45" fillId="0" borderId="1" xfId="0" applyNumberFormat="1" applyFont="1" applyBorder="1" applyAlignment="1">
      <alignment horizontal="center" vertical="center"/>
    </xf>
    <xf numFmtId="194" fontId="45" fillId="0" borderId="1" xfId="0" applyNumberFormat="1" applyFont="1" applyBorder="1" applyAlignment="1">
      <alignment horizontal="right" vertical="center"/>
    </xf>
    <xf numFmtId="0" fontId="46" fillId="0" borderId="1" xfId="0" applyFont="1" applyBorder="1" applyAlignment="1">
      <alignment horizontal="center" vertical="center" shrinkToFit="1"/>
    </xf>
    <xf numFmtId="197" fontId="0" fillId="0" borderId="1" xfId="6" applyNumberFormat="1" applyFont="1" applyBorder="1" applyAlignment="1">
      <alignment horizontal="right" vertical="center" shrinkToFit="1"/>
    </xf>
    <xf numFmtId="197" fontId="45" fillId="0" borderId="1" xfId="6" applyNumberFormat="1" applyFont="1" applyBorder="1" applyAlignment="1">
      <alignment horizontal="right" vertical="center"/>
    </xf>
    <xf numFmtId="194" fontId="45" fillId="0" borderId="1" xfId="0" applyNumberFormat="1" applyFont="1" applyBorder="1" applyAlignment="1">
      <alignment horizontal="center" vertical="center"/>
    </xf>
    <xf numFmtId="3" fontId="0" fillId="0" borderId="1" xfId="0" applyNumberFormat="1" applyBorder="1">
      <alignment vertical="center"/>
    </xf>
    <xf numFmtId="198" fontId="0" fillId="0" borderId="1" xfId="0" applyNumberFormat="1" applyBorder="1">
      <alignment vertical="center"/>
    </xf>
    <xf numFmtId="0" fontId="0" fillId="6" borderId="37" xfId="0" applyFill="1" applyBorder="1" applyAlignment="1">
      <alignment vertical="center" wrapText="1"/>
    </xf>
    <xf numFmtId="0" fontId="0" fillId="0" borderId="160" xfId="0" applyBorder="1">
      <alignment vertical="center"/>
    </xf>
    <xf numFmtId="178" fontId="16" fillId="0" borderId="1" xfId="0" applyNumberFormat="1" applyFont="1" applyBorder="1" applyAlignment="1" applyProtection="1">
      <alignment vertical="center" shrinkToFit="1"/>
    </xf>
    <xf numFmtId="0" fontId="14" fillId="5" borderId="23" xfId="0" applyFont="1" applyFill="1" applyBorder="1" applyAlignment="1" applyProtection="1">
      <alignment vertical="center" shrinkToFit="1"/>
      <protection locked="0"/>
    </xf>
    <xf numFmtId="0" fontId="14" fillId="5" borderId="2" xfId="0" applyFont="1" applyFill="1" applyBorder="1" applyAlignment="1" applyProtection="1">
      <alignment vertical="center" shrinkToFit="1"/>
      <protection locked="0"/>
    </xf>
    <xf numFmtId="195" fontId="14" fillId="5" borderId="54" xfId="0" applyNumberFormat="1" applyFont="1" applyFill="1" applyBorder="1" applyAlignment="1" applyProtection="1">
      <alignment vertical="center" shrinkToFit="1"/>
      <protection locked="0"/>
    </xf>
    <xf numFmtId="195" fontId="14" fillId="5" borderId="2" xfId="0" applyNumberFormat="1" applyFont="1" applyFill="1" applyBorder="1" applyAlignment="1" applyProtection="1">
      <alignment vertical="center" shrinkToFit="1"/>
      <protection locked="0"/>
    </xf>
    <xf numFmtId="195" fontId="14" fillId="5" borderId="62" xfId="0" applyNumberFormat="1" applyFont="1" applyFill="1" applyBorder="1" applyAlignment="1" applyProtection="1">
      <alignment vertical="center" shrinkToFit="1"/>
      <protection locked="0"/>
    </xf>
    <xf numFmtId="195" fontId="14" fillId="5" borderId="23" xfId="0" applyNumberFormat="1" applyFont="1" applyFill="1" applyBorder="1" applyAlignment="1" applyProtection="1">
      <alignment vertical="center" shrinkToFit="1"/>
      <protection locked="0"/>
    </xf>
    <xf numFmtId="195" fontId="14" fillId="0" borderId="54" xfId="0" applyNumberFormat="1" applyFont="1" applyFill="1" applyBorder="1" applyAlignment="1" applyProtection="1">
      <alignment vertical="center" shrinkToFit="1"/>
    </xf>
    <xf numFmtId="196" fontId="14" fillId="4" borderId="54" xfId="0" applyNumberFormat="1" applyFont="1" applyFill="1" applyBorder="1" applyAlignment="1">
      <alignment vertical="center" shrinkToFit="1"/>
    </xf>
    <xf numFmtId="202" fontId="14" fillId="8" borderId="55" xfId="0" applyNumberFormat="1" applyFont="1" applyFill="1" applyBorder="1" applyAlignment="1">
      <alignment vertical="center" shrinkToFit="1"/>
    </xf>
    <xf numFmtId="196" fontId="14" fillId="0" borderId="54" xfId="0" applyNumberFormat="1" applyFont="1" applyBorder="1" applyAlignment="1">
      <alignment vertical="center" shrinkToFit="1"/>
    </xf>
    <xf numFmtId="194" fontId="14" fillId="8" borderId="55" xfId="0" applyNumberFormat="1" applyFont="1" applyFill="1" applyBorder="1" applyAlignment="1">
      <alignment vertical="center" shrinkToFit="1"/>
    </xf>
    <xf numFmtId="196" fontId="14" fillId="0" borderId="78" xfId="0" applyNumberFormat="1" applyFont="1" applyBorder="1" applyAlignment="1">
      <alignment vertical="center" shrinkToFit="1"/>
    </xf>
    <xf numFmtId="195" fontId="14" fillId="0" borderId="1" xfId="0" applyNumberFormat="1" applyFont="1" applyFill="1" applyBorder="1" applyAlignment="1" applyProtection="1">
      <alignment vertical="center" shrinkToFit="1"/>
    </xf>
    <xf numFmtId="196" fontId="14" fillId="4" borderId="2" xfId="0" applyNumberFormat="1" applyFont="1" applyFill="1" applyBorder="1" applyAlignment="1">
      <alignment vertical="center" shrinkToFit="1"/>
    </xf>
    <xf numFmtId="202" fontId="14" fillId="8" borderId="1" xfId="0" applyNumberFormat="1" applyFont="1" applyFill="1" applyBorder="1" applyAlignment="1">
      <alignment vertical="center" shrinkToFit="1"/>
    </xf>
    <xf numFmtId="196" fontId="14" fillId="0" borderId="2" xfId="0" applyNumberFormat="1" applyFont="1" applyBorder="1" applyAlignment="1">
      <alignment vertical="center" shrinkToFit="1"/>
    </xf>
    <xf numFmtId="194" fontId="14" fillId="8" borderId="1" xfId="0" applyNumberFormat="1" applyFont="1" applyFill="1" applyBorder="1" applyAlignment="1">
      <alignment vertical="center" shrinkToFit="1"/>
    </xf>
    <xf numFmtId="196" fontId="14" fillId="0" borderId="57" xfId="0" applyNumberFormat="1" applyFont="1" applyBorder="1" applyAlignment="1">
      <alignment vertical="center" shrinkToFit="1"/>
    </xf>
    <xf numFmtId="195" fontId="14" fillId="0" borderId="68" xfId="0" applyNumberFormat="1" applyFont="1" applyFill="1" applyBorder="1" applyAlignment="1" applyProtection="1">
      <alignment vertical="center" shrinkToFit="1"/>
    </xf>
    <xf numFmtId="196" fontId="14" fillId="4" borderId="62" xfId="0" applyNumberFormat="1" applyFont="1" applyFill="1" applyBorder="1" applyAlignment="1">
      <alignment vertical="center" shrinkToFit="1"/>
    </xf>
    <xf numFmtId="202" fontId="14" fillId="8" borderId="68" xfId="0" applyNumberFormat="1" applyFont="1" applyFill="1" applyBorder="1" applyAlignment="1">
      <alignment vertical="center" shrinkToFit="1"/>
    </xf>
    <xf numFmtId="196" fontId="14" fillId="0" borderId="62" xfId="0" applyNumberFormat="1" applyFont="1" applyBorder="1" applyAlignment="1">
      <alignment vertical="center" shrinkToFit="1"/>
    </xf>
    <xf numFmtId="194" fontId="14" fillId="8" borderId="68" xfId="0" applyNumberFormat="1" applyFont="1" applyFill="1" applyBorder="1" applyAlignment="1">
      <alignment vertical="center" shrinkToFit="1"/>
    </xf>
    <xf numFmtId="196" fontId="14" fillId="0" borderId="69" xfId="0" applyNumberFormat="1" applyFont="1" applyBorder="1" applyAlignment="1">
      <alignment vertical="center" shrinkToFit="1"/>
    </xf>
    <xf numFmtId="195" fontId="14" fillId="0" borderId="1" xfId="0" applyNumberFormat="1" applyFont="1" applyBorder="1" applyAlignment="1">
      <alignment vertical="center" shrinkToFit="1"/>
    </xf>
    <xf numFmtId="195" fontId="14" fillId="0" borderId="24" xfId="0" applyNumberFormat="1" applyFont="1" applyBorder="1" applyAlignment="1">
      <alignment vertical="center" shrinkToFit="1"/>
    </xf>
    <xf numFmtId="196" fontId="14" fillId="4" borderId="23" xfId="0" applyNumberFormat="1" applyFont="1" applyFill="1" applyBorder="1" applyAlignment="1">
      <alignment vertical="center" shrinkToFit="1"/>
    </xf>
    <xf numFmtId="202" fontId="14" fillId="8" borderId="24" xfId="0" applyNumberFormat="1" applyFont="1" applyFill="1" applyBorder="1" applyAlignment="1">
      <alignment vertical="center" shrinkToFit="1"/>
    </xf>
    <xf numFmtId="196" fontId="14" fillId="0" borderId="23" xfId="0" applyNumberFormat="1" applyFont="1" applyBorder="1" applyAlignment="1">
      <alignment vertical="center" shrinkToFit="1"/>
    </xf>
    <xf numFmtId="194" fontId="14" fillId="8" borderId="24" xfId="0" applyNumberFormat="1" applyFont="1" applyFill="1" applyBorder="1" applyAlignment="1">
      <alignment vertical="center" shrinkToFit="1"/>
    </xf>
    <xf numFmtId="196" fontId="14" fillId="0" borderId="96" xfId="0" applyNumberFormat="1" applyFont="1" applyBorder="1" applyAlignment="1">
      <alignment vertical="center" shrinkToFit="1"/>
    </xf>
    <xf numFmtId="201" fontId="14" fillId="4" borderId="55" xfId="0" applyNumberFormat="1" applyFont="1" applyFill="1" applyBorder="1" applyAlignment="1">
      <alignment vertical="center" shrinkToFit="1"/>
    </xf>
    <xf numFmtId="201" fontId="14" fillId="0" borderId="33" xfId="0" applyNumberFormat="1" applyFont="1" applyBorder="1" applyAlignment="1">
      <alignment vertical="center" shrinkToFit="1"/>
    </xf>
    <xf numFmtId="201" fontId="14" fillId="0" borderId="112" xfId="0" applyNumberFormat="1" applyFont="1" applyBorder="1" applyAlignment="1">
      <alignment vertical="center" shrinkToFit="1"/>
    </xf>
    <xf numFmtId="201" fontId="14" fillId="0" borderId="1" xfId="0" applyNumberFormat="1" applyFont="1" applyBorder="1" applyAlignment="1">
      <alignment vertical="center" shrinkToFit="1"/>
    </xf>
    <xf numFmtId="201" fontId="14" fillId="0" borderId="57" xfId="0" applyNumberFormat="1" applyFont="1" applyBorder="1" applyAlignment="1">
      <alignment vertical="center" shrinkToFit="1"/>
    </xf>
    <xf numFmtId="201" fontId="14" fillId="4" borderId="42" xfId="0" applyNumberFormat="1" applyFont="1" applyFill="1" applyBorder="1" applyAlignment="1">
      <alignment vertical="center" shrinkToFit="1"/>
    </xf>
    <xf numFmtId="201" fontId="14" fillId="0" borderId="24" xfId="0" applyNumberFormat="1" applyFont="1" applyBorder="1" applyAlignment="1">
      <alignment vertical="center" shrinkToFit="1"/>
    </xf>
    <xf numFmtId="201" fontId="14" fillId="4" borderId="19" xfId="0" applyNumberFormat="1" applyFont="1" applyFill="1" applyBorder="1" applyAlignment="1">
      <alignment vertical="center" shrinkToFit="1"/>
    </xf>
    <xf numFmtId="201" fontId="14" fillId="0" borderId="96" xfId="0" applyNumberFormat="1" applyFont="1" applyBorder="1" applyAlignment="1">
      <alignment vertical="center" shrinkToFit="1"/>
    </xf>
    <xf numFmtId="0" fontId="14" fillId="5" borderId="37" xfId="0" applyFont="1" applyFill="1" applyBorder="1" applyAlignment="1" applyProtection="1">
      <alignment vertical="center" shrinkToFit="1"/>
      <protection locked="0"/>
    </xf>
    <xf numFmtId="0" fontId="14" fillId="0" borderId="33" xfId="0" applyFont="1" applyBorder="1" applyAlignment="1">
      <alignment vertical="center" shrinkToFit="1"/>
    </xf>
    <xf numFmtId="196" fontId="14" fillId="0" borderId="42" xfId="0" applyNumberFormat="1" applyFont="1" applyBorder="1" applyAlignment="1">
      <alignment vertical="center" shrinkToFit="1"/>
    </xf>
    <xf numFmtId="196" fontId="14" fillId="2" borderId="42" xfId="0" applyNumberFormat="1" applyFont="1" applyFill="1" applyBorder="1" applyAlignment="1">
      <alignment vertical="center" shrinkToFit="1"/>
    </xf>
    <xf numFmtId="0" fontId="14" fillId="2" borderId="42" xfId="0" applyFont="1" applyFill="1" applyBorder="1" applyAlignment="1">
      <alignment vertical="center" shrinkToFit="1"/>
    </xf>
    <xf numFmtId="196" fontId="14" fillId="0" borderId="33" xfId="0" applyNumberFormat="1" applyFont="1" applyBorder="1" applyAlignment="1">
      <alignment vertical="center" shrinkToFit="1"/>
    </xf>
    <xf numFmtId="0" fontId="14" fillId="10" borderId="68" xfId="0" applyFont="1" applyFill="1" applyBorder="1" applyAlignment="1" applyProtection="1">
      <alignment vertical="center" shrinkToFit="1"/>
      <protection locked="0"/>
    </xf>
    <xf numFmtId="0" fontId="14" fillId="0" borderId="24" xfId="0" applyFont="1" applyBorder="1" applyAlignment="1">
      <alignment vertical="center" shrinkToFit="1"/>
    </xf>
    <xf numFmtId="196" fontId="14" fillId="0" borderId="19" xfId="0" applyNumberFormat="1" applyFont="1" applyBorder="1" applyAlignment="1">
      <alignment vertical="center" shrinkToFit="1"/>
    </xf>
    <xf numFmtId="196" fontId="14" fillId="2" borderId="23" xfId="0" applyNumberFormat="1" applyFont="1" applyFill="1" applyBorder="1" applyAlignment="1">
      <alignment vertical="center" shrinkToFit="1"/>
    </xf>
    <xf numFmtId="0" fontId="14" fillId="2" borderId="23" xfId="0" applyFont="1" applyFill="1" applyBorder="1" applyAlignment="1">
      <alignment vertical="center" shrinkToFit="1"/>
    </xf>
    <xf numFmtId="196" fontId="14" fillId="0" borderId="24" xfId="0" applyNumberFormat="1" applyFont="1" applyBorder="1" applyAlignment="1">
      <alignment vertical="center" shrinkToFit="1"/>
    </xf>
    <xf numFmtId="192" fontId="14" fillId="8" borderId="1" xfId="0" applyNumberFormat="1" applyFont="1" applyFill="1" applyBorder="1" applyAlignment="1">
      <alignment vertical="center" shrinkToFit="1"/>
    </xf>
    <xf numFmtId="192" fontId="14" fillId="5" borderId="1" xfId="0" applyNumberFormat="1" applyFont="1" applyFill="1" applyBorder="1" applyAlignment="1" applyProtection="1">
      <alignment vertical="center" shrinkToFit="1"/>
      <protection locked="0"/>
    </xf>
    <xf numFmtId="192" fontId="14" fillId="10" borderId="33" xfId="0" applyNumberFormat="1" applyFont="1" applyFill="1" applyBorder="1" applyAlignment="1">
      <alignment vertical="center" shrinkToFit="1"/>
    </xf>
    <xf numFmtId="192" fontId="14" fillId="10" borderId="33" xfId="0" applyNumberFormat="1" applyFont="1" applyFill="1" applyBorder="1" applyAlignment="1" applyProtection="1">
      <alignment vertical="center" shrinkToFit="1"/>
      <protection locked="0"/>
    </xf>
    <xf numFmtId="192" fontId="14" fillId="8" borderId="24" xfId="0" applyNumberFormat="1" applyFont="1" applyFill="1" applyBorder="1" applyAlignment="1">
      <alignment vertical="center" shrinkToFit="1"/>
    </xf>
    <xf numFmtId="192" fontId="14" fillId="5" borderId="24" xfId="0" applyNumberFormat="1" applyFont="1" applyFill="1" applyBorder="1" applyAlignment="1" applyProtection="1">
      <alignment vertical="center" shrinkToFit="1"/>
      <protection locked="0"/>
    </xf>
    <xf numFmtId="192" fontId="14" fillId="10" borderId="43" xfId="0" applyNumberFormat="1" applyFont="1" applyFill="1" applyBorder="1" applyAlignment="1" applyProtection="1">
      <alignment vertical="center" shrinkToFit="1"/>
      <protection locked="0"/>
    </xf>
    <xf numFmtId="0" fontId="14" fillId="5" borderId="55" xfId="0" applyFont="1" applyFill="1" applyBorder="1" applyAlignment="1" applyProtection="1">
      <alignment vertical="center" shrinkToFit="1"/>
      <protection locked="0"/>
    </xf>
    <xf numFmtId="0" fontId="14" fillId="5" borderId="68" xfId="0" applyFont="1" applyFill="1" applyBorder="1" applyAlignment="1" applyProtection="1">
      <alignment vertical="center" shrinkToFit="1"/>
      <protection locked="0"/>
    </xf>
    <xf numFmtId="199" fontId="14" fillId="5" borderId="55" xfId="1" applyNumberFormat="1" applyFont="1" applyFill="1" applyBorder="1" applyAlignment="1" applyProtection="1">
      <alignment vertical="center" shrinkToFit="1"/>
      <protection locked="0" hidden="1"/>
    </xf>
    <xf numFmtId="199" fontId="14" fillId="5" borderId="1" xfId="1" applyNumberFormat="1" applyFont="1" applyFill="1" applyBorder="1" applyAlignment="1" applyProtection="1">
      <alignment vertical="center" shrinkToFit="1"/>
      <protection locked="0" hidden="1"/>
    </xf>
    <xf numFmtId="199" fontId="14" fillId="5" borderId="68" xfId="1" applyNumberFormat="1" applyFont="1" applyFill="1" applyBorder="1" applyAlignment="1" applyProtection="1">
      <alignment vertical="center" shrinkToFit="1"/>
      <protection locked="0" hidden="1"/>
    </xf>
    <xf numFmtId="178" fontId="14" fillId="5" borderId="32" xfId="0" applyNumberFormat="1" applyFont="1" applyFill="1" applyBorder="1" applyAlignment="1" applyProtection="1">
      <alignment vertical="center" shrinkToFit="1"/>
      <protection locked="0"/>
    </xf>
    <xf numFmtId="178" fontId="14" fillId="5" borderId="1" xfId="0" applyNumberFormat="1" applyFont="1" applyFill="1" applyBorder="1" applyAlignment="1" applyProtection="1">
      <alignment vertical="center" shrinkToFit="1"/>
      <protection locked="0"/>
    </xf>
    <xf numFmtId="178" fontId="14" fillId="5" borderId="24" xfId="0" applyNumberFormat="1" applyFont="1" applyFill="1" applyBorder="1" applyAlignment="1" applyProtection="1">
      <alignment vertical="center" shrinkToFit="1"/>
      <protection locked="0"/>
    </xf>
    <xf numFmtId="178" fontId="14" fillId="5" borderId="94" xfId="0" applyNumberFormat="1" applyFont="1" applyFill="1" applyBorder="1" applyAlignment="1" applyProtection="1">
      <alignment vertical="center" shrinkToFit="1"/>
      <protection locked="0"/>
    </xf>
    <xf numFmtId="178" fontId="14" fillId="5" borderId="57" xfId="0" applyNumberFormat="1" applyFont="1" applyFill="1" applyBorder="1" applyAlignment="1" applyProtection="1">
      <alignment vertical="center" shrinkToFit="1"/>
      <protection locked="0"/>
    </xf>
    <xf numFmtId="178" fontId="14" fillId="5" borderId="96" xfId="0" applyNumberFormat="1" applyFont="1" applyFill="1" applyBorder="1" applyAlignment="1" applyProtection="1">
      <alignment vertical="center" shrinkToFit="1"/>
      <protection locked="0"/>
    </xf>
    <xf numFmtId="0" fontId="14" fillId="6" borderId="93" xfId="0" applyFont="1" applyFill="1" applyBorder="1" applyAlignment="1" applyProtection="1">
      <alignment vertical="center" shrinkToFit="1"/>
      <protection locked="0"/>
    </xf>
    <xf numFmtId="0" fontId="14" fillId="6" borderId="32" xfId="0" applyFont="1" applyFill="1" applyBorder="1" applyAlignment="1" applyProtection="1">
      <alignment vertical="center" shrinkToFit="1"/>
      <protection locked="0"/>
    </xf>
    <xf numFmtId="0" fontId="14" fillId="0" borderId="32" xfId="0" applyFont="1" applyBorder="1" applyAlignment="1">
      <alignment vertical="center" shrinkToFit="1"/>
    </xf>
    <xf numFmtId="0" fontId="14" fillId="0" borderId="1" xfId="0" applyFont="1" applyBorder="1" applyAlignment="1">
      <alignment vertical="center" shrinkToFit="1"/>
    </xf>
    <xf numFmtId="0" fontId="14" fillId="4" borderId="1" xfId="0" applyFont="1" applyFill="1" applyBorder="1">
      <alignment vertical="center"/>
    </xf>
    <xf numFmtId="0" fontId="14" fillId="4" borderId="1" xfId="0" applyFont="1" applyFill="1" applyBorder="1">
      <alignment vertical="center"/>
    </xf>
    <xf numFmtId="0" fontId="14" fillId="4" borderId="1" xfId="0" applyFont="1" applyFill="1" applyBorder="1">
      <alignment vertical="center"/>
    </xf>
    <xf numFmtId="0" fontId="0" fillId="8" borderId="146" xfId="0" applyNumberFormat="1" applyFill="1" applyBorder="1">
      <alignment vertical="center"/>
    </xf>
    <xf numFmtId="0" fontId="14" fillId="4" borderId="1" xfId="0" applyFont="1" applyFill="1" applyBorder="1">
      <alignment vertical="center"/>
    </xf>
    <xf numFmtId="0" fontId="14" fillId="0" borderId="26" xfId="0" applyFont="1" applyBorder="1" applyAlignment="1" applyProtection="1">
      <alignment horizontal="distributed" vertical="center"/>
      <protection hidden="1"/>
    </xf>
    <xf numFmtId="0" fontId="14" fillId="0" borderId="28" xfId="0" applyFont="1" applyBorder="1" applyAlignment="1" applyProtection="1">
      <alignment horizontal="distributed" vertical="center"/>
      <protection hidden="1"/>
    </xf>
    <xf numFmtId="0" fontId="14" fillId="0" borderId="100" xfId="0" applyFont="1" applyBorder="1" applyAlignment="1" applyProtection="1">
      <alignment horizontal="left" vertical="center"/>
      <protection hidden="1"/>
    </xf>
    <xf numFmtId="0" fontId="14" fillId="0" borderId="21" xfId="0" applyFont="1" applyBorder="1" applyAlignment="1" applyProtection="1">
      <alignment horizontal="left" vertical="center"/>
      <protection hidden="1"/>
    </xf>
    <xf numFmtId="0" fontId="14" fillId="0" borderId="22" xfId="0" applyFont="1" applyBorder="1" applyAlignment="1" applyProtection="1">
      <alignment horizontal="left" vertical="center"/>
      <protection hidden="1"/>
    </xf>
    <xf numFmtId="0" fontId="14" fillId="5" borderId="23" xfId="0" applyFont="1" applyFill="1" applyBorder="1" applyAlignment="1" applyProtection="1">
      <alignment vertical="center" shrinkToFit="1"/>
      <protection locked="0"/>
    </xf>
    <xf numFmtId="0" fontId="14" fillId="5" borderId="22" xfId="0" applyFont="1" applyFill="1" applyBorder="1" applyAlignment="1" applyProtection="1">
      <alignment vertical="center" shrinkToFit="1"/>
      <protection locked="0"/>
    </xf>
    <xf numFmtId="0" fontId="14" fillId="5" borderId="25" xfId="0" applyFont="1" applyFill="1" applyBorder="1" applyAlignment="1" applyProtection="1">
      <alignment vertical="center" shrinkToFit="1"/>
      <protection locked="0"/>
    </xf>
    <xf numFmtId="0" fontId="14" fillId="0" borderId="0" xfId="0" applyFont="1" applyAlignment="1" applyProtection="1">
      <alignment vertical="center" shrinkToFit="1"/>
      <protection hidden="1"/>
    </xf>
    <xf numFmtId="0" fontId="14" fillId="0" borderId="58" xfId="0" applyFont="1" applyBorder="1" applyAlignment="1" applyProtection="1">
      <alignment horizontal="left" vertical="center"/>
      <protection hidden="1"/>
    </xf>
    <xf numFmtId="0" fontId="14" fillId="0" borderId="36" xfId="0" applyFont="1" applyBorder="1" applyAlignment="1" applyProtection="1">
      <alignment horizontal="left" vertical="center"/>
      <protection hidden="1"/>
    </xf>
    <xf numFmtId="0" fontId="14" fillId="0" borderId="3" xfId="0" applyFont="1" applyBorder="1" applyAlignment="1" applyProtection="1">
      <alignment horizontal="left" vertical="center"/>
      <protection hidden="1"/>
    </xf>
    <xf numFmtId="0" fontId="14" fillId="5" borderId="2" xfId="0" applyFont="1" applyFill="1" applyBorder="1" applyAlignment="1" applyProtection="1">
      <alignment vertical="center" shrinkToFit="1"/>
      <protection locked="0"/>
    </xf>
    <xf numFmtId="0" fontId="14" fillId="5" borderId="3" xfId="0" applyFont="1" applyFill="1" applyBorder="1" applyAlignment="1" applyProtection="1">
      <alignment vertical="center" shrinkToFit="1"/>
      <protection locked="0"/>
    </xf>
    <xf numFmtId="0" fontId="14" fillId="5" borderId="34" xfId="0" applyFont="1" applyFill="1" applyBorder="1" applyAlignment="1" applyProtection="1">
      <alignment vertical="center" shrinkToFit="1"/>
      <protection locked="0"/>
    </xf>
    <xf numFmtId="0" fontId="14" fillId="5" borderId="100" xfId="0" applyFont="1" applyFill="1" applyBorder="1" applyAlignment="1" applyProtection="1">
      <alignment vertical="center" shrinkToFit="1"/>
      <protection locked="0"/>
    </xf>
    <xf numFmtId="0" fontId="14" fillId="0" borderId="22" xfId="0" applyFont="1" applyBorder="1" applyAlignment="1" applyProtection="1">
      <alignment vertical="center" shrinkToFit="1"/>
      <protection locked="0"/>
    </xf>
    <xf numFmtId="0" fontId="14" fillId="0" borderId="31" xfId="0" applyFont="1" applyBorder="1" applyAlignment="1" applyProtection="1">
      <alignment horizontal="distributed" vertical="center"/>
      <protection hidden="1"/>
    </xf>
    <xf numFmtId="0" fontId="14" fillId="0" borderId="23" xfId="0" applyFont="1" applyBorder="1" applyAlignment="1" applyProtection="1">
      <alignment horizontal="distributed" vertical="center" indent="1"/>
      <protection hidden="1"/>
    </xf>
    <xf numFmtId="0" fontId="14" fillId="0" borderId="21" xfId="0" applyFont="1" applyBorder="1" applyAlignment="1" applyProtection="1">
      <alignment horizontal="distributed" vertical="center" indent="1"/>
      <protection hidden="1"/>
    </xf>
    <xf numFmtId="0" fontId="14" fillId="0" borderId="22" xfId="0" applyFont="1" applyBorder="1" applyAlignment="1" applyProtection="1">
      <alignment horizontal="distributed" vertical="center" indent="1"/>
      <protection hidden="1"/>
    </xf>
    <xf numFmtId="0" fontId="14" fillId="0" borderId="120" xfId="0" applyFont="1" applyBorder="1" applyAlignment="1" applyProtection="1">
      <alignment horizontal="distributed" vertical="center" indent="1"/>
      <protection hidden="1"/>
    </xf>
    <xf numFmtId="0" fontId="14" fillId="0" borderId="92" xfId="0" applyFont="1" applyBorder="1" applyAlignment="1" applyProtection="1">
      <alignment horizontal="distributed" vertical="center" indent="1"/>
      <protection hidden="1"/>
    </xf>
    <xf numFmtId="178" fontId="16" fillId="0" borderId="2" xfId="0" applyNumberFormat="1" applyFont="1" applyBorder="1" applyAlignment="1" applyProtection="1">
      <alignment horizontal="right" vertical="center" indent="4"/>
      <protection hidden="1"/>
    </xf>
    <xf numFmtId="178" fontId="16" fillId="0" borderId="36" xfId="0" applyNumberFormat="1" applyFont="1" applyBorder="1" applyAlignment="1" applyProtection="1">
      <alignment horizontal="right" vertical="center" indent="4"/>
      <protection hidden="1"/>
    </xf>
    <xf numFmtId="178" fontId="16" fillId="0" borderId="23" xfId="0" applyNumberFormat="1" applyFont="1" applyBorder="1" applyAlignment="1" applyProtection="1">
      <alignment horizontal="right" vertical="center" indent="4"/>
      <protection hidden="1"/>
    </xf>
    <xf numFmtId="178" fontId="16" fillId="0" borderId="21" xfId="0" applyNumberFormat="1" applyFont="1" applyBorder="1" applyAlignment="1" applyProtection="1">
      <alignment horizontal="right" vertical="center" indent="4"/>
      <protection hidden="1"/>
    </xf>
    <xf numFmtId="0" fontId="14" fillId="0" borderId="2" xfId="0" applyFont="1" applyBorder="1" applyAlignment="1" applyProtection="1">
      <alignment horizontal="distributed" vertical="center" indent="1"/>
      <protection hidden="1"/>
    </xf>
    <xf numFmtId="0" fontId="14" fillId="0" borderId="36" xfId="0" applyFont="1" applyBorder="1" applyAlignment="1" applyProtection="1">
      <alignment horizontal="distributed" vertical="center" indent="1"/>
      <protection hidden="1"/>
    </xf>
    <xf numFmtId="0" fontId="14" fillId="0" borderId="3" xfId="0" applyFont="1" applyBorder="1" applyAlignment="1" applyProtection="1">
      <alignment horizontal="distributed" vertical="center" indent="1"/>
      <protection hidden="1"/>
    </xf>
    <xf numFmtId="0" fontId="14" fillId="5" borderId="58" xfId="0" applyFont="1" applyFill="1" applyBorder="1" applyAlignment="1" applyProtection="1">
      <alignment vertical="center" shrinkToFit="1"/>
      <protection locked="0"/>
    </xf>
    <xf numFmtId="0" fontId="14" fillId="0" borderId="3" xfId="0" applyFont="1" applyBorder="1" applyAlignment="1" applyProtection="1">
      <alignment vertical="center" shrinkToFit="1"/>
      <protection locked="0"/>
    </xf>
    <xf numFmtId="0" fontId="14" fillId="0" borderId="106" xfId="0" applyFont="1" applyBorder="1" applyAlignment="1" applyProtection="1">
      <alignment horizontal="distributed" vertical="center"/>
      <protection hidden="1"/>
    </xf>
    <xf numFmtId="0" fontId="14" fillId="0" borderId="27" xfId="0" applyFont="1" applyBorder="1" applyAlignment="1" applyProtection="1">
      <alignment horizontal="distributed" vertical="center"/>
      <protection hidden="1"/>
    </xf>
    <xf numFmtId="0" fontId="20" fillId="0" borderId="0" xfId="0" applyFont="1" applyAlignment="1" applyProtection="1">
      <alignment horizontal="center"/>
      <protection hidden="1"/>
    </xf>
    <xf numFmtId="0" fontId="16" fillId="0" borderId="0" xfId="0" applyFont="1" applyAlignment="1" applyProtection="1">
      <alignment horizontal="center" vertical="top"/>
      <protection hidden="1"/>
    </xf>
    <xf numFmtId="187" fontId="14" fillId="5" borderId="2" xfId="0" applyNumberFormat="1" applyFont="1" applyFill="1" applyBorder="1" applyAlignment="1" applyProtection="1">
      <alignment horizontal="center" vertical="center" shrinkToFit="1"/>
      <protection locked="0"/>
    </xf>
    <xf numFmtId="187" fontId="14" fillId="5" borderId="36" xfId="0" applyNumberFormat="1" applyFont="1" applyFill="1" applyBorder="1" applyAlignment="1" applyProtection="1">
      <alignment horizontal="center" vertical="center" shrinkToFit="1"/>
      <protection locked="0"/>
    </xf>
    <xf numFmtId="187" fontId="14" fillId="5" borderId="3" xfId="0" applyNumberFormat="1" applyFont="1" applyFill="1" applyBorder="1" applyAlignment="1" applyProtection="1">
      <alignment horizontal="center" vertical="center" shrinkToFit="1"/>
      <protection locked="0"/>
    </xf>
    <xf numFmtId="0" fontId="14" fillId="0" borderId="106" xfId="0" applyFont="1" applyBorder="1" applyAlignment="1" applyProtection="1">
      <alignment horizontal="distributed" vertical="center" indent="1"/>
      <protection hidden="1"/>
    </xf>
    <xf numFmtId="0" fontId="14" fillId="0" borderId="27" xfId="0" applyFont="1" applyBorder="1" applyAlignment="1" applyProtection="1">
      <alignment horizontal="distributed" vertical="center" indent="1"/>
      <protection hidden="1"/>
    </xf>
    <xf numFmtId="0" fontId="14" fillId="0" borderId="31" xfId="0" applyFont="1" applyBorder="1" applyAlignment="1" applyProtection="1">
      <alignment horizontal="distributed" vertical="center" indent="1"/>
      <protection hidden="1"/>
    </xf>
    <xf numFmtId="0" fontId="14" fillId="5" borderId="26" xfId="0" applyFont="1" applyFill="1" applyBorder="1" applyAlignment="1" applyProtection="1">
      <alignment horizontal="left" vertical="center" shrinkToFit="1"/>
      <protection locked="0"/>
    </xf>
    <xf numFmtId="0" fontId="14" fillId="5" borderId="27" xfId="0" applyFont="1" applyFill="1" applyBorder="1" applyAlignment="1" applyProtection="1">
      <alignment horizontal="left" vertical="center" shrinkToFit="1"/>
      <protection locked="0"/>
    </xf>
    <xf numFmtId="0" fontId="14" fillId="5" borderId="28" xfId="0" applyFont="1" applyFill="1" applyBorder="1" applyAlignment="1" applyProtection="1">
      <alignment horizontal="left" vertical="center" shrinkToFit="1"/>
      <protection locked="0"/>
    </xf>
    <xf numFmtId="0" fontId="14" fillId="0" borderId="58" xfId="0" applyFont="1" applyBorder="1" applyAlignment="1" applyProtection="1">
      <alignment horizontal="distributed" vertical="center" indent="1"/>
      <protection hidden="1"/>
    </xf>
    <xf numFmtId="178" fontId="34" fillId="0" borderId="2" xfId="0" applyNumberFormat="1" applyFont="1" applyBorder="1" applyAlignment="1" applyProtection="1">
      <alignment horizontal="right" vertical="center" indent="4"/>
      <protection hidden="1"/>
    </xf>
    <xf numFmtId="178" fontId="34" fillId="0" borderId="36" xfId="0" applyNumberFormat="1" applyFont="1" applyBorder="1" applyAlignment="1" applyProtection="1">
      <alignment horizontal="right" vertical="center" indent="4"/>
      <protection hidden="1"/>
    </xf>
    <xf numFmtId="0" fontId="14" fillId="0" borderId="107" xfId="0" applyFont="1" applyBorder="1" applyAlignment="1" applyProtection="1">
      <alignment horizontal="distributed" vertical="center" indent="1"/>
      <protection hidden="1"/>
    </xf>
    <xf numFmtId="0" fontId="14" fillId="0" borderId="4" xfId="0" applyFont="1" applyBorder="1" applyAlignment="1" applyProtection="1">
      <alignment horizontal="distributed" vertical="center" indent="1"/>
      <protection hidden="1"/>
    </xf>
    <xf numFmtId="0" fontId="14" fillId="0" borderId="38" xfId="0" applyFont="1" applyBorder="1" applyAlignment="1" applyProtection="1">
      <alignment horizontal="distributed" vertical="center" indent="1"/>
      <protection hidden="1"/>
    </xf>
    <xf numFmtId="0" fontId="23" fillId="4" borderId="0" xfId="0" applyFont="1" applyFill="1" applyAlignment="1" applyProtection="1">
      <alignment horizontal="left" vertical="center" wrapText="1"/>
      <protection hidden="1"/>
    </xf>
    <xf numFmtId="0" fontId="14" fillId="5" borderId="42" xfId="0" applyFont="1" applyFill="1" applyBorder="1" applyAlignment="1" applyProtection="1">
      <alignment horizontal="left" vertical="center" shrinkToFit="1"/>
      <protection locked="0"/>
    </xf>
    <xf numFmtId="0" fontId="14" fillId="5" borderId="29" xfId="0" applyFont="1" applyFill="1" applyBorder="1" applyAlignment="1" applyProtection="1">
      <alignment horizontal="left" vertical="center" shrinkToFit="1"/>
      <protection locked="0"/>
    </xf>
    <xf numFmtId="0" fontId="14" fillId="5" borderId="59" xfId="0" applyFont="1" applyFill="1" applyBorder="1" applyAlignment="1" applyProtection="1">
      <alignment horizontal="left" vertical="center" shrinkToFit="1"/>
      <protection locked="0"/>
    </xf>
    <xf numFmtId="176" fontId="16" fillId="5" borderId="2" xfId="0" applyNumberFormat="1" applyFont="1" applyFill="1" applyBorder="1" applyAlignment="1" applyProtection="1">
      <alignment horizontal="center" vertical="center" shrinkToFit="1"/>
      <protection locked="0"/>
    </xf>
    <xf numFmtId="176" fontId="16" fillId="5" borderId="36" xfId="0" applyNumberFormat="1" applyFont="1" applyFill="1" applyBorder="1" applyAlignment="1" applyProtection="1">
      <alignment horizontal="center" vertical="center" shrinkToFit="1"/>
      <protection locked="0"/>
    </xf>
    <xf numFmtId="176" fontId="16" fillId="5" borderId="34" xfId="0" applyNumberFormat="1" applyFont="1" applyFill="1" applyBorder="1" applyAlignment="1" applyProtection="1">
      <alignment horizontal="center" vertical="center" shrinkToFit="1"/>
      <protection locked="0"/>
    </xf>
    <xf numFmtId="0" fontId="22" fillId="0" borderId="122" xfId="0" applyFont="1" applyBorder="1" applyAlignment="1" applyProtection="1">
      <alignment horizontal="center" vertical="center"/>
      <protection hidden="1"/>
    </xf>
    <xf numFmtId="0" fontId="22" fillId="0" borderId="118" xfId="0" applyFont="1" applyBorder="1" applyAlignment="1" applyProtection="1">
      <alignment horizontal="center" vertical="center"/>
      <protection hidden="1"/>
    </xf>
    <xf numFmtId="0" fontId="22" fillId="0" borderId="123" xfId="0" applyFont="1" applyBorder="1" applyAlignment="1" applyProtection="1">
      <alignment horizontal="center" vertical="center"/>
      <protection hidden="1"/>
    </xf>
    <xf numFmtId="186" fontId="29" fillId="6" borderId="2" xfId="0" applyNumberFormat="1" applyFont="1" applyFill="1" applyBorder="1" applyAlignment="1" applyProtection="1">
      <alignment horizontal="center" vertical="center"/>
      <protection locked="0"/>
    </xf>
    <xf numFmtId="186" fontId="29" fillId="6" borderId="3" xfId="0" applyNumberFormat="1" applyFont="1" applyFill="1" applyBorder="1" applyAlignment="1" applyProtection="1">
      <alignment horizontal="center" vertical="center"/>
      <protection locked="0"/>
    </xf>
    <xf numFmtId="0" fontId="14" fillId="0" borderId="2" xfId="0" applyFont="1" applyBorder="1" applyAlignment="1" applyProtection="1">
      <alignment horizontal="distributed" vertical="center" shrinkToFit="1"/>
      <protection hidden="1"/>
    </xf>
    <xf numFmtId="0" fontId="14" fillId="0" borderId="3" xfId="0" applyFont="1" applyBorder="1" applyAlignment="1" applyProtection="1">
      <alignment horizontal="distributed" vertical="center" shrinkToFit="1"/>
      <protection hidden="1"/>
    </xf>
    <xf numFmtId="186" fontId="32" fillId="6" borderId="2" xfId="0" applyNumberFormat="1" applyFont="1" applyFill="1" applyBorder="1" applyAlignment="1" applyProtection="1">
      <alignment horizontal="distributed" vertical="center"/>
      <protection locked="0"/>
    </xf>
    <xf numFmtId="186" fontId="32" fillId="6" borderId="3" xfId="0" applyNumberFormat="1" applyFont="1" applyFill="1" applyBorder="1" applyAlignment="1" applyProtection="1">
      <alignment horizontal="distributed" vertical="center"/>
      <protection locked="0"/>
    </xf>
    <xf numFmtId="0" fontId="14" fillId="0" borderId="0" xfId="0" applyFont="1" applyAlignment="1" applyProtection="1">
      <alignment horizontal="center" vertical="center"/>
      <protection hidden="1"/>
    </xf>
    <xf numFmtId="0" fontId="14" fillId="4" borderId="1" xfId="0" applyFont="1" applyFill="1" applyBorder="1" applyAlignment="1">
      <alignment vertical="center" wrapText="1"/>
    </xf>
    <xf numFmtId="0" fontId="14" fillId="4" borderId="1" xfId="0" applyFont="1" applyFill="1" applyBorder="1">
      <alignment vertical="center"/>
    </xf>
    <xf numFmtId="0" fontId="14" fillId="0" borderId="2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93" xfId="0" applyFont="1" applyBorder="1" applyAlignment="1" applyProtection="1">
      <alignment horizontal="center" vertical="center" shrinkToFit="1"/>
      <protection hidden="1"/>
    </xf>
    <xf numFmtId="0" fontId="14" fillId="0" borderId="103" xfId="0" applyFont="1" applyBorder="1" applyAlignment="1" applyProtection="1">
      <alignment horizontal="center" vertical="center" shrinkToFit="1"/>
      <protection hidden="1"/>
    </xf>
    <xf numFmtId="0" fontId="14" fillId="0" borderId="32"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69" xfId="0" applyFont="1" applyBorder="1" applyAlignment="1">
      <alignment horizontal="center" vertical="center"/>
    </xf>
    <xf numFmtId="0" fontId="14" fillId="0" borderId="12" xfId="0" applyFont="1" applyBorder="1" applyAlignment="1" applyProtection="1">
      <alignment horizontal="center" vertical="center" wrapText="1"/>
      <protection hidden="1"/>
    </xf>
    <xf numFmtId="0" fontId="14" fillId="0" borderId="44" xfId="0" applyFont="1" applyBorder="1" applyAlignment="1" applyProtection="1">
      <alignment horizontal="center" vertical="center"/>
      <protection hidden="1"/>
    </xf>
    <xf numFmtId="0" fontId="14" fillId="0" borderId="68" xfId="0" applyFont="1" applyBorder="1" applyAlignment="1">
      <alignment horizontal="center" vertical="center"/>
    </xf>
    <xf numFmtId="0" fontId="14" fillId="0" borderId="12" xfId="0" applyFont="1" applyBorder="1" applyAlignment="1">
      <alignment horizontal="center" vertical="center" wrapText="1"/>
    </xf>
    <xf numFmtId="0" fontId="14" fillId="0" borderId="44" xfId="0" applyFont="1" applyBorder="1" applyAlignment="1">
      <alignment horizontal="center" vertical="center" wrapText="1"/>
    </xf>
    <xf numFmtId="0" fontId="14" fillId="4" borderId="7" xfId="0" applyFont="1" applyFill="1" applyBorder="1" applyAlignment="1" applyProtection="1">
      <alignment horizontal="center" vertical="center" wrapText="1"/>
      <protection hidden="1"/>
    </xf>
    <xf numFmtId="0" fontId="14" fillId="4" borderId="13" xfId="0" applyFont="1" applyFill="1" applyBorder="1" applyAlignment="1" applyProtection="1">
      <alignment horizontal="center" vertical="center" wrapText="1"/>
      <protection hidden="1"/>
    </xf>
    <xf numFmtId="0" fontId="14" fillId="4" borderId="45" xfId="0" applyFont="1" applyFill="1" applyBorder="1" applyAlignment="1" applyProtection="1">
      <alignment horizontal="center" vertical="center" wrapText="1"/>
      <protection hidden="1"/>
    </xf>
    <xf numFmtId="0" fontId="14" fillId="4" borderId="133" xfId="0" applyFont="1" applyFill="1" applyBorder="1" applyAlignment="1" applyProtection="1">
      <alignment horizontal="center" vertical="center" wrapText="1"/>
      <protection hidden="1"/>
    </xf>
    <xf numFmtId="0" fontId="14" fillId="0" borderId="44" xfId="0" applyFont="1" applyBorder="1" applyAlignment="1" applyProtection="1">
      <alignment horizontal="center" vertical="center" wrapText="1"/>
      <protection hidden="1"/>
    </xf>
    <xf numFmtId="176" fontId="14" fillId="0" borderId="2" xfId="0" applyNumberFormat="1" applyFont="1" applyBorder="1" applyAlignment="1" applyProtection="1">
      <alignment horizontal="center" vertical="center"/>
      <protection hidden="1"/>
    </xf>
    <xf numFmtId="176" fontId="14" fillId="0" borderId="3" xfId="0" applyNumberFormat="1" applyFont="1" applyBorder="1" applyAlignment="1" applyProtection="1">
      <alignment horizontal="center" vertical="center"/>
      <protection hidden="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24" fillId="0" borderId="93" xfId="0" applyFont="1" applyBorder="1" applyAlignment="1" applyProtection="1">
      <alignment horizontal="center" vertical="center" wrapText="1"/>
      <protection hidden="1"/>
    </xf>
    <xf numFmtId="0" fontId="24" fillId="0" borderId="116" xfId="0" applyFont="1" applyBorder="1" applyAlignment="1" applyProtection="1">
      <alignment horizontal="center" vertical="center" wrapText="1"/>
      <protection hidden="1"/>
    </xf>
    <xf numFmtId="0" fontId="24" fillId="0" borderId="32"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7" xfId="0" applyFont="1" applyBorder="1" applyAlignment="1" applyProtection="1">
      <alignment horizontal="center" vertical="center" wrapText="1"/>
      <protection hidden="1"/>
    </xf>
    <xf numFmtId="0" fontId="24" fillId="0" borderId="45" xfId="0" applyFont="1" applyBorder="1" applyAlignment="1" applyProtection="1">
      <alignment horizontal="center" vertical="center"/>
      <protection hidden="1"/>
    </xf>
    <xf numFmtId="0" fontId="14" fillId="4" borderId="35" xfId="0" applyFont="1" applyFill="1" applyBorder="1" applyAlignment="1">
      <alignment vertical="center" wrapText="1"/>
    </xf>
    <xf numFmtId="0" fontId="14" fillId="4" borderId="35" xfId="0" applyFont="1" applyFill="1" applyBorder="1">
      <alignment vertical="center"/>
    </xf>
    <xf numFmtId="0" fontId="24" fillId="0" borderId="12" xfId="0" applyFont="1" applyBorder="1" applyAlignment="1" applyProtection="1">
      <alignment horizontal="center" vertical="center" wrapText="1"/>
      <protection hidden="1"/>
    </xf>
    <xf numFmtId="0" fontId="24" fillId="0" borderId="44" xfId="0" applyFont="1" applyBorder="1" applyAlignment="1" applyProtection="1">
      <alignment horizontal="center" vertical="center"/>
      <protection hidden="1"/>
    </xf>
    <xf numFmtId="0" fontId="14" fillId="4" borderId="37" xfId="0" applyFont="1" applyFill="1" applyBorder="1">
      <alignment vertical="center"/>
    </xf>
    <xf numFmtId="0" fontId="14" fillId="4" borderId="33" xfId="0" applyFont="1" applyFill="1" applyBorder="1">
      <alignment vertical="center"/>
    </xf>
    <xf numFmtId="0" fontId="4" fillId="0" borderId="36"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24" fillId="0" borderId="68" xfId="0" applyFont="1" applyBorder="1" applyAlignment="1">
      <alignment horizontal="center" vertical="center"/>
    </xf>
    <xf numFmtId="176" fontId="4" fillId="0" borderId="2" xfId="0" applyNumberFormat="1" applyFont="1" applyBorder="1" applyAlignment="1" applyProtection="1">
      <alignment horizontal="center" vertical="center"/>
      <protection hidden="1"/>
    </xf>
    <xf numFmtId="176" fontId="4" fillId="0" borderId="3" xfId="0" applyNumberFormat="1" applyFont="1" applyBorder="1" applyAlignment="1" applyProtection="1">
      <alignment horizontal="center" vertical="center"/>
      <protection hidden="1"/>
    </xf>
    <xf numFmtId="0" fontId="24" fillId="0" borderId="94" xfId="0" applyFont="1" applyBorder="1" applyAlignment="1">
      <alignment horizontal="center" vertical="center" wrapText="1"/>
    </xf>
    <xf numFmtId="0" fontId="24" fillId="0" borderId="69" xfId="0" applyFont="1" applyBorder="1" applyAlignment="1">
      <alignment horizontal="center" vertical="center"/>
    </xf>
    <xf numFmtId="0" fontId="24" fillId="4" borderId="7" xfId="0" applyFont="1" applyFill="1" applyBorder="1" applyAlignment="1" applyProtection="1">
      <alignment horizontal="center" vertical="center" wrapText="1"/>
      <protection hidden="1"/>
    </xf>
    <xf numFmtId="0" fontId="24" fillId="4" borderId="13" xfId="0" applyFont="1" applyFill="1" applyBorder="1" applyAlignment="1" applyProtection="1">
      <alignment horizontal="center" vertical="center" wrapText="1"/>
      <protection hidden="1"/>
    </xf>
    <xf numFmtId="0" fontId="24" fillId="4" borderId="45" xfId="0" applyFont="1" applyFill="1" applyBorder="1" applyAlignment="1" applyProtection="1">
      <alignment horizontal="center" vertical="center" wrapText="1"/>
      <protection hidden="1"/>
    </xf>
    <xf numFmtId="0" fontId="24" fillId="4" borderId="133" xfId="0" applyFont="1" applyFill="1" applyBorder="1" applyAlignment="1" applyProtection="1">
      <alignment horizontal="center" vertical="center" wrapText="1"/>
      <protection hidden="1"/>
    </xf>
    <xf numFmtId="201" fontId="14" fillId="0" borderId="94" xfId="0" applyNumberFormat="1" applyFont="1" applyBorder="1" applyAlignment="1">
      <alignment horizontal="center" vertical="center" wrapText="1"/>
    </xf>
    <xf numFmtId="201" fontId="14" fillId="0" borderId="69" xfId="0" applyNumberFormat="1" applyFont="1" applyBorder="1" applyAlignment="1">
      <alignment horizontal="center" vertical="center"/>
    </xf>
    <xf numFmtId="0" fontId="14" fillId="4" borderId="37"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0" borderId="93" xfId="0" applyFont="1" applyBorder="1" applyAlignment="1" applyProtection="1">
      <alignment horizontal="center" vertical="center" wrapText="1"/>
      <protection hidden="1"/>
    </xf>
    <xf numFmtId="0" fontId="14" fillId="0" borderId="116" xfId="0" applyFont="1" applyBorder="1" applyAlignment="1" applyProtection="1">
      <alignment horizontal="center" vertical="center" wrapText="1"/>
      <protection hidden="1"/>
    </xf>
    <xf numFmtId="0" fontId="14" fillId="0" borderId="62"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4" fillId="4" borderId="37" xfId="0" applyFont="1" applyFill="1" applyBorder="1" applyAlignment="1">
      <alignment vertical="center" wrapText="1"/>
    </xf>
    <xf numFmtId="0" fontId="14" fillId="4" borderId="33" xfId="0" applyFont="1" applyFill="1" applyBorder="1" applyAlignment="1">
      <alignment vertical="center" wrapText="1"/>
    </xf>
    <xf numFmtId="0" fontId="14" fillId="0" borderId="7" xfId="0" applyFont="1" applyBorder="1" applyAlignment="1" applyProtection="1">
      <alignment horizontal="center" vertical="center" wrapText="1"/>
      <protection hidden="1"/>
    </xf>
    <xf numFmtId="0" fontId="14" fillId="0" borderId="45" xfId="0" applyFont="1" applyBorder="1" applyAlignment="1" applyProtection="1">
      <alignment horizontal="center" vertical="center"/>
      <protection hidden="1"/>
    </xf>
    <xf numFmtId="0" fontId="24" fillId="2" borderId="7" xfId="0" applyFont="1" applyFill="1" applyBorder="1" applyAlignment="1" applyProtection="1">
      <alignment horizontal="center" vertical="center" wrapText="1"/>
      <protection hidden="1"/>
    </xf>
    <xf numFmtId="0" fontId="24" fillId="2" borderId="13" xfId="0" applyFont="1" applyFill="1" applyBorder="1" applyAlignment="1" applyProtection="1">
      <alignment horizontal="center" vertical="center" wrapText="1"/>
      <protection hidden="1"/>
    </xf>
    <xf numFmtId="0" fontId="24" fillId="2" borderId="45" xfId="0" applyFont="1" applyFill="1" applyBorder="1" applyAlignment="1" applyProtection="1">
      <alignment horizontal="center" vertical="center" wrapText="1"/>
      <protection hidden="1"/>
    </xf>
    <xf numFmtId="0" fontId="24" fillId="2" borderId="133" xfId="0" applyFont="1" applyFill="1" applyBorder="1" applyAlignment="1" applyProtection="1">
      <alignment horizontal="center" vertical="center" wrapText="1"/>
      <protection hidden="1"/>
    </xf>
    <xf numFmtId="0" fontId="14" fillId="2" borderId="1" xfId="0" applyFont="1" applyFill="1" applyBorder="1">
      <alignment vertical="center"/>
    </xf>
    <xf numFmtId="0" fontId="21" fillId="4" borderId="1" xfId="0" applyFont="1" applyFill="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35" xfId="0" applyFont="1" applyBorder="1" applyAlignment="1" applyProtection="1">
      <alignment horizontal="center" vertical="center" wrapText="1"/>
      <protection hidden="1"/>
    </xf>
    <xf numFmtId="0" fontId="21" fillId="0" borderId="43" xfId="0" applyFont="1" applyBorder="1" applyAlignment="1" applyProtection="1">
      <alignment horizontal="center" vertical="center" wrapText="1"/>
      <protection hidden="1"/>
    </xf>
    <xf numFmtId="0" fontId="21" fillId="4" borderId="12" xfId="0" applyFont="1" applyFill="1" applyBorder="1" applyAlignment="1" applyProtection="1">
      <alignment horizontal="center" vertical="center" wrapText="1"/>
      <protection hidden="1"/>
    </xf>
    <xf numFmtId="0" fontId="21" fillId="4" borderId="35" xfId="0" applyFont="1" applyFill="1" applyBorder="1" applyAlignment="1" applyProtection="1">
      <alignment horizontal="center" vertical="center" wrapText="1"/>
      <protection hidden="1"/>
    </xf>
    <xf numFmtId="0" fontId="21" fillId="4" borderId="43" xfId="0" applyFont="1" applyFill="1" applyBorder="1" applyAlignment="1" applyProtection="1">
      <alignment horizontal="center" vertical="center" wrapText="1"/>
      <protection hidden="1"/>
    </xf>
    <xf numFmtId="0" fontId="21" fillId="0" borderId="127" xfId="0" applyFont="1" applyBorder="1" applyAlignment="1" applyProtection="1">
      <alignment horizontal="center" vertical="center" wrapText="1"/>
      <protection hidden="1"/>
    </xf>
    <xf numFmtId="0" fontId="21" fillId="0" borderId="97" xfId="0" applyFont="1" applyBorder="1" applyAlignment="1" applyProtection="1">
      <alignment horizontal="center" vertical="center" wrapText="1"/>
      <protection hidden="1"/>
    </xf>
    <xf numFmtId="0" fontId="21" fillId="0" borderId="114"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textRotation="255"/>
      <protection hidden="1"/>
    </xf>
    <xf numFmtId="0" fontId="21" fillId="0" borderId="18" xfId="0" applyFont="1" applyBorder="1" applyAlignment="1" applyProtection="1">
      <alignment horizontal="center" vertical="center" textRotation="255"/>
      <protection hidden="1"/>
    </xf>
    <xf numFmtId="0" fontId="14" fillId="0" borderId="42" xfId="0" applyFont="1" applyBorder="1" applyAlignment="1" applyProtection="1">
      <alignment horizontal="distributed" vertical="center" indent="1"/>
      <protection hidden="1"/>
    </xf>
    <xf numFmtId="0" fontId="14" fillId="0" borderId="30" xfId="0" applyFont="1" applyBorder="1" applyAlignment="1" applyProtection="1">
      <alignment horizontal="distributed" vertical="center" indent="1"/>
      <protection hidden="1"/>
    </xf>
    <xf numFmtId="0" fontId="14" fillId="0" borderId="12" xfId="0" applyFont="1" applyBorder="1" applyAlignment="1" applyProtection="1">
      <alignment horizontal="distributed" vertical="center" wrapText="1" indent="1"/>
      <protection hidden="1"/>
    </xf>
    <xf numFmtId="0" fontId="14" fillId="0" borderId="35" xfId="0" applyFont="1" applyBorder="1" applyAlignment="1" applyProtection="1">
      <alignment horizontal="distributed" vertical="center" wrapText="1" indent="1"/>
      <protection hidden="1"/>
    </xf>
    <xf numFmtId="0" fontId="14" fillId="0" borderId="44" xfId="0" applyFont="1" applyBorder="1" applyAlignment="1" applyProtection="1">
      <alignment horizontal="distributed" vertical="center" wrapText="1" indent="1"/>
      <protection hidden="1"/>
    </xf>
    <xf numFmtId="0" fontId="14" fillId="5" borderId="62" xfId="0" applyFont="1" applyFill="1" applyBorder="1" applyAlignment="1" applyProtection="1">
      <alignment horizontal="distributed" vertical="center" indent="1"/>
      <protection locked="0" hidden="1"/>
    </xf>
    <xf numFmtId="0" fontId="14" fillId="5" borderId="86" xfId="0" applyFont="1" applyFill="1" applyBorder="1" applyAlignment="1" applyProtection="1">
      <alignment horizontal="distributed" vertical="center" indent="1"/>
      <protection locked="0" hidden="1"/>
    </xf>
    <xf numFmtId="0" fontId="14" fillId="0" borderId="33" xfId="0" applyFont="1" applyBorder="1" applyAlignment="1" applyProtection="1">
      <alignment horizontal="distributed" vertical="center" wrapText="1" indent="1"/>
      <protection hidden="1"/>
    </xf>
    <xf numFmtId="0" fontId="14" fillId="0" borderId="24" xfId="0" applyFont="1" applyBorder="1" applyAlignment="1" applyProtection="1">
      <alignment horizontal="distributed" vertical="center" wrapText="1" indent="1"/>
      <protection hidden="1"/>
    </xf>
    <xf numFmtId="0" fontId="14" fillId="0" borderId="50" xfId="1" applyFont="1" applyBorder="1" applyProtection="1">
      <alignment vertical="center"/>
      <protection hidden="1"/>
    </xf>
    <xf numFmtId="0" fontId="14" fillId="0" borderId="35" xfId="1" applyFont="1" applyBorder="1" applyProtection="1">
      <alignment vertical="center"/>
      <protection hidden="1"/>
    </xf>
    <xf numFmtId="0" fontId="14" fillId="0" borderId="44" xfId="1" applyFont="1" applyBorder="1" applyProtection="1">
      <alignment vertical="center"/>
      <protection hidden="1"/>
    </xf>
    <xf numFmtId="0" fontId="14" fillId="0" borderId="2" xfId="1" applyFont="1" applyBorder="1" applyAlignment="1" applyProtection="1">
      <alignment horizontal="distributed" vertical="center" indent="1"/>
      <protection hidden="1"/>
    </xf>
    <xf numFmtId="0" fontId="14" fillId="0" borderId="3" xfId="1" applyFont="1" applyBorder="1" applyAlignment="1" applyProtection="1">
      <alignment horizontal="distributed" vertical="center" indent="1"/>
      <protection hidden="1"/>
    </xf>
    <xf numFmtId="0" fontId="14" fillId="0" borderId="54" xfId="1" applyFont="1" applyBorder="1" applyAlignment="1" applyProtection="1">
      <alignment horizontal="distributed" vertical="center" indent="1"/>
      <protection hidden="1"/>
    </xf>
    <xf numFmtId="0" fontId="14" fillId="0" borderId="53" xfId="1" applyFont="1" applyBorder="1" applyAlignment="1" applyProtection="1">
      <alignment horizontal="distributed" vertical="center" indent="1"/>
      <protection hidden="1"/>
    </xf>
    <xf numFmtId="0" fontId="21" fillId="0" borderId="93" xfId="0" applyFont="1" applyBorder="1" applyAlignment="1" applyProtection="1">
      <alignment horizontal="center" vertical="center"/>
      <protection hidden="1"/>
    </xf>
    <xf numFmtId="0" fontId="21" fillId="0" borderId="95" xfId="0" applyFont="1" applyBorder="1" applyAlignment="1" applyProtection="1">
      <alignment horizontal="center" vertical="center"/>
      <protection hidden="1"/>
    </xf>
    <xf numFmtId="0" fontId="21" fillId="0" borderId="98" xfId="0" applyFont="1" applyBorder="1" applyAlignment="1" applyProtection="1">
      <alignment horizontal="center" vertical="center"/>
      <protection hidden="1"/>
    </xf>
    <xf numFmtId="0" fontId="22" fillId="0" borderId="32"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2" fillId="0" borderId="24" xfId="0" applyFont="1" applyBorder="1" applyAlignment="1" applyProtection="1">
      <alignment horizontal="center" vertical="center" wrapText="1"/>
      <protection hidden="1"/>
    </xf>
    <xf numFmtId="0" fontId="21" fillId="0" borderId="32" xfId="0" applyFont="1" applyBorder="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21" fillId="0" borderId="24" xfId="0" applyFont="1" applyBorder="1" applyAlignment="1" applyProtection="1">
      <alignment horizontal="center" vertical="center" wrapText="1"/>
      <protection hidden="1"/>
    </xf>
    <xf numFmtId="176" fontId="14" fillId="0" borderId="2" xfId="0" applyNumberFormat="1" applyFont="1" applyBorder="1" applyAlignment="1" applyProtection="1">
      <alignment horizontal="center" vertical="center" shrinkToFit="1"/>
      <protection hidden="1"/>
    </xf>
    <xf numFmtId="176" fontId="14" fillId="0" borderId="3" xfId="0" applyNumberFormat="1"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protection hidden="1"/>
    </xf>
    <xf numFmtId="0" fontId="14" fillId="0" borderId="2" xfId="0" applyFont="1" applyBorder="1">
      <alignment vertical="center"/>
    </xf>
    <xf numFmtId="0" fontId="14" fillId="0" borderId="3" xfId="0" applyFont="1" applyBorder="1">
      <alignment vertical="center"/>
    </xf>
    <xf numFmtId="0" fontId="14" fillId="5" borderId="2" xfId="0" applyFont="1" applyFill="1" applyBorder="1" applyAlignment="1" applyProtection="1">
      <alignment horizontal="distributed" vertical="center" indent="1"/>
      <protection locked="0" hidden="1"/>
    </xf>
    <xf numFmtId="0" fontId="14" fillId="5" borderId="3" xfId="0" applyFont="1" applyFill="1" applyBorder="1" applyAlignment="1" applyProtection="1">
      <alignment horizontal="distributed" vertical="center" indent="1"/>
      <protection locked="0" hidden="1"/>
    </xf>
    <xf numFmtId="0" fontId="14" fillId="0" borderId="0" xfId="0" applyFont="1" applyAlignment="1" applyProtection="1">
      <alignment horizontal="right" vertical="center"/>
      <protection hidden="1"/>
    </xf>
    <xf numFmtId="0" fontId="14" fillId="0" borderId="1" xfId="0" applyFont="1" applyBorder="1" applyAlignment="1" applyProtection="1">
      <alignment horizontal="distributed" vertical="center" indent="1"/>
      <protection hidden="1"/>
    </xf>
    <xf numFmtId="0" fontId="14" fillId="5" borderId="2" xfId="1" applyFont="1" applyFill="1" applyBorder="1" applyAlignment="1" applyProtection="1">
      <alignment horizontal="distributed" vertical="center" indent="1"/>
      <protection locked="0" hidden="1"/>
    </xf>
    <xf numFmtId="0" fontId="14" fillId="5" borderId="3" xfId="1" applyFont="1" applyFill="1" applyBorder="1" applyAlignment="1" applyProtection="1">
      <alignment horizontal="distributed" vertical="center" indent="1"/>
      <protection locked="0" hidden="1"/>
    </xf>
    <xf numFmtId="0" fontId="14" fillId="5" borderId="62" xfId="1" applyFont="1" applyFill="1" applyBorder="1" applyAlignment="1" applyProtection="1">
      <alignment horizontal="distributed" vertical="center" indent="1"/>
      <protection locked="0" hidden="1"/>
    </xf>
    <xf numFmtId="0" fontId="14" fillId="5" borderId="86" xfId="1" applyFont="1" applyFill="1" applyBorder="1" applyAlignment="1" applyProtection="1">
      <alignment horizontal="distributed" vertical="center" indent="1"/>
      <protection locked="0" hidden="1"/>
    </xf>
    <xf numFmtId="0" fontId="14" fillId="0" borderId="55" xfId="0" applyFont="1" applyBorder="1" applyAlignment="1" applyProtection="1">
      <alignment horizontal="distributed" vertical="center" indent="1"/>
      <protection hidden="1"/>
    </xf>
    <xf numFmtId="0" fontId="14" fillId="5" borderId="24" xfId="0" applyFont="1" applyFill="1" applyBorder="1" applyAlignment="1" applyProtection="1">
      <alignment horizontal="distributed" vertical="center" indent="1"/>
      <protection locked="0" hidden="1"/>
    </xf>
    <xf numFmtId="0" fontId="16" fillId="0" borderId="5" xfId="0" applyFont="1" applyBorder="1" applyAlignment="1" applyProtection="1">
      <alignment vertical="center" shrinkToFit="1"/>
      <protection hidden="1"/>
    </xf>
    <xf numFmtId="0" fontId="14" fillId="0" borderId="8"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20"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protection hidden="1"/>
    </xf>
    <xf numFmtId="0" fontId="14" fillId="0" borderId="34" xfId="0" applyFont="1" applyBorder="1" applyAlignment="1" applyProtection="1">
      <alignment horizontal="distributed" vertical="center" indent="1"/>
      <protection hidden="1"/>
    </xf>
    <xf numFmtId="0" fontId="14" fillId="0" borderId="6" xfId="1" applyFont="1" applyBorder="1" applyAlignment="1" applyProtection="1">
      <alignment horizontal="center" vertical="center" textRotation="255"/>
      <protection hidden="1"/>
    </xf>
    <xf numFmtId="0" fontId="14" fillId="0" borderId="14" xfId="1" applyFont="1" applyBorder="1" applyAlignment="1" applyProtection="1">
      <alignment horizontal="center" vertical="center" textRotation="255"/>
      <protection hidden="1"/>
    </xf>
    <xf numFmtId="0" fontId="14" fillId="0" borderId="89" xfId="1" applyFont="1" applyBorder="1" applyAlignment="1" applyProtection="1">
      <alignment horizontal="center" vertical="center" textRotation="255"/>
      <protection hidden="1"/>
    </xf>
    <xf numFmtId="14" fontId="14" fillId="0" borderId="12" xfId="0" applyNumberFormat="1" applyFont="1" applyBorder="1" applyAlignment="1" applyProtection="1">
      <alignment horizontal="center" vertical="center" textRotation="255" wrapText="1"/>
      <protection hidden="1"/>
    </xf>
    <xf numFmtId="14" fontId="14" fillId="0" borderId="35" xfId="0" applyNumberFormat="1" applyFont="1" applyBorder="1" applyAlignment="1" applyProtection="1">
      <alignment horizontal="center" vertical="center" textRotation="255" wrapText="1"/>
      <protection hidden="1"/>
    </xf>
    <xf numFmtId="0" fontId="14" fillId="0" borderId="26" xfId="0" applyFont="1" applyBorder="1" applyAlignment="1" applyProtection="1">
      <alignment horizontal="distributed" vertical="center" indent="1"/>
      <protection hidden="1"/>
    </xf>
    <xf numFmtId="0" fontId="14" fillId="0" borderId="28"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textRotation="255"/>
      <protection hidden="1"/>
    </xf>
    <xf numFmtId="0" fontId="14" fillId="0" borderId="35" xfId="0" applyFont="1" applyBorder="1" applyAlignment="1" applyProtection="1">
      <alignment horizontal="center" vertical="center" textRotation="255"/>
      <protection hidden="1"/>
    </xf>
    <xf numFmtId="0" fontId="14" fillId="0" borderId="44" xfId="0" applyFont="1" applyBorder="1" applyAlignment="1" applyProtection="1">
      <alignment horizontal="center" vertical="center" textRotation="255"/>
      <protection hidden="1"/>
    </xf>
    <xf numFmtId="0" fontId="14" fillId="0" borderId="2" xfId="0" applyFont="1" applyBorder="1" applyAlignment="1" applyProtection="1">
      <alignment horizontal="left" vertical="center" wrapText="1" indent="1"/>
      <protection hidden="1"/>
    </xf>
    <xf numFmtId="0" fontId="14" fillId="0" borderId="34" xfId="0" applyFont="1" applyBorder="1" applyAlignment="1" applyProtection="1">
      <alignment horizontal="left" vertical="center" wrapText="1" indent="1"/>
      <protection hidden="1"/>
    </xf>
    <xf numFmtId="0" fontId="14" fillId="0" borderId="2" xfId="1" applyFont="1" applyBorder="1" applyAlignment="1" applyProtection="1">
      <alignment horizontal="distributed" vertical="center" wrapText="1" indent="1"/>
      <protection hidden="1"/>
    </xf>
    <xf numFmtId="0" fontId="14" fillId="0" borderId="34" xfId="1" applyFont="1" applyBorder="1" applyAlignment="1" applyProtection="1">
      <alignment horizontal="distributed" vertical="center" wrapText="1" indent="1"/>
      <protection hidden="1"/>
    </xf>
    <xf numFmtId="0" fontId="14" fillId="0" borderId="50" xfId="1" applyFont="1" applyBorder="1" applyAlignment="1" applyProtection="1">
      <alignment vertical="center" textRotation="255" wrapText="1"/>
      <protection hidden="1"/>
    </xf>
    <xf numFmtId="0" fontId="14" fillId="0" borderId="35" xfId="1" applyFont="1" applyBorder="1" applyAlignment="1" applyProtection="1">
      <alignment vertical="center" textRotation="255" wrapText="1"/>
      <protection hidden="1"/>
    </xf>
    <xf numFmtId="0" fontId="14" fillId="0" borderId="44" xfId="1" applyFont="1" applyBorder="1" applyAlignment="1" applyProtection="1">
      <alignment vertical="center" textRotation="255" wrapText="1"/>
      <protection hidden="1"/>
    </xf>
    <xf numFmtId="0" fontId="14" fillId="0" borderId="50" xfId="0" applyFont="1" applyBorder="1" applyAlignment="1" applyProtection="1">
      <alignment horizontal="distributed" vertical="center" textRotation="255"/>
      <protection hidden="1"/>
    </xf>
    <xf numFmtId="0" fontId="14" fillId="0" borderId="35" xfId="0" applyFont="1" applyBorder="1" applyAlignment="1" applyProtection="1">
      <alignment horizontal="distributed" vertical="center" textRotation="255"/>
      <protection hidden="1"/>
    </xf>
    <xf numFmtId="0" fontId="14" fillId="0" borderId="33" xfId="0" applyFont="1" applyBorder="1" applyAlignment="1" applyProtection="1">
      <alignment horizontal="distributed" vertical="center" textRotation="255"/>
      <protection hidden="1"/>
    </xf>
    <xf numFmtId="0" fontId="14" fillId="0" borderId="37" xfId="0" applyFont="1" applyBorder="1" applyAlignment="1" applyProtection="1">
      <alignment horizontal="distributed" vertical="center" indent="1"/>
      <protection hidden="1"/>
    </xf>
    <xf numFmtId="0" fontId="14" fillId="0" borderId="33" xfId="0" applyFont="1" applyBorder="1" applyAlignment="1" applyProtection="1">
      <alignment horizontal="distributed" vertical="center" indent="1"/>
      <protection hidden="1"/>
    </xf>
    <xf numFmtId="0" fontId="14" fillId="0" borderId="0" xfId="0" applyFont="1">
      <alignment vertical="center"/>
    </xf>
    <xf numFmtId="0" fontId="14" fillId="0" borderId="62" xfId="1" applyFont="1" applyBorder="1" applyAlignment="1" applyProtection="1">
      <alignment horizontal="distributed" vertical="center" indent="1"/>
      <protection hidden="1"/>
    </xf>
    <xf numFmtId="0" fontId="14" fillId="0" borderId="63" xfId="1" applyFont="1" applyBorder="1" applyAlignment="1" applyProtection="1">
      <alignment horizontal="distributed" vertical="center" indent="1"/>
      <protection hidden="1"/>
    </xf>
    <xf numFmtId="0" fontId="14" fillId="0" borderId="64" xfId="1" applyFont="1" applyBorder="1" applyAlignment="1" applyProtection="1">
      <alignment horizontal="distributed" vertical="center" indent="1"/>
      <protection hidden="1"/>
    </xf>
    <xf numFmtId="0" fontId="14" fillId="0" borderId="56" xfId="0" applyFont="1" applyBorder="1" applyAlignment="1" applyProtection="1">
      <alignment horizontal="distributed" vertical="center" wrapText="1"/>
      <protection hidden="1"/>
    </xf>
    <xf numFmtId="0" fontId="14" fillId="0" borderId="4" xfId="0" applyFont="1" applyBorder="1" applyAlignment="1" applyProtection="1">
      <alignment horizontal="distributed" vertical="center" wrapText="1"/>
      <protection hidden="1"/>
    </xf>
    <xf numFmtId="0" fontId="14" fillId="0" borderId="73" xfId="0" applyFont="1" applyBorder="1" applyAlignment="1" applyProtection="1">
      <alignment horizontal="distributed" vertical="center" wrapText="1"/>
      <protection hidden="1"/>
    </xf>
    <xf numFmtId="0" fontId="14" fillId="0" borderId="37" xfId="0" applyFont="1" applyBorder="1" applyAlignment="1" applyProtection="1">
      <alignment horizontal="distributed" vertical="center" wrapText="1" indent="1"/>
      <protection hidden="1"/>
    </xf>
    <xf numFmtId="0" fontId="14" fillId="0" borderId="37" xfId="0" applyFont="1" applyBorder="1" applyAlignment="1" applyProtection="1">
      <alignment horizontal="distributed" vertical="center" textRotation="255"/>
      <protection hidden="1"/>
    </xf>
    <xf numFmtId="0" fontId="14" fillId="0" borderId="37" xfId="1" applyFont="1" applyBorder="1" applyAlignment="1" applyProtection="1">
      <alignment horizontal="distributed" vertical="center" wrapText="1" indent="1"/>
      <protection hidden="1"/>
    </xf>
    <xf numFmtId="0" fontId="14" fillId="0" borderId="33" xfId="1" applyFont="1" applyBorder="1" applyAlignment="1" applyProtection="1">
      <alignment horizontal="distributed" vertical="center" wrapText="1" indent="1"/>
      <protection hidden="1"/>
    </xf>
    <xf numFmtId="0" fontId="14" fillId="0" borderId="45" xfId="0" applyFont="1" applyBorder="1" applyAlignment="1" applyProtection="1">
      <alignment horizontal="distributed" vertical="center" indent="1"/>
      <protection hidden="1"/>
    </xf>
    <xf numFmtId="0" fontId="14" fillId="0" borderId="46" xfId="0" applyFont="1" applyBorder="1" applyAlignment="1" applyProtection="1">
      <alignment horizontal="distributed" vertical="center" indent="1"/>
      <protection hidden="1"/>
    </xf>
    <xf numFmtId="0" fontId="14" fillId="0" borderId="47" xfId="0" applyFont="1" applyBorder="1" applyAlignment="1" applyProtection="1">
      <alignment horizontal="distributed" vertical="center" indent="1"/>
      <protection hidden="1"/>
    </xf>
    <xf numFmtId="0" fontId="14" fillId="0" borderId="1" xfId="0" applyFont="1" applyBorder="1" applyAlignment="1" applyProtection="1">
      <alignment horizontal="center" vertical="center"/>
      <protection hidden="1"/>
    </xf>
    <xf numFmtId="177" fontId="14" fillId="0" borderId="2" xfId="1" applyNumberFormat="1" applyFont="1" applyBorder="1" applyAlignment="1" applyProtection="1">
      <alignment horizontal="left" vertical="center" shrinkToFit="1"/>
      <protection hidden="1"/>
    </xf>
    <xf numFmtId="177" fontId="14" fillId="0" borderId="34" xfId="1" applyNumberFormat="1" applyFont="1" applyBorder="1" applyAlignment="1" applyProtection="1">
      <alignment horizontal="left" vertical="center" shrinkToFit="1"/>
      <protection hidden="1"/>
    </xf>
    <xf numFmtId="0" fontId="14" fillId="0" borderId="62" xfId="0" applyFont="1" applyBorder="1" applyAlignment="1" applyProtection="1">
      <alignment horizontal="distributed" vertical="center" indent="1"/>
      <protection hidden="1"/>
    </xf>
    <xf numFmtId="0" fontId="14" fillId="0" borderId="63" xfId="0" applyFont="1" applyBorder="1" applyAlignment="1" applyProtection="1">
      <alignment horizontal="distributed" vertical="center" indent="1"/>
      <protection hidden="1"/>
    </xf>
    <xf numFmtId="0" fontId="14" fillId="0" borderId="64" xfId="0" applyFont="1" applyBorder="1" applyAlignment="1" applyProtection="1">
      <alignment horizontal="distributed" vertical="center" indent="1"/>
      <protection hidden="1"/>
    </xf>
    <xf numFmtId="188" fontId="14" fillId="0" borderId="65" xfId="2" applyNumberFormat="1" applyFont="1" applyFill="1" applyBorder="1" applyAlignment="1" applyProtection="1">
      <alignment horizontal="center" vertical="center" shrinkToFit="1"/>
      <protection hidden="1"/>
    </xf>
    <xf numFmtId="188" fontId="14" fillId="0" borderId="66" xfId="2" applyNumberFormat="1" applyFont="1" applyFill="1" applyBorder="1" applyAlignment="1" applyProtection="1">
      <alignment horizontal="center" vertical="center" shrinkToFit="1"/>
      <protection hidden="1"/>
    </xf>
    <xf numFmtId="188" fontId="14" fillId="0" borderId="48" xfId="2" applyNumberFormat="1" applyFont="1" applyFill="1" applyBorder="1" applyAlignment="1" applyProtection="1">
      <alignment horizontal="center" vertical="center" shrinkToFit="1"/>
      <protection hidden="1"/>
    </xf>
    <xf numFmtId="188" fontId="14" fillId="0" borderId="49" xfId="2" applyNumberFormat="1" applyFont="1" applyFill="1" applyBorder="1" applyAlignment="1" applyProtection="1">
      <alignment horizontal="center" vertical="center" shrinkToFit="1"/>
      <protection hidden="1"/>
    </xf>
    <xf numFmtId="0" fontId="14" fillId="0" borderId="54" xfId="0" applyFont="1" applyBorder="1" applyAlignment="1" applyProtection="1">
      <alignment horizontal="distributed" vertical="center" indent="1"/>
      <protection hidden="1"/>
    </xf>
    <xf numFmtId="0" fontId="14" fillId="0" borderId="52" xfId="0" applyFont="1" applyBorder="1" applyAlignment="1" applyProtection="1">
      <alignment horizontal="distributed" vertical="center" indent="1"/>
      <protection hidden="1"/>
    </xf>
    <xf numFmtId="0" fontId="14" fillId="0" borderId="2" xfId="0" applyFont="1" applyBorder="1" applyAlignment="1" applyProtection="1">
      <alignment horizontal="distributed" vertical="center" wrapText="1" indent="1"/>
      <protection hidden="1"/>
    </xf>
    <xf numFmtId="0" fontId="14" fillId="0" borderId="34" xfId="0" applyFont="1" applyBorder="1" applyAlignment="1" applyProtection="1">
      <alignment horizontal="distributed" vertical="center" wrapText="1" indent="1"/>
      <protection hidden="1"/>
    </xf>
    <xf numFmtId="0" fontId="14" fillId="0" borderId="56" xfId="1" applyFont="1" applyBorder="1" applyAlignment="1" applyProtection="1">
      <alignment horizontal="distributed" vertical="center" textRotation="255" wrapText="1"/>
      <protection hidden="1"/>
    </xf>
    <xf numFmtId="0" fontId="14" fillId="0" borderId="15" xfId="1" applyFont="1" applyBorder="1" applyAlignment="1" applyProtection="1">
      <alignment horizontal="distributed" vertical="center" textRotation="255" wrapText="1"/>
      <protection hidden="1"/>
    </xf>
    <xf numFmtId="0" fontId="14" fillId="0" borderId="42" xfId="1" applyFont="1" applyBorder="1" applyAlignment="1" applyProtection="1">
      <alignment horizontal="distributed" vertical="center" textRotation="255" wrapText="1"/>
      <protection hidden="1"/>
    </xf>
    <xf numFmtId="0" fontId="14" fillId="0" borderId="6" xfId="0" applyFont="1" applyBorder="1" applyAlignment="1" applyProtection="1">
      <alignment horizontal="center" vertical="center"/>
      <protection hidden="1"/>
    </xf>
    <xf numFmtId="0" fontId="14" fillId="0" borderId="14" xfId="0" applyFont="1" applyBorder="1" applyAlignment="1" applyProtection="1">
      <alignment horizontal="center" vertical="center"/>
      <protection hidden="1"/>
    </xf>
    <xf numFmtId="0" fontId="14" fillId="0" borderId="18" xfId="0" applyFont="1" applyBorder="1" applyAlignment="1" applyProtection="1">
      <alignment horizontal="center" vertical="center"/>
      <protection hidden="1"/>
    </xf>
    <xf numFmtId="0" fontId="14" fillId="0" borderId="13"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88" xfId="0" applyFont="1" applyBorder="1" applyAlignment="1" applyProtection="1">
      <alignment horizontal="center" vertical="center" wrapText="1"/>
      <protection hidden="1"/>
    </xf>
    <xf numFmtId="0" fontId="14" fillId="0" borderId="77"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protection hidden="1"/>
    </xf>
    <xf numFmtId="0" fontId="14" fillId="0" borderId="58"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00"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51" xfId="1" applyFont="1" applyBorder="1" applyAlignment="1" applyProtection="1">
      <alignment horizontal="distributed" vertical="center" indent="1"/>
      <protection hidden="1"/>
    </xf>
    <xf numFmtId="0" fontId="14" fillId="0" borderId="52" xfId="1" applyFont="1" applyBorder="1" applyAlignment="1" applyProtection="1">
      <alignment horizontal="distributed" vertical="center" indent="1"/>
      <protection hidden="1"/>
    </xf>
    <xf numFmtId="188" fontId="14" fillId="0" borderId="79" xfId="0" applyNumberFormat="1" applyFont="1" applyBorder="1" applyAlignment="1" applyProtection="1">
      <alignment horizontal="right" vertical="center" indent="1" shrinkToFit="1"/>
      <protection hidden="1"/>
    </xf>
    <xf numFmtId="188" fontId="14" fillId="0" borderId="71" xfId="1" applyNumberFormat="1" applyFont="1" applyBorder="1" applyAlignment="1" applyProtection="1">
      <alignment horizontal="right" vertical="center" indent="1" shrinkToFit="1"/>
      <protection hidden="1"/>
    </xf>
    <xf numFmtId="0" fontId="14" fillId="0" borderId="36" xfId="1" applyFont="1" applyBorder="1" applyAlignment="1" applyProtection="1">
      <alignment horizontal="distributed" vertical="center" indent="1"/>
      <protection hidden="1"/>
    </xf>
    <xf numFmtId="0" fontId="14" fillId="0" borderId="34" xfId="1" applyFont="1" applyBorder="1" applyAlignment="1" applyProtection="1">
      <alignment horizontal="distributed" vertical="center" indent="1"/>
      <protection hidden="1"/>
    </xf>
    <xf numFmtId="188" fontId="14" fillId="0" borderId="39" xfId="0" applyNumberFormat="1" applyFont="1" applyBorder="1" applyAlignment="1" applyProtection="1">
      <alignment horizontal="right" vertical="center" indent="1" shrinkToFit="1"/>
      <protection hidden="1"/>
    </xf>
    <xf numFmtId="188" fontId="14" fillId="0" borderId="40" xfId="0" applyNumberFormat="1" applyFont="1" applyBorder="1" applyAlignment="1" applyProtection="1">
      <alignment horizontal="right" vertical="center" indent="1" shrinkToFit="1"/>
      <protection hidden="1"/>
    </xf>
    <xf numFmtId="0" fontId="14" fillId="0" borderId="6" xfId="1" applyFont="1" applyBorder="1" applyAlignment="1" applyProtection="1">
      <alignment vertical="center" textRotation="255"/>
      <protection hidden="1"/>
    </xf>
    <xf numFmtId="0" fontId="14" fillId="0" borderId="14" xfId="1" applyFont="1" applyBorder="1" applyAlignment="1" applyProtection="1">
      <alignment vertical="center" textRotation="255"/>
      <protection hidden="1"/>
    </xf>
    <xf numFmtId="0" fontId="14" fillId="0" borderId="18" xfId="1" applyFont="1" applyBorder="1" applyAlignment="1" applyProtection="1">
      <alignment vertical="center" textRotation="255"/>
      <protection hidden="1"/>
    </xf>
    <xf numFmtId="0" fontId="14" fillId="0" borderId="19" xfId="1" applyFont="1" applyBorder="1" applyAlignment="1" applyProtection="1">
      <alignment horizontal="distributed" vertical="center" indent="1"/>
      <protection hidden="1"/>
    </xf>
    <xf numFmtId="0" fontId="14" fillId="0" borderId="5" xfId="1" applyFont="1" applyBorder="1" applyAlignment="1" applyProtection="1">
      <alignment horizontal="distributed" vertical="center" indent="1"/>
      <protection hidden="1"/>
    </xf>
    <xf numFmtId="0" fontId="14" fillId="0" borderId="20" xfId="1" applyFont="1" applyBorder="1" applyAlignment="1" applyProtection="1">
      <alignment horizontal="distributed" vertical="center" indent="1"/>
      <protection hidden="1"/>
    </xf>
    <xf numFmtId="188" fontId="14" fillId="0" borderId="158" xfId="0" applyNumberFormat="1" applyFont="1" applyBorder="1" applyAlignment="1" applyProtection="1">
      <alignment vertical="center" shrinkToFit="1"/>
      <protection hidden="1"/>
    </xf>
    <xf numFmtId="188" fontId="14" fillId="0" borderId="153" xfId="1" applyNumberFormat="1" applyFont="1" applyBorder="1" applyAlignment="1" applyProtection="1">
      <alignment vertical="center" shrinkToFit="1"/>
      <protection hidden="1"/>
    </xf>
    <xf numFmtId="0" fontId="14" fillId="0" borderId="56" xfId="1" applyFont="1" applyBorder="1" applyAlignment="1" applyProtection="1">
      <alignment horizontal="distributed" vertical="center" indent="1"/>
      <protection hidden="1"/>
    </xf>
    <xf numFmtId="0" fontId="14" fillId="0" borderId="4" xfId="1" applyFont="1" applyBorder="1" applyAlignment="1" applyProtection="1">
      <alignment horizontal="distributed" vertical="center" indent="1"/>
      <protection hidden="1"/>
    </xf>
    <xf numFmtId="0" fontId="14" fillId="0" borderId="73" xfId="1" applyFont="1" applyBorder="1" applyAlignment="1" applyProtection="1">
      <alignment horizontal="distributed" vertical="center" indent="1"/>
      <protection hidden="1"/>
    </xf>
    <xf numFmtId="0" fontId="14" fillId="0" borderId="4" xfId="1" applyFont="1" applyBorder="1" applyAlignment="1" applyProtection="1">
      <alignment horizontal="distributed" vertical="center" wrapText="1" indent="1"/>
      <protection hidden="1"/>
    </xf>
    <xf numFmtId="188" fontId="14" fillId="0" borderId="81" xfId="0" applyNumberFormat="1" applyFont="1" applyBorder="1" applyAlignment="1" applyProtection="1">
      <alignment horizontal="right" vertical="center" indent="1" shrinkToFit="1"/>
      <protection hidden="1"/>
    </xf>
    <xf numFmtId="188" fontId="14" fillId="0" borderId="82" xfId="0" applyNumberFormat="1" applyFont="1" applyBorder="1" applyAlignment="1" applyProtection="1">
      <alignment horizontal="right" vertical="center" indent="1" shrinkToFit="1"/>
      <protection hidden="1"/>
    </xf>
    <xf numFmtId="0" fontId="14" fillId="0" borderId="93" xfId="0" applyFont="1" applyBorder="1" applyAlignment="1" applyProtection="1">
      <alignment horizontal="center" vertical="center" textRotation="255"/>
      <protection hidden="1"/>
    </xf>
    <xf numFmtId="0" fontId="14" fillId="0" borderId="95" xfId="0" applyFont="1" applyBorder="1" applyAlignment="1" applyProtection="1">
      <alignment horizontal="center" vertical="center" textRotation="255"/>
      <protection hidden="1"/>
    </xf>
    <xf numFmtId="0" fontId="14" fillId="0" borderId="98" xfId="0" applyFont="1" applyBorder="1" applyAlignment="1" applyProtection="1">
      <alignment horizontal="center" vertical="center" textRotation="255"/>
      <protection hidden="1"/>
    </xf>
    <xf numFmtId="0" fontId="14" fillId="0" borderId="32" xfId="0" applyFont="1" applyBorder="1" applyAlignment="1" applyProtection="1">
      <alignment horizontal="distributed" vertical="center" indent="1"/>
      <protection hidden="1"/>
    </xf>
    <xf numFmtId="0" fontId="14" fillId="0" borderId="94" xfId="0" applyFont="1" applyBorder="1" applyAlignment="1" applyProtection="1">
      <alignment horizontal="distributed" vertical="center" indent="1"/>
      <protection hidden="1"/>
    </xf>
    <xf numFmtId="0" fontId="14" fillId="0" borderId="57" xfId="0" applyFont="1" applyBorder="1" applyAlignment="1" applyProtection="1">
      <alignment horizontal="distributed" vertical="center" indent="1"/>
      <protection hidden="1"/>
    </xf>
    <xf numFmtId="0" fontId="14" fillId="0" borderId="1" xfId="1" applyFont="1" applyBorder="1" applyAlignment="1" applyProtection="1">
      <alignment horizontal="distributed" vertical="center" wrapText="1" indent="1"/>
      <protection hidden="1"/>
    </xf>
    <xf numFmtId="0" fontId="14" fillId="0" borderId="57" xfId="1" applyFont="1" applyBorder="1" applyAlignment="1" applyProtection="1">
      <alignment horizontal="distributed" vertical="center" wrapText="1" indent="1"/>
      <protection hidden="1"/>
    </xf>
    <xf numFmtId="0" fontId="14" fillId="0" borderId="1" xfId="0" applyFont="1" applyBorder="1" applyAlignment="1" applyProtection="1">
      <alignment horizontal="distributed" vertical="center" wrapText="1" indent="1"/>
      <protection hidden="1"/>
    </xf>
    <xf numFmtId="0" fontId="16" fillId="0" borderId="58" xfId="1" applyFont="1" applyBorder="1" applyProtection="1">
      <alignment vertical="center"/>
      <protection hidden="1"/>
    </xf>
    <xf numFmtId="0" fontId="16" fillId="0" borderId="36" xfId="1" applyFont="1" applyBorder="1" applyProtection="1">
      <alignment vertical="center"/>
      <protection hidden="1"/>
    </xf>
    <xf numFmtId="0" fontId="16" fillId="0" borderId="100" xfId="1" applyFont="1" applyBorder="1" applyProtection="1">
      <alignment vertical="center"/>
      <protection hidden="1"/>
    </xf>
    <xf numFmtId="0" fontId="16" fillId="0" borderId="21" xfId="1" applyFont="1" applyBorder="1" applyProtection="1">
      <alignment vertical="center"/>
      <protection hidden="1"/>
    </xf>
    <xf numFmtId="0" fontId="14" fillId="0" borderId="102" xfId="0" applyFont="1" applyBorder="1" applyAlignment="1" applyProtection="1">
      <alignment horizontal="distributed" vertical="center" wrapText="1" indent="1"/>
      <protection hidden="1"/>
    </xf>
    <xf numFmtId="0" fontId="14" fillId="0" borderId="104" xfId="0" applyFont="1" applyBorder="1" applyAlignment="1" applyProtection="1">
      <alignment horizontal="distributed" vertical="center" wrapText="1" indent="1"/>
      <protection hidden="1"/>
    </xf>
    <xf numFmtId="178" fontId="14" fillId="0" borderId="108" xfId="1" applyNumberFormat="1" applyFont="1" applyBorder="1" applyAlignment="1" applyProtection="1">
      <alignment horizontal="right" vertical="center"/>
      <protection hidden="1"/>
    </xf>
    <xf numFmtId="178" fontId="14" fillId="0" borderId="105" xfId="1" applyNumberFormat="1" applyFont="1" applyBorder="1" applyAlignment="1" applyProtection="1">
      <alignment horizontal="right" vertical="center"/>
      <protection hidden="1"/>
    </xf>
    <xf numFmtId="0" fontId="16" fillId="0" borderId="93" xfId="1" applyFont="1" applyBorder="1" applyProtection="1">
      <alignment vertical="center"/>
      <protection hidden="1"/>
    </xf>
    <xf numFmtId="0" fontId="16" fillId="0" borderId="32" xfId="1" applyFont="1" applyBorder="1" applyProtection="1">
      <alignment vertical="center"/>
      <protection hidden="1"/>
    </xf>
    <xf numFmtId="0" fontId="14" fillId="0" borderId="68" xfId="1" applyFont="1" applyBorder="1" applyAlignment="1" applyProtection="1">
      <alignment horizontal="distributed" vertical="center" wrapText="1" indent="1"/>
      <protection hidden="1"/>
    </xf>
    <xf numFmtId="0" fontId="14" fillId="0" borderId="69" xfId="1" applyFont="1" applyBorder="1" applyAlignment="1" applyProtection="1">
      <alignment horizontal="distributed" vertical="center" wrapText="1" indent="1"/>
      <protection hidden="1"/>
    </xf>
    <xf numFmtId="0" fontId="14" fillId="0" borderId="78" xfId="0" applyFont="1" applyBorder="1" applyAlignment="1" applyProtection="1">
      <alignment horizontal="distributed" vertical="center" indent="1"/>
      <protection hidden="1"/>
    </xf>
    <xf numFmtId="0" fontId="14" fillId="0" borderId="68" xfId="0" applyFont="1" applyBorder="1" applyAlignment="1" applyProtection="1">
      <alignment horizontal="distributed" vertical="center" indent="1"/>
      <protection hidden="1"/>
    </xf>
    <xf numFmtId="0" fontId="14" fillId="0" borderId="69" xfId="0" applyFont="1" applyBorder="1" applyAlignment="1" applyProtection="1">
      <alignment horizontal="distributed" vertical="center" indent="1"/>
      <protection hidden="1"/>
    </xf>
    <xf numFmtId="0" fontId="14" fillId="0" borderId="55" xfId="1" applyFont="1" applyBorder="1" applyProtection="1">
      <alignment vertical="center"/>
      <protection hidden="1"/>
    </xf>
    <xf numFmtId="0" fontId="14" fillId="0" borderId="1" xfId="1" applyFont="1" applyBorder="1" applyProtection="1">
      <alignment vertical="center"/>
      <protection hidden="1"/>
    </xf>
    <xf numFmtId="0" fontId="14" fillId="0" borderId="37" xfId="1" applyFont="1" applyBorder="1" applyProtection="1">
      <alignment vertical="center"/>
      <protection hidden="1"/>
    </xf>
    <xf numFmtId="0" fontId="14" fillId="0" borderId="68" xfId="1" applyFont="1" applyBorder="1" applyProtection="1">
      <alignment vertical="center"/>
      <protection hidden="1"/>
    </xf>
    <xf numFmtId="0" fontId="14" fillId="0" borderId="55" xfId="1" applyFont="1" applyBorder="1" applyAlignment="1" applyProtection="1">
      <alignment horizontal="distributed" vertical="center" wrapText="1" indent="1"/>
      <protection hidden="1"/>
    </xf>
    <xf numFmtId="0" fontId="14" fillId="0" borderId="78" xfId="1" applyFont="1" applyBorder="1" applyAlignment="1" applyProtection="1">
      <alignment horizontal="distributed" vertical="center" wrapText="1" indent="1"/>
      <protection hidden="1"/>
    </xf>
    <xf numFmtId="0" fontId="16" fillId="0" borderId="95" xfId="1" applyFont="1" applyBorder="1" applyProtection="1">
      <alignment vertical="center"/>
      <protection hidden="1"/>
    </xf>
    <xf numFmtId="0" fontId="16" fillId="0" borderId="1" xfId="1" applyFont="1" applyBorder="1" applyProtection="1">
      <alignment vertical="center"/>
      <protection hidden="1"/>
    </xf>
    <xf numFmtId="188" fontId="14" fillId="0" borderId="157" xfId="2" applyNumberFormat="1" applyFont="1" applyFill="1" applyBorder="1" applyAlignment="1" applyProtection="1">
      <alignment horizontal="center" vertical="center" shrinkToFit="1"/>
      <protection hidden="1"/>
    </xf>
    <xf numFmtId="188" fontId="14" fillId="0" borderId="66" xfId="1" applyNumberFormat="1" applyFont="1" applyBorder="1" applyAlignment="1" applyProtection="1">
      <alignment horizontal="center" vertical="center" shrinkToFit="1"/>
      <protection hidden="1"/>
    </xf>
    <xf numFmtId="0" fontId="14" fillId="0" borderId="0" xfId="0" applyFont="1" applyAlignment="1" applyProtection="1">
      <alignment horizontal="center" vertical="center" wrapText="1"/>
      <protection hidden="1"/>
    </xf>
    <xf numFmtId="0" fontId="14" fillId="0" borderId="156" xfId="0" applyFont="1" applyBorder="1" applyAlignment="1" applyProtection="1">
      <alignment horizontal="center" vertical="center" wrapText="1"/>
      <protection hidden="1"/>
    </xf>
    <xf numFmtId="0" fontId="14" fillId="0" borderId="50" xfId="1" applyFont="1" applyBorder="1" applyAlignment="1" applyProtection="1">
      <alignment vertical="center" textRotation="255"/>
      <protection hidden="1"/>
    </xf>
    <xf numFmtId="0" fontId="14" fillId="0" borderId="35" xfId="1" applyFont="1" applyBorder="1" applyAlignment="1" applyProtection="1">
      <alignment vertical="center" textRotation="255"/>
      <protection hidden="1"/>
    </xf>
    <xf numFmtId="0" fontId="14" fillId="0" borderId="7" xfId="0" applyFont="1" applyBorder="1" applyAlignment="1" applyProtection="1">
      <alignment horizontal="distributed" vertical="center" wrapText="1" indent="1"/>
      <protection hidden="1"/>
    </xf>
    <xf numFmtId="0" fontId="14" fillId="0" borderId="13" xfId="0" applyFont="1" applyBorder="1" applyAlignment="1" applyProtection="1">
      <alignment horizontal="distributed" vertical="center" wrapText="1" indent="1"/>
      <protection hidden="1"/>
    </xf>
    <xf numFmtId="0" fontId="14" fillId="0" borderId="15" xfId="0" applyFont="1" applyBorder="1" applyAlignment="1" applyProtection="1">
      <alignment horizontal="distributed" vertical="center" wrapText="1" indent="1"/>
      <protection hidden="1"/>
    </xf>
    <xf numFmtId="0" fontId="14" fillId="0" borderId="88" xfId="0" applyFont="1" applyBorder="1" applyAlignment="1" applyProtection="1">
      <alignment horizontal="distributed" vertical="center" wrapText="1" indent="1"/>
      <protection hidden="1"/>
    </xf>
    <xf numFmtId="0" fontId="14" fillId="0" borderId="45" xfId="0" applyFont="1" applyBorder="1" applyAlignment="1" applyProtection="1">
      <alignment horizontal="distributed" vertical="center" wrapText="1" indent="1"/>
      <protection hidden="1"/>
    </xf>
    <xf numFmtId="0" fontId="14" fillId="0" borderId="133" xfId="0" applyFont="1" applyBorder="1" applyAlignment="1" applyProtection="1">
      <alignment horizontal="distributed" vertical="center" wrapText="1" indent="1"/>
      <protection hidden="1"/>
    </xf>
    <xf numFmtId="188" fontId="14" fillId="0" borderId="154" xfId="2" applyNumberFormat="1" applyFont="1" applyFill="1" applyBorder="1" applyAlignment="1" applyProtection="1">
      <alignment horizontal="center" vertical="center" shrinkToFit="1"/>
      <protection hidden="1"/>
    </xf>
    <xf numFmtId="188" fontId="14" fillId="0" borderId="60" xfId="1" applyNumberFormat="1" applyFont="1" applyBorder="1" applyAlignment="1" applyProtection="1">
      <alignment horizontal="center" vertical="center" shrinkToFit="1"/>
      <protection hidden="1"/>
    </xf>
    <xf numFmtId="0" fontId="14" fillId="0" borderId="55" xfId="1" applyFont="1" applyBorder="1" applyAlignment="1" applyProtection="1">
      <alignment horizontal="distributed" vertical="center" textRotation="255" wrapText="1"/>
      <protection hidden="1"/>
    </xf>
    <xf numFmtId="0" fontId="14" fillId="0" borderId="1" xfId="1" applyFont="1" applyBorder="1" applyAlignment="1" applyProtection="1">
      <alignment horizontal="distributed" vertical="center" textRotation="255" wrapText="1"/>
      <protection hidden="1"/>
    </xf>
    <xf numFmtId="0" fontId="14" fillId="0" borderId="35"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4" borderId="1" xfId="0" applyFont="1" applyFill="1" applyBorder="1" applyProtection="1">
      <alignment vertical="center"/>
      <protection hidden="1"/>
    </xf>
    <xf numFmtId="0" fontId="17" fillId="4" borderId="7" xfId="0" applyFont="1" applyFill="1" applyBorder="1" applyAlignment="1" applyProtection="1">
      <alignment horizontal="center" vertical="center" wrapText="1"/>
      <protection hidden="1"/>
    </xf>
    <xf numFmtId="0" fontId="17" fillId="4" borderId="13" xfId="0" applyFont="1" applyFill="1" applyBorder="1" applyAlignment="1" applyProtection="1">
      <alignment horizontal="center" vertical="center" wrapText="1"/>
      <protection hidden="1"/>
    </xf>
    <xf numFmtId="0" fontId="17" fillId="4" borderId="15" xfId="0" applyFont="1" applyFill="1" applyBorder="1" applyAlignment="1" applyProtection="1">
      <alignment horizontal="center" vertical="center" wrapText="1"/>
      <protection hidden="1"/>
    </xf>
    <xf numFmtId="0" fontId="17" fillId="4" borderId="88" xfId="0" applyFont="1" applyFill="1" applyBorder="1" applyAlignment="1" applyProtection="1">
      <alignment horizontal="center" vertical="center" wrapText="1"/>
      <protection hidden="1"/>
    </xf>
    <xf numFmtId="0" fontId="17" fillId="4" borderId="19" xfId="0" applyFont="1" applyFill="1" applyBorder="1" applyAlignment="1" applyProtection="1">
      <alignment horizontal="center" vertical="center" wrapText="1"/>
      <protection hidden="1"/>
    </xf>
    <xf numFmtId="0" fontId="17" fillId="4" borderId="77" xfId="0" applyFont="1" applyFill="1" applyBorder="1" applyAlignment="1" applyProtection="1">
      <alignment horizontal="center" vertical="center" wrapText="1"/>
      <protection hidden="1"/>
    </xf>
    <xf numFmtId="0" fontId="14" fillId="0" borderId="18" xfId="0" applyFont="1" applyBorder="1" applyAlignment="1" applyProtection="1">
      <alignment horizontal="distributed" vertical="center" indent="1"/>
      <protection hidden="1"/>
    </xf>
    <xf numFmtId="0" fontId="14" fillId="0" borderId="43" xfId="0" applyFont="1" applyBorder="1" applyAlignment="1" applyProtection="1">
      <alignment horizontal="distributed" vertical="center" indent="1"/>
      <protection hidden="1"/>
    </xf>
    <xf numFmtId="0" fontId="14" fillId="0" borderId="101" xfId="0" applyFont="1" applyBorder="1" applyAlignment="1" applyProtection="1">
      <alignment horizontal="center" vertical="center"/>
      <protection hidden="1"/>
    </xf>
    <xf numFmtId="0" fontId="14" fillId="5" borderId="1" xfId="0" applyFont="1" applyFill="1" applyBorder="1" applyAlignment="1" applyProtection="1">
      <alignment horizontal="center" vertical="center" shrinkToFit="1"/>
      <protection locked="0"/>
    </xf>
    <xf numFmtId="0" fontId="14" fillId="0" borderId="60" xfId="0" applyFont="1" applyBorder="1" applyAlignment="1" applyProtection="1">
      <alignment horizontal="distributed" vertical="center" shrinkToFit="1"/>
      <protection hidden="1"/>
    </xf>
    <xf numFmtId="0" fontId="14" fillId="0" borderId="35" xfId="0" applyFont="1" applyBorder="1" applyAlignment="1" applyProtection="1">
      <alignment horizontal="distributed" vertical="center" indent="1"/>
      <protection hidden="1"/>
    </xf>
    <xf numFmtId="0" fontId="14" fillId="5" borderId="1" xfId="0" applyFont="1" applyFill="1" applyBorder="1" applyAlignment="1" applyProtection="1">
      <alignment horizontal="left" vertical="center" indent="1" shrinkToFit="1"/>
      <protection locked="0"/>
    </xf>
    <xf numFmtId="0" fontId="14" fillId="0" borderId="56" xfId="0" applyFont="1" applyBorder="1" applyAlignment="1" applyProtection="1">
      <alignment horizontal="distributed" vertical="center" indent="1"/>
      <protection hidden="1"/>
    </xf>
    <xf numFmtId="0" fontId="14" fillId="0" borderId="84" xfId="0" applyFont="1" applyBorder="1" applyAlignment="1" applyProtection="1">
      <alignment horizontal="center" vertical="center"/>
      <protection hidden="1"/>
    </xf>
    <xf numFmtId="0" fontId="14" fillId="0" borderId="115" xfId="0" applyFont="1" applyBorder="1" applyAlignment="1" applyProtection="1">
      <alignment horizontal="center" vertical="center" textRotation="255"/>
      <protection hidden="1"/>
    </xf>
    <xf numFmtId="0" fontId="14" fillId="0" borderId="116" xfId="0" applyFont="1" applyBorder="1" applyAlignment="1" applyProtection="1">
      <alignment horizontal="center" vertical="center" textRotation="255"/>
      <protection hidden="1"/>
    </xf>
    <xf numFmtId="0" fontId="14" fillId="0" borderId="67" xfId="0" applyFont="1" applyBorder="1" applyAlignment="1" applyProtection="1">
      <alignment horizontal="center" vertical="center"/>
      <protection hidden="1"/>
    </xf>
    <xf numFmtId="0" fontId="14" fillId="0" borderId="86" xfId="0" applyFont="1" applyBorder="1" applyAlignment="1" applyProtection="1">
      <alignment horizontal="distributed" vertical="center" indent="1"/>
      <protection hidden="1"/>
    </xf>
    <xf numFmtId="0" fontId="14" fillId="0" borderId="94" xfId="0" applyFont="1" applyBorder="1" applyAlignment="1" applyProtection="1">
      <alignment horizontal="center" vertical="center" wrapText="1"/>
      <protection hidden="1"/>
    </xf>
    <xf numFmtId="0" fontId="14" fillId="0" borderId="57"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textRotation="255"/>
      <protection hidden="1"/>
    </xf>
    <xf numFmtId="0" fontId="14" fillId="0" borderId="14" xfId="0" applyFont="1" applyBorder="1" applyAlignment="1" applyProtection="1">
      <alignment horizontal="center" vertical="center" textRotation="255"/>
      <protection hidden="1"/>
    </xf>
    <xf numFmtId="0" fontId="14" fillId="0" borderId="93" xfId="0" applyFont="1" applyBorder="1" applyAlignment="1" applyProtection="1">
      <alignment horizontal="center" vertical="center"/>
      <protection hidden="1"/>
    </xf>
    <xf numFmtId="0" fontId="14" fillId="0" borderId="95" xfId="0" applyFont="1" applyBorder="1" applyAlignment="1" applyProtection="1">
      <alignment horizontal="center" vertical="center"/>
      <protection hidden="1"/>
    </xf>
    <xf numFmtId="0" fontId="14" fillId="0" borderId="98" xfId="0" applyFont="1" applyBorder="1" applyAlignment="1" applyProtection="1">
      <alignment horizontal="center" vertical="center"/>
      <protection hidden="1"/>
    </xf>
    <xf numFmtId="0" fontId="14" fillId="0" borderId="32" xfId="0" applyFont="1" applyBorder="1" applyAlignment="1" applyProtection="1">
      <alignment horizontal="center" vertical="center" wrapText="1"/>
      <protection hidden="1"/>
    </xf>
    <xf numFmtId="0" fontId="14" fillId="0" borderId="1"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36" xfId="0" applyFont="1" applyBorder="1" applyAlignment="1" applyProtection="1">
      <alignment horizontal="distributed" vertical="center" wrapText="1" indent="1"/>
      <protection hidden="1"/>
    </xf>
    <xf numFmtId="0" fontId="14" fillId="0" borderId="3" xfId="0" applyFont="1" applyBorder="1" applyAlignment="1" applyProtection="1">
      <alignment horizontal="distributed" vertical="center" wrapText="1" indent="1"/>
      <protection hidden="1"/>
    </xf>
    <xf numFmtId="0" fontId="14" fillId="0" borderId="19" xfId="0" applyFont="1" applyBorder="1" applyAlignment="1" applyProtection="1">
      <alignment horizontal="distributed" vertical="center" indent="1"/>
      <protection hidden="1"/>
    </xf>
    <xf numFmtId="0" fontId="19" fillId="0" borderId="37" xfId="0" applyFont="1" applyBorder="1" applyAlignment="1" applyProtection="1">
      <alignment horizontal="distributed" vertical="center" wrapText="1" indent="1"/>
      <protection hidden="1"/>
    </xf>
    <xf numFmtId="0" fontId="19" fillId="0" borderId="35" xfId="0" applyFont="1" applyBorder="1" applyAlignment="1" applyProtection="1">
      <alignment horizontal="distributed" vertical="center" wrapText="1" indent="1"/>
      <protection hidden="1"/>
    </xf>
    <xf numFmtId="0" fontId="19" fillId="0" borderId="33" xfId="0" applyFont="1" applyBorder="1" applyAlignment="1" applyProtection="1">
      <alignment horizontal="distributed" vertical="center" wrapText="1" indent="1"/>
      <protection hidden="1"/>
    </xf>
    <xf numFmtId="0" fontId="14" fillId="0" borderId="18" xfId="0" applyFont="1" applyBorder="1" applyAlignment="1" applyProtection="1">
      <alignment horizontal="center" vertical="center" textRotation="255"/>
      <protection hidden="1"/>
    </xf>
    <xf numFmtId="56" fontId="14" fillId="0" borderId="33" xfId="0" applyNumberFormat="1" applyFont="1" applyBorder="1" applyAlignment="1" applyProtection="1">
      <alignment horizontal="distributed" vertical="center" wrapText="1" indent="1"/>
      <protection hidden="1"/>
    </xf>
    <xf numFmtId="56" fontId="14" fillId="0" borderId="1" xfId="0" applyNumberFormat="1" applyFont="1" applyBorder="1" applyAlignment="1" applyProtection="1">
      <alignment horizontal="distributed" vertical="center" wrapText="1" indent="1"/>
      <protection hidden="1"/>
    </xf>
    <xf numFmtId="0" fontId="24" fillId="0" borderId="1" xfId="0" applyFont="1" applyBorder="1" applyAlignment="1" applyProtection="1">
      <alignment horizontal="distributed" vertical="center" wrapText="1" indent="1"/>
      <protection hidden="1"/>
    </xf>
    <xf numFmtId="0" fontId="24" fillId="0" borderId="2" xfId="0" applyFont="1" applyBorder="1" applyAlignment="1" applyProtection="1">
      <alignment horizontal="distributed" vertical="center" indent="1"/>
      <protection hidden="1"/>
    </xf>
    <xf numFmtId="0" fontId="24" fillId="0" borderId="3" xfId="0" applyFont="1" applyBorder="1" applyAlignment="1" applyProtection="1">
      <alignment horizontal="distributed" vertical="center" indent="1"/>
      <protection hidden="1"/>
    </xf>
    <xf numFmtId="0" fontId="14" fillId="0" borderId="74" xfId="1" applyFont="1" applyBorder="1" applyAlignment="1" applyProtection="1">
      <alignment horizontal="distributed" vertical="center" indent="1"/>
      <protection hidden="1"/>
    </xf>
    <xf numFmtId="0" fontId="14" fillId="0" borderId="75" xfId="1" applyFont="1" applyBorder="1" applyAlignment="1" applyProtection="1">
      <alignment horizontal="distributed" vertical="center" indent="1"/>
      <protection hidden="1"/>
    </xf>
    <xf numFmtId="0" fontId="14" fillId="0" borderId="76" xfId="1" applyFont="1" applyBorder="1" applyAlignment="1" applyProtection="1">
      <alignment horizontal="distributed" vertical="center" indent="1"/>
      <protection hidden="1"/>
    </xf>
    <xf numFmtId="188" fontId="16" fillId="0" borderId="110" xfId="0" applyNumberFormat="1" applyFont="1" applyBorder="1" applyAlignment="1" applyProtection="1">
      <alignment horizontal="right" vertical="center" shrinkToFit="1"/>
      <protection hidden="1"/>
    </xf>
    <xf numFmtId="188" fontId="16" fillId="0" borderId="105" xfId="1" applyNumberFormat="1" applyFont="1" applyBorder="1" applyAlignment="1" applyProtection="1">
      <alignment horizontal="right" vertical="center" shrinkToFit="1"/>
      <protection hidden="1"/>
    </xf>
    <xf numFmtId="0" fontId="14" fillId="0" borderId="44" xfId="1" applyFont="1" applyBorder="1" applyAlignment="1" applyProtection="1">
      <alignment vertical="center" textRotation="255"/>
      <protection hidden="1"/>
    </xf>
    <xf numFmtId="188" fontId="16" fillId="0" borderId="65" xfId="2" applyNumberFormat="1" applyFont="1" applyFill="1" applyBorder="1" applyAlignment="1" applyProtection="1">
      <alignment horizontal="right" vertical="center" shrinkToFit="1"/>
      <protection hidden="1"/>
    </xf>
    <xf numFmtId="188" fontId="16" fillId="0" borderId="66" xfId="1" applyNumberFormat="1" applyFont="1" applyBorder="1" applyAlignment="1" applyProtection="1">
      <alignment horizontal="right" vertical="center" shrinkToFit="1"/>
      <protection hidden="1"/>
    </xf>
    <xf numFmtId="188" fontId="14" fillId="0" borderId="65" xfId="2" applyNumberFormat="1" applyFont="1" applyFill="1" applyBorder="1" applyAlignment="1" applyProtection="1">
      <alignment horizontal="right" vertical="center" shrinkToFit="1"/>
      <protection hidden="1"/>
    </xf>
    <xf numFmtId="188" fontId="14" fillId="0" borderId="66" xfId="2" applyNumberFormat="1" applyFont="1" applyFill="1" applyBorder="1" applyAlignment="1" applyProtection="1">
      <alignment horizontal="right" vertical="center" shrinkToFit="1"/>
      <protection hidden="1"/>
    </xf>
    <xf numFmtId="0" fontId="14" fillId="0" borderId="56" xfId="0" applyFont="1" applyBorder="1" applyAlignment="1" applyProtection="1">
      <alignment horizontal="distributed" vertical="center" wrapText="1" indent="1"/>
      <protection hidden="1"/>
    </xf>
    <xf numFmtId="0" fontId="14" fillId="0" borderId="4" xfId="0" applyFont="1" applyBorder="1" applyAlignment="1" applyProtection="1">
      <alignment horizontal="distributed" vertical="center" wrapText="1" indent="1"/>
      <protection hidden="1"/>
    </xf>
    <xf numFmtId="0" fontId="14" fillId="0" borderId="73" xfId="0" applyFont="1" applyBorder="1" applyAlignment="1" applyProtection="1">
      <alignment horizontal="distributed" vertical="center" wrapText="1" indent="1"/>
      <protection hidden="1"/>
    </xf>
    <xf numFmtId="0" fontId="14" fillId="0" borderId="37" xfId="0" applyFont="1" applyBorder="1" applyAlignment="1" applyProtection="1">
      <alignment horizontal="distributed" vertical="center" indent="3"/>
      <protection hidden="1"/>
    </xf>
    <xf numFmtId="0" fontId="14" fillId="0" borderId="35" xfId="0" applyFont="1" applyBorder="1" applyAlignment="1" applyProtection="1">
      <alignment horizontal="distributed" vertical="center" indent="3"/>
      <protection hidden="1"/>
    </xf>
    <xf numFmtId="0" fontId="14" fillId="0" borderId="33" xfId="0" applyFont="1" applyBorder="1" applyAlignment="1" applyProtection="1">
      <alignment horizontal="distributed" vertical="center" indent="3"/>
      <protection hidden="1"/>
    </xf>
    <xf numFmtId="0" fontId="0" fillId="0" borderId="85" xfId="0" applyBorder="1">
      <alignment vertical="center"/>
    </xf>
    <xf numFmtId="0" fontId="0" fillId="0" borderId="97" xfId="0" applyBorder="1">
      <alignment vertical="center"/>
    </xf>
    <xf numFmtId="0" fontId="0" fillId="0" borderId="112" xfId="0" applyBorder="1">
      <alignment vertical="center"/>
    </xf>
    <xf numFmtId="0" fontId="0" fillId="9" borderId="93" xfId="0" applyFill="1" applyBorder="1" applyAlignment="1">
      <alignment horizontal="center" vertical="center"/>
    </xf>
    <xf numFmtId="0" fontId="0" fillId="9" borderId="32" xfId="0" applyFill="1" applyBorder="1" applyAlignment="1">
      <alignment horizontal="center" vertical="center"/>
    </xf>
    <xf numFmtId="0" fontId="0" fillId="9" borderId="94" xfId="0" applyFill="1" applyBorder="1" applyAlignment="1">
      <alignment horizontal="center" vertical="center"/>
    </xf>
    <xf numFmtId="0" fontId="0" fillId="6" borderId="10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9" borderId="95" xfId="0" applyFill="1" applyBorder="1" applyAlignment="1">
      <alignment horizontal="center" vertical="center"/>
    </xf>
    <xf numFmtId="0" fontId="0" fillId="9" borderId="1" xfId="0" applyFill="1" applyBorder="1" applyAlignment="1">
      <alignment horizontal="center" vertical="center"/>
    </xf>
    <xf numFmtId="0" fontId="0" fillId="9" borderId="57" xfId="0" applyFill="1" applyBorder="1" applyAlignment="1">
      <alignment horizontal="center" vertical="center"/>
    </xf>
    <xf numFmtId="0" fontId="0" fillId="6" borderId="1" xfId="0" applyFill="1" applyBorder="1" applyAlignment="1">
      <alignment horizontal="center" vertical="center"/>
    </xf>
    <xf numFmtId="0" fontId="0" fillId="6" borderId="57" xfId="0" applyFill="1" applyBorder="1" applyAlignment="1">
      <alignment horizontal="center" vertical="center"/>
    </xf>
    <xf numFmtId="0" fontId="0" fillId="7" borderId="1" xfId="0" applyFill="1" applyBorder="1" applyAlignment="1">
      <alignment vertical="center" wrapText="1"/>
    </xf>
    <xf numFmtId="0" fontId="0" fillId="7" borderId="1" xfId="0" applyFill="1" applyBorder="1">
      <alignment vertical="center"/>
    </xf>
    <xf numFmtId="0" fontId="47" fillId="0" borderId="0" xfId="0" applyFont="1" applyAlignment="1">
      <alignment vertical="center" wrapText="1"/>
    </xf>
    <xf numFmtId="0" fontId="47" fillId="0" borderId="88" xfId="0" applyFont="1" applyBorder="1" applyAlignment="1">
      <alignment vertical="center" wrapText="1"/>
    </xf>
    <xf numFmtId="0" fontId="0" fillId="2" borderId="37" xfId="0" applyFill="1" applyBorder="1">
      <alignment vertical="center"/>
    </xf>
    <xf numFmtId="0" fontId="0" fillId="2" borderId="33" xfId="0" applyFill="1" applyBorder="1">
      <alignment vertical="center"/>
    </xf>
    <xf numFmtId="0" fontId="0" fillId="2" borderId="1" xfId="0" applyFill="1" applyBorder="1">
      <alignment vertical="center"/>
    </xf>
    <xf numFmtId="0" fontId="0" fillId="2" borderId="1" xfId="0" applyFill="1" applyBorder="1" applyAlignment="1">
      <alignment vertical="center" wrapText="1"/>
    </xf>
    <xf numFmtId="0" fontId="0" fillId="2" borderId="2" xfId="0" applyFill="1" applyBorder="1" applyAlignment="1">
      <alignment horizontal="center" vertical="center"/>
    </xf>
    <xf numFmtId="0" fontId="0" fillId="2" borderId="36" xfId="0" applyFill="1" applyBorder="1" applyAlignment="1">
      <alignment horizontal="center" vertical="center"/>
    </xf>
    <xf numFmtId="0" fontId="0" fillId="7" borderId="1" xfId="0" applyFill="1" applyBorder="1" applyAlignment="1">
      <alignment horizontal="center" vertical="center"/>
    </xf>
    <xf numFmtId="0" fontId="0" fillId="2" borderId="37"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horizontal="center" vertical="center"/>
    </xf>
  </cellXfs>
  <cellStyles count="14">
    <cellStyle name="桁区切り" xfId="6" builtinId="6"/>
    <cellStyle name="桁区切り 2" xfId="2" xr:uid="{00000000-0005-0000-0000-000002000000}"/>
    <cellStyle name="桁区切り 2 2" xfId="5" xr:uid="{00000000-0005-0000-0000-000003000000}"/>
    <cellStyle name="桁区切り 2 3" xfId="10" xr:uid="{00000000-0005-0000-0000-000004000000}"/>
    <cellStyle name="桁区切り 3" xfId="4" xr:uid="{00000000-0005-0000-0000-000005000000}"/>
    <cellStyle name="桁区切り 3 2" xfId="12" xr:uid="{00000000-0005-0000-0000-000006000000}"/>
    <cellStyle name="桁区切り 4" xfId="8" xr:uid="{00000000-0005-0000-0000-000007000000}"/>
    <cellStyle name="桁区切り 5" xfId="13" xr:uid="{00000000-0005-0000-0000-000008000000}"/>
    <cellStyle name="標準" xfId="0" builtinId="0"/>
    <cellStyle name="標準 2" xfId="1" xr:uid="{00000000-0005-0000-0000-00000A000000}"/>
    <cellStyle name="標準 3" xfId="3" xr:uid="{00000000-0005-0000-0000-00000B000000}"/>
    <cellStyle name="標準 3 2" xfId="11" xr:uid="{00000000-0005-0000-0000-00000C000000}"/>
    <cellStyle name="標準 4" xfId="7" xr:uid="{00000000-0005-0000-0000-00000D000000}"/>
    <cellStyle name="標準 5" xfId="9" xr:uid="{00000000-0005-0000-0000-00000E000000}"/>
  </cellStyles>
  <dxfs count="32">
    <dxf>
      <fill>
        <patternFill>
          <bgColor rgb="FFFFCC66"/>
        </patternFill>
      </fill>
    </dxf>
    <dxf>
      <fill>
        <patternFill>
          <bgColor theme="0" tint="-0.499984740745262"/>
        </patternFill>
      </fill>
    </dxf>
    <dxf>
      <fill>
        <patternFill>
          <bgColor rgb="FFCCFFFF"/>
        </patternFill>
      </fill>
    </dxf>
    <dxf>
      <fill>
        <patternFill>
          <bgColor theme="0" tint="-0.499984740745262"/>
        </patternFill>
      </fill>
    </dxf>
    <dxf>
      <fill>
        <patternFill>
          <bgColor rgb="FFFFCC66"/>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CCFFFF"/>
        </patternFill>
      </fill>
    </dxf>
    <dxf>
      <fill>
        <patternFill>
          <bgColor rgb="FFCCFFFF"/>
        </patternFill>
      </fill>
    </dxf>
    <dxf>
      <fill>
        <patternFill>
          <bgColor rgb="FFCCFFFF"/>
        </patternFill>
      </fill>
    </dxf>
    <dxf>
      <fill>
        <patternFill>
          <bgColor rgb="FFFFCC66"/>
        </patternFill>
      </fill>
    </dxf>
    <dxf>
      <fill>
        <patternFill>
          <bgColor theme="0" tint="-0.499984740745262"/>
        </patternFill>
      </fill>
    </dxf>
    <dxf>
      <fill>
        <patternFill patternType="none">
          <bgColor auto="1"/>
        </patternFill>
      </fill>
    </dxf>
    <dxf>
      <fill>
        <patternFill>
          <bgColor rgb="FFFFFF99"/>
        </patternFill>
      </fill>
    </dxf>
    <dxf>
      <font>
        <color rgb="FFFF0000"/>
      </font>
    </dxf>
    <dxf>
      <fill>
        <patternFill>
          <bgColor rgb="FFFFCC66"/>
        </patternFill>
      </fill>
    </dxf>
    <dxf>
      <fill>
        <patternFill>
          <bgColor theme="0" tint="-0.499984740745262"/>
        </patternFill>
      </fill>
    </dxf>
    <dxf>
      <font>
        <color rgb="FFFF0000"/>
      </font>
    </dxf>
    <dxf>
      <fill>
        <patternFill>
          <bgColor rgb="FFFFCC66"/>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FFFF"/>
      <color rgb="FFFFCC66"/>
      <color rgb="FFFFFF99"/>
      <color rgb="FFD9D9D9"/>
      <color rgb="FF66CCFF"/>
      <color rgb="FF99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59</xdr:col>
      <xdr:colOff>166687</xdr:colOff>
      <xdr:row>0</xdr:row>
      <xdr:rowOff>119063</xdr:rowOff>
    </xdr:from>
    <xdr:to>
      <xdr:col>69</xdr:col>
      <xdr:colOff>571499</xdr:colOff>
      <xdr:row>4</xdr:row>
      <xdr:rowOff>523875</xdr:rowOff>
    </xdr:to>
    <xdr:sp macro="" textlink="">
      <xdr:nvSpPr>
        <xdr:cNvPr id="2" name="テキスト ボックス 1">
          <a:extLst>
            <a:ext uri="{FF2B5EF4-FFF2-40B4-BE49-F238E27FC236}">
              <a16:creationId xmlns:a16="http://schemas.microsoft.com/office/drawing/2014/main" id="{8B525858-D6A7-4C9F-B28F-1AFD947A3ED6}"/>
            </a:ext>
          </a:extLst>
        </xdr:cNvPr>
        <xdr:cNvSpPr txBox="1"/>
      </xdr:nvSpPr>
      <xdr:spPr>
        <a:xfrm>
          <a:off x="26169937" y="119063"/>
          <a:ext cx="7310437" cy="1357312"/>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mn-ea"/>
              <a:ea typeface="+mn-ea"/>
            </a:rPr>
            <a:t>自動入力されるセルを上書きした場合、セルの背景色が橙色になります。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元に入っていた関数が上書きされるため、自動入力ができなくなります。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元に戻す場合は御連絡ください。</a:t>
          </a:r>
          <a:endParaRPr kumimoji="1" lang="ja-JP" altLang="en-US" sz="11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103908</xdr:colOff>
      <xdr:row>0</xdr:row>
      <xdr:rowOff>207818</xdr:rowOff>
    </xdr:from>
    <xdr:to>
      <xdr:col>68</xdr:col>
      <xdr:colOff>487072</xdr:colOff>
      <xdr:row>5</xdr:row>
      <xdr:rowOff>103909</xdr:rowOff>
    </xdr:to>
    <xdr:sp macro="" textlink="">
      <xdr:nvSpPr>
        <xdr:cNvPr id="2" name="テキスト ボックス 1">
          <a:extLst>
            <a:ext uri="{FF2B5EF4-FFF2-40B4-BE49-F238E27FC236}">
              <a16:creationId xmlns:a16="http://schemas.microsoft.com/office/drawing/2014/main" id="{5D0AAEFE-06F7-49C9-83D6-C107F2677844}"/>
            </a:ext>
          </a:extLst>
        </xdr:cNvPr>
        <xdr:cNvSpPr txBox="1"/>
      </xdr:nvSpPr>
      <xdr:spPr>
        <a:xfrm>
          <a:off x="23621999" y="207818"/>
          <a:ext cx="7310437" cy="1316182"/>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mn-ea"/>
              <a:ea typeface="+mn-ea"/>
            </a:rPr>
            <a:t>自動入力されるセルを上書きした場合、セルの背景色が橙色になります。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元に入っていた関数が上書きされるため、自動入力ができなくなります。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元に戻す場合は御連絡ください。</a:t>
          </a:r>
          <a:endParaRPr kumimoji="1" lang="ja-JP" altLang="en-US" sz="11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95250</xdr:colOff>
      <xdr:row>0</xdr:row>
      <xdr:rowOff>19050</xdr:rowOff>
    </xdr:from>
    <xdr:to>
      <xdr:col>27</xdr:col>
      <xdr:colOff>547687</xdr:colOff>
      <xdr:row>4</xdr:row>
      <xdr:rowOff>400050</xdr:rowOff>
    </xdr:to>
    <xdr:sp macro="" textlink="">
      <xdr:nvSpPr>
        <xdr:cNvPr id="2" name="テキスト ボックス 1">
          <a:extLst>
            <a:ext uri="{FF2B5EF4-FFF2-40B4-BE49-F238E27FC236}">
              <a16:creationId xmlns:a16="http://schemas.microsoft.com/office/drawing/2014/main" id="{B1BDFEB3-B4BF-49ED-8879-3D66548A3040}"/>
            </a:ext>
          </a:extLst>
        </xdr:cNvPr>
        <xdr:cNvSpPr txBox="1"/>
      </xdr:nvSpPr>
      <xdr:spPr>
        <a:xfrm>
          <a:off x="9601200" y="19050"/>
          <a:ext cx="7310437" cy="1304925"/>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mn-ea"/>
              <a:ea typeface="+mn-ea"/>
            </a:rPr>
            <a:t>自動入力されるセルを上書きした場合、セルの背景色が橙色になります。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元に入っていた関数が上書きされるため、自動入力ができなくなります。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元に戻す場合は御連絡ください。</a:t>
          </a:r>
          <a:endParaRPr kumimoji="1" lang="ja-JP" altLang="en-US" sz="11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332129</xdr:colOff>
      <xdr:row>87</xdr:row>
      <xdr:rowOff>197304</xdr:rowOff>
    </xdr:from>
    <xdr:to>
      <xdr:col>20</xdr:col>
      <xdr:colOff>398462</xdr:colOff>
      <xdr:row>90</xdr:row>
      <xdr:rowOff>50347</xdr:rowOff>
    </xdr:to>
    <xdr:sp macro="" textlink="">
      <xdr:nvSpPr>
        <xdr:cNvPr id="2" name="テキスト ボックス 1">
          <a:extLst>
            <a:ext uri="{FF2B5EF4-FFF2-40B4-BE49-F238E27FC236}">
              <a16:creationId xmlns:a16="http://schemas.microsoft.com/office/drawing/2014/main" id="{B7C86D20-C004-4904-92E3-ECD6E71B72A8}"/>
            </a:ext>
          </a:extLst>
        </xdr:cNvPr>
        <xdr:cNvSpPr txBox="1"/>
      </xdr:nvSpPr>
      <xdr:spPr>
        <a:xfrm>
          <a:off x="12390779" y="25514754"/>
          <a:ext cx="5552733" cy="624568"/>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ハイドロフルオロカーボンの排出がある場合は、ガスの種類、地球温暖化係数を入力してください。</a:t>
          </a:r>
        </a:p>
      </xdr:txBody>
    </xdr:sp>
    <xdr:clientData/>
  </xdr:twoCellAnchor>
  <xdr:twoCellAnchor>
    <xdr:from>
      <xdr:col>11</xdr:col>
      <xdr:colOff>95250</xdr:colOff>
      <xdr:row>88</xdr:row>
      <xdr:rowOff>0</xdr:rowOff>
    </xdr:from>
    <xdr:to>
      <xdr:col>11</xdr:col>
      <xdr:colOff>309562</xdr:colOff>
      <xdr:row>90</xdr:row>
      <xdr:rowOff>0</xdr:rowOff>
    </xdr:to>
    <xdr:sp macro="" textlink="">
      <xdr:nvSpPr>
        <xdr:cNvPr id="3" name="右中かっこ 2">
          <a:extLst>
            <a:ext uri="{FF2B5EF4-FFF2-40B4-BE49-F238E27FC236}">
              <a16:creationId xmlns:a16="http://schemas.microsoft.com/office/drawing/2014/main" id="{03DD4136-DD72-4B55-834C-9D9892D969E9}"/>
            </a:ext>
          </a:extLst>
        </xdr:cNvPr>
        <xdr:cNvSpPr/>
      </xdr:nvSpPr>
      <xdr:spPr>
        <a:xfrm>
          <a:off x="12153900" y="25574625"/>
          <a:ext cx="214312" cy="51435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332129</xdr:colOff>
      <xdr:row>90</xdr:row>
      <xdr:rowOff>204107</xdr:rowOff>
    </xdr:from>
    <xdr:to>
      <xdr:col>20</xdr:col>
      <xdr:colOff>428624</xdr:colOff>
      <xdr:row>93</xdr:row>
      <xdr:rowOff>57151</xdr:rowOff>
    </xdr:to>
    <xdr:sp macro="" textlink="">
      <xdr:nvSpPr>
        <xdr:cNvPr id="4" name="テキスト ボックス 3">
          <a:extLst>
            <a:ext uri="{FF2B5EF4-FFF2-40B4-BE49-F238E27FC236}">
              <a16:creationId xmlns:a16="http://schemas.microsoft.com/office/drawing/2014/main" id="{A246DAF9-23A9-4348-88AD-CA183D806C59}"/>
            </a:ext>
          </a:extLst>
        </xdr:cNvPr>
        <xdr:cNvSpPr txBox="1"/>
      </xdr:nvSpPr>
      <xdr:spPr>
        <a:xfrm>
          <a:off x="12390779" y="26293082"/>
          <a:ext cx="5582895" cy="624569"/>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パーフルオロカーボンの排出がある場合は、ガスの種類、地球温暖化係数を入力してください。</a:t>
          </a:r>
        </a:p>
      </xdr:txBody>
    </xdr:sp>
    <xdr:clientData/>
  </xdr:twoCellAnchor>
  <xdr:twoCellAnchor>
    <xdr:from>
      <xdr:col>11</xdr:col>
      <xdr:colOff>92868</xdr:colOff>
      <xdr:row>90</xdr:row>
      <xdr:rowOff>259556</xdr:rowOff>
    </xdr:from>
    <xdr:to>
      <xdr:col>11</xdr:col>
      <xdr:colOff>307180</xdr:colOff>
      <xdr:row>92</xdr:row>
      <xdr:rowOff>259556</xdr:rowOff>
    </xdr:to>
    <xdr:sp macro="" textlink="">
      <xdr:nvSpPr>
        <xdr:cNvPr id="5" name="右中かっこ 4">
          <a:extLst>
            <a:ext uri="{FF2B5EF4-FFF2-40B4-BE49-F238E27FC236}">
              <a16:creationId xmlns:a16="http://schemas.microsoft.com/office/drawing/2014/main" id="{E5F0FD18-7F47-4B1C-8988-EED9FF078677}"/>
            </a:ext>
          </a:extLst>
        </xdr:cNvPr>
        <xdr:cNvSpPr/>
      </xdr:nvSpPr>
      <xdr:spPr>
        <a:xfrm>
          <a:off x="12151518" y="26348531"/>
          <a:ext cx="214312" cy="51435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455954</xdr:colOff>
      <xdr:row>80</xdr:row>
      <xdr:rowOff>233363</xdr:rowOff>
    </xdr:from>
    <xdr:to>
      <xdr:col>20</xdr:col>
      <xdr:colOff>516731</xdr:colOff>
      <xdr:row>84</xdr:row>
      <xdr:rowOff>85725</xdr:rowOff>
    </xdr:to>
    <xdr:sp macro="" textlink="">
      <xdr:nvSpPr>
        <xdr:cNvPr id="6" name="テキスト ボックス 5">
          <a:extLst>
            <a:ext uri="{FF2B5EF4-FFF2-40B4-BE49-F238E27FC236}">
              <a16:creationId xmlns:a16="http://schemas.microsoft.com/office/drawing/2014/main" id="{7C85942F-FDDF-47D9-9503-1DC0BF0DFA14}"/>
            </a:ext>
          </a:extLst>
        </xdr:cNvPr>
        <xdr:cNvSpPr txBox="1"/>
      </xdr:nvSpPr>
      <xdr:spPr>
        <a:xfrm>
          <a:off x="10762004" y="24731663"/>
          <a:ext cx="4175577" cy="881062"/>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その他の排出活動がある場合や、</a:t>
          </a:r>
          <a:endParaRPr lang="ja-JP" altLang="en-US" sz="1100" b="1" i="0" u="none" strike="noStrike" baseline="0">
            <a:solidFill>
              <a:srgbClr val="FF0000"/>
            </a:solidFill>
            <a:latin typeface="+mn-lt"/>
            <a:ea typeface="+mn-ea"/>
            <a:cs typeface="+mn-cs"/>
          </a:endParaRPr>
        </a:p>
        <a:p>
          <a:r>
            <a:rPr lang="ja-JP" altLang="en-US" sz="1100" b="1" i="0" u="none" strike="noStrike" baseline="0">
              <a:solidFill>
                <a:srgbClr val="FF0000"/>
              </a:solidFill>
              <a:latin typeface="+mn-lt"/>
              <a:ea typeface="+mn-ea"/>
              <a:cs typeface="+mn-cs"/>
            </a:rPr>
            <a:t> </a:t>
          </a:r>
          <a:r>
            <a:rPr lang="ja-JP" altLang="en-US" sz="1100" b="1" i="0" u="none" strike="noStrike" baseline="0">
              <a:solidFill>
                <a:srgbClr val="FF0000"/>
              </a:solidFill>
              <a:latin typeface="+mn-ea"/>
              <a:ea typeface="+mn-ea"/>
              <a:cs typeface="+mn-cs"/>
            </a:rPr>
            <a:t>実測等に基づく方法で別途算定した排出係数を使用する</a:t>
          </a:r>
          <a:r>
            <a:rPr kumimoji="1" lang="ja-JP" altLang="en-US" sz="1100" b="1">
              <a:solidFill>
                <a:srgbClr val="FF0000"/>
              </a:solidFill>
              <a:latin typeface="+mn-ea"/>
              <a:ea typeface="+mn-ea"/>
            </a:rPr>
            <a:t>場合には、ここに入力してください。</a:t>
          </a:r>
          <a:endParaRPr kumimoji="1" lang="en-US" altLang="ja-JP" sz="1100" b="1">
            <a:solidFill>
              <a:srgbClr val="FF0000"/>
            </a:solidFill>
            <a:latin typeface="+mn-ea"/>
            <a:ea typeface="+mn-ea"/>
          </a:endParaRPr>
        </a:p>
        <a:p>
          <a:endParaRPr kumimoji="1" lang="ja-JP" altLang="en-US" sz="1100" b="1">
            <a:solidFill>
              <a:srgbClr val="FF0000"/>
            </a:solidFill>
            <a:latin typeface="+mn-ea"/>
            <a:ea typeface="+mn-ea"/>
          </a:endParaRPr>
        </a:p>
      </xdr:txBody>
    </xdr:sp>
    <xdr:clientData/>
  </xdr:twoCellAnchor>
  <xdr:twoCellAnchor>
    <xdr:from>
      <xdr:col>11</xdr:col>
      <xdr:colOff>57150</xdr:colOff>
      <xdr:row>81</xdr:row>
      <xdr:rowOff>45244</xdr:rowOff>
    </xdr:from>
    <xdr:to>
      <xdr:col>11</xdr:col>
      <xdr:colOff>238125</xdr:colOff>
      <xdr:row>84</xdr:row>
      <xdr:rowOff>23812</xdr:rowOff>
    </xdr:to>
    <xdr:sp macro="" textlink="">
      <xdr:nvSpPr>
        <xdr:cNvPr id="7" name="右中かっこ 6">
          <a:extLst>
            <a:ext uri="{FF2B5EF4-FFF2-40B4-BE49-F238E27FC236}">
              <a16:creationId xmlns:a16="http://schemas.microsoft.com/office/drawing/2014/main" id="{CA7D0287-2515-4C32-A3D8-7AB0E2F00E0F}"/>
            </a:ext>
          </a:extLst>
        </xdr:cNvPr>
        <xdr:cNvSpPr/>
      </xdr:nvSpPr>
      <xdr:spPr>
        <a:xfrm>
          <a:off x="12115800" y="23476744"/>
          <a:ext cx="180975" cy="750093"/>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42"/>
  <sheetViews>
    <sheetView showGridLines="0" tabSelected="1" zoomScaleNormal="100" zoomScaleSheetLayoutView="100" workbookViewId="0"/>
  </sheetViews>
  <sheetFormatPr defaultColWidth="5.625" defaultRowHeight="18"/>
  <cols>
    <col min="1" max="15" width="5.625" style="85"/>
    <col min="16" max="17" width="5.625" style="85" customWidth="1"/>
    <col min="18" max="18" width="11" style="85" customWidth="1"/>
    <col min="19" max="27" width="5.625" style="85"/>
    <col min="28" max="28" width="18.875" style="85" customWidth="1"/>
    <col min="29" max="16384" width="5.625" style="85"/>
  </cols>
  <sheetData>
    <row r="1" spans="1:28" s="64" customFormat="1" ht="19.5" thickTop="1" thickBot="1">
      <c r="A1" s="3" t="s">
        <v>935</v>
      </c>
      <c r="B1" s="3"/>
      <c r="C1" s="3"/>
      <c r="D1" s="3"/>
      <c r="E1" s="3"/>
      <c r="F1" s="3"/>
      <c r="G1" s="652"/>
      <c r="H1" s="652"/>
      <c r="I1" s="652"/>
      <c r="J1" s="652"/>
      <c r="K1" s="63"/>
      <c r="L1" s="643" t="s">
        <v>257</v>
      </c>
      <c r="M1" s="644"/>
      <c r="N1" s="644"/>
      <c r="O1" s="644"/>
      <c r="P1" s="645"/>
      <c r="X1" s="65"/>
    </row>
    <row r="2" spans="1:28" s="64" customFormat="1" ht="18" customHeight="1" thickTop="1">
      <c r="A2" s="3"/>
      <c r="B2" s="3"/>
      <c r="C2" s="3"/>
      <c r="D2" s="3"/>
      <c r="E2" s="3"/>
      <c r="F2" s="3"/>
      <c r="G2" s="652"/>
      <c r="H2" s="652"/>
      <c r="I2" s="652"/>
      <c r="J2" s="652"/>
      <c r="K2" s="3"/>
      <c r="L2" s="3"/>
      <c r="M2" s="3"/>
      <c r="N2" s="3"/>
      <c r="O2" s="3"/>
      <c r="P2" s="66"/>
    </row>
    <row r="3" spans="1:28" s="71" customFormat="1" ht="25.5" customHeight="1">
      <c r="A3" s="67"/>
      <c r="B3" s="68" t="s">
        <v>224</v>
      </c>
      <c r="C3" s="646" t="s">
        <v>562</v>
      </c>
      <c r="D3" s="647"/>
      <c r="E3" s="3" t="s">
        <v>78</v>
      </c>
      <c r="F3" s="67"/>
      <c r="G3" s="453"/>
      <c r="H3" s="453"/>
      <c r="I3" s="453"/>
      <c r="J3" s="67"/>
      <c r="K3" s="67"/>
      <c r="L3" s="648" t="s">
        <v>225</v>
      </c>
      <c r="M3" s="649"/>
      <c r="N3" s="650"/>
      <c r="O3" s="651"/>
      <c r="P3" s="67"/>
      <c r="Q3" s="69" t="str">
        <f>IF($N$3="","← 事業所の種別を選択してください。","")</f>
        <v>← 事業所の種別を選択してください。</v>
      </c>
      <c r="R3" s="70"/>
    </row>
    <row r="4" spans="1:28" s="71" customFormat="1" ht="25.5">
      <c r="A4" s="72"/>
      <c r="B4" s="72"/>
      <c r="C4" s="73"/>
      <c r="D4" s="73"/>
      <c r="E4" s="67"/>
      <c r="F4" s="67"/>
      <c r="G4" s="67"/>
      <c r="H4" s="67"/>
      <c r="I4" s="67"/>
      <c r="J4" s="67"/>
      <c r="K4" s="67"/>
      <c r="L4" s="459"/>
      <c r="M4" s="459"/>
      <c r="N4" s="459"/>
      <c r="O4" s="459"/>
      <c r="P4" s="67"/>
      <c r="Q4" s="69"/>
      <c r="R4" s="70"/>
    </row>
    <row r="5" spans="1:28" s="76" customFormat="1" ht="32.1" customHeight="1">
      <c r="A5" s="74"/>
      <c r="B5" s="75"/>
      <c r="C5" s="619" t="s">
        <v>260</v>
      </c>
      <c r="D5" s="619"/>
      <c r="E5" s="619"/>
      <c r="F5" s="619"/>
      <c r="G5" s="619"/>
      <c r="H5" s="619"/>
      <c r="I5" s="619"/>
      <c r="J5" s="619"/>
      <c r="K5" s="619"/>
      <c r="L5" s="619"/>
      <c r="M5" s="619"/>
      <c r="N5" s="75"/>
      <c r="O5" s="74"/>
      <c r="P5" s="74"/>
      <c r="X5" s="71"/>
    </row>
    <row r="6" spans="1:28" s="76" customFormat="1" ht="32.1" customHeight="1">
      <c r="A6" s="74"/>
      <c r="B6" s="75"/>
      <c r="C6" s="620" t="s">
        <v>934</v>
      </c>
      <c r="D6" s="620"/>
      <c r="E6" s="620"/>
      <c r="F6" s="620"/>
      <c r="G6" s="620"/>
      <c r="H6" s="620"/>
      <c r="I6" s="620"/>
      <c r="J6" s="620"/>
      <c r="K6" s="620"/>
      <c r="L6" s="620"/>
      <c r="M6" s="620"/>
      <c r="N6" s="75"/>
      <c r="O6" s="74"/>
      <c r="P6" s="74"/>
      <c r="R6" s="77"/>
    </row>
    <row r="7" spans="1:28" s="64" customFormat="1" ht="13.5" customHeight="1">
      <c r="A7" s="3"/>
      <c r="B7" s="3"/>
      <c r="C7" s="3"/>
      <c r="D7" s="3"/>
      <c r="E7" s="3"/>
      <c r="F7" s="3"/>
      <c r="G7" s="3"/>
      <c r="H7" s="3"/>
      <c r="I7" s="3"/>
      <c r="J7" s="3"/>
      <c r="K7" s="3"/>
      <c r="L7" s="3"/>
      <c r="M7" s="3"/>
      <c r="N7" s="3"/>
      <c r="O7" s="3"/>
      <c r="P7" s="3"/>
      <c r="R7" s="77"/>
    </row>
    <row r="8" spans="1:28" s="64" customFormat="1" ht="18.75" customHeight="1">
      <c r="A8" s="3"/>
      <c r="B8" s="3"/>
      <c r="C8" s="3"/>
      <c r="D8" s="3"/>
      <c r="E8" s="3"/>
      <c r="F8" s="3"/>
      <c r="G8" s="3"/>
      <c r="H8" s="3"/>
      <c r="I8" s="3"/>
      <c r="J8" s="3"/>
      <c r="K8" s="78" t="s">
        <v>226</v>
      </c>
      <c r="L8" s="621"/>
      <c r="M8" s="622"/>
      <c r="N8" s="622"/>
      <c r="O8" s="623"/>
      <c r="P8" s="3"/>
      <c r="Q8" s="69" t="str">
        <f>IF($L$8="","← 提出日を入力してください。","")</f>
        <v>← 提出日を入力してください。</v>
      </c>
    </row>
    <row r="9" spans="1:28" s="64" customFormat="1" ht="9" customHeight="1">
      <c r="A9" s="3"/>
      <c r="B9" s="3"/>
      <c r="C9" s="3"/>
      <c r="D9" s="3"/>
      <c r="E9" s="3"/>
      <c r="F9" s="3"/>
      <c r="G9" s="3"/>
      <c r="H9" s="3"/>
      <c r="I9" s="3"/>
      <c r="J9" s="3"/>
      <c r="K9" s="3"/>
      <c r="L9" s="3"/>
      <c r="M9" s="3"/>
      <c r="N9" s="3"/>
      <c r="O9" s="3"/>
      <c r="P9" s="3"/>
    </row>
    <row r="10" spans="1:28" s="64" customFormat="1" ht="14.25" customHeight="1" thickBot="1">
      <c r="A10" s="79" t="s">
        <v>227</v>
      </c>
      <c r="B10" s="3"/>
      <c r="C10" s="3"/>
      <c r="D10" s="3"/>
      <c r="E10" s="3"/>
      <c r="F10" s="3"/>
      <c r="G10" s="3"/>
      <c r="H10" s="3"/>
      <c r="I10" s="3"/>
      <c r="J10" s="3"/>
      <c r="K10" s="3"/>
      <c r="L10" s="3"/>
      <c r="M10" s="3"/>
      <c r="N10" s="3"/>
      <c r="O10" s="3"/>
      <c r="P10" s="3"/>
    </row>
    <row r="11" spans="1:28" s="64" customFormat="1" ht="39.950000000000003" customHeight="1">
      <c r="A11" s="624" t="s">
        <v>228</v>
      </c>
      <c r="B11" s="625"/>
      <c r="C11" s="626"/>
      <c r="D11" s="627"/>
      <c r="E11" s="628"/>
      <c r="F11" s="628"/>
      <c r="G11" s="628"/>
      <c r="H11" s="628"/>
      <c r="I11" s="628"/>
      <c r="J11" s="628"/>
      <c r="K11" s="628"/>
      <c r="L11" s="628"/>
      <c r="M11" s="628"/>
      <c r="N11" s="628"/>
      <c r="O11" s="629"/>
      <c r="P11" s="3"/>
      <c r="Q11" s="636"/>
      <c r="R11" s="636"/>
      <c r="S11" s="636"/>
      <c r="T11" s="636"/>
      <c r="U11" s="636"/>
      <c r="V11" s="636"/>
      <c r="W11" s="636"/>
      <c r="X11" s="636"/>
      <c r="Y11" s="636"/>
      <c r="Z11" s="636"/>
      <c r="AA11" s="636"/>
      <c r="AB11" s="636"/>
    </row>
    <row r="12" spans="1:28" s="64" customFormat="1" ht="23.45" customHeight="1">
      <c r="A12" s="630" t="s">
        <v>229</v>
      </c>
      <c r="B12" s="613"/>
      <c r="C12" s="614"/>
      <c r="D12" s="637"/>
      <c r="E12" s="638"/>
      <c r="F12" s="638"/>
      <c r="G12" s="638"/>
      <c r="H12" s="638"/>
      <c r="I12" s="638"/>
      <c r="J12" s="638"/>
      <c r="K12" s="638"/>
      <c r="L12" s="638"/>
      <c r="M12" s="638"/>
      <c r="N12" s="638"/>
      <c r="O12" s="639"/>
      <c r="P12" s="3"/>
      <c r="Q12" s="636"/>
      <c r="R12" s="636"/>
      <c r="S12" s="636"/>
      <c r="T12" s="636"/>
      <c r="U12" s="636"/>
      <c r="V12" s="636"/>
      <c r="W12" s="636"/>
      <c r="X12" s="636"/>
      <c r="Y12" s="636"/>
      <c r="Z12" s="636"/>
      <c r="AA12" s="636"/>
      <c r="AB12" s="636"/>
    </row>
    <row r="13" spans="1:28" s="64" customFormat="1" ht="23.45" customHeight="1">
      <c r="A13" s="630" t="s">
        <v>0</v>
      </c>
      <c r="B13" s="613"/>
      <c r="C13" s="614"/>
      <c r="D13" s="640"/>
      <c r="E13" s="641"/>
      <c r="F13" s="641"/>
      <c r="G13" s="641"/>
      <c r="H13" s="641"/>
      <c r="I13" s="641"/>
      <c r="J13" s="641"/>
      <c r="K13" s="641"/>
      <c r="L13" s="641"/>
      <c r="M13" s="641"/>
      <c r="N13" s="641"/>
      <c r="O13" s="642"/>
      <c r="P13" s="3"/>
      <c r="Q13" s="636"/>
      <c r="R13" s="636"/>
      <c r="S13" s="636"/>
      <c r="T13" s="636"/>
      <c r="U13" s="636"/>
      <c r="V13" s="636"/>
      <c r="W13" s="636"/>
      <c r="X13" s="636"/>
      <c r="Y13" s="636"/>
      <c r="Z13" s="636"/>
      <c r="AA13" s="636"/>
      <c r="AB13" s="636"/>
    </row>
    <row r="14" spans="1:28" s="64" customFormat="1" ht="23.45" customHeight="1">
      <c r="A14" s="630" t="s">
        <v>230</v>
      </c>
      <c r="B14" s="613"/>
      <c r="C14" s="613"/>
      <c r="D14" s="613"/>
      <c r="E14" s="613"/>
      <c r="F14" s="614"/>
      <c r="G14" s="608" t="str">
        <f>IF(エネルギーと目標設定ガス!H102="","",エネルギーと目標設定ガス!H102)</f>
        <v/>
      </c>
      <c r="H14" s="609"/>
      <c r="I14" s="609"/>
      <c r="J14" s="609"/>
      <c r="K14" s="609"/>
      <c r="L14" s="609"/>
      <c r="M14" s="609"/>
      <c r="N14" s="80" t="s">
        <v>231</v>
      </c>
      <c r="O14" s="81"/>
      <c r="P14" s="3"/>
    </row>
    <row r="15" spans="1:28" s="64" customFormat="1" ht="23.45" customHeight="1">
      <c r="A15" s="630" t="s">
        <v>258</v>
      </c>
      <c r="B15" s="613"/>
      <c r="C15" s="613"/>
      <c r="D15" s="613"/>
      <c r="E15" s="613"/>
      <c r="F15" s="614"/>
      <c r="G15" s="631" t="str">
        <f>IF(エネルギーと目標設定ガス!H103="","",エネルギーと目標設定ガス!H103)</f>
        <v/>
      </c>
      <c r="H15" s="632"/>
      <c r="I15" s="632"/>
      <c r="J15" s="632"/>
      <c r="K15" s="632"/>
      <c r="L15" s="632"/>
      <c r="M15" s="632"/>
      <c r="N15" s="80" t="s">
        <v>231</v>
      </c>
      <c r="O15" s="81"/>
      <c r="P15" s="3"/>
    </row>
    <row r="16" spans="1:28" s="64" customFormat="1" ht="23.45" customHeight="1">
      <c r="A16" s="630" t="s">
        <v>278</v>
      </c>
      <c r="B16" s="613"/>
      <c r="C16" s="613"/>
      <c r="D16" s="613"/>
      <c r="E16" s="613"/>
      <c r="F16" s="614"/>
      <c r="G16" s="608" t="str">
        <f>IF(エネルギーと目標設定ガス!H104="","",エネルギーと目標設定ガス!H104)</f>
        <v/>
      </c>
      <c r="H16" s="609"/>
      <c r="I16" s="609"/>
      <c r="J16" s="609"/>
      <c r="K16" s="609"/>
      <c r="L16" s="609"/>
      <c r="M16" s="609"/>
      <c r="N16" s="80" t="s">
        <v>263</v>
      </c>
      <c r="O16" s="81"/>
      <c r="P16" s="3"/>
    </row>
    <row r="17" spans="1:28" s="64" customFormat="1" ht="23.45" customHeight="1">
      <c r="A17" s="633" t="s">
        <v>259</v>
      </c>
      <c r="B17" s="634"/>
      <c r="C17" s="634"/>
      <c r="D17" s="634"/>
      <c r="E17" s="634"/>
      <c r="F17" s="635"/>
      <c r="G17" s="608" t="str">
        <f>IF(その他ガス!$K$97="","",その他ガス!$K$97)</f>
        <v/>
      </c>
      <c r="H17" s="609"/>
      <c r="I17" s="609"/>
      <c r="J17" s="609"/>
      <c r="K17" s="609"/>
      <c r="L17" s="609"/>
      <c r="M17" s="609"/>
      <c r="N17" s="80" t="s">
        <v>263</v>
      </c>
      <c r="O17" s="108"/>
      <c r="P17" s="3"/>
    </row>
    <row r="18" spans="1:28" s="64" customFormat="1" ht="23.45" customHeight="1">
      <c r="A18" s="606"/>
      <c r="B18" s="612" t="s">
        <v>303</v>
      </c>
      <c r="C18" s="613"/>
      <c r="D18" s="613"/>
      <c r="E18" s="613"/>
      <c r="F18" s="614"/>
      <c r="G18" s="608" t="str">
        <f>IF(その他ガス!K85="","",その他ガス!K85)</f>
        <v/>
      </c>
      <c r="H18" s="609"/>
      <c r="I18" s="609"/>
      <c r="J18" s="609"/>
      <c r="K18" s="609"/>
      <c r="L18" s="609"/>
      <c r="M18" s="609"/>
      <c r="N18" s="80" t="s">
        <v>263</v>
      </c>
      <c r="O18" s="108"/>
      <c r="P18" s="3"/>
    </row>
    <row r="19" spans="1:28" s="64" customFormat="1" ht="23.45" customHeight="1" thickBot="1">
      <c r="A19" s="607"/>
      <c r="B19" s="603" t="s">
        <v>279</v>
      </c>
      <c r="C19" s="604"/>
      <c r="D19" s="604"/>
      <c r="E19" s="604"/>
      <c r="F19" s="605"/>
      <c r="G19" s="610" t="str">
        <f>IF(その他ガス!K96="","",その他ガス!K96)</f>
        <v/>
      </c>
      <c r="H19" s="611"/>
      <c r="I19" s="611"/>
      <c r="J19" s="611"/>
      <c r="K19" s="611"/>
      <c r="L19" s="611"/>
      <c r="M19" s="611"/>
      <c r="N19" s="82" t="s">
        <v>263</v>
      </c>
      <c r="O19" s="83"/>
      <c r="P19" s="3"/>
    </row>
    <row r="20" spans="1:28" s="64" customFormat="1" ht="9.75" customHeight="1">
      <c r="A20" s="84"/>
      <c r="B20" s="3"/>
      <c r="C20" s="3"/>
      <c r="D20" s="3"/>
      <c r="E20" s="3"/>
      <c r="F20" s="3"/>
      <c r="G20" s="3"/>
      <c r="H20" s="3"/>
      <c r="I20" s="3"/>
      <c r="J20" s="3"/>
      <c r="K20" s="3"/>
      <c r="L20" s="3"/>
      <c r="M20" s="3"/>
      <c r="N20" s="3"/>
      <c r="O20" s="3"/>
      <c r="P20" s="3"/>
      <c r="AB20" s="85"/>
    </row>
    <row r="21" spans="1:28" s="64" customFormat="1" ht="18" customHeight="1">
      <c r="A21" s="3" t="s">
        <v>232</v>
      </c>
      <c r="B21" s="3"/>
      <c r="C21" s="3"/>
      <c r="D21" s="3"/>
      <c r="E21" s="3"/>
      <c r="F21" s="3"/>
      <c r="G21" s="3"/>
      <c r="H21" s="3"/>
      <c r="I21" s="3"/>
      <c r="J21" s="3"/>
      <c r="K21" s="3"/>
      <c r="L21" s="3"/>
      <c r="M21" s="3"/>
      <c r="N21" s="3"/>
      <c r="O21" s="3"/>
      <c r="P21" s="3"/>
      <c r="AB21" s="85"/>
    </row>
    <row r="22" spans="1:28" s="64" customFormat="1" ht="13.5" customHeight="1">
      <c r="A22" s="3"/>
      <c r="B22" s="3"/>
      <c r="C22" s="3"/>
      <c r="D22" s="3"/>
      <c r="E22" s="3"/>
      <c r="F22" s="3"/>
      <c r="G22" s="3"/>
      <c r="H22" s="3"/>
      <c r="I22" s="3"/>
      <c r="J22" s="3"/>
      <c r="K22" s="3"/>
      <c r="L22" s="3"/>
      <c r="M22" s="3"/>
      <c r="N22" s="3"/>
      <c r="O22" s="3"/>
      <c r="P22" s="3"/>
      <c r="AB22" s="85"/>
    </row>
    <row r="23" spans="1:28" s="64" customFormat="1" ht="13.5" customHeight="1" thickBot="1">
      <c r="A23" s="79" t="s">
        <v>563</v>
      </c>
      <c r="B23" s="3"/>
      <c r="C23" s="3"/>
      <c r="D23" s="3"/>
      <c r="E23" s="3"/>
      <c r="F23" s="3"/>
      <c r="G23" s="3"/>
      <c r="H23" s="3"/>
      <c r="I23" s="3"/>
      <c r="J23" s="3" t="s">
        <v>564</v>
      </c>
      <c r="K23" s="3"/>
      <c r="L23" s="3"/>
      <c r="M23" s="3"/>
      <c r="N23" s="3"/>
      <c r="O23" s="3"/>
      <c r="P23" s="3"/>
      <c r="AB23" s="85"/>
    </row>
    <row r="24" spans="1:28" s="64" customFormat="1" ht="23.45" customHeight="1">
      <c r="A24" s="617" t="s">
        <v>233</v>
      </c>
      <c r="B24" s="618"/>
      <c r="C24" s="618"/>
      <c r="D24" s="602"/>
      <c r="E24" s="585" t="s">
        <v>234</v>
      </c>
      <c r="F24" s="602"/>
      <c r="G24" s="585" t="s">
        <v>235</v>
      </c>
      <c r="H24" s="586"/>
      <c r="I24" s="3"/>
      <c r="J24" s="617" t="s">
        <v>233</v>
      </c>
      <c r="K24" s="602"/>
      <c r="L24" s="86" t="s">
        <v>69</v>
      </c>
      <c r="M24" s="585" t="s">
        <v>236</v>
      </c>
      <c r="N24" s="602"/>
      <c r="O24" s="585" t="s">
        <v>237</v>
      </c>
      <c r="P24" s="586"/>
      <c r="AB24" s="85"/>
    </row>
    <row r="25" spans="1:28" s="64" customFormat="1" ht="23.45" customHeight="1">
      <c r="A25" s="594" t="s">
        <v>26</v>
      </c>
      <c r="B25" s="595"/>
      <c r="C25" s="595"/>
      <c r="D25" s="596"/>
      <c r="E25" s="597"/>
      <c r="F25" s="598"/>
      <c r="G25" s="597"/>
      <c r="H25" s="599"/>
      <c r="I25" s="78" t="s">
        <v>4</v>
      </c>
      <c r="J25" s="615"/>
      <c r="K25" s="616"/>
      <c r="L25" s="87"/>
      <c r="M25" s="88"/>
      <c r="N25" s="89" t="str">
        <f>CONCATENATE("GJ/",L25)</f>
        <v>GJ/</v>
      </c>
      <c r="O25" s="88"/>
      <c r="P25" s="90" t="s">
        <v>12</v>
      </c>
      <c r="AB25" s="85"/>
    </row>
    <row r="26" spans="1:28" s="64" customFormat="1" ht="23.45" customHeight="1" thickBot="1">
      <c r="A26" s="594" t="s">
        <v>29</v>
      </c>
      <c r="B26" s="595"/>
      <c r="C26" s="595"/>
      <c r="D26" s="596"/>
      <c r="E26" s="597"/>
      <c r="F26" s="598"/>
      <c r="G26" s="597"/>
      <c r="H26" s="599"/>
      <c r="I26" s="78" t="s">
        <v>5</v>
      </c>
      <c r="J26" s="600"/>
      <c r="K26" s="601"/>
      <c r="L26" s="91"/>
      <c r="M26" s="92"/>
      <c r="N26" s="93" t="str">
        <f>CONCATENATE("GJ/",L26)</f>
        <v>GJ/</v>
      </c>
      <c r="O26" s="92"/>
      <c r="P26" s="94" t="s">
        <v>12</v>
      </c>
      <c r="AB26" s="85"/>
    </row>
    <row r="27" spans="1:28" s="64" customFormat="1" ht="23.45" customHeight="1">
      <c r="A27" s="594" t="s">
        <v>358</v>
      </c>
      <c r="B27" s="595"/>
      <c r="C27" s="595"/>
      <c r="D27" s="596"/>
      <c r="E27" s="597"/>
      <c r="F27" s="598"/>
      <c r="G27" s="597"/>
      <c r="H27" s="599"/>
      <c r="I27" s="95"/>
      <c r="J27" s="593"/>
      <c r="K27" s="593"/>
      <c r="L27" s="45"/>
      <c r="M27" s="41"/>
      <c r="N27" s="96"/>
      <c r="O27" s="41"/>
      <c r="P27" s="96"/>
      <c r="AB27" s="85"/>
    </row>
    <row r="28" spans="1:28" s="64" customFormat="1" ht="23.45" customHeight="1">
      <c r="A28" s="594" t="s">
        <v>568</v>
      </c>
      <c r="B28" s="595"/>
      <c r="C28" s="595"/>
      <c r="D28" s="596"/>
      <c r="E28" s="597"/>
      <c r="F28" s="598"/>
      <c r="G28" s="597"/>
      <c r="H28" s="599"/>
      <c r="I28" s="95"/>
      <c r="J28" s="41"/>
      <c r="K28" s="41"/>
      <c r="L28" s="45"/>
      <c r="M28" s="41"/>
      <c r="N28" s="96"/>
      <c r="O28" s="41"/>
      <c r="P28" s="96"/>
      <c r="AB28" s="85"/>
    </row>
    <row r="29" spans="1:28" s="64" customFormat="1" ht="23.45" customHeight="1" thickBot="1">
      <c r="A29" s="587" t="s">
        <v>30</v>
      </c>
      <c r="B29" s="588"/>
      <c r="C29" s="588"/>
      <c r="D29" s="589"/>
      <c r="E29" s="590"/>
      <c r="F29" s="591"/>
      <c r="G29" s="590"/>
      <c r="H29" s="592"/>
      <c r="I29" s="95"/>
      <c r="J29" s="593"/>
      <c r="K29" s="593"/>
      <c r="L29" s="45"/>
      <c r="M29" s="41"/>
      <c r="N29" s="96"/>
      <c r="O29" s="41"/>
      <c r="P29" s="96"/>
      <c r="AB29" s="85"/>
    </row>
    <row r="30" spans="1:28" s="64" customFormat="1" ht="13.5" customHeight="1">
      <c r="A30" s="451"/>
      <c r="B30" s="452"/>
      <c r="C30" s="452"/>
      <c r="D30" s="452"/>
      <c r="E30" s="452"/>
      <c r="F30" s="452"/>
      <c r="G30" s="452"/>
      <c r="H30" s="452"/>
      <c r="I30" s="452"/>
      <c r="J30" s="452"/>
      <c r="K30" s="452"/>
      <c r="L30" s="452"/>
      <c r="M30" s="452"/>
      <c r="N30" s="452"/>
      <c r="O30" s="452"/>
      <c r="P30" s="452"/>
      <c r="AB30" s="85"/>
    </row>
    <row r="32" spans="1:28" s="64" customFormat="1">
      <c r="A32" s="97"/>
      <c r="B32" s="97"/>
      <c r="C32" s="97"/>
      <c r="R32" s="85"/>
      <c r="S32" s="85"/>
      <c r="T32" s="85"/>
      <c r="U32" s="85"/>
      <c r="V32" s="85"/>
      <c r="W32" s="85"/>
      <c r="X32" s="85"/>
      <c r="Y32" s="85"/>
      <c r="Z32" s="85"/>
      <c r="AA32" s="85"/>
      <c r="AB32" s="85"/>
    </row>
    <row r="33" spans="1:28" s="64" customFormat="1">
      <c r="A33" s="97"/>
      <c r="B33" s="97"/>
      <c r="C33" s="97"/>
      <c r="R33" s="85"/>
      <c r="S33" s="85"/>
      <c r="T33" s="85"/>
      <c r="U33" s="85"/>
      <c r="V33" s="85"/>
      <c r="W33" s="85"/>
      <c r="X33" s="85"/>
      <c r="Y33" s="85"/>
      <c r="Z33" s="85"/>
      <c r="AA33" s="85"/>
      <c r="AB33" s="85"/>
    </row>
    <row r="34" spans="1:28" s="64" customFormat="1">
      <c r="A34" s="97"/>
      <c r="B34" s="97"/>
      <c r="C34" s="97"/>
      <c r="R34" s="85"/>
      <c r="S34" s="85"/>
      <c r="T34" s="85"/>
      <c r="U34" s="85"/>
      <c r="V34" s="85"/>
      <c r="W34" s="85"/>
      <c r="X34" s="85"/>
      <c r="Y34" s="85"/>
      <c r="Z34" s="85"/>
      <c r="AA34" s="85"/>
      <c r="AB34" s="85"/>
    </row>
    <row r="35" spans="1:28" s="64" customFormat="1">
      <c r="A35" s="97"/>
      <c r="B35" s="97"/>
      <c r="C35" s="97"/>
      <c r="R35" s="85"/>
      <c r="S35" s="85"/>
      <c r="T35" s="85"/>
      <c r="U35" s="85"/>
      <c r="V35" s="85"/>
      <c r="W35" s="85"/>
      <c r="X35" s="85"/>
      <c r="Y35" s="85"/>
      <c r="Z35" s="85"/>
      <c r="AA35" s="85"/>
      <c r="AB35" s="85"/>
    </row>
    <row r="36" spans="1:28" s="64" customFormat="1">
      <c r="C36" s="97"/>
      <c r="R36" s="85"/>
      <c r="S36" s="85"/>
      <c r="T36" s="85"/>
      <c r="U36" s="85"/>
      <c r="V36" s="85"/>
      <c r="W36" s="85"/>
      <c r="X36" s="85"/>
      <c r="Y36" s="85"/>
      <c r="Z36" s="85"/>
      <c r="AA36" s="85"/>
      <c r="AB36" s="85"/>
    </row>
    <row r="37" spans="1:28" s="64" customFormat="1">
      <c r="A37" s="97"/>
      <c r="C37" s="97"/>
      <c r="R37" s="85"/>
      <c r="S37" s="85"/>
      <c r="T37" s="85"/>
      <c r="U37" s="85"/>
      <c r="V37" s="85"/>
      <c r="W37" s="85"/>
      <c r="X37" s="85"/>
      <c r="Y37" s="85"/>
      <c r="Z37" s="85"/>
      <c r="AA37" s="85"/>
      <c r="AB37" s="85"/>
    </row>
    <row r="38" spans="1:28" s="64" customFormat="1">
      <c r="A38" s="97"/>
      <c r="C38" s="97"/>
      <c r="R38" s="85"/>
      <c r="S38" s="85"/>
      <c r="T38" s="85"/>
      <c r="U38" s="85"/>
      <c r="V38" s="85"/>
      <c r="W38" s="85"/>
      <c r="X38" s="85"/>
      <c r="Y38" s="85"/>
      <c r="Z38" s="85"/>
      <c r="AA38" s="85"/>
      <c r="AB38" s="85"/>
    </row>
    <row r="39" spans="1:28" s="98" customFormat="1">
      <c r="C39" s="99"/>
    </row>
    <row r="40" spans="1:28" s="100" customFormat="1" ht="18.75" hidden="1" customHeight="1">
      <c r="A40" s="100" t="s">
        <v>238</v>
      </c>
      <c r="C40" s="101" t="s">
        <v>239</v>
      </c>
    </row>
    <row r="41" spans="1:28" s="100" customFormat="1" ht="18.75" hidden="1" customHeight="1">
      <c r="B41" s="100" t="s">
        <v>240</v>
      </c>
      <c r="C41" s="102"/>
      <c r="D41" s="100" t="s">
        <v>241</v>
      </c>
      <c r="F41" s="100" t="s">
        <v>242</v>
      </c>
    </row>
    <row r="42" spans="1:28" s="64" customFormat="1">
      <c r="R42" s="85"/>
      <c r="S42" s="85"/>
      <c r="T42" s="85"/>
      <c r="U42" s="85"/>
      <c r="V42" s="85"/>
      <c r="W42" s="85"/>
      <c r="X42" s="85"/>
      <c r="Y42" s="85"/>
      <c r="Z42" s="85"/>
      <c r="AA42" s="85"/>
      <c r="AB42" s="85"/>
    </row>
  </sheetData>
  <sheetProtection algorithmName="SHA-512" hashValue="PEsVhZ061euxpzDqEhah2n5Cem7uNVEibv93+wpn6HzcnnEIqRabWm11fJLNp8d9muMAL+GtVWkwcieRCUunSw==" saltValue="6iQLwGHEr/2doOMyjRL8JA==" spinCount="100000" sheet="1" objects="1" scenarios="1"/>
  <mergeCells count="53">
    <mergeCell ref="L1:P1"/>
    <mergeCell ref="C3:D3"/>
    <mergeCell ref="L3:M3"/>
    <mergeCell ref="N3:O3"/>
    <mergeCell ref="G1:J2"/>
    <mergeCell ref="A14:F14"/>
    <mergeCell ref="G14:M14"/>
    <mergeCell ref="Q11:AB13"/>
    <mergeCell ref="A12:C12"/>
    <mergeCell ref="D12:O12"/>
    <mergeCell ref="A13:C13"/>
    <mergeCell ref="D13:O13"/>
    <mergeCell ref="A15:F15"/>
    <mergeCell ref="A16:F16"/>
    <mergeCell ref="G16:M16"/>
    <mergeCell ref="G15:M15"/>
    <mergeCell ref="A17:F17"/>
    <mergeCell ref="C5:M5"/>
    <mergeCell ref="C6:M6"/>
    <mergeCell ref="L8:O8"/>
    <mergeCell ref="A11:C11"/>
    <mergeCell ref="D11:O11"/>
    <mergeCell ref="J25:K25"/>
    <mergeCell ref="A25:D25"/>
    <mergeCell ref="E25:F25"/>
    <mergeCell ref="G25:H25"/>
    <mergeCell ref="A24:D24"/>
    <mergeCell ref="E24:F24"/>
    <mergeCell ref="J24:K24"/>
    <mergeCell ref="M24:N24"/>
    <mergeCell ref="B19:F19"/>
    <mergeCell ref="A18:A19"/>
    <mergeCell ref="G17:M17"/>
    <mergeCell ref="G19:M19"/>
    <mergeCell ref="G24:H24"/>
    <mergeCell ref="G18:M18"/>
    <mergeCell ref="B18:F18"/>
    <mergeCell ref="O24:P24"/>
    <mergeCell ref="A29:D29"/>
    <mergeCell ref="E29:F29"/>
    <mergeCell ref="G29:H29"/>
    <mergeCell ref="J29:K29"/>
    <mergeCell ref="A26:D26"/>
    <mergeCell ref="E26:F26"/>
    <mergeCell ref="G26:H26"/>
    <mergeCell ref="J26:K26"/>
    <mergeCell ref="A27:D27"/>
    <mergeCell ref="E27:F27"/>
    <mergeCell ref="G27:H27"/>
    <mergeCell ref="J27:K27"/>
    <mergeCell ref="A28:D28"/>
    <mergeCell ref="E28:F28"/>
    <mergeCell ref="G28:H28"/>
  </mergeCells>
  <phoneticPr fontId="5"/>
  <dataValidations count="8">
    <dataValidation type="whole" imeMode="disabled" allowBlank="1" showInputMessage="1" showErrorMessage="1" sqref="D13:O13" xr:uid="{00000000-0002-0000-0000-000001000000}">
      <formula1>1</formula1>
      <formula2>999999</formula2>
    </dataValidation>
    <dataValidation imeMode="on" allowBlank="1" showInputMessage="1" showErrorMessage="1" sqref="J25:K26 D11:O12" xr:uid="{00000000-0002-0000-0000-000002000000}"/>
    <dataValidation type="date" imeMode="disabled" operator="greaterThanOrEqual" allowBlank="1" showInputMessage="1" showErrorMessage="1" sqref="L8:O8" xr:uid="{00000000-0002-0000-0000-000003000000}">
      <formula1>1</formula1>
    </dataValidation>
    <dataValidation imeMode="disabled" allowBlank="1" showInputMessage="1" showErrorMessage="1" sqref="M25:M26 O25:O26 F26:F27 F29 H29 G25:G29 H25:H27 E26:E29" xr:uid="{00000000-0002-0000-0000-000004000000}"/>
    <dataValidation type="whole" allowBlank="1" showInputMessage="1" showErrorMessage="1" sqref="C4:D4" xr:uid="{00000000-0002-0000-0000-000005000000}">
      <formula1>1</formula1>
      <formula2>31</formula2>
    </dataValidation>
    <dataValidation type="list" allowBlank="1" showInputMessage="1" showErrorMessage="1" sqref="L27:L29" xr:uid="{00000000-0002-0000-0000-000006000000}">
      <formula1>"kg,t,kL,m3,Nm3"</formula1>
    </dataValidation>
    <dataValidation type="list" imeMode="disabled" allowBlank="1" showInputMessage="1" showErrorMessage="1" sqref="C3:D3" xr:uid="{00000000-0002-0000-0000-000008000000}">
      <formula1>和暦年度_選択</formula1>
    </dataValidation>
    <dataValidation type="decimal" imeMode="disabled" operator="greaterThanOrEqual" allowBlank="1" showInputMessage="1" showErrorMessage="1" sqref="E25:F25" xr:uid="{00000000-0002-0000-0000-000009000000}">
      <formula1>0</formula1>
    </dataValidation>
  </dataValidations>
  <pageMargins left="0.78740157480314965" right="0.59055118110236227" top="0.78740157480314965" bottom="0.59055118110236227" header="0.31496062992125984" footer="0.31496062992125984"/>
  <pageSetup paperSize="9" scale="89" fitToHeight="0" orientation="portrait" r:id="rId1"/>
  <colBreaks count="1" manualBreakCount="1">
    <brk id="16" max="1048575" man="1"/>
  </colBreaks>
  <legacyDrawing r:id="rId2"/>
  <extLst>
    <ext xmlns:x14="http://schemas.microsoft.com/office/spreadsheetml/2009/9/main" uri="{CCE6A557-97BC-4b89-ADB6-D9C93CAAB3DF}">
      <x14:dataValidations xmlns:xm="http://schemas.microsoft.com/office/excel/2006/main" count="3">
        <x14:dataValidation type="list" imeMode="disabled" allowBlank="1" showInputMessage="1" showErrorMessage="1" xr:uid="{00000000-0002-0000-0000-00000A000000}">
          <x14:formula1>
            <xm:f>非_選択リスト!$G$3:$G$4</xm:f>
          </x14:formula1>
          <xm:sqref>N3:O3</xm:sqref>
        </x14:dataValidation>
        <x14:dataValidation type="list" allowBlank="1" showInputMessage="1" showErrorMessage="1" xr:uid="{00000000-0002-0000-0000-00000B000000}">
          <x14:formula1>
            <xm:f>非_単位!$C$34:$L$34</xm:f>
          </x14:formula1>
          <xm:sqref>L26</xm:sqref>
        </x14:dataValidation>
        <x14:dataValidation type="list" allowBlank="1" showInputMessage="1" showErrorMessage="1" xr:uid="{00000000-0002-0000-0000-00000C000000}">
          <x14:formula1>
            <xm:f>非_単位!$C$33:$L$33</xm:f>
          </x14:formula1>
          <xm:sqref>L25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0" tint="-0.14999847407452621"/>
  </sheetPr>
  <dimension ref="A1:Y41"/>
  <sheetViews>
    <sheetView zoomScaleNormal="100" workbookViewId="0"/>
  </sheetViews>
  <sheetFormatPr defaultColWidth="9" defaultRowHeight="18.75"/>
  <cols>
    <col min="2" max="2" width="3" customWidth="1"/>
    <col min="3" max="3" width="34.875" customWidth="1"/>
    <col min="4" max="5" width="4.625" customWidth="1"/>
    <col min="6" max="6" width="40" bestFit="1" customWidth="1"/>
    <col min="7" max="8" width="4.625" customWidth="1"/>
    <col min="9" max="9" width="59.625" bestFit="1" customWidth="1"/>
    <col min="10" max="10" width="4.625" customWidth="1"/>
    <col min="11" max="11" width="48.125" bestFit="1" customWidth="1"/>
    <col min="12" max="13" width="4.625" customWidth="1"/>
    <col min="14" max="14" width="58" customWidth="1"/>
    <col min="15" max="15" width="4.625" customWidth="1"/>
    <col min="16" max="16" width="55.625" customWidth="1"/>
    <col min="17" max="17" width="4.625" customWidth="1"/>
    <col min="18" max="18" width="35" bestFit="1" customWidth="1"/>
    <col min="19" max="19" width="4.625" customWidth="1"/>
    <col min="20" max="20" width="21.375" bestFit="1" customWidth="1"/>
    <col min="21" max="21" width="4.375" customWidth="1"/>
    <col min="22" max="22" width="46.5" customWidth="1"/>
    <col min="24" max="24" width="31.875" bestFit="1" customWidth="1"/>
    <col min="25" max="25" width="32.375" bestFit="1" customWidth="1"/>
  </cols>
  <sheetData>
    <row r="1" spans="1:25">
      <c r="A1" s="145" t="s">
        <v>336</v>
      </c>
      <c r="C1" s="145" t="s">
        <v>368</v>
      </c>
      <c r="F1" s="145" t="s">
        <v>368</v>
      </c>
      <c r="I1" s="145" t="s">
        <v>369</v>
      </c>
      <c r="K1" s="145" t="s">
        <v>369</v>
      </c>
      <c r="N1" s="145" t="s">
        <v>416</v>
      </c>
      <c r="P1" s="303" t="s">
        <v>416</v>
      </c>
      <c r="R1" s="145" t="s">
        <v>416</v>
      </c>
      <c r="T1" s="145" t="s">
        <v>416</v>
      </c>
      <c r="V1" s="145" t="s">
        <v>554</v>
      </c>
    </row>
    <row r="2" spans="1:25">
      <c r="A2" s="147" t="s">
        <v>337</v>
      </c>
      <c r="C2" s="147" t="s">
        <v>419</v>
      </c>
      <c r="F2" s="147" t="s">
        <v>421</v>
      </c>
      <c r="I2" s="147" t="s">
        <v>419</v>
      </c>
      <c r="K2" s="147" t="s">
        <v>418</v>
      </c>
      <c r="N2" s="147" t="s">
        <v>857</v>
      </c>
      <c r="P2" s="147" t="s">
        <v>859</v>
      </c>
      <c r="R2" s="147" t="s">
        <v>438</v>
      </c>
      <c r="T2" s="147" t="s">
        <v>450</v>
      </c>
      <c r="V2" s="147" t="s">
        <v>555</v>
      </c>
      <c r="X2" s="480" t="s">
        <v>221</v>
      </c>
      <c r="Y2" s="480" t="s">
        <v>952</v>
      </c>
    </row>
    <row r="3" spans="1:25">
      <c r="C3" t="s">
        <v>338</v>
      </c>
      <c r="F3" t="s">
        <v>348</v>
      </c>
      <c r="I3" t="s">
        <v>417</v>
      </c>
      <c r="K3" t="s">
        <v>437</v>
      </c>
      <c r="N3" t="s">
        <v>426</v>
      </c>
      <c r="P3" t="s">
        <v>434</v>
      </c>
      <c r="R3" t="s">
        <v>439</v>
      </c>
      <c r="T3" t="s">
        <v>451</v>
      </c>
      <c r="V3" t="s">
        <v>59</v>
      </c>
      <c r="X3" s="121" t="s">
        <v>439</v>
      </c>
      <c r="Y3" s="121">
        <v>1</v>
      </c>
    </row>
    <row r="4" spans="1:25">
      <c r="F4" t="s">
        <v>349</v>
      </c>
      <c r="I4" t="s">
        <v>426</v>
      </c>
      <c r="K4" t="s">
        <v>800</v>
      </c>
      <c r="N4" t="s">
        <v>390</v>
      </c>
      <c r="P4" t="s">
        <v>435</v>
      </c>
      <c r="R4" t="s">
        <v>440</v>
      </c>
      <c r="T4" t="s">
        <v>452</v>
      </c>
      <c r="V4" t="s">
        <v>552</v>
      </c>
      <c r="X4" s="121" t="s">
        <v>440</v>
      </c>
      <c r="Y4" s="121">
        <v>2</v>
      </c>
    </row>
    <row r="5" spans="1:25">
      <c r="C5" s="147" t="s">
        <v>420</v>
      </c>
      <c r="F5" t="s">
        <v>350</v>
      </c>
      <c r="I5" t="s">
        <v>390</v>
      </c>
      <c r="P5" t="s">
        <v>436</v>
      </c>
      <c r="R5" t="s">
        <v>441</v>
      </c>
      <c r="T5" t="s">
        <v>453</v>
      </c>
      <c r="V5" t="s">
        <v>60</v>
      </c>
      <c r="X5" s="121" t="s">
        <v>441</v>
      </c>
      <c r="Y5" s="121">
        <v>3</v>
      </c>
    </row>
    <row r="6" spans="1:25">
      <c r="C6" t="s">
        <v>339</v>
      </c>
      <c r="F6" t="s">
        <v>252</v>
      </c>
      <c r="I6" t="s">
        <v>370</v>
      </c>
      <c r="K6" s="147" t="s">
        <v>427</v>
      </c>
      <c r="R6" t="s">
        <v>442</v>
      </c>
      <c r="T6" t="s">
        <v>454</v>
      </c>
      <c r="V6" t="s">
        <v>893</v>
      </c>
      <c r="X6" s="121" t="s">
        <v>442</v>
      </c>
      <c r="Y6" s="121">
        <v>4</v>
      </c>
    </row>
    <row r="7" spans="1:25">
      <c r="C7" t="s">
        <v>340</v>
      </c>
      <c r="F7" t="s">
        <v>14</v>
      </c>
      <c r="K7" t="s">
        <v>928</v>
      </c>
      <c r="N7" s="147" t="s">
        <v>856</v>
      </c>
      <c r="P7" s="147" t="s">
        <v>858</v>
      </c>
      <c r="R7" t="s">
        <v>445</v>
      </c>
      <c r="T7" t="s">
        <v>455</v>
      </c>
      <c r="V7" s="309" t="s">
        <v>890</v>
      </c>
      <c r="X7" s="121" t="s">
        <v>953</v>
      </c>
      <c r="Y7" s="121">
        <v>5</v>
      </c>
    </row>
    <row r="8" spans="1:25">
      <c r="C8" t="s">
        <v>341</v>
      </c>
      <c r="F8" t="s">
        <v>15</v>
      </c>
      <c r="I8" s="147" t="s">
        <v>420</v>
      </c>
      <c r="N8" t="s">
        <v>417</v>
      </c>
      <c r="P8" t="s">
        <v>430</v>
      </c>
      <c r="R8" t="s">
        <v>443</v>
      </c>
      <c r="T8" t="s">
        <v>456</v>
      </c>
      <c r="V8" s="309" t="s">
        <v>891</v>
      </c>
      <c r="X8" s="121" t="s">
        <v>443</v>
      </c>
      <c r="Y8" s="121">
        <v>6</v>
      </c>
    </row>
    <row r="9" spans="1:25">
      <c r="C9" t="s">
        <v>342</v>
      </c>
      <c r="F9" t="s">
        <v>16</v>
      </c>
      <c r="I9" t="s">
        <v>339</v>
      </c>
      <c r="K9" s="147" t="s">
        <v>422</v>
      </c>
      <c r="N9" t="s">
        <v>390</v>
      </c>
      <c r="P9" t="s">
        <v>431</v>
      </c>
      <c r="R9" t="s">
        <v>444</v>
      </c>
      <c r="T9" t="s">
        <v>457</v>
      </c>
      <c r="X9" s="121" t="s">
        <v>444</v>
      </c>
      <c r="Y9" s="121">
        <v>7</v>
      </c>
    </row>
    <row r="10" spans="1:25">
      <c r="F10" t="s">
        <v>17</v>
      </c>
      <c r="I10" t="s">
        <v>340</v>
      </c>
      <c r="K10" t="s">
        <v>430</v>
      </c>
      <c r="P10" t="s">
        <v>432</v>
      </c>
      <c r="R10" t="s">
        <v>446</v>
      </c>
      <c r="V10" s="147" t="s">
        <v>923</v>
      </c>
      <c r="X10" s="121" t="s">
        <v>446</v>
      </c>
      <c r="Y10" s="121">
        <v>8</v>
      </c>
    </row>
    <row r="11" spans="1:25">
      <c r="F11" t="s">
        <v>18</v>
      </c>
      <c r="I11" t="s">
        <v>341</v>
      </c>
      <c r="K11" t="s">
        <v>431</v>
      </c>
      <c r="N11" s="147" t="s">
        <v>428</v>
      </c>
      <c r="P11" t="s">
        <v>433</v>
      </c>
      <c r="R11" t="s">
        <v>447</v>
      </c>
      <c r="V11" t="s">
        <v>59</v>
      </c>
      <c r="X11" s="121" t="s">
        <v>447</v>
      </c>
      <c r="Y11" s="121">
        <v>9</v>
      </c>
    </row>
    <row r="12" spans="1:25">
      <c r="F12" t="s">
        <v>20</v>
      </c>
      <c r="I12" t="s">
        <v>342</v>
      </c>
      <c r="K12" t="s">
        <v>432</v>
      </c>
      <c r="N12" t="s">
        <v>866</v>
      </c>
      <c r="R12" t="s">
        <v>448</v>
      </c>
      <c r="V12" t="s">
        <v>60</v>
      </c>
      <c r="X12" s="121" t="s">
        <v>448</v>
      </c>
      <c r="Y12" s="121">
        <v>10</v>
      </c>
    </row>
    <row r="13" spans="1:25">
      <c r="F13" t="s">
        <v>344</v>
      </c>
      <c r="I13" t="s">
        <v>360</v>
      </c>
      <c r="K13" t="s">
        <v>433</v>
      </c>
      <c r="N13" t="s">
        <v>867</v>
      </c>
      <c r="P13" s="304" t="s">
        <v>860</v>
      </c>
      <c r="R13" t="s">
        <v>449</v>
      </c>
      <c r="V13" t="s">
        <v>893</v>
      </c>
      <c r="X13" s="121" t="s">
        <v>449</v>
      </c>
      <c r="Y13" s="121">
        <v>11</v>
      </c>
    </row>
    <row r="14" spans="1:25">
      <c r="F14" t="s">
        <v>345</v>
      </c>
      <c r="N14" t="s">
        <v>868</v>
      </c>
      <c r="P14" t="s">
        <v>429</v>
      </c>
      <c r="R14" t="s">
        <v>615</v>
      </c>
      <c r="V14" s="309" t="s">
        <v>890</v>
      </c>
      <c r="X14" s="121" t="s">
        <v>615</v>
      </c>
      <c r="Y14" s="121">
        <v>12</v>
      </c>
    </row>
    <row r="15" spans="1:25">
      <c r="F15" t="s">
        <v>346</v>
      </c>
      <c r="K15" s="147" t="s">
        <v>423</v>
      </c>
      <c r="N15" t="s">
        <v>869</v>
      </c>
      <c r="P15" t="s">
        <v>612</v>
      </c>
      <c r="V15" s="309" t="s">
        <v>891</v>
      </c>
    </row>
    <row r="16" spans="1:25">
      <c r="F16" t="s">
        <v>347</v>
      </c>
      <c r="K16" t="s">
        <v>211</v>
      </c>
      <c r="N16" t="s">
        <v>870</v>
      </c>
      <c r="P16" t="s">
        <v>613</v>
      </c>
    </row>
    <row r="17" spans="6:25">
      <c r="F17" t="s">
        <v>23</v>
      </c>
      <c r="N17" t="s">
        <v>875</v>
      </c>
      <c r="P17" t="s">
        <v>841</v>
      </c>
      <c r="V17" s="147" t="s">
        <v>924</v>
      </c>
      <c r="X17" s="481" t="s">
        <v>450</v>
      </c>
      <c r="Y17" s="480" t="s">
        <v>954</v>
      </c>
    </row>
    <row r="18" spans="6:25">
      <c r="F18" t="s">
        <v>351</v>
      </c>
      <c r="K18" s="147" t="s">
        <v>424</v>
      </c>
      <c r="N18" t="s">
        <v>871</v>
      </c>
      <c r="V18" t="s">
        <v>552</v>
      </c>
      <c r="X18" s="121" t="s">
        <v>451</v>
      </c>
      <c r="Y18" s="121">
        <v>1</v>
      </c>
    </row>
    <row r="19" spans="6:25">
      <c r="F19" t="s">
        <v>26</v>
      </c>
      <c r="K19" t="s">
        <v>437</v>
      </c>
      <c r="N19" t="s">
        <v>872</v>
      </c>
      <c r="P19" s="147" t="s">
        <v>861</v>
      </c>
      <c r="V19" s="309" t="s">
        <v>890</v>
      </c>
      <c r="X19" s="121" t="s">
        <v>452</v>
      </c>
      <c r="Y19" s="121">
        <v>2</v>
      </c>
    </row>
    <row r="20" spans="6:25">
      <c r="F20" t="s">
        <v>352</v>
      </c>
      <c r="K20" t="s">
        <v>800</v>
      </c>
      <c r="P20" t="s">
        <v>430</v>
      </c>
      <c r="V20" s="309" t="s">
        <v>891</v>
      </c>
      <c r="X20" s="121" t="s">
        <v>453</v>
      </c>
      <c r="Y20" s="121">
        <v>3</v>
      </c>
    </row>
    <row r="21" spans="6:25">
      <c r="F21" t="s">
        <v>353</v>
      </c>
      <c r="K21" t="s">
        <v>928</v>
      </c>
      <c r="P21" t="s">
        <v>431</v>
      </c>
      <c r="X21" s="121" t="s">
        <v>454</v>
      </c>
      <c r="Y21" s="121">
        <v>4</v>
      </c>
    </row>
    <row r="22" spans="6:25">
      <c r="F22" t="s">
        <v>354</v>
      </c>
      <c r="K22" t="s">
        <v>430</v>
      </c>
      <c r="P22" t="s">
        <v>432</v>
      </c>
      <c r="V22" s="147" t="s">
        <v>925</v>
      </c>
      <c r="X22" s="121" t="s">
        <v>455</v>
      </c>
      <c r="Y22" s="121">
        <v>5</v>
      </c>
    </row>
    <row r="23" spans="6:25">
      <c r="F23" t="s">
        <v>355</v>
      </c>
      <c r="K23" t="s">
        <v>431</v>
      </c>
      <c r="P23" t="s">
        <v>433</v>
      </c>
      <c r="V23" s="309" t="s">
        <v>890</v>
      </c>
      <c r="X23" s="121" t="s">
        <v>456</v>
      </c>
      <c r="Y23" s="121">
        <v>6</v>
      </c>
    </row>
    <row r="24" spans="6:25">
      <c r="F24" t="s">
        <v>356</v>
      </c>
      <c r="K24" t="s">
        <v>432</v>
      </c>
      <c r="V24" s="309" t="s">
        <v>891</v>
      </c>
      <c r="X24" s="121" t="s">
        <v>457</v>
      </c>
      <c r="Y24" s="121">
        <v>7</v>
      </c>
    </row>
    <row r="25" spans="6:25">
      <c r="F25" t="s">
        <v>357</v>
      </c>
      <c r="K25" t="s">
        <v>433</v>
      </c>
      <c r="P25" s="147" t="s">
        <v>873</v>
      </c>
    </row>
    <row r="26" spans="6:25">
      <c r="F26" t="s">
        <v>27</v>
      </c>
      <c r="K26" t="s">
        <v>371</v>
      </c>
      <c r="P26" t="s">
        <v>434</v>
      </c>
    </row>
    <row r="27" spans="6:25">
      <c r="F27" t="s">
        <v>313</v>
      </c>
      <c r="P27" t="s">
        <v>435</v>
      </c>
    </row>
    <row r="28" spans="6:25">
      <c r="F28" t="s">
        <v>343</v>
      </c>
      <c r="K28" s="147" t="s">
        <v>425</v>
      </c>
      <c r="P28" t="s">
        <v>436</v>
      </c>
    </row>
    <row r="29" spans="6:25">
      <c r="F29" t="s">
        <v>358</v>
      </c>
      <c r="K29" t="s">
        <v>603</v>
      </c>
      <c r="P29" t="s">
        <v>430</v>
      </c>
    </row>
    <row r="30" spans="6:25">
      <c r="F30" t="s">
        <v>359</v>
      </c>
      <c r="K30" t="s">
        <v>602</v>
      </c>
      <c r="P30" t="s">
        <v>431</v>
      </c>
    </row>
    <row r="31" spans="6:25">
      <c r="F31" t="s">
        <v>30</v>
      </c>
      <c r="P31" t="s">
        <v>432</v>
      </c>
    </row>
    <row r="32" spans="6:25">
      <c r="F32" t="s">
        <v>50</v>
      </c>
      <c r="P32" t="s">
        <v>433</v>
      </c>
    </row>
    <row r="33" spans="6:16">
      <c r="F33" t="str">
        <f>IF(事業所概要_算定体制!J25="","その他の燃料①",事業所概要_算定体制!J25)</f>
        <v>その他の燃料①</v>
      </c>
    </row>
    <row r="34" spans="6:16">
      <c r="F34" t="str">
        <f>IF(事業所概要_算定体制!J26="","その他の燃料②",事業所概要_算定体制!J26)</f>
        <v>その他の燃料②</v>
      </c>
      <c r="P34" s="147" t="s">
        <v>874</v>
      </c>
    </row>
    <row r="35" spans="6:16">
      <c r="P35" t="s">
        <v>429</v>
      </c>
    </row>
    <row r="36" spans="6:16">
      <c r="P36" t="s">
        <v>612</v>
      </c>
    </row>
    <row r="37" spans="6:16">
      <c r="P37" t="s">
        <v>613</v>
      </c>
    </row>
    <row r="38" spans="6:16">
      <c r="P38" t="s">
        <v>430</v>
      </c>
    </row>
    <row r="39" spans="6:16">
      <c r="P39" t="s">
        <v>431</v>
      </c>
    </row>
    <row r="40" spans="6:16">
      <c r="P40" t="s">
        <v>432</v>
      </c>
    </row>
    <row r="41" spans="6:16">
      <c r="P41" t="s">
        <v>433</v>
      </c>
    </row>
  </sheetData>
  <sheetProtection algorithmName="SHA-512" hashValue="QhFPNo3vmg3PTG7/S/5smerue3bM9bN8wC0viVbO3i/GoU6VehT3QGX9vpmY9gm31OnCzOnFjOKhDQvzFM78dA==" saltValue="XaY2VEoplws7DBYnXM8K9w==" spinCount="100000" sheet="1" objects="1" scenarios="1"/>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0" tint="-0.14999847407452621"/>
  </sheetPr>
  <dimension ref="A1:AI33"/>
  <sheetViews>
    <sheetView zoomScaleNormal="100" workbookViewId="0"/>
  </sheetViews>
  <sheetFormatPr defaultColWidth="9" defaultRowHeight="18.75"/>
  <cols>
    <col min="2" max="2" width="4.625" customWidth="1"/>
    <col min="3" max="3" width="20.375" bestFit="1" customWidth="1"/>
    <col min="4" max="4" width="4.625" customWidth="1"/>
    <col min="5" max="5" width="20.375" bestFit="1" customWidth="1"/>
    <col min="6" max="6" width="4.625" customWidth="1"/>
    <col min="7" max="7" width="20.375" bestFit="1" customWidth="1"/>
    <col min="8" max="8" width="5.625" customWidth="1"/>
    <col min="9" max="9" width="23" bestFit="1" customWidth="1"/>
    <col min="10" max="10" width="4.625" customWidth="1"/>
    <col min="11" max="11" width="13" bestFit="1" customWidth="1"/>
    <col min="12" max="12" width="4.625" customWidth="1"/>
    <col min="13" max="13" width="17.25" bestFit="1" customWidth="1"/>
    <col min="14" max="14" width="4.625" customWidth="1"/>
    <col min="15" max="15" width="27" customWidth="1"/>
    <col min="16" max="16" width="4.625" customWidth="1"/>
    <col min="17" max="17" width="22.75" customWidth="1"/>
    <col min="18" max="18" width="4.625" customWidth="1"/>
    <col min="19" max="19" width="19.25" bestFit="1" customWidth="1"/>
    <col min="20" max="20" width="4.625" customWidth="1"/>
    <col min="21" max="21" width="29.625" bestFit="1" customWidth="1"/>
    <col min="22" max="22" width="4.625" customWidth="1"/>
    <col min="23" max="23" width="23.5" bestFit="1" customWidth="1"/>
    <col min="24" max="24" width="4.625" customWidth="1"/>
    <col min="25" max="25" width="29.25" bestFit="1" customWidth="1"/>
    <col min="26" max="26" width="4.625" customWidth="1"/>
    <col min="27" max="27" width="16" bestFit="1" customWidth="1"/>
    <col min="28" max="28" width="4.625" customWidth="1"/>
    <col min="29" max="29" width="34.875" customWidth="1"/>
    <col min="31" max="31" width="28.875" customWidth="1"/>
    <col min="33" max="33" width="25.625" customWidth="1"/>
    <col min="35" max="35" width="16.5" customWidth="1"/>
  </cols>
  <sheetData>
    <row r="1" spans="1:35" s="309" customFormat="1" ht="56.25">
      <c r="A1" s="146" t="s">
        <v>336</v>
      </c>
      <c r="C1" s="146" t="s">
        <v>325</v>
      </c>
      <c r="E1" s="146" t="s">
        <v>325</v>
      </c>
      <c r="G1" s="146" t="s">
        <v>325</v>
      </c>
      <c r="I1" s="146" t="s">
        <v>324</v>
      </c>
      <c r="K1" s="146" t="s">
        <v>331</v>
      </c>
      <c r="M1" s="146" t="s">
        <v>331</v>
      </c>
      <c r="O1" s="146" t="s">
        <v>479</v>
      </c>
      <c r="Q1" s="146" t="s">
        <v>839</v>
      </c>
      <c r="S1" s="146" t="s">
        <v>369</v>
      </c>
      <c r="U1" s="146" t="s">
        <v>369</v>
      </c>
      <c r="W1" s="146" t="s">
        <v>415</v>
      </c>
      <c r="Y1" s="146" t="s">
        <v>416</v>
      </c>
      <c r="AA1" s="146" t="s">
        <v>416</v>
      </c>
      <c r="AC1" s="146" t="s">
        <v>416</v>
      </c>
      <c r="AE1" s="146" t="s">
        <v>416</v>
      </c>
      <c r="AG1" s="146" t="s">
        <v>479</v>
      </c>
      <c r="AI1" s="146" t="s">
        <v>369</v>
      </c>
    </row>
    <row r="2" spans="1:35" ht="19.5" thickBot="1">
      <c r="A2" s="147" t="s">
        <v>337</v>
      </c>
      <c r="C2" s="147" t="s">
        <v>295</v>
      </c>
      <c r="E2" s="147" t="s">
        <v>296</v>
      </c>
      <c r="G2" s="147" t="s">
        <v>298</v>
      </c>
      <c r="I2" s="147" t="s">
        <v>326</v>
      </c>
      <c r="K2" s="147" t="s">
        <v>332</v>
      </c>
      <c r="M2" s="147" t="s">
        <v>333</v>
      </c>
      <c r="O2" s="147" t="s">
        <v>413</v>
      </c>
      <c r="Q2" s="147" t="s">
        <v>374</v>
      </c>
      <c r="S2" s="147" t="s">
        <v>410</v>
      </c>
      <c r="U2" s="147" t="s">
        <v>472</v>
      </c>
      <c r="W2" s="147" t="s">
        <v>474</v>
      </c>
      <c r="Y2" s="147" t="s">
        <v>475</v>
      </c>
      <c r="AA2" s="147" t="s">
        <v>458</v>
      </c>
      <c r="AC2" s="147" t="s">
        <v>476</v>
      </c>
      <c r="AE2" s="147" t="s">
        <v>840</v>
      </c>
      <c r="AG2" s="147" t="s">
        <v>931</v>
      </c>
      <c r="AI2" s="503" t="s">
        <v>2012</v>
      </c>
    </row>
    <row r="3" spans="1:35" ht="19.5" thickBot="1">
      <c r="C3" s="114" t="s">
        <v>290</v>
      </c>
      <c r="E3" t="s">
        <v>304</v>
      </c>
      <c r="G3" t="s">
        <v>299</v>
      </c>
      <c r="I3" s="115" t="s">
        <v>243</v>
      </c>
      <c r="K3" t="s">
        <v>328</v>
      </c>
      <c r="M3" t="s">
        <v>334</v>
      </c>
      <c r="O3" t="s">
        <v>372</v>
      </c>
      <c r="Q3" t="s">
        <v>2014</v>
      </c>
      <c r="S3" t="s">
        <v>372</v>
      </c>
      <c r="U3" t="s">
        <v>411</v>
      </c>
      <c r="W3" t="s">
        <v>414</v>
      </c>
      <c r="Y3" t="s">
        <v>372</v>
      </c>
      <c r="AA3" t="s">
        <v>372</v>
      </c>
      <c r="AC3" t="s">
        <v>846</v>
      </c>
      <c r="AE3" t="s">
        <v>2014</v>
      </c>
      <c r="AG3" s="441"/>
      <c r="AI3" s="504"/>
    </row>
    <row r="4" spans="1:35">
      <c r="C4" s="114" t="s">
        <v>291</v>
      </c>
      <c r="E4" t="s">
        <v>297</v>
      </c>
      <c r="G4" t="s">
        <v>300</v>
      </c>
      <c r="I4" s="115" t="s">
        <v>244</v>
      </c>
      <c r="K4" t="s">
        <v>329</v>
      </c>
      <c r="M4" t="s">
        <v>335</v>
      </c>
      <c r="O4" t="s">
        <v>373</v>
      </c>
      <c r="Q4" t="s">
        <v>375</v>
      </c>
      <c r="S4" t="s">
        <v>373</v>
      </c>
      <c r="U4" t="s">
        <v>412</v>
      </c>
      <c r="W4" t="s">
        <v>2018</v>
      </c>
      <c r="Y4" t="s">
        <v>373</v>
      </c>
      <c r="AA4" t="s">
        <v>373</v>
      </c>
      <c r="AE4" t="s">
        <v>375</v>
      </c>
      <c r="AG4" s="442">
        <v>1.05</v>
      </c>
    </row>
    <row r="5" spans="1:35">
      <c r="C5" s="114" t="s">
        <v>292</v>
      </c>
      <c r="G5" t="s">
        <v>302</v>
      </c>
      <c r="I5" s="115" t="s">
        <v>245</v>
      </c>
      <c r="K5" t="s">
        <v>330</v>
      </c>
      <c r="Q5" t="s">
        <v>376</v>
      </c>
      <c r="U5" t="s">
        <v>599</v>
      </c>
      <c r="AC5" s="147" t="s">
        <v>478</v>
      </c>
      <c r="AE5" t="s">
        <v>376</v>
      </c>
      <c r="AG5" s="441">
        <v>1</v>
      </c>
    </row>
    <row r="6" spans="1:35">
      <c r="C6" s="114" t="s">
        <v>293</v>
      </c>
      <c r="G6" t="s">
        <v>301</v>
      </c>
      <c r="I6" s="115" t="s">
        <v>246</v>
      </c>
      <c r="AA6" s="147" t="s">
        <v>842</v>
      </c>
      <c r="AC6" t="s">
        <v>477</v>
      </c>
    </row>
    <row r="7" spans="1:35">
      <c r="C7" s="114" t="s">
        <v>294</v>
      </c>
      <c r="I7" s="115" t="s">
        <v>247</v>
      </c>
      <c r="U7" s="147" t="s">
        <v>473</v>
      </c>
      <c r="AA7" t="s">
        <v>372</v>
      </c>
      <c r="AG7" s="147" t="s">
        <v>932</v>
      </c>
    </row>
    <row r="8" spans="1:35">
      <c r="I8" s="115" t="s">
        <v>248</v>
      </c>
      <c r="U8" t="s">
        <v>411</v>
      </c>
      <c r="AC8" s="147" t="s">
        <v>844</v>
      </c>
      <c r="AE8" s="147" t="s">
        <v>864</v>
      </c>
      <c r="AG8" s="441"/>
    </row>
    <row r="9" spans="1:35">
      <c r="I9" s="115" t="s">
        <v>249</v>
      </c>
      <c r="U9" t="s">
        <v>412</v>
      </c>
      <c r="AA9" s="147" t="s">
        <v>920</v>
      </c>
      <c r="AC9" t="s">
        <v>411</v>
      </c>
      <c r="AE9" t="s">
        <v>2014</v>
      </c>
      <c r="AG9" s="442">
        <v>0.95</v>
      </c>
    </row>
    <row r="10" spans="1:35">
      <c r="I10" s="115" t="s">
        <v>250</v>
      </c>
      <c r="AA10" t="s">
        <v>373</v>
      </c>
      <c r="AC10" t="s">
        <v>845</v>
      </c>
      <c r="AE10" t="s">
        <v>375</v>
      </c>
      <c r="AG10" s="441">
        <v>1</v>
      </c>
    </row>
    <row r="11" spans="1:35">
      <c r="I11" s="115" t="s">
        <v>250</v>
      </c>
      <c r="U11" s="147" t="s">
        <v>598</v>
      </c>
      <c r="AC11" t="s">
        <v>599</v>
      </c>
      <c r="AE11" t="s">
        <v>376</v>
      </c>
    </row>
    <row r="12" spans="1:35">
      <c r="I12" s="115" t="s">
        <v>251</v>
      </c>
      <c r="U12" t="s">
        <v>600</v>
      </c>
    </row>
    <row r="13" spans="1:35">
      <c r="I13" s="115" t="s">
        <v>252</v>
      </c>
      <c r="AC13" s="147" t="s">
        <v>863</v>
      </c>
    </row>
    <row r="14" spans="1:35">
      <c r="I14" s="115" t="s">
        <v>253</v>
      </c>
      <c r="AC14" t="s">
        <v>477</v>
      </c>
    </row>
    <row r="15" spans="1:35">
      <c r="I15" s="115" t="s">
        <v>254</v>
      </c>
    </row>
    <row r="16" spans="1:35">
      <c r="I16" s="115" t="s">
        <v>255</v>
      </c>
    </row>
    <row r="17" spans="9:9">
      <c r="I17" s="115" t="s">
        <v>256</v>
      </c>
    </row>
    <row r="18" spans="9:9">
      <c r="I18" s="116" t="s">
        <v>309</v>
      </c>
    </row>
    <row r="19" spans="9:9">
      <c r="I19" s="116" t="s">
        <v>310</v>
      </c>
    </row>
    <row r="20" spans="9:9">
      <c r="I20" s="116" t="s">
        <v>311</v>
      </c>
    </row>
    <row r="21" spans="9:9">
      <c r="I21" s="116" t="s">
        <v>312</v>
      </c>
    </row>
    <row r="22" spans="9:9">
      <c r="I22" s="116" t="s">
        <v>313</v>
      </c>
    </row>
    <row r="23" spans="9:9">
      <c r="I23" s="116" t="s">
        <v>314</v>
      </c>
    </row>
    <row r="24" spans="9:9">
      <c r="I24" s="116" t="s">
        <v>315</v>
      </c>
    </row>
    <row r="25" spans="9:9">
      <c r="I25" s="116" t="s">
        <v>316</v>
      </c>
    </row>
    <row r="26" spans="9:9">
      <c r="I26" s="116" t="s">
        <v>327</v>
      </c>
    </row>
    <row r="27" spans="9:9">
      <c r="I27" s="116" t="s">
        <v>317</v>
      </c>
    </row>
    <row r="28" spans="9:9">
      <c r="I28" s="116" t="s">
        <v>318</v>
      </c>
    </row>
    <row r="29" spans="9:9">
      <c r="I29" s="116" t="s">
        <v>319</v>
      </c>
    </row>
    <row r="30" spans="9:9">
      <c r="I30" s="116" t="s">
        <v>320</v>
      </c>
    </row>
    <row r="31" spans="9:9">
      <c r="I31" s="116" t="s">
        <v>321</v>
      </c>
    </row>
    <row r="32" spans="9:9">
      <c r="I32" s="116" t="s">
        <v>322</v>
      </c>
    </row>
    <row r="33" spans="9:9">
      <c r="I33" s="116" t="s">
        <v>323</v>
      </c>
    </row>
  </sheetData>
  <sheetProtection algorithmName="SHA-512" hashValue="9KjOIf3oGbUqY0oyLoYhTcmU8ohUfaR4gGjtgbb4ScA5UtpAU07L9ozN4EKOiVCKPOEsshDMQDndpgfL1Cy4FA==" saltValue="t2JDPG+rCQ9LsusGqJ6dZQ==" spinCount="100000" sheet="1" objects="1" scenarios="1"/>
  <phoneticPr fontId="5"/>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0" tint="-0.14999847407452621"/>
  </sheetPr>
  <dimension ref="B1:V98"/>
  <sheetViews>
    <sheetView zoomScaleNormal="100" workbookViewId="0"/>
  </sheetViews>
  <sheetFormatPr defaultRowHeight="18.75"/>
  <cols>
    <col min="2" max="2" width="40.75" customWidth="1"/>
    <col min="3" max="3" width="14.5" customWidth="1"/>
    <col min="4" max="4" width="14.75" customWidth="1"/>
    <col min="6" max="6" width="42.25" bestFit="1" customWidth="1"/>
    <col min="7" max="8" width="12.125" bestFit="1" customWidth="1"/>
    <col min="10" max="10" width="16.875" customWidth="1"/>
    <col min="11" max="12" width="16.75" customWidth="1"/>
    <col min="13" max="13" width="15.125" bestFit="1" customWidth="1"/>
    <col min="14" max="16" width="13.125" customWidth="1"/>
    <col min="17" max="17" width="47" customWidth="1"/>
    <col min="18" max="19" width="17.375" customWidth="1"/>
    <col min="21" max="21" width="18.375" bestFit="1" customWidth="1"/>
  </cols>
  <sheetData>
    <row r="1" spans="2:22">
      <c r="J1" t="s">
        <v>876</v>
      </c>
      <c r="Q1" t="s">
        <v>901</v>
      </c>
    </row>
    <row r="2" spans="2:22" ht="37.5">
      <c r="B2" s="170" t="s">
        <v>799</v>
      </c>
      <c r="C2" s="178" t="s">
        <v>588</v>
      </c>
      <c r="D2" s="178" t="s">
        <v>589</v>
      </c>
      <c r="F2" s="170" t="s">
        <v>798</v>
      </c>
      <c r="G2" s="178" t="s">
        <v>588</v>
      </c>
      <c r="H2" s="178" t="s">
        <v>589</v>
      </c>
      <c r="J2" s="170" t="s">
        <v>880</v>
      </c>
      <c r="K2" s="170" t="s">
        <v>879</v>
      </c>
      <c r="L2" s="170" t="s">
        <v>881</v>
      </c>
      <c r="M2" s="178" t="s">
        <v>884</v>
      </c>
      <c r="N2" s="178" t="s">
        <v>588</v>
      </c>
      <c r="O2" s="178" t="s">
        <v>589</v>
      </c>
      <c r="Q2" s="170" t="s">
        <v>205</v>
      </c>
      <c r="R2" s="178" t="s">
        <v>588</v>
      </c>
      <c r="S2" s="178" t="s">
        <v>589</v>
      </c>
      <c r="U2" s="121" t="s">
        <v>588</v>
      </c>
      <c r="V2" s="121" t="s">
        <v>955</v>
      </c>
    </row>
    <row r="3" spans="2:22">
      <c r="B3" s="121" t="s">
        <v>348</v>
      </c>
      <c r="C3" s="121">
        <v>6</v>
      </c>
      <c r="D3" s="121">
        <v>6</v>
      </c>
      <c r="F3" s="121" t="s">
        <v>437</v>
      </c>
      <c r="G3" s="121">
        <v>47</v>
      </c>
      <c r="H3" s="121">
        <v>43</v>
      </c>
      <c r="J3" s="121" t="s">
        <v>878</v>
      </c>
      <c r="K3" s="121" t="s">
        <v>835</v>
      </c>
      <c r="L3" s="121" t="s">
        <v>881</v>
      </c>
      <c r="M3" s="121"/>
      <c r="N3" s="121">
        <v>41</v>
      </c>
      <c r="O3" s="121">
        <v>37</v>
      </c>
      <c r="Q3" s="121" t="s">
        <v>59</v>
      </c>
      <c r="R3" s="121">
        <v>62</v>
      </c>
      <c r="S3" s="121"/>
      <c r="U3" s="121">
        <v>6</v>
      </c>
      <c r="V3" s="121">
        <v>1</v>
      </c>
    </row>
    <row r="4" spans="2:22">
      <c r="B4" s="121" t="s">
        <v>349</v>
      </c>
      <c r="C4" s="121">
        <f>C3+1</f>
        <v>7</v>
      </c>
      <c r="D4" s="121">
        <f>D3+1</f>
        <v>7</v>
      </c>
      <c r="F4" s="121" t="s">
        <v>613</v>
      </c>
      <c r="G4" s="121">
        <v>47</v>
      </c>
      <c r="H4" s="121">
        <v>43</v>
      </c>
      <c r="J4" s="121" t="s">
        <v>878</v>
      </c>
      <c r="K4" s="121" t="s">
        <v>835</v>
      </c>
      <c r="L4" s="121" t="s">
        <v>881</v>
      </c>
      <c r="M4" s="121" t="s">
        <v>835</v>
      </c>
      <c r="N4" s="121">
        <v>41</v>
      </c>
      <c r="O4" s="121">
        <v>37</v>
      </c>
      <c r="Q4" s="121" t="s">
        <v>552</v>
      </c>
      <c r="R4" s="121">
        <v>63</v>
      </c>
      <c r="S4" s="121"/>
      <c r="U4" s="121">
        <v>7</v>
      </c>
      <c r="V4" s="121">
        <v>2</v>
      </c>
    </row>
    <row r="5" spans="2:22">
      <c r="B5" s="121" t="s">
        <v>350</v>
      </c>
      <c r="C5" s="121">
        <f t="shared" ref="C5:D12" si="0">C4+1</f>
        <v>8</v>
      </c>
      <c r="D5" s="121">
        <f t="shared" si="0"/>
        <v>8</v>
      </c>
      <c r="F5" s="121" t="s">
        <v>928</v>
      </c>
      <c r="G5" s="121">
        <v>47</v>
      </c>
      <c r="H5" s="121">
        <v>43</v>
      </c>
      <c r="J5" s="121" t="s">
        <v>878</v>
      </c>
      <c r="K5" s="121" t="s">
        <v>835</v>
      </c>
      <c r="L5" s="121" t="s">
        <v>881</v>
      </c>
      <c r="M5" s="121" t="s">
        <v>836</v>
      </c>
      <c r="N5" s="121">
        <v>45</v>
      </c>
      <c r="O5" s="121">
        <v>41</v>
      </c>
      <c r="Q5" s="121" t="s">
        <v>60</v>
      </c>
      <c r="R5" s="121">
        <v>64</v>
      </c>
      <c r="S5" s="121"/>
      <c r="U5" s="121">
        <v>8</v>
      </c>
      <c r="V5" s="121">
        <v>3</v>
      </c>
    </row>
    <row r="6" spans="2:22" ht="18.75" customHeight="1">
      <c r="B6" s="121" t="s">
        <v>252</v>
      </c>
      <c r="C6" s="121">
        <f t="shared" si="0"/>
        <v>9</v>
      </c>
      <c r="D6" s="121">
        <f t="shared" si="0"/>
        <v>9</v>
      </c>
      <c r="F6" s="121" t="s">
        <v>430</v>
      </c>
      <c r="G6" s="121">
        <v>37</v>
      </c>
      <c r="H6" s="121">
        <v>33</v>
      </c>
      <c r="J6" s="121" t="s">
        <v>878</v>
      </c>
      <c r="K6" s="121" t="s">
        <v>836</v>
      </c>
      <c r="L6" s="121" t="s">
        <v>881</v>
      </c>
      <c r="M6" s="121"/>
      <c r="N6" s="121">
        <v>43</v>
      </c>
      <c r="O6" s="121">
        <v>39</v>
      </c>
      <c r="Q6" s="121" t="s">
        <v>893</v>
      </c>
      <c r="R6" s="121">
        <v>65</v>
      </c>
      <c r="S6" s="121"/>
      <c r="U6" s="121">
        <v>9</v>
      </c>
      <c r="V6" s="121">
        <v>4</v>
      </c>
    </row>
    <row r="7" spans="2:22" ht="18.75" customHeight="1">
      <c r="B7" s="121" t="s">
        <v>14</v>
      </c>
      <c r="C7" s="121">
        <f t="shared" si="0"/>
        <v>10</v>
      </c>
      <c r="D7" s="121">
        <f t="shared" si="0"/>
        <v>10</v>
      </c>
      <c r="F7" s="121" t="s">
        <v>431</v>
      </c>
      <c r="G7" s="121">
        <v>38</v>
      </c>
      <c r="H7" s="121">
        <v>34</v>
      </c>
      <c r="J7" s="121" t="s">
        <v>878</v>
      </c>
      <c r="K7" s="121" t="s">
        <v>836</v>
      </c>
      <c r="L7" s="121" t="s">
        <v>881</v>
      </c>
      <c r="M7" s="121" t="s">
        <v>835</v>
      </c>
      <c r="N7" s="121">
        <v>43</v>
      </c>
      <c r="O7" s="121">
        <v>39</v>
      </c>
      <c r="Q7" s="310" t="s">
        <v>890</v>
      </c>
      <c r="R7" s="121">
        <v>66</v>
      </c>
      <c r="S7" s="121"/>
      <c r="U7" s="121">
        <v>10</v>
      </c>
      <c r="V7" s="121">
        <v>5</v>
      </c>
    </row>
    <row r="8" spans="2:22" ht="18.75" customHeight="1">
      <c r="B8" s="121" t="s">
        <v>15</v>
      </c>
      <c r="C8" s="121">
        <f t="shared" si="0"/>
        <v>11</v>
      </c>
      <c r="D8" s="121">
        <f t="shared" si="0"/>
        <v>11</v>
      </c>
      <c r="F8" s="121" t="s">
        <v>432</v>
      </c>
      <c r="G8" s="121">
        <v>39</v>
      </c>
      <c r="H8" s="121">
        <v>35</v>
      </c>
      <c r="J8" s="121" t="s">
        <v>878</v>
      </c>
      <c r="K8" s="121" t="s">
        <v>836</v>
      </c>
      <c r="L8" s="121" t="s">
        <v>881</v>
      </c>
      <c r="M8" s="121" t="s">
        <v>836</v>
      </c>
      <c r="N8" s="121">
        <v>45</v>
      </c>
      <c r="O8" s="121">
        <v>41</v>
      </c>
      <c r="Q8" s="310" t="s">
        <v>891</v>
      </c>
      <c r="R8" s="121">
        <v>67</v>
      </c>
      <c r="S8" s="121"/>
      <c r="U8" s="121">
        <v>11</v>
      </c>
      <c r="V8" s="121">
        <v>6</v>
      </c>
    </row>
    <row r="9" spans="2:22" ht="18.75" customHeight="1">
      <c r="B9" s="121" t="s">
        <v>16</v>
      </c>
      <c r="C9" s="121">
        <f t="shared" si="0"/>
        <v>12</v>
      </c>
      <c r="D9" s="121">
        <f t="shared" si="0"/>
        <v>12</v>
      </c>
      <c r="F9" s="121" t="s">
        <v>433</v>
      </c>
      <c r="G9" s="121">
        <v>40</v>
      </c>
      <c r="H9" s="121">
        <v>36</v>
      </c>
      <c r="J9" s="121" t="s">
        <v>878</v>
      </c>
      <c r="K9" s="121" t="s">
        <v>835</v>
      </c>
      <c r="L9" s="121" t="s">
        <v>882</v>
      </c>
      <c r="M9" s="308"/>
      <c r="N9" s="121">
        <v>42</v>
      </c>
      <c r="O9" s="121">
        <v>38</v>
      </c>
      <c r="U9" s="121">
        <v>12</v>
      </c>
      <c r="V9" s="121">
        <v>7</v>
      </c>
    </row>
    <row r="10" spans="2:22">
      <c r="B10" s="121" t="s">
        <v>17</v>
      </c>
      <c r="C10" s="121">
        <f t="shared" si="0"/>
        <v>13</v>
      </c>
      <c r="D10" s="121">
        <f t="shared" si="0"/>
        <v>13</v>
      </c>
      <c r="F10" s="121" t="s">
        <v>211</v>
      </c>
      <c r="G10" s="121">
        <v>33</v>
      </c>
      <c r="H10" s="121">
        <v>29</v>
      </c>
      <c r="J10" s="121" t="s">
        <v>878</v>
      </c>
      <c r="K10" s="121" t="s">
        <v>836</v>
      </c>
      <c r="L10" s="121" t="s">
        <v>882</v>
      </c>
      <c r="M10" s="308"/>
      <c r="N10" s="121">
        <v>44</v>
      </c>
      <c r="O10" s="121">
        <v>40</v>
      </c>
      <c r="U10" s="121">
        <v>13</v>
      </c>
      <c r="V10" s="121">
        <v>8</v>
      </c>
    </row>
    <row r="11" spans="2:22">
      <c r="B11" s="121" t="s">
        <v>18</v>
      </c>
      <c r="C11" s="121">
        <f t="shared" si="0"/>
        <v>14</v>
      </c>
      <c r="D11" s="121">
        <f t="shared" si="0"/>
        <v>14</v>
      </c>
      <c r="F11" s="121" t="s">
        <v>603</v>
      </c>
      <c r="G11" s="121">
        <v>59</v>
      </c>
      <c r="H11" s="121">
        <v>55</v>
      </c>
      <c r="J11" s="121" t="s">
        <v>883</v>
      </c>
      <c r="K11" s="121" t="s">
        <v>835</v>
      </c>
      <c r="L11" s="121" t="s">
        <v>881</v>
      </c>
      <c r="M11" s="121"/>
      <c r="N11" s="121">
        <v>48</v>
      </c>
      <c r="O11" s="121">
        <v>44</v>
      </c>
      <c r="U11" s="121">
        <v>14</v>
      </c>
      <c r="V11" s="121">
        <v>9</v>
      </c>
    </row>
    <row r="12" spans="2:22">
      <c r="B12" s="121" t="s">
        <v>20</v>
      </c>
      <c r="C12" s="121">
        <f t="shared" si="0"/>
        <v>15</v>
      </c>
      <c r="D12" s="121">
        <f t="shared" si="0"/>
        <v>15</v>
      </c>
      <c r="F12" s="121" t="s">
        <v>602</v>
      </c>
      <c r="G12" s="121">
        <v>60</v>
      </c>
      <c r="H12" s="121">
        <v>56</v>
      </c>
      <c r="J12" s="121" t="s">
        <v>883</v>
      </c>
      <c r="K12" s="121" t="s">
        <v>835</v>
      </c>
      <c r="L12" s="121" t="s">
        <v>881</v>
      </c>
      <c r="M12" s="121" t="s">
        <v>835</v>
      </c>
      <c r="N12" s="121">
        <v>48</v>
      </c>
      <c r="O12" s="121">
        <v>44</v>
      </c>
      <c r="U12" s="121">
        <v>15</v>
      </c>
      <c r="V12" s="121">
        <v>10</v>
      </c>
    </row>
    <row r="13" spans="2:22">
      <c r="B13" s="121" t="s">
        <v>344</v>
      </c>
      <c r="C13" s="121">
        <f>C12+1</f>
        <v>16</v>
      </c>
      <c r="D13" s="121">
        <f>D12+1</f>
        <v>16</v>
      </c>
      <c r="J13" s="121" t="s">
        <v>883</v>
      </c>
      <c r="K13" s="121" t="s">
        <v>835</v>
      </c>
      <c r="L13" s="121" t="s">
        <v>881</v>
      </c>
      <c r="M13" s="121" t="s">
        <v>836</v>
      </c>
      <c r="N13" s="121">
        <v>52</v>
      </c>
      <c r="O13" s="121">
        <v>48</v>
      </c>
      <c r="U13" s="121">
        <v>16</v>
      </c>
      <c r="V13" s="121">
        <v>11</v>
      </c>
    </row>
    <row r="14" spans="2:22" ht="18.75" customHeight="1">
      <c r="B14" s="121" t="s">
        <v>345</v>
      </c>
      <c r="C14" s="121">
        <f t="shared" ref="C14:D16" si="1">C13</f>
        <v>16</v>
      </c>
      <c r="D14" s="121">
        <f t="shared" si="1"/>
        <v>16</v>
      </c>
      <c r="J14" s="121" t="s">
        <v>883</v>
      </c>
      <c r="K14" s="121" t="s">
        <v>836</v>
      </c>
      <c r="L14" s="121" t="s">
        <v>881</v>
      </c>
      <c r="M14" s="121"/>
      <c r="N14" s="121">
        <v>50</v>
      </c>
      <c r="O14" s="121">
        <v>46</v>
      </c>
      <c r="U14" s="121">
        <v>17</v>
      </c>
      <c r="V14" s="121">
        <v>12</v>
      </c>
    </row>
    <row r="15" spans="2:22">
      <c r="B15" s="121" t="s">
        <v>346</v>
      </c>
      <c r="C15" s="121">
        <f t="shared" si="1"/>
        <v>16</v>
      </c>
      <c r="D15" s="121">
        <f t="shared" si="1"/>
        <v>16</v>
      </c>
      <c r="J15" s="121" t="s">
        <v>883</v>
      </c>
      <c r="K15" s="121" t="s">
        <v>836</v>
      </c>
      <c r="L15" s="121" t="s">
        <v>881</v>
      </c>
      <c r="M15" s="121" t="s">
        <v>835</v>
      </c>
      <c r="N15" s="121">
        <v>50</v>
      </c>
      <c r="O15" s="121">
        <v>46</v>
      </c>
      <c r="U15" s="121">
        <v>18</v>
      </c>
      <c r="V15" s="121">
        <v>13</v>
      </c>
    </row>
    <row r="16" spans="2:22" ht="18.75" customHeight="1">
      <c r="B16" s="121" t="s">
        <v>347</v>
      </c>
      <c r="C16" s="121">
        <f t="shared" si="1"/>
        <v>16</v>
      </c>
      <c r="D16" s="121">
        <f t="shared" si="1"/>
        <v>16</v>
      </c>
      <c r="J16" s="121" t="s">
        <v>883</v>
      </c>
      <c r="K16" s="121" t="s">
        <v>836</v>
      </c>
      <c r="L16" s="121" t="s">
        <v>881</v>
      </c>
      <c r="M16" s="121" t="s">
        <v>836</v>
      </c>
      <c r="N16" s="121">
        <v>52</v>
      </c>
      <c r="O16" s="121">
        <v>48</v>
      </c>
      <c r="U16" s="121">
        <v>19</v>
      </c>
      <c r="V16" s="121">
        <v>14</v>
      </c>
    </row>
    <row r="17" spans="2:22" ht="18.75" customHeight="1">
      <c r="B17" s="121" t="s">
        <v>23</v>
      </c>
      <c r="C17" s="121">
        <f>C16+1</f>
        <v>17</v>
      </c>
      <c r="D17" s="121">
        <f>D16+1</f>
        <v>17</v>
      </c>
      <c r="J17" s="121" t="s">
        <v>883</v>
      </c>
      <c r="K17" s="121" t="s">
        <v>835</v>
      </c>
      <c r="L17" s="121" t="s">
        <v>882</v>
      </c>
      <c r="M17" s="308"/>
      <c r="N17" s="121">
        <v>49</v>
      </c>
      <c r="O17" s="121">
        <v>45</v>
      </c>
      <c r="U17" s="121">
        <v>20</v>
      </c>
      <c r="V17" s="121">
        <v>15</v>
      </c>
    </row>
    <row r="18" spans="2:22" ht="18.75" customHeight="1">
      <c r="B18" s="121" t="s">
        <v>351</v>
      </c>
      <c r="C18" s="121">
        <f t="shared" ref="C18:D34" si="2">C17+1</f>
        <v>18</v>
      </c>
      <c r="D18" s="121">
        <f t="shared" si="2"/>
        <v>18</v>
      </c>
      <c r="J18" s="121" t="s">
        <v>883</v>
      </c>
      <c r="K18" s="121" t="s">
        <v>836</v>
      </c>
      <c r="L18" s="121" t="s">
        <v>882</v>
      </c>
      <c r="M18" s="308"/>
      <c r="N18" s="121">
        <v>51</v>
      </c>
      <c r="O18" s="121">
        <v>47</v>
      </c>
      <c r="U18" s="121">
        <v>21</v>
      </c>
      <c r="V18" s="121">
        <v>16</v>
      </c>
    </row>
    <row r="19" spans="2:22" ht="18.75" customHeight="1">
      <c r="B19" s="121" t="s">
        <v>26</v>
      </c>
      <c r="C19" s="121">
        <f t="shared" si="2"/>
        <v>19</v>
      </c>
      <c r="D19" s="121">
        <f t="shared" si="2"/>
        <v>19</v>
      </c>
      <c r="J19" s="121" t="s">
        <v>883</v>
      </c>
      <c r="K19" s="121" t="s">
        <v>835</v>
      </c>
      <c r="L19" s="121" t="s">
        <v>885</v>
      </c>
      <c r="M19" s="308"/>
      <c r="N19" s="121">
        <v>53</v>
      </c>
      <c r="O19" s="121">
        <v>49</v>
      </c>
      <c r="U19" s="121">
        <v>22</v>
      </c>
      <c r="V19" s="121">
        <v>17</v>
      </c>
    </row>
    <row r="20" spans="2:22" ht="18.75" customHeight="1">
      <c r="B20" s="121" t="s">
        <v>352</v>
      </c>
      <c r="C20" s="121">
        <f t="shared" si="2"/>
        <v>20</v>
      </c>
      <c r="D20" s="121">
        <f t="shared" si="2"/>
        <v>20</v>
      </c>
      <c r="J20" s="121" t="s">
        <v>883</v>
      </c>
      <c r="K20" s="121"/>
      <c r="L20" s="121" t="s">
        <v>885</v>
      </c>
      <c r="M20" s="308"/>
      <c r="N20" s="121">
        <v>53</v>
      </c>
      <c r="O20" s="121">
        <v>49</v>
      </c>
      <c r="U20" s="121">
        <v>23</v>
      </c>
      <c r="V20" s="121">
        <v>18</v>
      </c>
    </row>
    <row r="21" spans="2:22" ht="18.75" customHeight="1">
      <c r="B21" s="121" t="s">
        <v>353</v>
      </c>
      <c r="C21" s="121">
        <f t="shared" si="2"/>
        <v>21</v>
      </c>
      <c r="D21" s="121">
        <v>20</v>
      </c>
      <c r="U21" s="121">
        <v>24</v>
      </c>
      <c r="V21" s="121">
        <v>19</v>
      </c>
    </row>
    <row r="22" spans="2:22" ht="18.75" customHeight="1">
      <c r="B22" s="121" t="s">
        <v>354</v>
      </c>
      <c r="C22" s="121">
        <f t="shared" si="2"/>
        <v>22</v>
      </c>
      <c r="D22" s="121">
        <v>20</v>
      </c>
      <c r="U22" s="121">
        <v>25</v>
      </c>
      <c r="V22" s="121">
        <v>20</v>
      </c>
    </row>
    <row r="23" spans="2:22" ht="18.75" customHeight="1">
      <c r="B23" s="121" t="s">
        <v>355</v>
      </c>
      <c r="C23" s="121">
        <f t="shared" si="2"/>
        <v>23</v>
      </c>
      <c r="D23" s="121">
        <v>21</v>
      </c>
      <c r="U23" s="121">
        <v>26</v>
      </c>
      <c r="V23" s="121">
        <v>21</v>
      </c>
    </row>
    <row r="24" spans="2:22">
      <c r="B24" s="121" t="s">
        <v>356</v>
      </c>
      <c r="C24" s="121">
        <f t="shared" si="2"/>
        <v>24</v>
      </c>
      <c r="D24" s="121">
        <v>21</v>
      </c>
      <c r="U24" s="121">
        <v>27</v>
      </c>
      <c r="V24" s="121">
        <v>22</v>
      </c>
    </row>
    <row r="25" spans="2:22">
      <c r="B25" s="121" t="s">
        <v>357</v>
      </c>
      <c r="C25" s="121">
        <f t="shared" si="2"/>
        <v>25</v>
      </c>
      <c r="D25" s="121">
        <v>22</v>
      </c>
      <c r="U25" s="121">
        <v>28</v>
      </c>
      <c r="V25" s="121">
        <v>23</v>
      </c>
    </row>
    <row r="26" spans="2:22">
      <c r="B26" s="121" t="s">
        <v>27</v>
      </c>
      <c r="C26" s="121">
        <f t="shared" si="2"/>
        <v>26</v>
      </c>
      <c r="D26" s="121">
        <v>23</v>
      </c>
      <c r="U26" s="121">
        <v>29</v>
      </c>
      <c r="V26" s="121">
        <v>24</v>
      </c>
    </row>
    <row r="27" spans="2:22">
      <c r="B27" s="121" t="s">
        <v>313</v>
      </c>
      <c r="C27" s="121">
        <f t="shared" si="2"/>
        <v>27</v>
      </c>
      <c r="D27" s="121">
        <v>24</v>
      </c>
      <c r="U27" s="121">
        <v>30</v>
      </c>
      <c r="V27" s="121">
        <v>25</v>
      </c>
    </row>
    <row r="28" spans="2:22">
      <c r="B28" s="121" t="s">
        <v>343</v>
      </c>
      <c r="C28" s="121">
        <f t="shared" si="2"/>
        <v>28</v>
      </c>
      <c r="D28" s="121">
        <v>25</v>
      </c>
      <c r="U28" s="121">
        <v>31</v>
      </c>
      <c r="V28" s="121">
        <v>26</v>
      </c>
    </row>
    <row r="29" spans="2:22" ht="18.75" customHeight="1">
      <c r="B29" s="121" t="s">
        <v>358</v>
      </c>
      <c r="C29" s="121">
        <f t="shared" si="2"/>
        <v>29</v>
      </c>
      <c r="D29" s="121">
        <v>26</v>
      </c>
      <c r="U29" s="121">
        <v>32</v>
      </c>
      <c r="V29" s="121">
        <v>27</v>
      </c>
    </row>
    <row r="30" spans="2:22">
      <c r="B30" s="121" t="s">
        <v>359</v>
      </c>
      <c r="C30" s="121">
        <f t="shared" si="2"/>
        <v>30</v>
      </c>
      <c r="D30" s="121">
        <v>26</v>
      </c>
      <c r="U30" s="121">
        <v>33</v>
      </c>
      <c r="V30" s="121">
        <v>28</v>
      </c>
    </row>
    <row r="31" spans="2:22">
      <c r="B31" s="121" t="s">
        <v>30</v>
      </c>
      <c r="C31" s="121">
        <f t="shared" si="2"/>
        <v>31</v>
      </c>
      <c r="D31" s="121">
        <v>27</v>
      </c>
      <c r="U31" s="121">
        <v>34</v>
      </c>
      <c r="V31" s="121">
        <v>29</v>
      </c>
    </row>
    <row r="32" spans="2:22">
      <c r="B32" s="121" t="s">
        <v>50</v>
      </c>
      <c r="C32" s="121">
        <f t="shared" si="2"/>
        <v>32</v>
      </c>
      <c r="D32" s="121">
        <v>28</v>
      </c>
      <c r="U32" s="121">
        <v>35</v>
      </c>
      <c r="V32" s="121">
        <v>30</v>
      </c>
    </row>
    <row r="33" spans="2:22">
      <c r="B33" s="121" t="str">
        <f>非_燃料種類_選択リスト!F33</f>
        <v>その他の燃料①</v>
      </c>
      <c r="C33" s="121">
        <v>34</v>
      </c>
      <c r="D33" s="121">
        <v>30</v>
      </c>
      <c r="U33" s="121">
        <v>37</v>
      </c>
      <c r="V33" s="121">
        <v>31</v>
      </c>
    </row>
    <row r="34" spans="2:22">
      <c r="B34" s="121" t="str">
        <f>非_燃料種類_選択リスト!F34</f>
        <v>その他の燃料②</v>
      </c>
      <c r="C34" s="121">
        <f t="shared" si="2"/>
        <v>35</v>
      </c>
      <c r="D34" s="121">
        <v>31</v>
      </c>
      <c r="U34" s="121">
        <v>38</v>
      </c>
      <c r="V34" s="121">
        <v>32</v>
      </c>
    </row>
    <row r="35" spans="2:22">
      <c r="U35" s="121">
        <v>39</v>
      </c>
      <c r="V35" s="121">
        <v>33</v>
      </c>
    </row>
    <row r="36" spans="2:22">
      <c r="U36" s="121">
        <v>40</v>
      </c>
      <c r="V36" s="121">
        <v>34</v>
      </c>
    </row>
    <row r="37" spans="2:22" ht="19.5" customHeight="1">
      <c r="U37" s="121">
        <v>41</v>
      </c>
      <c r="V37" s="121">
        <v>35</v>
      </c>
    </row>
    <row r="38" spans="2:22" ht="18.75" customHeight="1">
      <c r="U38" s="121">
        <v>42</v>
      </c>
      <c r="V38" s="121">
        <v>36</v>
      </c>
    </row>
    <row r="39" spans="2:22">
      <c r="U39" s="121">
        <v>43</v>
      </c>
      <c r="V39" s="121">
        <v>37</v>
      </c>
    </row>
    <row r="40" spans="2:22">
      <c r="U40" s="121">
        <v>44</v>
      </c>
      <c r="V40" s="121">
        <v>38</v>
      </c>
    </row>
    <row r="41" spans="2:22" ht="18.75" customHeight="1">
      <c r="U41" s="121">
        <v>45</v>
      </c>
      <c r="V41" s="121">
        <v>39</v>
      </c>
    </row>
    <row r="42" spans="2:22">
      <c r="U42" s="121">
        <v>47</v>
      </c>
      <c r="V42" s="121">
        <v>40</v>
      </c>
    </row>
    <row r="43" spans="2:22" ht="18.75" customHeight="1">
      <c r="U43" s="121">
        <v>48</v>
      </c>
      <c r="V43" s="121">
        <v>41</v>
      </c>
    </row>
    <row r="44" spans="2:22">
      <c r="U44" s="121">
        <v>49</v>
      </c>
      <c r="V44" s="121">
        <v>42</v>
      </c>
    </row>
    <row r="45" spans="2:22" ht="18.75" customHeight="1">
      <c r="U45" s="121">
        <v>50</v>
      </c>
      <c r="V45" s="121">
        <v>43</v>
      </c>
    </row>
    <row r="46" spans="2:22">
      <c r="U46" s="121">
        <v>51</v>
      </c>
      <c r="V46" s="121">
        <v>44</v>
      </c>
    </row>
    <row r="47" spans="2:22" ht="36.75" customHeight="1">
      <c r="U47" s="121">
        <v>52</v>
      </c>
      <c r="V47" s="121">
        <v>45</v>
      </c>
    </row>
    <row r="48" spans="2:22" ht="18.75" customHeight="1">
      <c r="U48" s="121">
        <v>53</v>
      </c>
      <c r="V48" s="121">
        <v>46</v>
      </c>
    </row>
    <row r="49" spans="21:22">
      <c r="U49" s="121">
        <v>59</v>
      </c>
      <c r="V49" s="121">
        <v>47</v>
      </c>
    </row>
    <row r="50" spans="21:22" ht="18.75" customHeight="1">
      <c r="U50" s="121">
        <v>60</v>
      </c>
      <c r="V50" s="121">
        <v>48</v>
      </c>
    </row>
    <row r="51" spans="21:22">
      <c r="U51" s="121">
        <v>62</v>
      </c>
      <c r="V51" s="121">
        <v>49</v>
      </c>
    </row>
    <row r="52" spans="21:22" ht="18.75" customHeight="1">
      <c r="U52" s="121">
        <v>63</v>
      </c>
      <c r="V52" s="121">
        <v>50</v>
      </c>
    </row>
    <row r="53" spans="21:22" ht="18.75" customHeight="1">
      <c r="U53" s="121">
        <v>64</v>
      </c>
      <c r="V53" s="121">
        <v>51</v>
      </c>
    </row>
    <row r="54" spans="21:22">
      <c r="U54" s="121">
        <v>65</v>
      </c>
      <c r="V54" s="121">
        <v>52</v>
      </c>
    </row>
    <row r="55" spans="21:22">
      <c r="U55" s="121">
        <v>66</v>
      </c>
      <c r="V55" s="121">
        <v>53</v>
      </c>
    </row>
    <row r="56" spans="21:22">
      <c r="U56" s="121">
        <v>67</v>
      </c>
      <c r="V56" s="121">
        <v>54</v>
      </c>
    </row>
    <row r="57" spans="21:22" ht="18.75" customHeight="1"/>
    <row r="59" spans="21:22" ht="19.5" customHeight="1"/>
    <row r="60" spans="21:22" ht="18.75" customHeight="1"/>
    <row r="62" spans="21:22" ht="19.5" customHeight="1"/>
    <row r="65" ht="19.5" customHeight="1"/>
    <row r="66" ht="19.5" customHeight="1"/>
    <row r="67" ht="19.5" customHeight="1"/>
    <row r="68" ht="20.25" customHeight="1"/>
    <row r="71" ht="18.75" customHeight="1"/>
    <row r="74" ht="18.75" customHeight="1"/>
    <row r="75" ht="18.75" customHeight="1"/>
    <row r="77" ht="18.75" customHeight="1"/>
    <row r="78" ht="18.75" customHeight="1"/>
    <row r="79" ht="18.75" customHeight="1"/>
    <row r="80" ht="18.75" customHeight="1"/>
    <row r="83" ht="18.75" customHeight="1"/>
    <row r="84" ht="19.5" customHeight="1"/>
    <row r="88" ht="18.75" customHeight="1"/>
    <row r="89" ht="18.75" customHeight="1"/>
    <row r="91" ht="18.75" customHeight="1"/>
    <row r="92" ht="18.75" customHeight="1"/>
    <row r="93" ht="19.5" customHeight="1"/>
    <row r="94" ht="19.5" customHeight="1"/>
    <row r="96" ht="18.75" customHeight="1"/>
    <row r="97" ht="19.5" customHeight="1"/>
    <row r="98" ht="20.25" customHeight="1"/>
  </sheetData>
  <sheetProtection algorithmName="SHA-512" hashValue="lTPd5E9LVwOC+zJmjag8uCJdRvgonKNzrDwUOljxlIHTrFpo54tyLFjJsfCSZvYN209xtj7DXowgcsaxQ+LgPw==" saltValue="H8GCSJxEtVq2/A/KQABitQ==" spinCount="100000" sheet="1" objects="1" scenarios="1"/>
  <phoneticPr fontId="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14999847407452621"/>
  </sheetPr>
  <dimension ref="A1:K71"/>
  <sheetViews>
    <sheetView zoomScaleNormal="100" workbookViewId="0"/>
  </sheetViews>
  <sheetFormatPr defaultRowHeight="18.75"/>
  <cols>
    <col min="2" max="2" width="54" customWidth="1"/>
    <col min="3" max="3" width="24.25" customWidth="1"/>
    <col min="4" max="4" width="16.25" customWidth="1"/>
    <col min="5" max="5" width="24.25" customWidth="1"/>
    <col min="6" max="6" width="18.625" bestFit="1" customWidth="1"/>
    <col min="7" max="7" width="13.75" customWidth="1"/>
    <col min="8" max="11" width="23.25" customWidth="1"/>
  </cols>
  <sheetData>
    <row r="1" spans="2:11" ht="19.5" thickBot="1"/>
    <row r="2" spans="2:11">
      <c r="B2" s="985" t="s">
        <v>389</v>
      </c>
      <c r="C2" s="988" t="s">
        <v>363</v>
      </c>
      <c r="D2" s="989"/>
      <c r="E2" s="989"/>
      <c r="F2" s="990"/>
      <c r="G2" s="991" t="s">
        <v>467</v>
      </c>
      <c r="H2" s="992"/>
      <c r="I2" s="992"/>
      <c r="J2" s="992"/>
      <c r="K2" s="993"/>
    </row>
    <row r="3" spans="2:11">
      <c r="B3" s="986"/>
      <c r="C3" s="994" t="s">
        <v>212</v>
      </c>
      <c r="D3" s="995"/>
      <c r="E3" s="995" t="s">
        <v>213</v>
      </c>
      <c r="F3" s="996"/>
      <c r="G3" s="142" t="s">
        <v>465</v>
      </c>
      <c r="H3" s="997" t="s">
        <v>212</v>
      </c>
      <c r="I3" s="997"/>
      <c r="J3" s="997" t="s">
        <v>213</v>
      </c>
      <c r="K3" s="998"/>
    </row>
    <row r="4" spans="2:11">
      <c r="B4" s="987"/>
      <c r="C4" s="139" t="s">
        <v>362</v>
      </c>
      <c r="D4" s="140" t="s">
        <v>208</v>
      </c>
      <c r="E4" s="140" t="s">
        <v>362</v>
      </c>
      <c r="F4" s="141" t="s">
        <v>208</v>
      </c>
      <c r="G4" s="142" t="s">
        <v>362</v>
      </c>
      <c r="H4" s="143" t="s">
        <v>362</v>
      </c>
      <c r="I4" s="143" t="s">
        <v>208</v>
      </c>
      <c r="J4" s="143" t="s">
        <v>362</v>
      </c>
      <c r="K4" s="144" t="s">
        <v>208</v>
      </c>
    </row>
    <row r="5" spans="2:11">
      <c r="B5" s="129" t="s">
        <v>348</v>
      </c>
      <c r="C5" s="131">
        <v>38.299999999999997</v>
      </c>
      <c r="D5" s="125" t="s">
        <v>180</v>
      </c>
      <c r="E5" s="126">
        <v>1.9E-2</v>
      </c>
      <c r="F5" s="132" t="s">
        <v>365</v>
      </c>
      <c r="G5" s="131">
        <v>1</v>
      </c>
      <c r="H5" s="127">
        <v>38.200000000000003</v>
      </c>
      <c r="I5" s="125" t="s">
        <v>180</v>
      </c>
      <c r="J5" s="125">
        <v>1.8700000000000001E-2</v>
      </c>
      <c r="K5" s="132" t="s">
        <v>365</v>
      </c>
    </row>
    <row r="6" spans="2:11">
      <c r="B6" s="129" t="s">
        <v>349</v>
      </c>
      <c r="C6" s="131">
        <v>34.799999999999997</v>
      </c>
      <c r="D6" s="125" t="s">
        <v>180</v>
      </c>
      <c r="E6" s="126">
        <v>1.83E-2</v>
      </c>
      <c r="F6" s="132" t="s">
        <v>365</v>
      </c>
      <c r="G6" s="131">
        <v>1</v>
      </c>
      <c r="H6" s="127">
        <v>35.299999999999997</v>
      </c>
      <c r="I6" s="125" t="s">
        <v>180</v>
      </c>
      <c r="J6" s="125">
        <v>1.84E-2</v>
      </c>
      <c r="K6" s="132" t="s">
        <v>365</v>
      </c>
    </row>
    <row r="7" spans="2:11">
      <c r="B7" s="129" t="s">
        <v>350</v>
      </c>
      <c r="C7" s="131">
        <v>33.4</v>
      </c>
      <c r="D7" s="125" t="s">
        <v>180</v>
      </c>
      <c r="E7" s="126">
        <v>1.8700000000000001E-2</v>
      </c>
      <c r="F7" s="132" t="s">
        <v>365</v>
      </c>
      <c r="G7" s="131">
        <v>1</v>
      </c>
      <c r="H7" s="127">
        <v>34.6</v>
      </c>
      <c r="I7" s="125" t="s">
        <v>180</v>
      </c>
      <c r="J7" s="125">
        <v>1.83E-2</v>
      </c>
      <c r="K7" s="132" t="s">
        <v>365</v>
      </c>
    </row>
    <row r="8" spans="2:11">
      <c r="B8" s="129" t="s">
        <v>252</v>
      </c>
      <c r="C8" s="131">
        <v>33.299999999999997</v>
      </c>
      <c r="D8" s="125" t="s">
        <v>180</v>
      </c>
      <c r="E8" s="126">
        <v>1.8599999999999998E-2</v>
      </c>
      <c r="F8" s="132" t="s">
        <v>365</v>
      </c>
      <c r="G8" s="131">
        <v>1</v>
      </c>
      <c r="H8" s="127">
        <v>33.6</v>
      </c>
      <c r="I8" s="125" t="s">
        <v>180</v>
      </c>
      <c r="J8" s="125">
        <v>1.8200000000000001E-2</v>
      </c>
      <c r="K8" s="132" t="s">
        <v>365</v>
      </c>
    </row>
    <row r="9" spans="2:11">
      <c r="B9" s="129" t="s">
        <v>14</v>
      </c>
      <c r="C9" s="131">
        <v>36.5</v>
      </c>
      <c r="D9" s="125" t="s">
        <v>180</v>
      </c>
      <c r="E9" s="126">
        <v>1.8700000000000001E-2</v>
      </c>
      <c r="F9" s="132" t="s">
        <v>365</v>
      </c>
      <c r="G9" s="131">
        <v>1</v>
      </c>
      <c r="H9" s="127">
        <v>36.700000000000003</v>
      </c>
      <c r="I9" s="125" t="s">
        <v>180</v>
      </c>
      <c r="J9" s="125">
        <v>1.8499999999999999E-2</v>
      </c>
      <c r="K9" s="132" t="s">
        <v>365</v>
      </c>
    </row>
    <row r="10" spans="2:11">
      <c r="B10" s="129" t="s">
        <v>15</v>
      </c>
      <c r="C10" s="131">
        <v>38</v>
      </c>
      <c r="D10" s="125" t="s">
        <v>180</v>
      </c>
      <c r="E10" s="126">
        <v>1.8800000000000001E-2</v>
      </c>
      <c r="F10" s="132" t="s">
        <v>365</v>
      </c>
      <c r="G10" s="131">
        <v>1</v>
      </c>
      <c r="H10" s="127">
        <v>37.700000000000003</v>
      </c>
      <c r="I10" s="125" t="s">
        <v>180</v>
      </c>
      <c r="J10" s="125">
        <v>1.8700000000000001E-2</v>
      </c>
      <c r="K10" s="132" t="s">
        <v>365</v>
      </c>
    </row>
    <row r="11" spans="2:11">
      <c r="B11" s="129" t="s">
        <v>16</v>
      </c>
      <c r="C11" s="131">
        <v>38.9</v>
      </c>
      <c r="D11" s="125" t="s">
        <v>180</v>
      </c>
      <c r="E11" s="126">
        <v>1.9300000000000001E-2</v>
      </c>
      <c r="F11" s="132" t="s">
        <v>365</v>
      </c>
      <c r="G11" s="131">
        <v>1</v>
      </c>
      <c r="H11" s="127">
        <v>39.1</v>
      </c>
      <c r="I11" s="125" t="s">
        <v>180</v>
      </c>
      <c r="J11" s="125">
        <v>1.89E-2</v>
      </c>
      <c r="K11" s="132" t="s">
        <v>365</v>
      </c>
    </row>
    <row r="12" spans="2:11">
      <c r="B12" s="129" t="s">
        <v>17</v>
      </c>
      <c r="C12" s="131">
        <v>41.8</v>
      </c>
      <c r="D12" s="125" t="s">
        <v>180</v>
      </c>
      <c r="E12" s="126">
        <v>2.0199999999999999E-2</v>
      </c>
      <c r="F12" s="132" t="s">
        <v>365</v>
      </c>
      <c r="G12" s="131">
        <v>1</v>
      </c>
      <c r="H12" s="127">
        <v>41.9</v>
      </c>
      <c r="I12" s="125" t="s">
        <v>180</v>
      </c>
      <c r="J12" s="125">
        <v>1.95E-2</v>
      </c>
      <c r="K12" s="132" t="s">
        <v>365</v>
      </c>
    </row>
    <row r="13" spans="2:11">
      <c r="B13" s="129" t="s">
        <v>18</v>
      </c>
      <c r="C13" s="131">
        <v>40</v>
      </c>
      <c r="D13" s="125" t="s">
        <v>179</v>
      </c>
      <c r="E13" s="126">
        <v>2.0400000000000001E-2</v>
      </c>
      <c r="F13" s="132" t="s">
        <v>365</v>
      </c>
      <c r="G13" s="131">
        <v>1</v>
      </c>
      <c r="H13" s="127">
        <v>40.9</v>
      </c>
      <c r="I13" s="125" t="s">
        <v>179</v>
      </c>
      <c r="J13" s="125">
        <v>2.0799999999999999E-2</v>
      </c>
      <c r="K13" s="132" t="s">
        <v>365</v>
      </c>
    </row>
    <row r="14" spans="2:11">
      <c r="B14" s="129" t="s">
        <v>20</v>
      </c>
      <c r="C14" s="131">
        <v>34.1</v>
      </c>
      <c r="D14" s="125" t="s">
        <v>179</v>
      </c>
      <c r="E14" s="126">
        <v>2.4500000000000001E-2</v>
      </c>
      <c r="F14" s="132" t="s">
        <v>365</v>
      </c>
      <c r="G14" s="131">
        <v>1</v>
      </c>
      <c r="H14" s="127">
        <v>29.9</v>
      </c>
      <c r="I14" s="125" t="s">
        <v>179</v>
      </c>
      <c r="J14" s="125">
        <v>2.5399999999999999E-2</v>
      </c>
      <c r="K14" s="132" t="s">
        <v>365</v>
      </c>
    </row>
    <row r="15" spans="2:11">
      <c r="B15" s="129" t="s">
        <v>344</v>
      </c>
      <c r="C15" s="131">
        <v>50.1</v>
      </c>
      <c r="D15" s="125" t="s">
        <v>179</v>
      </c>
      <c r="E15" s="126">
        <v>1.6299999999999999E-2</v>
      </c>
      <c r="F15" s="132" t="s">
        <v>365</v>
      </c>
      <c r="G15" s="131">
        <v>1</v>
      </c>
      <c r="H15" s="127">
        <v>50.8</v>
      </c>
      <c r="I15" s="125" t="s">
        <v>179</v>
      </c>
      <c r="J15" s="125">
        <v>1.61E-2</v>
      </c>
      <c r="K15" s="132" t="s">
        <v>365</v>
      </c>
    </row>
    <row r="16" spans="2:11">
      <c r="B16" s="129" t="s">
        <v>345</v>
      </c>
      <c r="C16" s="131">
        <v>50.1</v>
      </c>
      <c r="D16" s="125" t="s">
        <v>179</v>
      </c>
      <c r="E16" s="126">
        <v>1.6299999999999999E-2</v>
      </c>
      <c r="F16" s="132" t="s">
        <v>365</v>
      </c>
      <c r="G16" s="131">
        <v>1</v>
      </c>
      <c r="H16" s="127">
        <v>50.8</v>
      </c>
      <c r="I16" s="125" t="s">
        <v>179</v>
      </c>
      <c r="J16" s="125">
        <v>1.61E-2</v>
      </c>
      <c r="K16" s="132" t="s">
        <v>365</v>
      </c>
    </row>
    <row r="17" spans="2:11">
      <c r="B17" s="129" t="s">
        <v>346</v>
      </c>
      <c r="C17" s="131">
        <v>50.1</v>
      </c>
      <c r="D17" s="125" t="s">
        <v>179</v>
      </c>
      <c r="E17" s="126">
        <v>1.6299999999999999E-2</v>
      </c>
      <c r="F17" s="132" t="s">
        <v>365</v>
      </c>
      <c r="G17" s="131">
        <v>1</v>
      </c>
      <c r="H17" s="127">
        <v>50.8</v>
      </c>
      <c r="I17" s="125" t="s">
        <v>179</v>
      </c>
      <c r="J17" s="125">
        <v>1.61E-2</v>
      </c>
      <c r="K17" s="132" t="s">
        <v>365</v>
      </c>
    </row>
    <row r="18" spans="2:11">
      <c r="B18" s="129" t="s">
        <v>347</v>
      </c>
      <c r="C18" s="131">
        <v>50.1</v>
      </c>
      <c r="D18" s="125" t="s">
        <v>179</v>
      </c>
      <c r="E18" s="126">
        <v>1.6299999999999999E-2</v>
      </c>
      <c r="F18" s="132" t="s">
        <v>365</v>
      </c>
      <c r="G18" s="131">
        <v>1</v>
      </c>
      <c r="H18" s="127">
        <v>50.8</v>
      </c>
      <c r="I18" s="125" t="s">
        <v>179</v>
      </c>
      <c r="J18" s="125">
        <v>1.61E-2</v>
      </c>
      <c r="K18" s="132" t="s">
        <v>365</v>
      </c>
    </row>
    <row r="19" spans="2:11" ht="20.25">
      <c r="B19" s="129" t="s">
        <v>23</v>
      </c>
      <c r="C19" s="131">
        <v>46.1</v>
      </c>
      <c r="D19" s="125" t="s">
        <v>364</v>
      </c>
      <c r="E19" s="126">
        <v>1.44E-2</v>
      </c>
      <c r="F19" s="132" t="s">
        <v>365</v>
      </c>
      <c r="G19" s="131">
        <f xml:space="preserve"> (100/101.325) * (273.15/298.15)</f>
        <v>0.90416934530766024</v>
      </c>
      <c r="H19" s="127">
        <v>44.9</v>
      </c>
      <c r="I19" s="125" t="s">
        <v>366</v>
      </c>
      <c r="J19" s="125">
        <v>1.4200000000000001E-2</v>
      </c>
      <c r="K19" s="132" t="s">
        <v>365</v>
      </c>
    </row>
    <row r="20" spans="2:11">
      <c r="B20" s="129" t="s">
        <v>351</v>
      </c>
      <c r="C20" s="131">
        <v>54.7</v>
      </c>
      <c r="D20" s="125" t="s">
        <v>179</v>
      </c>
      <c r="E20" s="126">
        <v>1.3899999999999999E-2</v>
      </c>
      <c r="F20" s="132" t="s">
        <v>365</v>
      </c>
      <c r="G20" s="131">
        <v>1</v>
      </c>
      <c r="H20" s="127">
        <v>54.6</v>
      </c>
      <c r="I20" s="125" t="s">
        <v>179</v>
      </c>
      <c r="J20" s="125">
        <v>1.35E-2</v>
      </c>
      <c r="K20" s="132" t="s">
        <v>365</v>
      </c>
    </row>
    <row r="21" spans="2:11" ht="20.25">
      <c r="B21" s="129" t="s">
        <v>26</v>
      </c>
      <c r="C21" s="131">
        <v>38.4</v>
      </c>
      <c r="D21" s="125" t="s">
        <v>364</v>
      </c>
      <c r="E21" s="126">
        <v>1.3899999999999999E-2</v>
      </c>
      <c r="F21" s="132" t="s">
        <v>365</v>
      </c>
      <c r="G21" s="131">
        <f xml:space="preserve"> (100/101.325) * (273.15/298.15)</f>
        <v>0.90416934530766024</v>
      </c>
      <c r="H21" s="127">
        <v>43.5</v>
      </c>
      <c r="I21" s="125" t="s">
        <v>366</v>
      </c>
      <c r="J21" s="125">
        <v>1.3899999999999999E-2</v>
      </c>
      <c r="K21" s="132" t="s">
        <v>365</v>
      </c>
    </row>
    <row r="22" spans="2:11">
      <c r="B22" s="129" t="s">
        <v>352</v>
      </c>
      <c r="C22" s="131">
        <v>28.7</v>
      </c>
      <c r="D22" s="125" t="s">
        <v>179</v>
      </c>
      <c r="E22" s="126">
        <v>2.46E-2</v>
      </c>
      <c r="F22" s="132" t="s">
        <v>365</v>
      </c>
      <c r="G22" s="131">
        <v>1</v>
      </c>
      <c r="H22" s="127">
        <v>29</v>
      </c>
      <c r="I22" s="125" t="s">
        <v>179</v>
      </c>
      <c r="J22" s="125">
        <v>2.4500000000000001E-2</v>
      </c>
      <c r="K22" s="132" t="s">
        <v>365</v>
      </c>
    </row>
    <row r="23" spans="2:11">
      <c r="B23" s="129" t="s">
        <v>353</v>
      </c>
      <c r="C23" s="131">
        <v>28.9</v>
      </c>
      <c r="D23" s="125" t="s">
        <v>179</v>
      </c>
      <c r="E23" s="126">
        <v>2.4500000000000001E-2</v>
      </c>
      <c r="F23" s="132" t="s">
        <v>365</v>
      </c>
      <c r="G23" s="131">
        <v>1</v>
      </c>
      <c r="H23" s="127">
        <v>29</v>
      </c>
      <c r="I23" s="125" t="s">
        <v>179</v>
      </c>
      <c r="J23" s="125">
        <v>2.4500000000000001E-2</v>
      </c>
      <c r="K23" s="132" t="s">
        <v>365</v>
      </c>
    </row>
    <row r="24" spans="2:11">
      <c r="B24" s="129" t="s">
        <v>354</v>
      </c>
      <c r="C24" s="131">
        <v>28.3</v>
      </c>
      <c r="D24" s="125" t="s">
        <v>179</v>
      </c>
      <c r="E24" s="126">
        <v>2.5100000000000001E-2</v>
      </c>
      <c r="F24" s="132" t="s">
        <v>365</v>
      </c>
      <c r="G24" s="131">
        <v>1</v>
      </c>
      <c r="H24" s="127">
        <v>29</v>
      </c>
      <c r="I24" s="125" t="s">
        <v>179</v>
      </c>
      <c r="J24" s="125">
        <v>2.4500000000000001E-2</v>
      </c>
      <c r="K24" s="132" t="s">
        <v>365</v>
      </c>
    </row>
    <row r="25" spans="2:11">
      <c r="B25" s="129" t="s">
        <v>355</v>
      </c>
      <c r="C25" s="131">
        <v>26.1</v>
      </c>
      <c r="D25" s="125" t="s">
        <v>179</v>
      </c>
      <c r="E25" s="126">
        <v>2.4299999999999999E-2</v>
      </c>
      <c r="F25" s="132" t="s">
        <v>365</v>
      </c>
      <c r="G25" s="131">
        <v>1</v>
      </c>
      <c r="H25" s="127">
        <v>25.7</v>
      </c>
      <c r="I25" s="125" t="s">
        <v>179</v>
      </c>
      <c r="J25" s="125">
        <v>2.47E-2</v>
      </c>
      <c r="K25" s="132" t="s">
        <v>365</v>
      </c>
    </row>
    <row r="26" spans="2:11">
      <c r="B26" s="129" t="s">
        <v>356</v>
      </c>
      <c r="C26" s="131">
        <v>24.2</v>
      </c>
      <c r="D26" s="125" t="s">
        <v>179</v>
      </c>
      <c r="E26" s="126">
        <v>2.4199999999999999E-2</v>
      </c>
      <c r="F26" s="132" t="s">
        <v>365</v>
      </c>
      <c r="G26" s="131">
        <v>1</v>
      </c>
      <c r="H26" s="127">
        <v>25.7</v>
      </c>
      <c r="I26" s="125" t="s">
        <v>179</v>
      </c>
      <c r="J26" s="125">
        <v>2.47E-2</v>
      </c>
      <c r="K26" s="132" t="s">
        <v>365</v>
      </c>
    </row>
    <row r="27" spans="2:11">
      <c r="B27" s="129" t="s">
        <v>357</v>
      </c>
      <c r="C27" s="131">
        <v>27.8</v>
      </c>
      <c r="D27" s="125" t="s">
        <v>179</v>
      </c>
      <c r="E27" s="126">
        <v>2.5899999999999999E-2</v>
      </c>
      <c r="F27" s="132" t="s">
        <v>365</v>
      </c>
      <c r="G27" s="131">
        <v>1</v>
      </c>
      <c r="H27" s="127">
        <v>26.9</v>
      </c>
      <c r="I27" s="125" t="s">
        <v>179</v>
      </c>
      <c r="J27" s="125">
        <v>2.5499999999999998E-2</v>
      </c>
      <c r="K27" s="132" t="s">
        <v>365</v>
      </c>
    </row>
    <row r="28" spans="2:11">
      <c r="B28" s="129" t="s">
        <v>27</v>
      </c>
      <c r="C28" s="131">
        <v>29</v>
      </c>
      <c r="D28" s="125" t="s">
        <v>179</v>
      </c>
      <c r="E28" s="126">
        <v>2.9899999999999999E-2</v>
      </c>
      <c r="F28" s="132" t="s">
        <v>365</v>
      </c>
      <c r="G28" s="131">
        <v>1</v>
      </c>
      <c r="H28" s="125">
        <v>29.4</v>
      </c>
      <c r="I28" s="125" t="s">
        <v>179</v>
      </c>
      <c r="J28" s="125">
        <v>2.9399999999999999E-2</v>
      </c>
      <c r="K28" s="132" t="s">
        <v>365</v>
      </c>
    </row>
    <row r="29" spans="2:11">
      <c r="B29" s="129" t="s">
        <v>313</v>
      </c>
      <c r="C29" s="131">
        <v>37.299999999999997</v>
      </c>
      <c r="D29" s="125" t="s">
        <v>179</v>
      </c>
      <c r="E29" s="126">
        <v>2.0899999999999998E-2</v>
      </c>
      <c r="F29" s="132" t="s">
        <v>365</v>
      </c>
      <c r="G29" s="131">
        <v>1</v>
      </c>
      <c r="H29" s="125">
        <v>37.299999999999997</v>
      </c>
      <c r="I29" s="125" t="s">
        <v>179</v>
      </c>
      <c r="J29" s="125">
        <v>2.0899999999999998E-2</v>
      </c>
      <c r="K29" s="132" t="s">
        <v>365</v>
      </c>
    </row>
    <row r="30" spans="2:11" ht="20.25">
      <c r="B30" s="129" t="s">
        <v>343</v>
      </c>
      <c r="C30" s="131">
        <v>18.399999999999999</v>
      </c>
      <c r="D30" s="125" t="s">
        <v>364</v>
      </c>
      <c r="E30" s="126">
        <v>1.09E-2</v>
      </c>
      <c r="F30" s="132" t="s">
        <v>365</v>
      </c>
      <c r="G30" s="131">
        <f xml:space="preserve"> (100/101.325) * (273.15/298.15)</f>
        <v>0.90416934530766024</v>
      </c>
      <c r="H30" s="125">
        <v>21.1</v>
      </c>
      <c r="I30" s="125" t="s">
        <v>366</v>
      </c>
      <c r="J30" s="125">
        <v>1.0999999999999999E-2</v>
      </c>
      <c r="K30" s="132" t="s">
        <v>365</v>
      </c>
    </row>
    <row r="31" spans="2:11" ht="20.25">
      <c r="B31" s="129" t="s">
        <v>358</v>
      </c>
      <c r="C31" s="131">
        <v>3.23</v>
      </c>
      <c r="D31" s="125" t="s">
        <v>364</v>
      </c>
      <c r="E31" s="126">
        <v>2.64E-2</v>
      </c>
      <c r="F31" s="132" t="s">
        <v>365</v>
      </c>
      <c r="G31" s="131">
        <f xml:space="preserve"> (100/101.325) * (273.15/298.15)</f>
        <v>0.90416934530766024</v>
      </c>
      <c r="H31" s="125">
        <v>3.41</v>
      </c>
      <c r="I31" s="125" t="s">
        <v>366</v>
      </c>
      <c r="J31" s="125">
        <v>2.63E-2</v>
      </c>
      <c r="K31" s="132" t="s">
        <v>365</v>
      </c>
    </row>
    <row r="32" spans="2:11" ht="20.25">
      <c r="B32" s="129" t="s">
        <v>359</v>
      </c>
      <c r="C32" s="131">
        <v>3.45</v>
      </c>
      <c r="D32" s="125" t="s">
        <v>364</v>
      </c>
      <c r="E32" s="126">
        <v>2.64E-2</v>
      </c>
      <c r="F32" s="132" t="s">
        <v>365</v>
      </c>
      <c r="G32" s="131">
        <f xml:space="preserve"> (100/101.325) * (273.15/298.15)</f>
        <v>0.90416934530766024</v>
      </c>
      <c r="H32" s="125">
        <v>3.41</v>
      </c>
      <c r="I32" s="125" t="s">
        <v>366</v>
      </c>
      <c r="J32" s="125">
        <v>2.63E-2</v>
      </c>
      <c r="K32" s="132" t="s">
        <v>365</v>
      </c>
    </row>
    <row r="33" spans="2:11" ht="20.25">
      <c r="B33" s="129" t="s">
        <v>30</v>
      </c>
      <c r="C33" s="131">
        <v>7.53</v>
      </c>
      <c r="D33" s="125" t="s">
        <v>364</v>
      </c>
      <c r="E33" s="126">
        <v>4.2000000000000003E-2</v>
      </c>
      <c r="F33" s="132" t="s">
        <v>365</v>
      </c>
      <c r="G33" s="131">
        <f xml:space="preserve"> (100/101.325) * (273.15/298.15)</f>
        <v>0.90416934530766024</v>
      </c>
      <c r="H33" s="125">
        <v>8.41</v>
      </c>
      <c r="I33" s="125" t="s">
        <v>366</v>
      </c>
      <c r="J33" s="125">
        <v>3.8399999999999997E-2</v>
      </c>
      <c r="K33" s="132" t="s">
        <v>365</v>
      </c>
    </row>
    <row r="34" spans="2:11">
      <c r="B34" s="129" t="s">
        <v>50</v>
      </c>
      <c r="C34" s="131">
        <v>36.299999999999997</v>
      </c>
      <c r="D34" s="125" t="s">
        <v>180</v>
      </c>
      <c r="E34" s="126">
        <v>1.8599999999999998E-2</v>
      </c>
      <c r="F34" s="132" t="s">
        <v>365</v>
      </c>
      <c r="G34" s="131">
        <v>1</v>
      </c>
      <c r="H34" s="127">
        <v>36.700000000000003</v>
      </c>
      <c r="I34" s="125" t="s">
        <v>180</v>
      </c>
      <c r="J34" s="125">
        <v>1.83E-2</v>
      </c>
      <c r="K34" s="132" t="s">
        <v>365</v>
      </c>
    </row>
    <row r="35" spans="2:11">
      <c r="B35" s="129" t="str">
        <f>非_燃料種類_選択リスト!F33</f>
        <v>その他の燃料①</v>
      </c>
      <c r="C35" s="135">
        <f>事業所概要_算定体制!M25</f>
        <v>0</v>
      </c>
      <c r="D35" s="136" t="str">
        <f>事業所概要_算定体制!N25</f>
        <v>GJ/</v>
      </c>
      <c r="E35" s="136">
        <f>事業所概要_算定体制!O25</f>
        <v>0</v>
      </c>
      <c r="F35" s="132" t="s">
        <v>365</v>
      </c>
      <c r="G35" s="131">
        <v>1</v>
      </c>
      <c r="H35" s="136">
        <f t="shared" ref="H35:K36" si="0">C35</f>
        <v>0</v>
      </c>
      <c r="I35" s="136" t="str">
        <f t="shared" si="0"/>
        <v>GJ/</v>
      </c>
      <c r="J35" s="136">
        <f t="shared" si="0"/>
        <v>0</v>
      </c>
      <c r="K35" s="132" t="str">
        <f t="shared" si="0"/>
        <v>t-C/GJ</v>
      </c>
    </row>
    <row r="36" spans="2:11" ht="19.5" thickBot="1">
      <c r="B36" s="130" t="str">
        <f>非_燃料種類_選択リスト!F34</f>
        <v>その他の燃料②</v>
      </c>
      <c r="C36" s="137">
        <f>事業所概要_算定体制!M26</f>
        <v>0</v>
      </c>
      <c r="D36" s="138" t="str">
        <f>事業所概要_算定体制!N26</f>
        <v>GJ/</v>
      </c>
      <c r="E36" s="138">
        <f>事業所概要_算定体制!O26</f>
        <v>0</v>
      </c>
      <c r="F36" s="133" t="s">
        <v>365</v>
      </c>
      <c r="G36" s="134">
        <v>1</v>
      </c>
      <c r="H36" s="138">
        <f t="shared" si="0"/>
        <v>0</v>
      </c>
      <c r="I36" s="138" t="str">
        <f t="shared" si="0"/>
        <v>GJ/</v>
      </c>
      <c r="J36" s="138">
        <f t="shared" si="0"/>
        <v>0</v>
      </c>
      <c r="K36" s="133" t="str">
        <f t="shared" si="0"/>
        <v>t-C/GJ</v>
      </c>
    </row>
    <row r="38" spans="2:11" ht="19.5" thickBot="1"/>
    <row r="39" spans="2:11">
      <c r="B39" s="985" t="s">
        <v>459</v>
      </c>
      <c r="C39" s="988" t="s">
        <v>363</v>
      </c>
      <c r="D39" s="989"/>
      <c r="E39" s="989"/>
      <c r="F39" s="990"/>
      <c r="G39" s="991" t="s">
        <v>468</v>
      </c>
      <c r="H39" s="992"/>
      <c r="I39" s="992"/>
      <c r="J39" s="992"/>
      <c r="K39" s="993"/>
    </row>
    <row r="40" spans="2:11">
      <c r="B40" s="986"/>
      <c r="C40" s="994" t="s">
        <v>361</v>
      </c>
      <c r="D40" s="995"/>
      <c r="E40" s="995" t="s">
        <v>213</v>
      </c>
      <c r="F40" s="996"/>
      <c r="G40" s="142" t="s">
        <v>367</v>
      </c>
      <c r="H40" s="997" t="s">
        <v>361</v>
      </c>
      <c r="I40" s="997"/>
      <c r="J40" s="997" t="s">
        <v>213</v>
      </c>
      <c r="K40" s="998"/>
    </row>
    <row r="41" spans="2:11">
      <c r="B41" s="987"/>
      <c r="C41" s="139" t="s">
        <v>362</v>
      </c>
      <c r="D41" s="140" t="s">
        <v>208</v>
      </c>
      <c r="E41" s="140" t="s">
        <v>362</v>
      </c>
      <c r="F41" s="141" t="s">
        <v>208</v>
      </c>
      <c r="G41" s="142" t="s">
        <v>362</v>
      </c>
      <c r="H41" s="143" t="s">
        <v>362</v>
      </c>
      <c r="I41" s="143" t="s">
        <v>208</v>
      </c>
      <c r="J41" s="143" t="s">
        <v>362</v>
      </c>
      <c r="K41" s="144" t="s">
        <v>208</v>
      </c>
    </row>
    <row r="42" spans="2:11" ht="20.25">
      <c r="B42" s="162" t="s">
        <v>437</v>
      </c>
      <c r="C42" s="149">
        <v>8.64</v>
      </c>
      <c r="D42" s="125" t="s">
        <v>460</v>
      </c>
      <c r="E42" s="126" t="s">
        <v>463</v>
      </c>
      <c r="F42" s="132" t="s">
        <v>462</v>
      </c>
      <c r="G42" s="151"/>
      <c r="H42" s="152"/>
      <c r="I42" s="153"/>
      <c r="J42" s="125">
        <v>0.495</v>
      </c>
      <c r="K42" s="132" t="s">
        <v>462</v>
      </c>
    </row>
    <row r="43" spans="2:11" ht="20.25">
      <c r="B43" s="132" t="s">
        <v>429</v>
      </c>
      <c r="C43" s="149">
        <v>3.6</v>
      </c>
      <c r="D43" s="125" t="s">
        <v>460</v>
      </c>
      <c r="E43" s="126" t="s">
        <v>463</v>
      </c>
      <c r="F43" s="132" t="s">
        <v>462</v>
      </c>
      <c r="G43" s="151"/>
      <c r="H43" s="152"/>
      <c r="I43" s="153"/>
      <c r="J43" s="125">
        <v>0.495</v>
      </c>
      <c r="K43" s="132" t="s">
        <v>462</v>
      </c>
    </row>
    <row r="44" spans="2:11" ht="20.25">
      <c r="B44" s="132" t="s">
        <v>612</v>
      </c>
      <c r="C44" s="149">
        <v>3.6</v>
      </c>
      <c r="D44" s="125" t="s">
        <v>460</v>
      </c>
      <c r="E44" s="126" t="s">
        <v>463</v>
      </c>
      <c r="F44" s="132" t="s">
        <v>462</v>
      </c>
      <c r="G44" s="151"/>
      <c r="H44" s="152"/>
      <c r="I44" s="153"/>
      <c r="J44" s="125">
        <v>0.495</v>
      </c>
      <c r="K44" s="132" t="s">
        <v>462</v>
      </c>
    </row>
    <row r="45" spans="2:11" ht="20.25">
      <c r="B45" s="132" t="s">
        <v>613</v>
      </c>
      <c r="C45" s="149">
        <v>8.64</v>
      </c>
      <c r="D45" s="125" t="s">
        <v>460</v>
      </c>
      <c r="E45" s="126" t="s">
        <v>463</v>
      </c>
      <c r="F45" s="132" t="s">
        <v>462</v>
      </c>
      <c r="G45" s="151"/>
      <c r="H45" s="152"/>
      <c r="I45" s="153"/>
      <c r="J45" s="125">
        <v>0.495</v>
      </c>
      <c r="K45" s="132" t="s">
        <v>462</v>
      </c>
    </row>
    <row r="46" spans="2:11" ht="20.25">
      <c r="B46" s="132" t="s">
        <v>434</v>
      </c>
      <c r="C46" s="149">
        <v>3.6</v>
      </c>
      <c r="D46" s="125" t="s">
        <v>460</v>
      </c>
      <c r="E46" s="126" t="s">
        <v>463</v>
      </c>
      <c r="F46" s="132" t="s">
        <v>462</v>
      </c>
      <c r="G46" s="151"/>
      <c r="H46" s="152"/>
      <c r="I46" s="153"/>
      <c r="J46" s="125">
        <v>0.495</v>
      </c>
      <c r="K46" s="132" t="s">
        <v>462</v>
      </c>
    </row>
    <row r="47" spans="2:11" ht="20.25">
      <c r="B47" s="132" t="s">
        <v>435</v>
      </c>
      <c r="C47" s="149">
        <v>3.6</v>
      </c>
      <c r="D47" s="125" t="s">
        <v>460</v>
      </c>
      <c r="E47" s="126" t="s">
        <v>463</v>
      </c>
      <c r="F47" s="132" t="s">
        <v>462</v>
      </c>
      <c r="G47" s="151"/>
      <c r="H47" s="152"/>
      <c r="I47" s="153"/>
      <c r="J47" s="125">
        <v>0.495</v>
      </c>
      <c r="K47" s="132" t="s">
        <v>462</v>
      </c>
    </row>
    <row r="48" spans="2:11" ht="20.25">
      <c r="B48" s="132" t="s">
        <v>436</v>
      </c>
      <c r="C48" s="149">
        <v>3.6</v>
      </c>
      <c r="D48" s="125" t="s">
        <v>460</v>
      </c>
      <c r="E48" s="126" t="s">
        <v>463</v>
      </c>
      <c r="F48" s="132" t="s">
        <v>462</v>
      </c>
      <c r="G48" s="151"/>
      <c r="H48" s="152"/>
      <c r="I48" s="153"/>
      <c r="J48" s="125">
        <v>0.495</v>
      </c>
      <c r="K48" s="132" t="s">
        <v>462</v>
      </c>
    </row>
    <row r="49" spans="1:11" ht="20.25">
      <c r="B49" s="148" t="s">
        <v>928</v>
      </c>
      <c r="C49" s="149">
        <v>8.64</v>
      </c>
      <c r="D49" s="125" t="s">
        <v>460</v>
      </c>
      <c r="E49" s="126" t="s">
        <v>463</v>
      </c>
      <c r="F49" s="132" t="s">
        <v>462</v>
      </c>
      <c r="G49" s="151"/>
      <c r="H49" s="152"/>
      <c r="I49" s="153"/>
      <c r="J49" s="125">
        <v>0.495</v>
      </c>
      <c r="K49" s="132" t="s">
        <v>462</v>
      </c>
    </row>
    <row r="50" spans="1:11" ht="20.25">
      <c r="B50" s="132" t="s">
        <v>841</v>
      </c>
      <c r="C50" s="150" t="s">
        <v>461</v>
      </c>
      <c r="D50" s="125" t="s">
        <v>460</v>
      </c>
      <c r="E50" s="126" t="s">
        <v>463</v>
      </c>
      <c r="F50" s="132" t="s">
        <v>462</v>
      </c>
      <c r="G50" s="151"/>
      <c r="H50" s="152"/>
      <c r="I50" s="153"/>
      <c r="J50" s="125">
        <v>-0.495</v>
      </c>
      <c r="K50" s="132" t="s">
        <v>462</v>
      </c>
    </row>
    <row r="51" spans="1:11" ht="20.25">
      <c r="B51" s="132" t="s">
        <v>430</v>
      </c>
      <c r="C51" s="131">
        <v>1.17</v>
      </c>
      <c r="D51" s="125" t="s">
        <v>464</v>
      </c>
      <c r="E51" s="126" t="s">
        <v>463</v>
      </c>
      <c r="F51" s="132" t="s">
        <v>466</v>
      </c>
      <c r="G51" s="151"/>
      <c r="H51" s="154"/>
      <c r="I51" s="153"/>
      <c r="J51" s="126">
        <v>0.06</v>
      </c>
      <c r="K51" s="132" t="s">
        <v>466</v>
      </c>
    </row>
    <row r="52" spans="1:11" ht="20.25">
      <c r="B52" s="132" t="s">
        <v>431</v>
      </c>
      <c r="C52" s="131">
        <v>1.19</v>
      </c>
      <c r="D52" s="125" t="s">
        <v>464</v>
      </c>
      <c r="E52" s="126" t="s">
        <v>463</v>
      </c>
      <c r="F52" s="132" t="s">
        <v>466</v>
      </c>
      <c r="G52" s="151"/>
      <c r="H52" s="154"/>
      <c r="I52" s="153"/>
      <c r="J52" s="126">
        <v>5.7000000000000002E-2</v>
      </c>
      <c r="K52" s="132" t="s">
        <v>466</v>
      </c>
    </row>
    <row r="53" spans="1:11" ht="20.25">
      <c r="B53" s="132" t="s">
        <v>432</v>
      </c>
      <c r="C53" s="131">
        <v>1.19</v>
      </c>
      <c r="D53" s="125" t="s">
        <v>464</v>
      </c>
      <c r="E53" s="126" t="s">
        <v>463</v>
      </c>
      <c r="F53" s="132" t="s">
        <v>466</v>
      </c>
      <c r="G53" s="151"/>
      <c r="H53" s="154"/>
      <c r="I53" s="153"/>
      <c r="J53" s="126">
        <v>5.7000000000000002E-2</v>
      </c>
      <c r="K53" s="132" t="s">
        <v>466</v>
      </c>
    </row>
    <row r="54" spans="1:11" ht="20.25">
      <c r="B54" s="132" t="s">
        <v>433</v>
      </c>
      <c r="C54" s="131">
        <v>1.19</v>
      </c>
      <c r="D54" s="125" t="s">
        <v>464</v>
      </c>
      <c r="E54" s="126" t="s">
        <v>463</v>
      </c>
      <c r="F54" s="132" t="s">
        <v>466</v>
      </c>
      <c r="G54" s="151"/>
      <c r="H54" s="154"/>
      <c r="I54" s="153"/>
      <c r="J54" s="126">
        <v>5.7000000000000002E-2</v>
      </c>
      <c r="K54" s="132" t="s">
        <v>466</v>
      </c>
    </row>
    <row r="55" spans="1:11" ht="21" thickBot="1">
      <c r="B55" s="163" t="s">
        <v>371</v>
      </c>
      <c r="C55" s="134" t="s">
        <v>604</v>
      </c>
      <c r="D55" s="158" t="s">
        <v>469</v>
      </c>
      <c r="E55" s="159" t="s">
        <v>463</v>
      </c>
      <c r="F55" s="133" t="s">
        <v>471</v>
      </c>
      <c r="G55" s="583">
        <f xml:space="preserve"> (100/101.325) * (273.15/298.15)</f>
        <v>0.90416934530766024</v>
      </c>
      <c r="H55" s="160"/>
      <c r="I55" s="161"/>
      <c r="J55" s="158">
        <v>1.3599999999999999E-2</v>
      </c>
      <c r="K55" s="133" t="s">
        <v>470</v>
      </c>
    </row>
    <row r="59" spans="1:11">
      <c r="A59" t="s">
        <v>2021</v>
      </c>
    </row>
    <row r="60" spans="1:11">
      <c r="A60">
        <v>37</v>
      </c>
    </row>
    <row r="61" spans="1:11">
      <c r="A61">
        <v>37</v>
      </c>
    </row>
    <row r="62" spans="1:11">
      <c r="A62">
        <v>38</v>
      </c>
    </row>
    <row r="63" spans="1:11">
      <c r="A63">
        <v>39</v>
      </c>
    </row>
    <row r="64" spans="1:11">
      <c r="A64">
        <v>40</v>
      </c>
    </row>
    <row r="65" spans="1:1">
      <c r="A65">
        <v>41</v>
      </c>
    </row>
    <row r="66" spans="1:1">
      <c r="A66">
        <v>44</v>
      </c>
    </row>
    <row r="67" spans="1:1">
      <c r="A67">
        <v>45</v>
      </c>
    </row>
    <row r="68" spans="1:1">
      <c r="A68">
        <v>46</v>
      </c>
    </row>
    <row r="69" spans="1:1">
      <c r="A69">
        <v>47</v>
      </c>
    </row>
    <row r="70" spans="1:1">
      <c r="A70">
        <v>48</v>
      </c>
    </row>
    <row r="71" spans="1:1">
      <c r="A71">
        <v>49</v>
      </c>
    </row>
  </sheetData>
  <sheetProtection algorithmName="SHA-512" hashValue="aSck7+AkFKv9UMkzP1FkXcBEcx8q4uWs3TXFTphS2/Mjl2Lgs6IsVE3iQqGI9VswgrixXWO5DWFevIWDhAmCPA==" saltValue="at9Zyr7KCYaRfr652b6vPw==" spinCount="100000" sheet="1" objects="1" scenarios="1"/>
  <mergeCells count="14">
    <mergeCell ref="B2:B4"/>
    <mergeCell ref="B39:B41"/>
    <mergeCell ref="C39:F39"/>
    <mergeCell ref="G39:K39"/>
    <mergeCell ref="C40:D40"/>
    <mergeCell ref="E40:F40"/>
    <mergeCell ref="H40:I40"/>
    <mergeCell ref="J40:K40"/>
    <mergeCell ref="G2:K2"/>
    <mergeCell ref="C3:D3"/>
    <mergeCell ref="E3:F3"/>
    <mergeCell ref="C2:F2"/>
    <mergeCell ref="H3:I3"/>
    <mergeCell ref="J3:K3"/>
  </mergeCells>
  <phoneticPr fontId="5"/>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14999847407452621"/>
  </sheetPr>
  <dimension ref="B2:O152"/>
  <sheetViews>
    <sheetView zoomScaleNormal="100" workbookViewId="0"/>
  </sheetViews>
  <sheetFormatPr defaultColWidth="9" defaultRowHeight="18.75"/>
  <cols>
    <col min="2" max="2" width="68.5" customWidth="1"/>
    <col min="3" max="12" width="15.875" customWidth="1"/>
    <col min="14" max="14" width="40" bestFit="1" customWidth="1"/>
    <col min="15" max="15" width="18.75" bestFit="1" customWidth="1"/>
    <col min="17" max="17" width="43.25" bestFit="1" customWidth="1"/>
    <col min="18" max="18" width="18.5" bestFit="1" customWidth="1"/>
    <col min="19" max="19" width="19.75" bestFit="1" customWidth="1"/>
  </cols>
  <sheetData>
    <row r="2" spans="2:15">
      <c r="B2" s="121" t="s">
        <v>548</v>
      </c>
      <c r="C2" s="121" t="s">
        <v>383</v>
      </c>
      <c r="D2" s="121"/>
      <c r="E2" s="121"/>
      <c r="F2" s="121"/>
      <c r="G2" s="121"/>
      <c r="H2" s="121"/>
      <c r="I2" s="121"/>
      <c r="J2" s="121"/>
      <c r="K2" s="121"/>
      <c r="L2" s="121"/>
      <c r="N2" s="121" t="s">
        <v>548</v>
      </c>
      <c r="O2" s="174" t="s">
        <v>578</v>
      </c>
    </row>
    <row r="3" spans="2:15">
      <c r="B3" s="124" t="s">
        <v>348</v>
      </c>
      <c r="C3" s="124" t="s">
        <v>305</v>
      </c>
      <c r="D3" s="166" t="s">
        <v>182</v>
      </c>
      <c r="E3" s="124"/>
      <c r="F3" s="124"/>
      <c r="G3" s="124"/>
      <c r="H3" s="124"/>
      <c r="I3" s="124"/>
      <c r="J3" s="124"/>
      <c r="K3" s="124"/>
      <c r="L3" s="124"/>
      <c r="N3" s="124" t="s">
        <v>348</v>
      </c>
      <c r="O3" s="166" t="s">
        <v>182</v>
      </c>
    </row>
    <row r="4" spans="2:15">
      <c r="B4" s="125" t="s">
        <v>349</v>
      </c>
      <c r="C4" s="125" t="s">
        <v>305</v>
      </c>
      <c r="D4" s="167" t="s">
        <v>182</v>
      </c>
      <c r="E4" s="125"/>
      <c r="F4" s="125"/>
      <c r="G4" s="125"/>
      <c r="H4" s="125"/>
      <c r="I4" s="125"/>
      <c r="J4" s="125"/>
      <c r="K4" s="125"/>
      <c r="L4" s="125"/>
      <c r="N4" s="125" t="s">
        <v>349</v>
      </c>
      <c r="O4" s="167" t="s">
        <v>182</v>
      </c>
    </row>
    <row r="5" spans="2:15">
      <c r="B5" s="125" t="s">
        <v>556</v>
      </c>
      <c r="C5" s="125" t="s">
        <v>305</v>
      </c>
      <c r="D5" s="167" t="s">
        <v>182</v>
      </c>
      <c r="E5" s="125"/>
      <c r="F5" s="125"/>
      <c r="G5" s="125"/>
      <c r="H5" s="125"/>
      <c r="I5" s="125"/>
      <c r="J5" s="125"/>
      <c r="K5" s="125"/>
      <c r="L5" s="125"/>
      <c r="N5" s="125" t="s">
        <v>556</v>
      </c>
      <c r="O5" s="167" t="s">
        <v>182</v>
      </c>
    </row>
    <row r="6" spans="2:15">
      <c r="B6" s="125" t="s">
        <v>557</v>
      </c>
      <c r="C6" s="125" t="s">
        <v>305</v>
      </c>
      <c r="D6" s="167" t="s">
        <v>182</v>
      </c>
      <c r="E6" s="125"/>
      <c r="F6" s="125"/>
      <c r="G6" s="125"/>
      <c r="H6" s="125"/>
      <c r="I6" s="125"/>
      <c r="J6" s="125"/>
      <c r="K6" s="125"/>
      <c r="L6" s="125"/>
      <c r="N6" s="125" t="s">
        <v>557</v>
      </c>
      <c r="O6" s="167" t="s">
        <v>182</v>
      </c>
    </row>
    <row r="7" spans="2:15">
      <c r="B7" s="125" t="s">
        <v>14</v>
      </c>
      <c r="C7" s="125" t="s">
        <v>305</v>
      </c>
      <c r="D7" s="167" t="s">
        <v>182</v>
      </c>
      <c r="E7" s="125"/>
      <c r="F7" s="125"/>
      <c r="G7" s="125"/>
      <c r="H7" s="125"/>
      <c r="I7" s="125"/>
      <c r="J7" s="125"/>
      <c r="K7" s="125"/>
      <c r="L7" s="125"/>
      <c r="N7" s="125" t="s">
        <v>14</v>
      </c>
      <c r="O7" s="167" t="s">
        <v>182</v>
      </c>
    </row>
    <row r="8" spans="2:15">
      <c r="B8" s="125" t="s">
        <v>15</v>
      </c>
      <c r="C8" s="125" t="s">
        <v>305</v>
      </c>
      <c r="D8" s="167" t="s">
        <v>182</v>
      </c>
      <c r="E8" s="125"/>
      <c r="F8" s="125"/>
      <c r="G8" s="125"/>
      <c r="H8" s="125"/>
      <c r="I8" s="125"/>
      <c r="J8" s="125"/>
      <c r="K8" s="125"/>
      <c r="L8" s="125"/>
      <c r="N8" s="125" t="s">
        <v>15</v>
      </c>
      <c r="O8" s="167" t="s">
        <v>182</v>
      </c>
    </row>
    <row r="9" spans="2:15">
      <c r="B9" s="125" t="s">
        <v>16</v>
      </c>
      <c r="C9" s="125" t="s">
        <v>305</v>
      </c>
      <c r="D9" s="167" t="s">
        <v>182</v>
      </c>
      <c r="E9" s="125"/>
      <c r="F9" s="125"/>
      <c r="G9" s="125"/>
      <c r="H9" s="125"/>
      <c r="I9" s="125"/>
      <c r="J9" s="125"/>
      <c r="K9" s="125"/>
      <c r="L9" s="125"/>
      <c r="N9" s="125" t="s">
        <v>16</v>
      </c>
      <c r="O9" s="167" t="s">
        <v>182</v>
      </c>
    </row>
    <row r="10" spans="2:15">
      <c r="B10" s="125" t="s">
        <v>17</v>
      </c>
      <c r="C10" s="125" t="s">
        <v>305</v>
      </c>
      <c r="D10" s="167" t="s">
        <v>182</v>
      </c>
      <c r="E10" s="125"/>
      <c r="F10" s="125"/>
      <c r="G10" s="125"/>
      <c r="H10" s="125"/>
      <c r="I10" s="125"/>
      <c r="J10" s="125"/>
      <c r="K10" s="125"/>
      <c r="L10" s="125"/>
      <c r="N10" s="125" t="s">
        <v>17</v>
      </c>
      <c r="O10" s="167" t="s">
        <v>182</v>
      </c>
    </row>
    <row r="11" spans="2:15">
      <c r="B11" s="125" t="s">
        <v>18</v>
      </c>
      <c r="C11" s="125" t="s">
        <v>308</v>
      </c>
      <c r="D11" s="167" t="s">
        <v>191</v>
      </c>
      <c r="E11" s="125"/>
      <c r="F11" s="125"/>
      <c r="G11" s="125"/>
      <c r="H11" s="125"/>
      <c r="I11" s="125"/>
      <c r="J11" s="125"/>
      <c r="K11" s="125"/>
      <c r="L11" s="125"/>
      <c r="N11" s="125" t="s">
        <v>18</v>
      </c>
      <c r="O11" s="167" t="s">
        <v>191</v>
      </c>
    </row>
    <row r="12" spans="2:15">
      <c r="B12" s="125" t="s">
        <v>20</v>
      </c>
      <c r="C12" s="125" t="s">
        <v>308</v>
      </c>
      <c r="D12" s="167" t="s">
        <v>191</v>
      </c>
      <c r="E12" s="125"/>
      <c r="F12" s="125"/>
      <c r="G12" s="125"/>
      <c r="H12" s="125"/>
      <c r="I12" s="125"/>
      <c r="J12" s="125"/>
      <c r="K12" s="125"/>
      <c r="L12" s="125"/>
      <c r="N12" s="125" t="s">
        <v>20</v>
      </c>
      <c r="O12" s="167" t="s">
        <v>191</v>
      </c>
    </row>
    <row r="13" spans="2:15" ht="20.25">
      <c r="B13" s="125" t="s">
        <v>344</v>
      </c>
      <c r="C13" s="125" t="s">
        <v>308</v>
      </c>
      <c r="D13" s="167" t="s">
        <v>191</v>
      </c>
      <c r="E13" s="125" t="s">
        <v>306</v>
      </c>
      <c r="F13" s="125" t="s">
        <v>385</v>
      </c>
      <c r="G13" s="125"/>
      <c r="H13" s="125"/>
      <c r="I13" s="125"/>
      <c r="J13" s="125"/>
      <c r="K13" s="125"/>
      <c r="L13" s="125"/>
      <c r="N13" s="125" t="s">
        <v>344</v>
      </c>
      <c r="O13" s="167" t="s">
        <v>191</v>
      </c>
    </row>
    <row r="14" spans="2:15" ht="20.25">
      <c r="B14" s="125" t="s">
        <v>558</v>
      </c>
      <c r="C14" s="125" t="s">
        <v>308</v>
      </c>
      <c r="D14" s="167" t="s">
        <v>191</v>
      </c>
      <c r="E14" s="125" t="s">
        <v>306</v>
      </c>
      <c r="F14" s="125" t="s">
        <v>385</v>
      </c>
      <c r="G14" s="125"/>
      <c r="H14" s="125"/>
      <c r="I14" s="125"/>
      <c r="J14" s="125"/>
      <c r="K14" s="125"/>
      <c r="L14" s="125"/>
      <c r="N14" s="125" t="s">
        <v>558</v>
      </c>
      <c r="O14" s="167" t="s">
        <v>191</v>
      </c>
    </row>
    <row r="15" spans="2:15" ht="20.25">
      <c r="B15" s="125" t="s">
        <v>559</v>
      </c>
      <c r="C15" s="125" t="s">
        <v>308</v>
      </c>
      <c r="D15" s="167" t="s">
        <v>191</v>
      </c>
      <c r="E15" s="125" t="s">
        <v>306</v>
      </c>
      <c r="F15" s="125" t="s">
        <v>385</v>
      </c>
      <c r="G15" s="125"/>
      <c r="H15" s="125"/>
      <c r="I15" s="125"/>
      <c r="J15" s="125"/>
      <c r="K15" s="125"/>
      <c r="L15" s="125"/>
      <c r="N15" s="125" t="s">
        <v>559</v>
      </c>
      <c r="O15" s="167" t="s">
        <v>191</v>
      </c>
    </row>
    <row r="16" spans="2:15" ht="20.25">
      <c r="B16" s="125" t="s">
        <v>347</v>
      </c>
      <c r="C16" s="125" t="s">
        <v>308</v>
      </c>
      <c r="D16" s="167" t="s">
        <v>191</v>
      </c>
      <c r="E16" s="125" t="s">
        <v>306</v>
      </c>
      <c r="F16" s="125" t="s">
        <v>385</v>
      </c>
      <c r="G16" s="125"/>
      <c r="H16" s="125"/>
      <c r="I16" s="125"/>
      <c r="J16" s="125"/>
      <c r="K16" s="125"/>
      <c r="L16" s="125"/>
      <c r="N16" s="125" t="s">
        <v>347</v>
      </c>
      <c r="O16" s="167" t="s">
        <v>191</v>
      </c>
    </row>
    <row r="17" spans="2:15" ht="20.25">
      <c r="B17" s="125" t="s">
        <v>23</v>
      </c>
      <c r="C17" s="125" t="s">
        <v>307</v>
      </c>
      <c r="D17" s="125" t="s">
        <v>386</v>
      </c>
      <c r="E17" s="125" t="s">
        <v>387</v>
      </c>
      <c r="F17" s="167" t="s">
        <v>388</v>
      </c>
      <c r="G17" s="125"/>
      <c r="H17" s="125"/>
      <c r="I17" s="125"/>
      <c r="J17" s="125"/>
      <c r="K17" s="125"/>
      <c r="L17" s="125"/>
      <c r="N17" s="125" t="s">
        <v>23</v>
      </c>
      <c r="O17" s="167" t="s">
        <v>388</v>
      </c>
    </row>
    <row r="18" spans="2:15">
      <c r="B18" s="125" t="s">
        <v>351</v>
      </c>
      <c r="C18" s="125" t="s">
        <v>308</v>
      </c>
      <c r="D18" s="167" t="s">
        <v>191</v>
      </c>
      <c r="E18" s="125"/>
      <c r="F18" s="125"/>
      <c r="G18" s="125"/>
      <c r="H18" s="125"/>
      <c r="I18" s="125"/>
      <c r="J18" s="125"/>
      <c r="K18" s="125"/>
      <c r="L18" s="125"/>
      <c r="N18" s="125" t="s">
        <v>351</v>
      </c>
      <c r="O18" s="167" t="s">
        <v>191</v>
      </c>
    </row>
    <row r="19" spans="2:15" ht="20.25">
      <c r="B19" s="125" t="s">
        <v>26</v>
      </c>
      <c r="C19" s="125" t="s">
        <v>307</v>
      </c>
      <c r="D19" s="125" t="s">
        <v>386</v>
      </c>
      <c r="E19" s="125" t="s">
        <v>306</v>
      </c>
      <c r="F19" s="125" t="s">
        <v>385</v>
      </c>
      <c r="G19" s="125" t="s">
        <v>387</v>
      </c>
      <c r="H19" s="167" t="s">
        <v>388</v>
      </c>
      <c r="I19" s="125"/>
      <c r="J19" s="125"/>
      <c r="K19" s="125"/>
      <c r="L19" s="125"/>
      <c r="N19" s="125" t="s">
        <v>26</v>
      </c>
      <c r="O19" s="167" t="s">
        <v>388</v>
      </c>
    </row>
    <row r="20" spans="2:15">
      <c r="B20" s="125" t="s">
        <v>352</v>
      </c>
      <c r="C20" s="125" t="s">
        <v>308</v>
      </c>
      <c r="D20" s="167" t="s">
        <v>191</v>
      </c>
      <c r="E20" s="125"/>
      <c r="F20" s="125"/>
      <c r="G20" s="125"/>
      <c r="H20" s="125"/>
      <c r="I20" s="125"/>
      <c r="J20" s="125"/>
      <c r="K20" s="125"/>
      <c r="L20" s="125"/>
      <c r="N20" s="125" t="s">
        <v>352</v>
      </c>
      <c r="O20" s="167" t="s">
        <v>191</v>
      </c>
    </row>
    <row r="21" spans="2:15">
      <c r="B21" s="125" t="s">
        <v>353</v>
      </c>
      <c r="C21" s="125" t="s">
        <v>308</v>
      </c>
      <c r="D21" s="167" t="s">
        <v>191</v>
      </c>
      <c r="E21" s="125"/>
      <c r="F21" s="125"/>
      <c r="G21" s="125"/>
      <c r="H21" s="125"/>
      <c r="I21" s="125"/>
      <c r="J21" s="125"/>
      <c r="K21" s="125"/>
      <c r="L21" s="125"/>
      <c r="N21" s="125" t="s">
        <v>353</v>
      </c>
      <c r="O21" s="167" t="s">
        <v>191</v>
      </c>
    </row>
    <row r="22" spans="2:15">
      <c r="B22" s="125" t="s">
        <v>354</v>
      </c>
      <c r="C22" s="125" t="s">
        <v>308</v>
      </c>
      <c r="D22" s="167" t="s">
        <v>191</v>
      </c>
      <c r="E22" s="125"/>
      <c r="F22" s="125"/>
      <c r="G22" s="125"/>
      <c r="H22" s="125"/>
      <c r="I22" s="125"/>
      <c r="J22" s="125"/>
      <c r="K22" s="125"/>
      <c r="L22" s="125"/>
      <c r="N22" s="125" t="s">
        <v>354</v>
      </c>
      <c r="O22" s="167" t="s">
        <v>191</v>
      </c>
    </row>
    <row r="23" spans="2:15">
      <c r="B23" s="125" t="s">
        <v>355</v>
      </c>
      <c r="C23" s="125" t="s">
        <v>308</v>
      </c>
      <c r="D23" s="167" t="s">
        <v>191</v>
      </c>
      <c r="E23" s="125"/>
      <c r="F23" s="125"/>
      <c r="G23" s="125"/>
      <c r="H23" s="125"/>
      <c r="I23" s="125"/>
      <c r="J23" s="125"/>
      <c r="K23" s="125"/>
      <c r="L23" s="125"/>
      <c r="N23" s="125" t="s">
        <v>355</v>
      </c>
      <c r="O23" s="167" t="s">
        <v>191</v>
      </c>
    </row>
    <row r="24" spans="2:15">
      <c r="B24" s="125" t="s">
        <v>356</v>
      </c>
      <c r="C24" s="125" t="s">
        <v>308</v>
      </c>
      <c r="D24" s="167" t="s">
        <v>191</v>
      </c>
      <c r="E24" s="125"/>
      <c r="F24" s="125"/>
      <c r="G24" s="125"/>
      <c r="H24" s="125"/>
      <c r="I24" s="125"/>
      <c r="J24" s="125"/>
      <c r="K24" s="125"/>
      <c r="L24" s="125"/>
      <c r="N24" s="125" t="s">
        <v>356</v>
      </c>
      <c r="O24" s="167" t="s">
        <v>191</v>
      </c>
    </row>
    <row r="25" spans="2:15">
      <c r="B25" s="125" t="s">
        <v>357</v>
      </c>
      <c r="C25" s="125" t="s">
        <v>308</v>
      </c>
      <c r="D25" s="167" t="s">
        <v>191</v>
      </c>
      <c r="E25" s="125"/>
      <c r="F25" s="125"/>
      <c r="G25" s="125"/>
      <c r="H25" s="125"/>
      <c r="I25" s="125"/>
      <c r="J25" s="125"/>
      <c r="K25" s="125"/>
      <c r="L25" s="125"/>
      <c r="N25" s="125" t="s">
        <v>357</v>
      </c>
      <c r="O25" s="167" t="s">
        <v>191</v>
      </c>
    </row>
    <row r="26" spans="2:15">
      <c r="B26" s="125" t="s">
        <v>27</v>
      </c>
      <c r="C26" s="125" t="s">
        <v>308</v>
      </c>
      <c r="D26" s="167" t="s">
        <v>191</v>
      </c>
      <c r="E26" s="125"/>
      <c r="F26" s="125"/>
      <c r="G26" s="125"/>
      <c r="H26" s="125"/>
      <c r="I26" s="125"/>
      <c r="J26" s="125"/>
      <c r="K26" s="125"/>
      <c r="L26" s="125"/>
      <c r="N26" s="125" t="s">
        <v>27</v>
      </c>
      <c r="O26" s="167" t="s">
        <v>191</v>
      </c>
    </row>
    <row r="27" spans="2:15">
      <c r="B27" s="125" t="s">
        <v>560</v>
      </c>
      <c r="C27" s="125" t="s">
        <v>308</v>
      </c>
      <c r="D27" s="167" t="s">
        <v>191</v>
      </c>
      <c r="E27" s="125"/>
      <c r="F27" s="125"/>
      <c r="G27" s="125"/>
      <c r="H27" s="125"/>
      <c r="I27" s="125"/>
      <c r="J27" s="125"/>
      <c r="K27" s="125"/>
      <c r="L27" s="125"/>
      <c r="N27" s="125" t="s">
        <v>560</v>
      </c>
      <c r="O27" s="167" t="s">
        <v>191</v>
      </c>
    </row>
    <row r="28" spans="2:15" ht="20.25">
      <c r="B28" s="125" t="s">
        <v>561</v>
      </c>
      <c r="C28" s="125" t="s">
        <v>307</v>
      </c>
      <c r="D28" s="125" t="s">
        <v>386</v>
      </c>
      <c r="E28" s="125" t="s">
        <v>306</v>
      </c>
      <c r="F28" s="125" t="s">
        <v>385</v>
      </c>
      <c r="G28" s="125" t="s">
        <v>387</v>
      </c>
      <c r="H28" s="167" t="s">
        <v>388</v>
      </c>
      <c r="I28" s="125"/>
      <c r="J28" s="125"/>
      <c r="K28" s="125"/>
      <c r="L28" s="125"/>
      <c r="N28" s="125" t="s">
        <v>561</v>
      </c>
      <c r="O28" s="167" t="s">
        <v>388</v>
      </c>
    </row>
    <row r="29" spans="2:15" ht="20.25">
      <c r="B29" s="125" t="s">
        <v>358</v>
      </c>
      <c r="C29" s="125" t="s">
        <v>307</v>
      </c>
      <c r="D29" s="125" t="s">
        <v>386</v>
      </c>
      <c r="E29" s="125" t="s">
        <v>306</v>
      </c>
      <c r="F29" s="125" t="s">
        <v>385</v>
      </c>
      <c r="G29" s="125" t="s">
        <v>387</v>
      </c>
      <c r="H29" s="167" t="s">
        <v>388</v>
      </c>
      <c r="I29" s="125"/>
      <c r="J29" s="125"/>
      <c r="K29" s="125"/>
      <c r="L29" s="125"/>
      <c r="N29" s="125" t="s">
        <v>358</v>
      </c>
      <c r="O29" s="167" t="s">
        <v>388</v>
      </c>
    </row>
    <row r="30" spans="2:15" ht="20.25">
      <c r="B30" s="125" t="s">
        <v>359</v>
      </c>
      <c r="C30" s="125" t="s">
        <v>307</v>
      </c>
      <c r="D30" s="125" t="s">
        <v>386</v>
      </c>
      <c r="E30" s="125" t="s">
        <v>306</v>
      </c>
      <c r="F30" s="125" t="s">
        <v>385</v>
      </c>
      <c r="G30" s="125" t="s">
        <v>387</v>
      </c>
      <c r="H30" s="167" t="s">
        <v>388</v>
      </c>
      <c r="I30" s="125"/>
      <c r="J30" s="125"/>
      <c r="K30" s="125"/>
      <c r="L30" s="125"/>
      <c r="N30" s="125" t="s">
        <v>359</v>
      </c>
      <c r="O30" s="167" t="s">
        <v>388</v>
      </c>
    </row>
    <row r="31" spans="2:15" ht="20.25">
      <c r="B31" s="125" t="s">
        <v>30</v>
      </c>
      <c r="C31" s="125" t="s">
        <v>307</v>
      </c>
      <c r="D31" s="125" t="s">
        <v>386</v>
      </c>
      <c r="E31" s="125" t="s">
        <v>306</v>
      </c>
      <c r="F31" s="125" t="s">
        <v>385</v>
      </c>
      <c r="G31" s="125" t="s">
        <v>387</v>
      </c>
      <c r="H31" s="167" t="s">
        <v>388</v>
      </c>
      <c r="I31" s="125"/>
      <c r="J31" s="125"/>
      <c r="K31" s="125"/>
      <c r="L31" s="125"/>
      <c r="N31" s="125" t="s">
        <v>30</v>
      </c>
      <c r="O31" s="167" t="s">
        <v>388</v>
      </c>
    </row>
    <row r="32" spans="2:15">
      <c r="B32" s="125" t="s">
        <v>50</v>
      </c>
      <c r="C32" s="125" t="s">
        <v>305</v>
      </c>
      <c r="D32" s="167" t="s">
        <v>182</v>
      </c>
      <c r="E32" s="125"/>
      <c r="F32" s="125"/>
      <c r="G32" s="125"/>
      <c r="H32" s="125"/>
      <c r="I32" s="125"/>
      <c r="J32" s="125"/>
      <c r="K32" s="125"/>
      <c r="L32" s="125"/>
      <c r="N32" s="125" t="s">
        <v>50</v>
      </c>
      <c r="O32" s="167" t="s">
        <v>182</v>
      </c>
    </row>
    <row r="33" spans="2:15" ht="20.25">
      <c r="B33" s="125" t="str">
        <f>非_燃料種類_選択リスト!F33</f>
        <v>その他の燃料①</v>
      </c>
      <c r="C33" s="125" t="s">
        <v>308</v>
      </c>
      <c r="D33" s="125" t="s">
        <v>191</v>
      </c>
      <c r="E33" s="125" t="s">
        <v>305</v>
      </c>
      <c r="F33" s="125" t="s">
        <v>182</v>
      </c>
      <c r="G33" s="125" t="s">
        <v>306</v>
      </c>
      <c r="H33" s="125" t="s">
        <v>385</v>
      </c>
      <c r="I33" s="125" t="s">
        <v>307</v>
      </c>
      <c r="J33" s="125" t="s">
        <v>386</v>
      </c>
      <c r="K33" s="125" t="s">
        <v>387</v>
      </c>
      <c r="L33" s="125" t="s">
        <v>388</v>
      </c>
      <c r="N33" s="125" t="str">
        <f>非_燃料種類_選択リスト!F33</f>
        <v>その他の燃料①</v>
      </c>
      <c r="O33" s="176">
        <f>事業所概要_算定体制!L25</f>
        <v>0</v>
      </c>
    </row>
    <row r="34" spans="2:15" ht="20.25">
      <c r="B34" s="128" t="str">
        <f>非_燃料種類_選択リスト!F34</f>
        <v>その他の燃料②</v>
      </c>
      <c r="C34" s="128" t="s">
        <v>308</v>
      </c>
      <c r="D34" s="128" t="s">
        <v>191</v>
      </c>
      <c r="E34" s="128" t="s">
        <v>305</v>
      </c>
      <c r="F34" s="128" t="s">
        <v>182</v>
      </c>
      <c r="G34" s="128" t="s">
        <v>306</v>
      </c>
      <c r="H34" s="128" t="s">
        <v>385</v>
      </c>
      <c r="I34" s="128" t="s">
        <v>307</v>
      </c>
      <c r="J34" s="128" t="s">
        <v>386</v>
      </c>
      <c r="K34" s="128" t="s">
        <v>387</v>
      </c>
      <c r="L34" s="128" t="s">
        <v>388</v>
      </c>
      <c r="N34" s="128" t="str">
        <f>非_燃料種類_選択リスト!F34</f>
        <v>その他の燃料②</v>
      </c>
      <c r="O34" s="177">
        <f>事業所概要_算定体制!L26</f>
        <v>0</v>
      </c>
    </row>
    <row r="37" spans="2:15">
      <c r="B37" s="121" t="s">
        <v>553</v>
      </c>
      <c r="C37" s="121" t="s">
        <v>383</v>
      </c>
      <c r="D37" s="121"/>
      <c r="E37" s="121"/>
      <c r="F37" s="121"/>
      <c r="G37" s="121"/>
      <c r="H37" s="121"/>
      <c r="N37" s="121" t="s">
        <v>553</v>
      </c>
      <c r="O37" s="121" t="s">
        <v>578</v>
      </c>
    </row>
    <row r="38" spans="2:15">
      <c r="B38" s="125" t="s">
        <v>437</v>
      </c>
      <c r="C38" s="125" t="s">
        <v>378</v>
      </c>
      <c r="D38" s="167" t="s">
        <v>480</v>
      </c>
      <c r="E38" s="125"/>
      <c r="F38" s="125"/>
      <c r="G38" s="125"/>
      <c r="H38" s="125"/>
      <c r="N38" s="124" t="s">
        <v>437</v>
      </c>
      <c r="O38" s="166" t="s">
        <v>480</v>
      </c>
    </row>
    <row r="39" spans="2:15">
      <c r="B39" s="125" t="s">
        <v>429</v>
      </c>
      <c r="C39" s="125" t="s">
        <v>378</v>
      </c>
      <c r="D39" s="167" t="s">
        <v>480</v>
      </c>
      <c r="E39" s="125"/>
      <c r="F39" s="125"/>
      <c r="G39" s="125"/>
      <c r="H39" s="125"/>
      <c r="N39" s="125" t="s">
        <v>429</v>
      </c>
      <c r="O39" s="167" t="s">
        <v>480</v>
      </c>
    </row>
    <row r="40" spans="2:15">
      <c r="B40" s="125" t="s">
        <v>612</v>
      </c>
      <c r="C40" s="125" t="s">
        <v>378</v>
      </c>
      <c r="D40" s="167" t="s">
        <v>480</v>
      </c>
      <c r="E40" s="125"/>
      <c r="F40" s="125"/>
      <c r="G40" s="125"/>
      <c r="H40" s="125"/>
      <c r="N40" s="125" t="s">
        <v>612</v>
      </c>
      <c r="O40" s="167" t="s">
        <v>480</v>
      </c>
    </row>
    <row r="41" spans="2:15">
      <c r="B41" s="125" t="s">
        <v>613</v>
      </c>
      <c r="C41" s="125" t="s">
        <v>378</v>
      </c>
      <c r="D41" s="167" t="s">
        <v>480</v>
      </c>
      <c r="E41" s="125"/>
      <c r="F41" s="125"/>
      <c r="G41" s="125"/>
      <c r="H41" s="125"/>
      <c r="N41" s="125" t="s">
        <v>613</v>
      </c>
      <c r="O41" s="167" t="s">
        <v>480</v>
      </c>
    </row>
    <row r="42" spans="2:15">
      <c r="B42" s="125" t="s">
        <v>434</v>
      </c>
      <c r="C42" s="125" t="s">
        <v>378</v>
      </c>
      <c r="D42" s="167" t="s">
        <v>480</v>
      </c>
      <c r="E42" s="125"/>
      <c r="F42" s="125"/>
      <c r="G42" s="125"/>
      <c r="H42" s="125"/>
      <c r="N42" s="125" t="s">
        <v>434</v>
      </c>
      <c r="O42" s="167" t="s">
        <v>480</v>
      </c>
    </row>
    <row r="43" spans="2:15">
      <c r="B43" s="125" t="s">
        <v>435</v>
      </c>
      <c r="C43" s="125" t="s">
        <v>378</v>
      </c>
      <c r="D43" s="167" t="s">
        <v>480</v>
      </c>
      <c r="E43" s="125"/>
      <c r="F43" s="125"/>
      <c r="G43" s="125"/>
      <c r="H43" s="125"/>
      <c r="N43" s="125" t="s">
        <v>435</v>
      </c>
      <c r="O43" s="167" t="s">
        <v>480</v>
      </c>
    </row>
    <row r="44" spans="2:15">
      <c r="B44" s="125" t="s">
        <v>436</v>
      </c>
      <c r="C44" s="125" t="s">
        <v>378</v>
      </c>
      <c r="D44" s="167" t="s">
        <v>480</v>
      </c>
      <c r="E44" s="125"/>
      <c r="F44" s="125"/>
      <c r="G44" s="125"/>
      <c r="H44" s="125"/>
      <c r="N44" s="125" t="s">
        <v>436</v>
      </c>
      <c r="O44" s="167" t="s">
        <v>480</v>
      </c>
    </row>
    <row r="45" spans="2:15">
      <c r="B45" s="125" t="s">
        <v>930</v>
      </c>
      <c r="C45" s="125" t="s">
        <v>378</v>
      </c>
      <c r="D45" s="167" t="s">
        <v>480</v>
      </c>
      <c r="E45" s="125"/>
      <c r="F45" s="125"/>
      <c r="G45" s="125"/>
      <c r="H45" s="125"/>
      <c r="N45" s="125" t="s">
        <v>928</v>
      </c>
      <c r="O45" s="167" t="s">
        <v>480</v>
      </c>
    </row>
    <row r="46" spans="2:15">
      <c r="B46" s="125" t="s">
        <v>841</v>
      </c>
      <c r="C46" s="125" t="s">
        <v>378</v>
      </c>
      <c r="D46" s="167" t="s">
        <v>480</v>
      </c>
      <c r="E46" s="125"/>
      <c r="F46" s="125"/>
      <c r="G46" s="125"/>
      <c r="H46" s="125"/>
      <c r="N46" s="125" t="s">
        <v>841</v>
      </c>
      <c r="O46" s="167" t="s">
        <v>480</v>
      </c>
    </row>
    <row r="47" spans="2:15">
      <c r="B47" s="125" t="s">
        <v>430</v>
      </c>
      <c r="C47" s="125" t="s">
        <v>481</v>
      </c>
      <c r="D47" s="167" t="s">
        <v>181</v>
      </c>
      <c r="E47" s="125"/>
      <c r="F47" s="125"/>
      <c r="G47" s="125"/>
      <c r="H47" s="125"/>
      <c r="N47" s="125" t="s">
        <v>430</v>
      </c>
      <c r="O47" s="167" t="s">
        <v>181</v>
      </c>
    </row>
    <row r="48" spans="2:15">
      <c r="B48" s="125" t="s">
        <v>431</v>
      </c>
      <c r="C48" s="125" t="s">
        <v>481</v>
      </c>
      <c r="D48" s="167" t="s">
        <v>181</v>
      </c>
      <c r="E48" s="125"/>
      <c r="F48" s="125"/>
      <c r="G48" s="125"/>
      <c r="H48" s="125"/>
      <c r="N48" s="125" t="s">
        <v>431</v>
      </c>
      <c r="O48" s="167" t="s">
        <v>181</v>
      </c>
    </row>
    <row r="49" spans="2:15">
      <c r="B49" s="125" t="s">
        <v>432</v>
      </c>
      <c r="C49" s="125" t="s">
        <v>481</v>
      </c>
      <c r="D49" s="167" t="s">
        <v>181</v>
      </c>
      <c r="E49" s="125"/>
      <c r="F49" s="125"/>
      <c r="G49" s="125"/>
      <c r="H49" s="125"/>
      <c r="N49" s="125" t="s">
        <v>432</v>
      </c>
      <c r="O49" s="167" t="s">
        <v>181</v>
      </c>
    </row>
    <row r="50" spans="2:15">
      <c r="B50" s="125" t="s">
        <v>433</v>
      </c>
      <c r="C50" s="125" t="s">
        <v>481</v>
      </c>
      <c r="D50" s="167" t="s">
        <v>181</v>
      </c>
      <c r="E50" s="125"/>
      <c r="F50" s="125"/>
      <c r="G50" s="125"/>
      <c r="H50" s="125"/>
      <c r="N50" s="125" t="s">
        <v>433</v>
      </c>
      <c r="O50" s="167" t="s">
        <v>181</v>
      </c>
    </row>
    <row r="51" spans="2:15">
      <c r="B51" s="125" t="s">
        <v>603</v>
      </c>
      <c r="C51" s="125" t="s">
        <v>779</v>
      </c>
      <c r="D51" s="167" t="s">
        <v>780</v>
      </c>
      <c r="E51" s="125"/>
      <c r="F51" s="125"/>
      <c r="G51" s="125"/>
      <c r="H51" s="125"/>
      <c r="N51" s="175" t="s">
        <v>603</v>
      </c>
      <c r="O51" s="191" t="s">
        <v>780</v>
      </c>
    </row>
    <row r="52" spans="2:15">
      <c r="B52" s="125" t="s">
        <v>602</v>
      </c>
      <c r="C52" s="125" t="s">
        <v>378</v>
      </c>
      <c r="D52" s="167" t="s">
        <v>480</v>
      </c>
      <c r="E52" s="125"/>
      <c r="F52" s="125"/>
      <c r="G52" s="125"/>
      <c r="H52" s="125"/>
      <c r="N52" s="175" t="s">
        <v>602</v>
      </c>
      <c r="O52" s="191" t="s">
        <v>480</v>
      </c>
    </row>
    <row r="53" spans="2:15" ht="20.25">
      <c r="B53" s="128" t="s">
        <v>211</v>
      </c>
      <c r="C53" s="128" t="s">
        <v>306</v>
      </c>
      <c r="D53" s="128" t="s">
        <v>385</v>
      </c>
      <c r="E53" s="128" t="s">
        <v>384</v>
      </c>
      <c r="F53" s="128" t="s">
        <v>386</v>
      </c>
      <c r="G53" s="128" t="s">
        <v>387</v>
      </c>
      <c r="H53" s="168" t="s">
        <v>388</v>
      </c>
      <c r="N53" s="128" t="s">
        <v>211</v>
      </c>
      <c r="O53" s="168" t="s">
        <v>388</v>
      </c>
    </row>
    <row r="55" spans="2:15">
      <c r="B55" s="121" t="s">
        <v>549</v>
      </c>
      <c r="C55" s="121" t="s">
        <v>383</v>
      </c>
      <c r="D55" s="121"/>
      <c r="E55" s="121"/>
      <c r="F55" s="121"/>
      <c r="G55" s="121"/>
      <c r="H55" s="121"/>
    </row>
    <row r="56" spans="2:15">
      <c r="B56" s="124" t="s">
        <v>805</v>
      </c>
      <c r="C56" s="124" t="s">
        <v>308</v>
      </c>
      <c r="D56" s="166" t="s">
        <v>191</v>
      </c>
      <c r="E56" s="124"/>
      <c r="F56" s="124"/>
      <c r="G56" s="124"/>
      <c r="H56" s="124"/>
    </row>
    <row r="57" spans="2:15">
      <c r="B57" s="125" t="s">
        <v>89</v>
      </c>
      <c r="C57" s="125" t="s">
        <v>308</v>
      </c>
      <c r="D57" s="167" t="s">
        <v>191</v>
      </c>
      <c r="E57" s="125"/>
      <c r="F57" s="125"/>
      <c r="G57" s="125"/>
      <c r="H57" s="125"/>
    </row>
    <row r="58" spans="2:15">
      <c r="B58" s="125" t="s">
        <v>90</v>
      </c>
      <c r="C58" s="125" t="s">
        <v>308</v>
      </c>
      <c r="D58" s="167" t="s">
        <v>191</v>
      </c>
      <c r="E58" s="125"/>
      <c r="F58" s="125"/>
      <c r="G58" s="125"/>
      <c r="H58" s="125"/>
    </row>
    <row r="59" spans="2:15">
      <c r="B59" s="125" t="s">
        <v>91</v>
      </c>
      <c r="C59" s="125" t="s">
        <v>308</v>
      </c>
      <c r="D59" s="167" t="s">
        <v>191</v>
      </c>
      <c r="E59" s="125"/>
      <c r="F59" s="125"/>
      <c r="G59" s="125"/>
      <c r="H59" s="125"/>
    </row>
    <row r="60" spans="2:15">
      <c r="B60" s="125" t="s">
        <v>92</v>
      </c>
      <c r="C60" s="125" t="s">
        <v>308</v>
      </c>
      <c r="D60" s="167" t="s">
        <v>191</v>
      </c>
      <c r="E60" s="125"/>
      <c r="F60" s="125"/>
      <c r="G60" s="125"/>
      <c r="H60" s="125"/>
    </row>
    <row r="61" spans="2:15">
      <c r="B61" s="155" t="s">
        <v>93</v>
      </c>
      <c r="C61" s="125" t="s">
        <v>305</v>
      </c>
      <c r="D61" s="167" t="s">
        <v>182</v>
      </c>
      <c r="E61" s="125"/>
      <c r="F61" s="125"/>
      <c r="G61" s="125"/>
      <c r="H61" s="125"/>
    </row>
    <row r="62" spans="2:15">
      <c r="B62" s="125" t="s">
        <v>94</v>
      </c>
      <c r="C62" s="125" t="s">
        <v>305</v>
      </c>
      <c r="D62" s="167" t="s">
        <v>182</v>
      </c>
      <c r="E62" s="125"/>
      <c r="F62" s="125"/>
      <c r="G62" s="125"/>
      <c r="H62" s="125"/>
    </row>
    <row r="63" spans="2:15" ht="20.25">
      <c r="B63" s="125" t="s">
        <v>95</v>
      </c>
      <c r="C63" s="125" t="s">
        <v>306</v>
      </c>
      <c r="D63" s="167" t="s">
        <v>385</v>
      </c>
      <c r="E63" s="125"/>
      <c r="F63" s="125"/>
      <c r="G63" s="125"/>
      <c r="H63" s="125"/>
    </row>
    <row r="64" spans="2:15">
      <c r="B64" s="125" t="s">
        <v>159</v>
      </c>
      <c r="C64" s="125" t="s">
        <v>380</v>
      </c>
      <c r="D64" s="167" t="s">
        <v>381</v>
      </c>
      <c r="E64" s="125"/>
      <c r="F64" s="125"/>
      <c r="G64" s="125"/>
      <c r="H64" s="125"/>
    </row>
    <row r="65" spans="2:8" ht="20.25">
      <c r="B65" s="125" t="str">
        <f>IF(非化石燃料!C17="","廃棄物原燃料　自由記入1",非化石燃料!C17)</f>
        <v>廃棄物原燃料　自由記入1</v>
      </c>
      <c r="C65" s="125" t="s">
        <v>380</v>
      </c>
      <c r="D65" s="125" t="s">
        <v>381</v>
      </c>
      <c r="E65" s="125" t="s">
        <v>379</v>
      </c>
      <c r="F65" s="125" t="s">
        <v>270</v>
      </c>
      <c r="G65" s="125" t="s">
        <v>306</v>
      </c>
      <c r="H65" s="125" t="s">
        <v>385</v>
      </c>
    </row>
    <row r="66" spans="2:8" ht="20.25">
      <c r="B66" s="125" t="str">
        <f>IF(非化石燃料!C18="","廃棄物原燃料　自由記入2",非化石燃料!C18)</f>
        <v>廃棄物原燃料　自由記入2</v>
      </c>
      <c r="C66" s="125" t="s">
        <v>380</v>
      </c>
      <c r="D66" s="125" t="s">
        <v>381</v>
      </c>
      <c r="E66" s="125" t="s">
        <v>379</v>
      </c>
      <c r="F66" s="125" t="s">
        <v>270</v>
      </c>
      <c r="G66" s="125" t="s">
        <v>306</v>
      </c>
      <c r="H66" s="125" t="s">
        <v>385</v>
      </c>
    </row>
    <row r="67" spans="2:8">
      <c r="B67" s="125" t="s">
        <v>161</v>
      </c>
      <c r="C67" s="125" t="s">
        <v>380</v>
      </c>
      <c r="D67" s="167" t="s">
        <v>381</v>
      </c>
      <c r="E67" s="125"/>
      <c r="F67" s="125"/>
      <c r="G67" s="125"/>
      <c r="H67" s="125"/>
    </row>
    <row r="68" spans="2:8">
      <c r="B68" s="125" t="s">
        <v>162</v>
      </c>
      <c r="C68" s="125" t="s">
        <v>380</v>
      </c>
      <c r="D68" s="167" t="s">
        <v>381</v>
      </c>
      <c r="E68" s="125"/>
      <c r="F68" s="125"/>
      <c r="G68" s="125"/>
      <c r="H68" s="125"/>
    </row>
    <row r="69" spans="2:8">
      <c r="B69" s="125" t="s">
        <v>163</v>
      </c>
      <c r="C69" s="125" t="s">
        <v>380</v>
      </c>
      <c r="D69" s="167" t="s">
        <v>381</v>
      </c>
      <c r="E69" s="125"/>
      <c r="F69" s="125"/>
      <c r="G69" s="125"/>
      <c r="H69" s="125"/>
    </row>
    <row r="70" spans="2:8">
      <c r="B70" s="125" t="s">
        <v>454</v>
      </c>
      <c r="C70" s="125" t="s">
        <v>379</v>
      </c>
      <c r="D70" s="167" t="s">
        <v>270</v>
      </c>
      <c r="E70" s="125"/>
      <c r="F70" s="125"/>
      <c r="G70" s="125"/>
      <c r="H70" s="125"/>
    </row>
    <row r="71" spans="2:8">
      <c r="B71" s="125" t="s">
        <v>927</v>
      </c>
      <c r="C71" s="125" t="s">
        <v>379</v>
      </c>
      <c r="D71" s="167" t="s">
        <v>270</v>
      </c>
      <c r="E71" s="125"/>
      <c r="F71" s="125"/>
      <c r="G71" s="125"/>
      <c r="H71" s="125"/>
    </row>
    <row r="72" spans="2:8" ht="20.25">
      <c r="B72" s="125" t="s">
        <v>456</v>
      </c>
      <c r="C72" s="125" t="s">
        <v>306</v>
      </c>
      <c r="D72" s="167" t="s">
        <v>385</v>
      </c>
      <c r="E72" s="125"/>
      <c r="F72" s="125"/>
      <c r="G72" s="125"/>
      <c r="H72" s="125"/>
    </row>
    <row r="73" spans="2:8">
      <c r="B73" s="125" t="s">
        <v>167</v>
      </c>
      <c r="C73" s="125" t="s">
        <v>380</v>
      </c>
      <c r="D73" s="167" t="s">
        <v>381</v>
      </c>
      <c r="E73" s="125"/>
      <c r="F73" s="125"/>
      <c r="G73" s="125"/>
      <c r="H73" s="125"/>
    </row>
    <row r="74" spans="2:8" ht="20.25">
      <c r="B74" s="125" t="str">
        <f>IF(非化石燃料!C26="","バイオマス燃料　自由記入1",非化石燃料!C26)</f>
        <v>バイオマス燃料　自由記入1</v>
      </c>
      <c r="C74" s="125" t="s">
        <v>380</v>
      </c>
      <c r="D74" s="125" t="s">
        <v>381</v>
      </c>
      <c r="E74" s="125" t="s">
        <v>379</v>
      </c>
      <c r="F74" s="125" t="s">
        <v>270</v>
      </c>
      <c r="G74" s="125" t="s">
        <v>306</v>
      </c>
      <c r="H74" s="125" t="s">
        <v>385</v>
      </c>
    </row>
    <row r="75" spans="2:8" ht="20.25">
      <c r="B75" s="125" t="str">
        <f>IF(非化石燃料!C27="","バイオマス燃料　自由記入2",非化石燃料!C27)</f>
        <v>バイオマス燃料　自由記入2</v>
      </c>
      <c r="C75" s="125" t="s">
        <v>380</v>
      </c>
      <c r="D75" s="125" t="s">
        <v>381</v>
      </c>
      <c r="E75" s="125" t="s">
        <v>379</v>
      </c>
      <c r="F75" s="125" t="s">
        <v>270</v>
      </c>
      <c r="G75" s="125" t="s">
        <v>306</v>
      </c>
      <c r="H75" s="125" t="s">
        <v>385</v>
      </c>
    </row>
    <row r="76" spans="2:8">
      <c r="B76" s="125" t="s">
        <v>169</v>
      </c>
      <c r="C76" s="125" t="s">
        <v>380</v>
      </c>
      <c r="D76" s="167" t="s">
        <v>381</v>
      </c>
      <c r="E76" s="125"/>
      <c r="F76" s="125"/>
      <c r="G76" s="125"/>
      <c r="H76" s="125"/>
    </row>
    <row r="77" spans="2:8">
      <c r="B77" s="125" t="s">
        <v>482</v>
      </c>
      <c r="C77" s="125" t="s">
        <v>380</v>
      </c>
      <c r="D77" s="167" t="s">
        <v>381</v>
      </c>
      <c r="E77" s="125"/>
      <c r="F77" s="125"/>
      <c r="G77" s="125"/>
      <c r="H77" s="125"/>
    </row>
    <row r="78" spans="2:8" ht="20.25">
      <c r="B78" s="125" t="str">
        <f>IF(非化石燃料!C30="","その他の非化石燃料　自由記入1",非化石燃料!C30)</f>
        <v>その他の非化石燃料　自由記入1</v>
      </c>
      <c r="C78" s="125" t="s">
        <v>380</v>
      </c>
      <c r="D78" s="125" t="s">
        <v>381</v>
      </c>
      <c r="E78" s="125" t="s">
        <v>379</v>
      </c>
      <c r="F78" s="125" t="s">
        <v>270</v>
      </c>
      <c r="G78" s="125" t="s">
        <v>306</v>
      </c>
      <c r="H78" s="125" t="s">
        <v>385</v>
      </c>
    </row>
    <row r="79" spans="2:8" ht="20.25">
      <c r="B79" s="128" t="str">
        <f>IF(非化石燃料!C31="","その他の非化石燃料　自由記入2",非化石燃料!C31)</f>
        <v>その他の非化石燃料　自由記入2</v>
      </c>
      <c r="C79" s="128" t="s">
        <v>380</v>
      </c>
      <c r="D79" s="128" t="s">
        <v>381</v>
      </c>
      <c r="E79" s="128" t="s">
        <v>379</v>
      </c>
      <c r="F79" s="128" t="s">
        <v>270</v>
      </c>
      <c r="G79" s="128" t="s">
        <v>306</v>
      </c>
      <c r="H79" s="128" t="s">
        <v>385</v>
      </c>
    </row>
    <row r="81" spans="2:8">
      <c r="B81" s="121" t="s">
        <v>551</v>
      </c>
      <c r="C81" s="121" t="s">
        <v>383</v>
      </c>
      <c r="D81" s="121"/>
    </row>
    <row r="82" spans="2:8">
      <c r="B82" s="124" t="s">
        <v>59</v>
      </c>
      <c r="C82" s="124" t="s">
        <v>378</v>
      </c>
      <c r="D82" s="124" t="s">
        <v>480</v>
      </c>
      <c r="F82" s="121" t="s">
        <v>892</v>
      </c>
      <c r="G82" s="121"/>
    </row>
    <row r="83" spans="2:8">
      <c r="B83" s="125" t="s">
        <v>552</v>
      </c>
      <c r="C83" s="125" t="s">
        <v>481</v>
      </c>
      <c r="D83" s="125" t="s">
        <v>181</v>
      </c>
    </row>
    <row r="84" spans="2:8">
      <c r="B84" s="125" t="s">
        <v>60</v>
      </c>
      <c r="C84" s="125" t="s">
        <v>377</v>
      </c>
      <c r="D84" s="125" t="s">
        <v>480</v>
      </c>
    </row>
    <row r="85" spans="2:8">
      <c r="B85" s="128" t="s">
        <v>614</v>
      </c>
      <c r="C85" s="128" t="s">
        <v>377</v>
      </c>
      <c r="D85" s="128" t="s">
        <v>480</v>
      </c>
    </row>
    <row r="87" spans="2:8">
      <c r="B87" s="121" t="s">
        <v>550</v>
      </c>
      <c r="C87" s="121" t="s">
        <v>383</v>
      </c>
      <c r="D87" s="121"/>
      <c r="E87" s="121"/>
      <c r="F87" s="121"/>
      <c r="G87" s="121"/>
      <c r="H87" s="121"/>
    </row>
    <row r="88" spans="2:8">
      <c r="B88" s="156" t="s">
        <v>485</v>
      </c>
      <c r="C88" s="124" t="s">
        <v>380</v>
      </c>
      <c r="D88" s="166" t="s">
        <v>381</v>
      </c>
      <c r="E88" s="124"/>
      <c r="F88" s="124"/>
      <c r="G88" s="124"/>
      <c r="H88" s="124"/>
    </row>
    <row r="89" spans="2:8">
      <c r="B89" s="155" t="s">
        <v>486</v>
      </c>
      <c r="C89" s="125" t="s">
        <v>380</v>
      </c>
      <c r="D89" s="167" t="s">
        <v>381</v>
      </c>
      <c r="E89" s="125"/>
      <c r="F89" s="125"/>
      <c r="G89" s="125"/>
      <c r="H89" s="125"/>
    </row>
    <row r="90" spans="2:8">
      <c r="B90" s="155" t="s">
        <v>487</v>
      </c>
      <c r="C90" s="125" t="s">
        <v>380</v>
      </c>
      <c r="D90" s="167" t="s">
        <v>381</v>
      </c>
      <c r="E90" s="125"/>
      <c r="F90" s="125"/>
      <c r="G90" s="125"/>
      <c r="H90" s="125"/>
    </row>
    <row r="91" spans="2:8">
      <c r="B91" s="155" t="s">
        <v>488</v>
      </c>
      <c r="C91" s="125" t="s">
        <v>380</v>
      </c>
      <c r="D91" s="167" t="s">
        <v>381</v>
      </c>
      <c r="E91" s="125"/>
      <c r="F91" s="125"/>
      <c r="G91" s="125"/>
      <c r="H91" s="125"/>
    </row>
    <row r="92" spans="2:8">
      <c r="B92" s="155" t="s">
        <v>489</v>
      </c>
      <c r="C92" s="125" t="s">
        <v>380</v>
      </c>
      <c r="D92" s="167" t="s">
        <v>381</v>
      </c>
      <c r="E92" s="125"/>
      <c r="F92" s="125"/>
      <c r="G92" s="125"/>
      <c r="H92" s="125"/>
    </row>
    <row r="93" spans="2:8">
      <c r="B93" s="155" t="s">
        <v>490</v>
      </c>
      <c r="C93" s="125" t="s">
        <v>380</v>
      </c>
      <c r="D93" s="167" t="s">
        <v>381</v>
      </c>
      <c r="E93" s="125"/>
      <c r="F93" s="125"/>
      <c r="G93" s="125"/>
      <c r="H93" s="125"/>
    </row>
    <row r="94" spans="2:8">
      <c r="B94" s="155" t="s">
        <v>491</v>
      </c>
      <c r="C94" s="125" t="s">
        <v>380</v>
      </c>
      <c r="D94" s="167" t="s">
        <v>381</v>
      </c>
      <c r="E94" s="125"/>
      <c r="F94" s="125"/>
      <c r="G94" s="125"/>
      <c r="H94" s="125"/>
    </row>
    <row r="95" spans="2:8">
      <c r="B95" s="155" t="s">
        <v>492</v>
      </c>
      <c r="C95" s="125" t="s">
        <v>380</v>
      </c>
      <c r="D95" s="167" t="s">
        <v>381</v>
      </c>
      <c r="E95" s="125"/>
      <c r="F95" s="125"/>
      <c r="G95" s="125"/>
      <c r="H95" s="125"/>
    </row>
    <row r="96" spans="2:8">
      <c r="B96" s="155" t="s">
        <v>493</v>
      </c>
      <c r="C96" s="125" t="s">
        <v>380</v>
      </c>
      <c r="D96" s="167" t="s">
        <v>381</v>
      </c>
      <c r="E96" s="125"/>
      <c r="F96" s="125"/>
      <c r="G96" s="125"/>
      <c r="H96" s="125"/>
    </row>
    <row r="97" spans="2:8">
      <c r="B97" s="155" t="s">
        <v>483</v>
      </c>
      <c r="C97" s="125" t="s">
        <v>380</v>
      </c>
      <c r="D97" s="167" t="s">
        <v>381</v>
      </c>
      <c r="E97" s="125"/>
      <c r="F97" s="125"/>
      <c r="G97" s="125"/>
      <c r="H97" s="125"/>
    </row>
    <row r="98" spans="2:8">
      <c r="B98" s="155" t="s">
        <v>494</v>
      </c>
      <c r="C98" s="125" t="s">
        <v>380</v>
      </c>
      <c r="D98" s="167" t="s">
        <v>381</v>
      </c>
      <c r="E98" s="125"/>
      <c r="F98" s="125"/>
      <c r="G98" s="125"/>
      <c r="H98" s="125"/>
    </row>
    <row r="99" spans="2:8">
      <c r="B99" s="155" t="s">
        <v>495</v>
      </c>
      <c r="C99" s="125" t="s">
        <v>380</v>
      </c>
      <c r="D99" s="167" t="s">
        <v>381</v>
      </c>
      <c r="E99" s="125"/>
      <c r="F99" s="125"/>
      <c r="G99" s="125"/>
      <c r="H99" s="125"/>
    </row>
    <row r="100" spans="2:8">
      <c r="B100" s="155" t="s">
        <v>496</v>
      </c>
      <c r="C100" s="125" t="s">
        <v>380</v>
      </c>
      <c r="D100" s="167" t="s">
        <v>381</v>
      </c>
      <c r="E100" s="125"/>
      <c r="F100" s="125"/>
      <c r="G100" s="125"/>
      <c r="H100" s="125"/>
    </row>
    <row r="101" spans="2:8">
      <c r="B101" s="155" t="s">
        <v>497</v>
      </c>
      <c r="C101" s="125" t="s">
        <v>380</v>
      </c>
      <c r="D101" s="167" t="s">
        <v>381</v>
      </c>
      <c r="E101" s="125"/>
      <c r="F101" s="125"/>
      <c r="G101" s="125"/>
      <c r="H101" s="125"/>
    </row>
    <row r="102" spans="2:8">
      <c r="B102" s="155" t="s">
        <v>498</v>
      </c>
      <c r="C102" s="125" t="s">
        <v>380</v>
      </c>
      <c r="D102" s="167" t="s">
        <v>381</v>
      </c>
      <c r="E102" s="125"/>
      <c r="F102" s="125"/>
      <c r="G102" s="125"/>
      <c r="H102" s="125"/>
    </row>
    <row r="103" spans="2:8">
      <c r="B103" s="155" t="s">
        <v>499</v>
      </c>
      <c r="C103" s="125" t="s">
        <v>380</v>
      </c>
      <c r="D103" s="167" t="s">
        <v>381</v>
      </c>
      <c r="E103" s="125"/>
      <c r="F103" s="125"/>
      <c r="G103" s="125"/>
      <c r="H103" s="125"/>
    </row>
    <row r="104" spans="2:8">
      <c r="B104" s="155" t="s">
        <v>500</v>
      </c>
      <c r="C104" s="125" t="s">
        <v>380</v>
      </c>
      <c r="D104" s="167" t="s">
        <v>381</v>
      </c>
      <c r="E104" s="125"/>
      <c r="F104" s="125"/>
      <c r="G104" s="125"/>
      <c r="H104" s="125"/>
    </row>
    <row r="105" spans="2:8">
      <c r="B105" s="155" t="s">
        <v>501</v>
      </c>
      <c r="C105" s="125" t="s">
        <v>380</v>
      </c>
      <c r="D105" s="167" t="s">
        <v>381</v>
      </c>
      <c r="E105" s="125"/>
      <c r="F105" s="125"/>
      <c r="G105" s="125"/>
      <c r="H105" s="125"/>
    </row>
    <row r="106" spans="2:8">
      <c r="B106" s="155" t="s">
        <v>502</v>
      </c>
      <c r="C106" s="125" t="s">
        <v>380</v>
      </c>
      <c r="D106" s="167" t="s">
        <v>381</v>
      </c>
      <c r="E106" s="125"/>
      <c r="F106" s="125"/>
      <c r="G106" s="125"/>
      <c r="H106" s="125"/>
    </row>
    <row r="107" spans="2:8">
      <c r="B107" s="155" t="s">
        <v>503</v>
      </c>
      <c r="C107" s="125" t="s">
        <v>380</v>
      </c>
      <c r="D107" s="167" t="s">
        <v>381</v>
      </c>
      <c r="E107" s="125"/>
      <c r="F107" s="125"/>
      <c r="G107" s="125"/>
      <c r="H107" s="125"/>
    </row>
    <row r="108" spans="2:8">
      <c r="B108" s="155" t="s">
        <v>484</v>
      </c>
      <c r="C108" s="125" t="s">
        <v>380</v>
      </c>
      <c r="D108" s="167" t="s">
        <v>381</v>
      </c>
      <c r="E108" s="125"/>
      <c r="F108" s="125"/>
      <c r="G108" s="125"/>
      <c r="H108" s="125"/>
    </row>
    <row r="109" spans="2:8">
      <c r="B109" s="155" t="s">
        <v>504</v>
      </c>
      <c r="C109" s="125" t="s">
        <v>380</v>
      </c>
      <c r="D109" s="167" t="s">
        <v>381</v>
      </c>
      <c r="E109" s="125"/>
      <c r="F109" s="125"/>
      <c r="G109" s="125"/>
      <c r="H109" s="125"/>
    </row>
    <row r="110" spans="2:8">
      <c r="B110" s="155" t="s">
        <v>505</v>
      </c>
      <c r="C110" s="125" t="s">
        <v>380</v>
      </c>
      <c r="D110" s="167" t="s">
        <v>381</v>
      </c>
      <c r="E110" s="125"/>
      <c r="F110" s="125"/>
      <c r="G110" s="125"/>
      <c r="H110" s="125"/>
    </row>
    <row r="111" spans="2:8">
      <c r="B111" s="155" t="s">
        <v>506</v>
      </c>
      <c r="C111" s="125" t="s">
        <v>380</v>
      </c>
      <c r="D111" s="167" t="s">
        <v>381</v>
      </c>
      <c r="E111" s="125"/>
      <c r="F111" s="125"/>
      <c r="G111" s="125"/>
      <c r="H111" s="125"/>
    </row>
    <row r="112" spans="2:8">
      <c r="B112" s="155" t="s">
        <v>507</v>
      </c>
      <c r="C112" s="125" t="s">
        <v>380</v>
      </c>
      <c r="D112" s="167" t="s">
        <v>381</v>
      </c>
      <c r="E112" s="125"/>
      <c r="F112" s="125"/>
      <c r="G112" s="125"/>
      <c r="H112" s="125"/>
    </row>
    <row r="113" spans="2:8">
      <c r="B113" s="155" t="s">
        <v>508</v>
      </c>
      <c r="C113" s="125" t="s">
        <v>380</v>
      </c>
      <c r="D113" s="167" t="s">
        <v>381</v>
      </c>
      <c r="E113" s="125"/>
      <c r="F113" s="125"/>
      <c r="G113" s="125"/>
      <c r="H113" s="125"/>
    </row>
    <row r="114" spans="2:8">
      <c r="B114" s="155" t="s">
        <v>509</v>
      </c>
      <c r="C114" s="125" t="s">
        <v>380</v>
      </c>
      <c r="D114" s="167" t="s">
        <v>381</v>
      </c>
      <c r="E114" s="125"/>
      <c r="F114" s="125"/>
      <c r="G114" s="125"/>
      <c r="H114" s="125"/>
    </row>
    <row r="115" spans="2:8">
      <c r="B115" s="155" t="s">
        <v>510</v>
      </c>
      <c r="C115" s="125" t="s">
        <v>305</v>
      </c>
      <c r="D115" s="167" t="s">
        <v>182</v>
      </c>
      <c r="E115" s="125"/>
      <c r="F115" s="125"/>
      <c r="G115" s="125"/>
      <c r="H115" s="125"/>
    </row>
    <row r="116" spans="2:8">
      <c r="B116" s="155" t="s">
        <v>511</v>
      </c>
      <c r="C116" s="125" t="s">
        <v>380</v>
      </c>
      <c r="D116" s="167" t="s">
        <v>381</v>
      </c>
      <c r="E116" s="125"/>
      <c r="F116" s="125"/>
      <c r="G116" s="125"/>
      <c r="H116" s="125"/>
    </row>
    <row r="117" spans="2:8" ht="20.25">
      <c r="B117" s="155" t="s">
        <v>512</v>
      </c>
      <c r="C117" s="125" t="s">
        <v>306</v>
      </c>
      <c r="D117" s="167" t="s">
        <v>385</v>
      </c>
      <c r="E117" s="125"/>
      <c r="F117" s="125"/>
      <c r="G117" s="125"/>
      <c r="H117" s="125"/>
    </row>
    <row r="118" spans="2:8">
      <c r="B118" s="155" t="s">
        <v>513</v>
      </c>
      <c r="C118" s="125" t="s">
        <v>380</v>
      </c>
      <c r="D118" s="167" t="s">
        <v>381</v>
      </c>
      <c r="E118" s="125"/>
      <c r="F118" s="125"/>
      <c r="G118" s="125"/>
      <c r="H118" s="125"/>
    </row>
    <row r="119" spans="2:8">
      <c r="B119" s="155" t="s">
        <v>514</v>
      </c>
      <c r="C119" s="125" t="s">
        <v>380</v>
      </c>
      <c r="D119" s="167" t="s">
        <v>381</v>
      </c>
      <c r="E119" s="125"/>
      <c r="F119" s="125"/>
      <c r="G119" s="125"/>
      <c r="H119" s="125"/>
    </row>
    <row r="120" spans="2:8">
      <c r="B120" s="155" t="s">
        <v>515</v>
      </c>
      <c r="C120" s="125" t="s">
        <v>380</v>
      </c>
      <c r="D120" s="167" t="s">
        <v>381</v>
      </c>
      <c r="E120" s="125"/>
      <c r="F120" s="125"/>
      <c r="G120" s="125"/>
      <c r="H120" s="125"/>
    </row>
    <row r="121" spans="2:8">
      <c r="B121" s="155" t="s">
        <v>516</v>
      </c>
      <c r="C121" s="125" t="s">
        <v>380</v>
      </c>
      <c r="D121" s="167" t="s">
        <v>381</v>
      </c>
      <c r="E121" s="125"/>
      <c r="F121" s="125"/>
      <c r="G121" s="125"/>
      <c r="H121" s="125"/>
    </row>
    <row r="122" spans="2:8">
      <c r="B122" s="155" t="s">
        <v>517</v>
      </c>
      <c r="C122" s="125" t="s">
        <v>380</v>
      </c>
      <c r="D122" s="167" t="s">
        <v>381</v>
      </c>
      <c r="E122" s="125"/>
      <c r="F122" s="125"/>
      <c r="G122" s="125"/>
      <c r="H122" s="125"/>
    </row>
    <row r="123" spans="2:8">
      <c r="B123" s="155" t="s">
        <v>518</v>
      </c>
      <c r="C123" s="125" t="s">
        <v>380</v>
      </c>
      <c r="D123" s="167" t="s">
        <v>381</v>
      </c>
      <c r="E123" s="125"/>
      <c r="F123" s="125"/>
      <c r="G123" s="125"/>
      <c r="H123" s="125"/>
    </row>
    <row r="124" spans="2:8">
      <c r="B124" s="155" t="s">
        <v>519</v>
      </c>
      <c r="C124" s="125" t="s">
        <v>380</v>
      </c>
      <c r="D124" s="167" t="s">
        <v>381</v>
      </c>
      <c r="E124" s="125"/>
      <c r="F124" s="125"/>
      <c r="G124" s="125"/>
      <c r="H124" s="125"/>
    </row>
    <row r="125" spans="2:8">
      <c r="B125" s="155" t="s">
        <v>520</v>
      </c>
      <c r="C125" s="125" t="s">
        <v>380</v>
      </c>
      <c r="D125" s="167" t="s">
        <v>381</v>
      </c>
      <c r="E125" s="125"/>
      <c r="F125" s="125"/>
      <c r="G125" s="125"/>
      <c r="H125" s="125"/>
    </row>
    <row r="126" spans="2:8">
      <c r="B126" s="155" t="s">
        <v>521</v>
      </c>
      <c r="C126" s="125" t="s">
        <v>380</v>
      </c>
      <c r="D126" s="167" t="s">
        <v>381</v>
      </c>
      <c r="E126" s="125"/>
      <c r="F126" s="125"/>
      <c r="G126" s="125"/>
      <c r="H126" s="125"/>
    </row>
    <row r="127" spans="2:8">
      <c r="B127" s="155" t="s">
        <v>522</v>
      </c>
      <c r="C127" s="125" t="s">
        <v>380</v>
      </c>
      <c r="D127" s="167" t="s">
        <v>381</v>
      </c>
      <c r="E127" s="125"/>
      <c r="F127" s="125"/>
      <c r="G127" s="125"/>
      <c r="H127" s="125"/>
    </row>
    <row r="128" spans="2:8">
      <c r="B128" s="155" t="s">
        <v>523</v>
      </c>
      <c r="C128" s="125" t="s">
        <v>380</v>
      </c>
      <c r="D128" s="167" t="s">
        <v>381</v>
      </c>
      <c r="E128" s="125"/>
      <c r="F128" s="125"/>
      <c r="G128" s="125"/>
      <c r="H128" s="125"/>
    </row>
    <row r="129" spans="2:8">
      <c r="B129" s="155" t="s">
        <v>524</v>
      </c>
      <c r="C129" s="125" t="s">
        <v>380</v>
      </c>
      <c r="D129" s="167" t="s">
        <v>381</v>
      </c>
      <c r="E129" s="125"/>
      <c r="F129" s="125"/>
      <c r="G129" s="125"/>
      <c r="H129" s="125"/>
    </row>
    <row r="130" spans="2:8">
      <c r="B130" s="155" t="s">
        <v>525</v>
      </c>
      <c r="C130" s="125" t="s">
        <v>380</v>
      </c>
      <c r="D130" s="167" t="s">
        <v>381</v>
      </c>
      <c r="E130" s="125"/>
      <c r="F130" s="125"/>
      <c r="G130" s="125"/>
      <c r="H130" s="125"/>
    </row>
    <row r="131" spans="2:8">
      <c r="B131" s="155" t="s">
        <v>526</v>
      </c>
      <c r="C131" s="125" t="s">
        <v>380</v>
      </c>
      <c r="D131" s="167" t="s">
        <v>381</v>
      </c>
      <c r="E131" s="125"/>
      <c r="F131" s="125"/>
      <c r="G131" s="125"/>
      <c r="H131" s="125"/>
    </row>
    <row r="132" spans="2:8">
      <c r="B132" s="155" t="s">
        <v>527</v>
      </c>
      <c r="C132" s="125" t="s">
        <v>380</v>
      </c>
      <c r="D132" s="167" t="s">
        <v>381</v>
      </c>
      <c r="E132" s="125"/>
      <c r="F132" s="125"/>
      <c r="G132" s="125"/>
      <c r="H132" s="125"/>
    </row>
    <row r="133" spans="2:8">
      <c r="B133" s="155" t="s">
        <v>528</v>
      </c>
      <c r="C133" s="125" t="s">
        <v>380</v>
      </c>
      <c r="D133" s="167" t="s">
        <v>381</v>
      </c>
      <c r="E133" s="125"/>
      <c r="F133" s="125"/>
      <c r="G133" s="125"/>
      <c r="H133" s="125"/>
    </row>
    <row r="134" spans="2:8">
      <c r="B134" s="155" t="s">
        <v>529</v>
      </c>
      <c r="C134" s="125" t="s">
        <v>380</v>
      </c>
      <c r="D134" s="167" t="s">
        <v>381</v>
      </c>
      <c r="E134" s="125"/>
      <c r="F134" s="125"/>
      <c r="G134" s="125"/>
      <c r="H134" s="125"/>
    </row>
    <row r="135" spans="2:8" ht="20.25">
      <c r="B135" s="155" t="s">
        <v>530</v>
      </c>
      <c r="C135" s="125" t="s">
        <v>307</v>
      </c>
      <c r="D135" s="167" t="s">
        <v>386</v>
      </c>
      <c r="E135" s="125"/>
      <c r="F135" s="125"/>
      <c r="G135" s="125"/>
      <c r="H135" s="125"/>
    </row>
    <row r="136" spans="2:8">
      <c r="B136" s="155" t="s">
        <v>531</v>
      </c>
      <c r="C136" s="125" t="s">
        <v>380</v>
      </c>
      <c r="D136" s="167" t="s">
        <v>381</v>
      </c>
      <c r="E136" s="125"/>
      <c r="F136" s="125"/>
      <c r="G136" s="125"/>
      <c r="H136" s="125"/>
    </row>
    <row r="137" spans="2:8">
      <c r="B137" s="155" t="s">
        <v>532</v>
      </c>
      <c r="C137" s="125" t="s">
        <v>380</v>
      </c>
      <c r="D137" s="167" t="s">
        <v>381</v>
      </c>
      <c r="E137" s="125"/>
      <c r="F137" s="125"/>
      <c r="G137" s="125"/>
      <c r="H137" s="125"/>
    </row>
    <row r="138" spans="2:8">
      <c r="B138" s="155" t="s">
        <v>533</v>
      </c>
      <c r="C138" s="125" t="s">
        <v>380</v>
      </c>
      <c r="D138" s="167" t="s">
        <v>381</v>
      </c>
      <c r="E138" s="125"/>
      <c r="F138" s="125"/>
      <c r="G138" s="125"/>
      <c r="H138" s="125"/>
    </row>
    <row r="139" spans="2:8">
      <c r="B139" s="155" t="s">
        <v>534</v>
      </c>
      <c r="C139" s="125" t="s">
        <v>380</v>
      </c>
      <c r="D139" s="167" t="s">
        <v>381</v>
      </c>
      <c r="E139" s="125"/>
      <c r="F139" s="125"/>
      <c r="G139" s="125"/>
      <c r="H139" s="125"/>
    </row>
    <row r="140" spans="2:8" ht="20.25">
      <c r="B140" s="155" t="s">
        <v>535</v>
      </c>
      <c r="C140" s="125" t="s">
        <v>306</v>
      </c>
      <c r="D140" s="167" t="s">
        <v>385</v>
      </c>
      <c r="E140" s="125"/>
      <c r="F140" s="125"/>
      <c r="G140" s="125"/>
      <c r="H140" s="125"/>
    </row>
    <row r="141" spans="2:8" ht="20.25">
      <c r="B141" s="155" t="s">
        <v>536</v>
      </c>
      <c r="C141" s="125" t="s">
        <v>306</v>
      </c>
      <c r="D141" s="167" t="s">
        <v>385</v>
      </c>
      <c r="E141" s="125"/>
      <c r="F141" s="125"/>
      <c r="G141" s="125"/>
      <c r="H141" s="125"/>
    </row>
    <row r="142" spans="2:8">
      <c r="B142" s="155" t="s">
        <v>537</v>
      </c>
      <c r="C142" s="125" t="s">
        <v>305</v>
      </c>
      <c r="D142" s="167" t="s">
        <v>182</v>
      </c>
      <c r="E142" s="125"/>
      <c r="F142" s="125"/>
      <c r="G142" s="125"/>
      <c r="H142" s="125"/>
    </row>
    <row r="143" spans="2:8">
      <c r="B143" s="155" t="s">
        <v>538</v>
      </c>
      <c r="C143" s="125" t="s">
        <v>380</v>
      </c>
      <c r="D143" s="167" t="s">
        <v>381</v>
      </c>
      <c r="E143" s="125"/>
      <c r="F143" s="125"/>
      <c r="G143" s="125"/>
      <c r="H143" s="125"/>
    </row>
    <row r="144" spans="2:8">
      <c r="B144" s="155" t="s">
        <v>539</v>
      </c>
      <c r="C144" s="125" t="s">
        <v>380</v>
      </c>
      <c r="D144" s="167" t="s">
        <v>381</v>
      </c>
      <c r="E144" s="125"/>
      <c r="F144" s="125"/>
      <c r="G144" s="125"/>
      <c r="H144" s="125"/>
    </row>
    <row r="145" spans="2:8">
      <c r="B145" s="155" t="s">
        <v>540</v>
      </c>
      <c r="C145" s="125" t="s">
        <v>380</v>
      </c>
      <c r="D145" s="167" t="s">
        <v>381</v>
      </c>
      <c r="E145" s="125"/>
      <c r="F145" s="125"/>
      <c r="G145" s="125"/>
      <c r="H145" s="125"/>
    </row>
    <row r="146" spans="2:8">
      <c r="B146" s="155" t="s">
        <v>541</v>
      </c>
      <c r="C146" s="125" t="s">
        <v>380</v>
      </c>
      <c r="D146" s="167" t="s">
        <v>381</v>
      </c>
      <c r="E146" s="125"/>
      <c r="F146" s="125"/>
      <c r="G146" s="125"/>
      <c r="H146" s="125"/>
    </row>
    <row r="147" spans="2:8">
      <c r="B147" s="155" t="s">
        <v>542</v>
      </c>
      <c r="C147" s="125" t="s">
        <v>380</v>
      </c>
      <c r="D147" s="167" t="s">
        <v>381</v>
      </c>
      <c r="E147" s="125"/>
      <c r="F147" s="125"/>
      <c r="G147" s="125"/>
      <c r="H147" s="125"/>
    </row>
    <row r="148" spans="2:8">
      <c r="B148" s="155" t="s">
        <v>543</v>
      </c>
      <c r="C148" s="125" t="s">
        <v>380</v>
      </c>
      <c r="D148" s="167" t="s">
        <v>381</v>
      </c>
      <c r="E148" s="125"/>
      <c r="F148" s="125"/>
      <c r="G148" s="125"/>
      <c r="H148" s="125"/>
    </row>
    <row r="149" spans="2:8">
      <c r="B149" s="155" t="s">
        <v>544</v>
      </c>
      <c r="C149" s="125" t="s">
        <v>380</v>
      </c>
      <c r="D149" s="167" t="s">
        <v>381</v>
      </c>
      <c r="E149" s="125"/>
      <c r="F149" s="125"/>
      <c r="G149" s="125"/>
      <c r="H149" s="125"/>
    </row>
    <row r="150" spans="2:8" ht="20.25">
      <c r="B150" s="155" t="s">
        <v>545</v>
      </c>
      <c r="C150" s="125" t="s">
        <v>380</v>
      </c>
      <c r="D150" s="125" t="s">
        <v>381</v>
      </c>
      <c r="E150" s="125" t="s">
        <v>305</v>
      </c>
      <c r="F150" s="125" t="s">
        <v>182</v>
      </c>
      <c r="G150" s="125" t="s">
        <v>306</v>
      </c>
      <c r="H150" s="125" t="s">
        <v>385</v>
      </c>
    </row>
    <row r="151" spans="2:8" ht="20.25">
      <c r="B151" s="155" t="s">
        <v>546</v>
      </c>
      <c r="C151" s="125" t="s">
        <v>380</v>
      </c>
      <c r="D151" s="125" t="s">
        <v>381</v>
      </c>
      <c r="E151" s="125" t="s">
        <v>305</v>
      </c>
      <c r="F151" s="125" t="s">
        <v>182</v>
      </c>
      <c r="G151" s="125" t="s">
        <v>306</v>
      </c>
      <c r="H151" s="125" t="s">
        <v>385</v>
      </c>
    </row>
    <row r="152" spans="2:8" ht="20.25">
      <c r="B152" s="157" t="s">
        <v>547</v>
      </c>
      <c r="C152" s="128" t="s">
        <v>380</v>
      </c>
      <c r="D152" s="128" t="s">
        <v>381</v>
      </c>
      <c r="E152" s="128" t="s">
        <v>305</v>
      </c>
      <c r="F152" s="128" t="s">
        <v>182</v>
      </c>
      <c r="G152" s="128" t="s">
        <v>306</v>
      </c>
      <c r="H152" s="128" t="s">
        <v>385</v>
      </c>
    </row>
  </sheetData>
  <sheetProtection algorithmName="SHA-512" hashValue="uZLx7f4MojMIX6rOL3Jd5fYl3TSbn/9qzs0NckFwZyzcfiZHFIdqji9YhGV56U1kr1rvyE+xTUTi8tzB5DvlRA==" saltValue="4zf3k2sNezfm3pY3+iDnZQ==" spinCount="100000" sheet="1" objects="1" scenarios="1"/>
  <phoneticPr fontId="5"/>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theme="0" tint="-0.14999847407452621"/>
  </sheetPr>
  <dimension ref="B2:G63"/>
  <sheetViews>
    <sheetView zoomScaleNormal="100" workbookViewId="0"/>
  </sheetViews>
  <sheetFormatPr defaultRowHeight="18.75"/>
  <cols>
    <col min="1" max="1" width="4" customWidth="1"/>
    <col min="2" max="2" width="40" bestFit="1" customWidth="1"/>
    <col min="3" max="3" width="40" customWidth="1"/>
    <col min="4" max="4" width="18.75" bestFit="1" customWidth="1"/>
    <col min="5" max="5" width="76.75" customWidth="1"/>
  </cols>
  <sheetData>
    <row r="2" spans="2:3">
      <c r="B2" s="121" t="s">
        <v>572</v>
      </c>
      <c r="C2" s="121" t="s">
        <v>573</v>
      </c>
    </row>
    <row r="3" spans="2:3">
      <c r="B3" s="124" t="s">
        <v>380</v>
      </c>
      <c r="C3" s="124">
        <v>1000</v>
      </c>
    </row>
    <row r="4" spans="2:3">
      <c r="B4" s="125" t="s">
        <v>381</v>
      </c>
      <c r="C4" s="125">
        <v>1</v>
      </c>
    </row>
    <row r="5" spans="2:3">
      <c r="B5" s="125" t="s">
        <v>379</v>
      </c>
      <c r="C5" s="125">
        <v>1000</v>
      </c>
    </row>
    <row r="6" spans="2:3">
      <c r="B6" s="125" t="s">
        <v>270</v>
      </c>
      <c r="C6" s="125">
        <v>1</v>
      </c>
    </row>
    <row r="7" spans="2:3" ht="20.25">
      <c r="B7" s="125" t="s">
        <v>306</v>
      </c>
      <c r="C7" s="125">
        <v>1000</v>
      </c>
    </row>
    <row r="8" spans="2:3" ht="20.25">
      <c r="B8" s="125" t="s">
        <v>385</v>
      </c>
      <c r="C8" s="125">
        <v>1</v>
      </c>
    </row>
    <row r="9" spans="2:3" ht="20.25">
      <c r="B9" s="125" t="s">
        <v>307</v>
      </c>
      <c r="C9" s="125">
        <v>1000</v>
      </c>
    </row>
    <row r="10" spans="2:3" ht="20.25">
      <c r="B10" s="125" t="s">
        <v>386</v>
      </c>
      <c r="C10" s="125">
        <v>1</v>
      </c>
    </row>
    <row r="11" spans="2:3">
      <c r="B11" s="125" t="s">
        <v>781</v>
      </c>
      <c r="C11" s="125">
        <v>1000</v>
      </c>
    </row>
    <row r="12" spans="2:3">
      <c r="B12" s="125" t="s">
        <v>782</v>
      </c>
      <c r="C12" s="125">
        <v>1</v>
      </c>
    </row>
    <row r="13" spans="2:3">
      <c r="B13" s="125" t="s">
        <v>783</v>
      </c>
      <c r="C13" s="125">
        <v>1000</v>
      </c>
    </row>
    <row r="14" spans="2:3">
      <c r="B14" s="125" t="s">
        <v>784</v>
      </c>
      <c r="C14" s="125">
        <v>1</v>
      </c>
    </row>
    <row r="15" spans="2:3" ht="20.25">
      <c r="B15" s="125" t="s">
        <v>387</v>
      </c>
      <c r="C15" s="125">
        <v>1000</v>
      </c>
    </row>
    <row r="16" spans="2:3" ht="20.25">
      <c r="B16" s="128" t="s">
        <v>388</v>
      </c>
      <c r="C16" s="128">
        <v>1</v>
      </c>
    </row>
    <row r="18" spans="2:5">
      <c r="B18" s="170" t="s">
        <v>205</v>
      </c>
      <c r="C18" s="170" t="s">
        <v>208</v>
      </c>
      <c r="D18" s="170" t="s">
        <v>565</v>
      </c>
      <c r="E18" s="170" t="s">
        <v>566</v>
      </c>
    </row>
    <row r="19" spans="2:5" ht="20.25">
      <c r="B19" s="124" t="s">
        <v>344</v>
      </c>
      <c r="C19" s="124" t="s">
        <v>306</v>
      </c>
      <c r="D19" s="124">
        <f>1/458*1000</f>
        <v>2.1834061135371177</v>
      </c>
      <c r="E19" s="124" t="s">
        <v>576</v>
      </c>
    </row>
    <row r="20" spans="2:5" ht="20.25">
      <c r="B20" s="125" t="s">
        <v>558</v>
      </c>
      <c r="C20" s="125" t="s">
        <v>306</v>
      </c>
      <c r="D20" s="125">
        <f>1/502*1000</f>
        <v>1.9920318725099602</v>
      </c>
      <c r="E20" s="125" t="s">
        <v>576</v>
      </c>
    </row>
    <row r="21" spans="2:5" ht="20.25">
      <c r="B21" s="125" t="s">
        <v>559</v>
      </c>
      <c r="C21" s="125" t="s">
        <v>306</v>
      </c>
      <c r="D21" s="125">
        <f>1/355*1000</f>
        <v>2.8169014084507045</v>
      </c>
      <c r="E21" s="125" t="s">
        <v>576</v>
      </c>
    </row>
    <row r="22" spans="2:5" ht="20.25">
      <c r="B22" s="128" t="s">
        <v>347</v>
      </c>
      <c r="C22" s="128" t="s">
        <v>306</v>
      </c>
      <c r="D22" s="128">
        <f>1/482*1000</f>
        <v>2.0746887966804981</v>
      </c>
      <c r="E22" s="128" t="s">
        <v>576</v>
      </c>
    </row>
    <row r="23" spans="2:5" ht="20.25">
      <c r="B23" s="124" t="s">
        <v>344</v>
      </c>
      <c r="C23" s="124" t="s">
        <v>385</v>
      </c>
      <c r="D23" s="124">
        <f>1/458*1000</f>
        <v>2.1834061135371177</v>
      </c>
      <c r="E23" s="124" t="s">
        <v>575</v>
      </c>
    </row>
    <row r="24" spans="2:5" ht="20.25">
      <c r="B24" s="125" t="s">
        <v>558</v>
      </c>
      <c r="C24" s="125" t="s">
        <v>385</v>
      </c>
      <c r="D24" s="125">
        <f>1/502*1000</f>
        <v>1.9920318725099602</v>
      </c>
      <c r="E24" s="125" t="s">
        <v>575</v>
      </c>
    </row>
    <row r="25" spans="2:5" ht="20.25">
      <c r="B25" s="125" t="s">
        <v>559</v>
      </c>
      <c r="C25" s="125" t="s">
        <v>385</v>
      </c>
      <c r="D25" s="125">
        <f>1/355*1000</f>
        <v>2.8169014084507045</v>
      </c>
      <c r="E25" s="125" t="s">
        <v>575</v>
      </c>
    </row>
    <row r="26" spans="2:5" ht="20.25">
      <c r="B26" s="128" t="s">
        <v>347</v>
      </c>
      <c r="C26" s="128" t="s">
        <v>385</v>
      </c>
      <c r="D26" s="128">
        <f>1/482*1000</f>
        <v>2.0746887966804981</v>
      </c>
      <c r="E26" s="128" t="s">
        <v>575</v>
      </c>
    </row>
    <row r="27" spans="2:5" ht="20.25">
      <c r="B27" s="124" t="s">
        <v>567</v>
      </c>
      <c r="C27" s="124" t="s">
        <v>307</v>
      </c>
      <c r="D27" s="124">
        <f>(101.325/100) * (298.15/273.15)</f>
        <v>1.1059875068643603</v>
      </c>
      <c r="E27" s="124" t="s">
        <v>580</v>
      </c>
    </row>
    <row r="28" spans="2:5" ht="20.25">
      <c r="B28" s="125" t="s">
        <v>26</v>
      </c>
      <c r="C28" s="125" t="s">
        <v>307</v>
      </c>
      <c r="D28" s="125">
        <f t="shared" ref="D28:D38" si="0">(101.325/100) * (298.15/273.15)</f>
        <v>1.1059875068643603</v>
      </c>
      <c r="E28" s="125" t="s">
        <v>580</v>
      </c>
    </row>
    <row r="29" spans="2:5" ht="20.25">
      <c r="B29" s="125" t="s">
        <v>343</v>
      </c>
      <c r="C29" s="125" t="s">
        <v>307</v>
      </c>
      <c r="D29" s="125">
        <f t="shared" si="0"/>
        <v>1.1059875068643603</v>
      </c>
      <c r="E29" s="125" t="s">
        <v>580</v>
      </c>
    </row>
    <row r="30" spans="2:5" ht="20.25">
      <c r="B30" s="125" t="s">
        <v>358</v>
      </c>
      <c r="C30" s="125" t="s">
        <v>307</v>
      </c>
      <c r="D30" s="125">
        <f t="shared" si="0"/>
        <v>1.1059875068643603</v>
      </c>
      <c r="E30" s="125" t="s">
        <v>580</v>
      </c>
    </row>
    <row r="31" spans="2:5" ht="20.25">
      <c r="B31" s="125" t="s">
        <v>359</v>
      </c>
      <c r="C31" s="125" t="s">
        <v>307</v>
      </c>
      <c r="D31" s="125">
        <f t="shared" si="0"/>
        <v>1.1059875068643603</v>
      </c>
      <c r="E31" s="125" t="s">
        <v>580</v>
      </c>
    </row>
    <row r="32" spans="2:5" ht="20.25">
      <c r="B32" s="128" t="s">
        <v>30</v>
      </c>
      <c r="C32" s="128" t="s">
        <v>307</v>
      </c>
      <c r="D32" s="128">
        <f t="shared" si="0"/>
        <v>1.1059875068643603</v>
      </c>
      <c r="E32" s="128" t="s">
        <v>580</v>
      </c>
    </row>
    <row r="33" spans="2:7" ht="20.25">
      <c r="B33" s="124" t="s">
        <v>567</v>
      </c>
      <c r="C33" s="124" t="s">
        <v>386</v>
      </c>
      <c r="D33" s="124">
        <f t="shared" si="0"/>
        <v>1.1059875068643603</v>
      </c>
      <c r="E33" s="124" t="s">
        <v>581</v>
      </c>
    </row>
    <row r="34" spans="2:7" ht="20.25">
      <c r="B34" s="125" t="s">
        <v>26</v>
      </c>
      <c r="C34" s="125" t="s">
        <v>386</v>
      </c>
      <c r="D34" s="125">
        <f t="shared" si="0"/>
        <v>1.1059875068643603</v>
      </c>
      <c r="E34" s="125" t="s">
        <v>581</v>
      </c>
    </row>
    <row r="35" spans="2:7" ht="20.25">
      <c r="B35" s="125" t="s">
        <v>343</v>
      </c>
      <c r="C35" s="125" t="s">
        <v>386</v>
      </c>
      <c r="D35" s="125">
        <f t="shared" si="0"/>
        <v>1.1059875068643603</v>
      </c>
      <c r="E35" s="125" t="s">
        <v>581</v>
      </c>
    </row>
    <row r="36" spans="2:7" ht="20.25">
      <c r="B36" s="125" t="s">
        <v>358</v>
      </c>
      <c r="C36" s="125" t="s">
        <v>386</v>
      </c>
      <c r="D36" s="125">
        <f t="shared" si="0"/>
        <v>1.1059875068643603</v>
      </c>
      <c r="E36" s="125" t="s">
        <v>581</v>
      </c>
    </row>
    <row r="37" spans="2:7" ht="20.25">
      <c r="B37" s="125" t="s">
        <v>359</v>
      </c>
      <c r="C37" s="125" t="s">
        <v>386</v>
      </c>
      <c r="D37" s="125">
        <f t="shared" si="0"/>
        <v>1.1059875068643603</v>
      </c>
      <c r="E37" s="125" t="s">
        <v>581</v>
      </c>
    </row>
    <row r="38" spans="2:7" ht="20.25">
      <c r="B38" s="128" t="s">
        <v>30</v>
      </c>
      <c r="C38" s="128" t="s">
        <v>386</v>
      </c>
      <c r="D38" s="128">
        <f t="shared" si="0"/>
        <v>1.1059875068643603</v>
      </c>
      <c r="E38" s="128" t="s">
        <v>581</v>
      </c>
    </row>
    <row r="39" spans="2:7" ht="20.25">
      <c r="B39" s="169" t="s">
        <v>26</v>
      </c>
      <c r="C39" s="169" t="s">
        <v>306</v>
      </c>
      <c r="D39" s="169">
        <f>298.15*(事業所概要_算定体制!E25/100)/(273.15+事業所概要_算定体制!G25)</f>
        <v>0</v>
      </c>
      <c r="E39" s="124" t="s">
        <v>786</v>
      </c>
      <c r="G39" t="s">
        <v>570</v>
      </c>
    </row>
    <row r="40" spans="2:7" ht="20.25">
      <c r="B40" s="125" t="s">
        <v>561</v>
      </c>
      <c r="C40" s="125" t="s">
        <v>306</v>
      </c>
      <c r="D40" s="125">
        <f>298.15*(事業所概要_算定体制!E26/100)/(273.15+事業所概要_算定体制!G26)</f>
        <v>0</v>
      </c>
      <c r="E40" s="169" t="s">
        <v>786</v>
      </c>
      <c r="G40" t="s">
        <v>570</v>
      </c>
    </row>
    <row r="41" spans="2:7" ht="20.25">
      <c r="B41" s="125" t="s">
        <v>358</v>
      </c>
      <c r="C41" s="125" t="s">
        <v>306</v>
      </c>
      <c r="D41" s="125">
        <f>298.15*(事業所概要_算定体制!E27/100)/(273.15+事業所概要_算定体制!G27)</f>
        <v>0</v>
      </c>
      <c r="E41" s="169" t="s">
        <v>786</v>
      </c>
      <c r="G41" t="s">
        <v>570</v>
      </c>
    </row>
    <row r="42" spans="2:7" ht="20.25">
      <c r="B42" s="125" t="s">
        <v>359</v>
      </c>
      <c r="C42" s="125" t="s">
        <v>306</v>
      </c>
      <c r="D42" s="125">
        <f>298.15*(事業所概要_算定体制!E28/100)/(273.15+事業所概要_算定体制!G28)</f>
        <v>0</v>
      </c>
      <c r="E42" s="169" t="s">
        <v>786</v>
      </c>
      <c r="G42" t="s">
        <v>570</v>
      </c>
    </row>
    <row r="43" spans="2:7" ht="20.25">
      <c r="B43" s="175" t="s">
        <v>30</v>
      </c>
      <c r="C43" s="175" t="s">
        <v>306</v>
      </c>
      <c r="D43" s="175">
        <f>298.15*(事業所概要_算定体制!E29/100)/(273.15+事業所概要_算定体制!G29)</f>
        <v>0</v>
      </c>
      <c r="E43" s="187" t="s">
        <v>786</v>
      </c>
      <c r="G43" t="s">
        <v>570</v>
      </c>
    </row>
    <row r="44" spans="2:7" ht="20.25">
      <c r="B44" s="124" t="s">
        <v>26</v>
      </c>
      <c r="C44" s="124" t="s">
        <v>385</v>
      </c>
      <c r="D44" s="124">
        <f>298.15*(事業所概要_算定体制!E25/100)/(273.15+事業所概要_算定体制!G25)</f>
        <v>0</v>
      </c>
      <c r="E44" s="124" t="s">
        <v>786</v>
      </c>
      <c r="G44" t="s">
        <v>570</v>
      </c>
    </row>
    <row r="45" spans="2:7" ht="20.25">
      <c r="B45" s="125" t="s">
        <v>561</v>
      </c>
      <c r="C45" s="125" t="s">
        <v>385</v>
      </c>
      <c r="D45" s="125">
        <f>298.15*(事業所概要_算定体制!E26/100)/(273.15+事業所概要_算定体制!G26)</f>
        <v>0</v>
      </c>
      <c r="E45" s="169" t="s">
        <v>786</v>
      </c>
      <c r="G45" t="s">
        <v>570</v>
      </c>
    </row>
    <row r="46" spans="2:7" ht="20.25">
      <c r="B46" s="125" t="s">
        <v>358</v>
      </c>
      <c r="C46" s="125" t="s">
        <v>385</v>
      </c>
      <c r="D46" s="125">
        <f>298.15*(事業所概要_算定体制!E27/100)/(273.15+事業所概要_算定体制!G27)</f>
        <v>0</v>
      </c>
      <c r="E46" s="169" t="s">
        <v>786</v>
      </c>
      <c r="G46" t="s">
        <v>570</v>
      </c>
    </row>
    <row r="47" spans="2:7" ht="20.25">
      <c r="B47" s="125" t="s">
        <v>359</v>
      </c>
      <c r="C47" s="125" t="s">
        <v>385</v>
      </c>
      <c r="D47" s="125">
        <f>298.15*(事業所概要_算定体制!E28/100)/(273.15+事業所概要_算定体制!G28)</f>
        <v>0</v>
      </c>
      <c r="E47" s="169" t="s">
        <v>786</v>
      </c>
      <c r="G47" t="s">
        <v>570</v>
      </c>
    </row>
    <row r="48" spans="2:7" ht="20.25">
      <c r="B48" s="128" t="s">
        <v>30</v>
      </c>
      <c r="C48" s="128" t="s">
        <v>385</v>
      </c>
      <c r="D48" s="128">
        <f>298.15*(事業所概要_算定体制!E29/100)/(273.15+事業所概要_算定体制!G29)</f>
        <v>0</v>
      </c>
      <c r="E48" s="187" t="s">
        <v>786</v>
      </c>
      <c r="G48" t="s">
        <v>570</v>
      </c>
    </row>
    <row r="51" spans="2:5">
      <c r="B51" s="170" t="s">
        <v>205</v>
      </c>
      <c r="C51" s="170" t="s">
        <v>208</v>
      </c>
      <c r="D51" s="170" t="s">
        <v>565</v>
      </c>
      <c r="E51" s="170" t="s">
        <v>566</v>
      </c>
    </row>
    <row r="52" spans="2:5" ht="20.25">
      <c r="B52" s="124" t="s">
        <v>785</v>
      </c>
      <c r="C52" s="124" t="s">
        <v>306</v>
      </c>
      <c r="D52" s="124">
        <f>((101.325+2)/100)*(298.15/288.15)</f>
        <v>1.0691080600381746</v>
      </c>
      <c r="E52" s="124" t="s">
        <v>569</v>
      </c>
    </row>
    <row r="53" spans="2:5" ht="20.25">
      <c r="B53" s="125" t="s">
        <v>785</v>
      </c>
      <c r="C53" s="125" t="s">
        <v>385</v>
      </c>
      <c r="D53" s="125">
        <f>((101.325+2)/100)*(298.15/288.15)</f>
        <v>1.0691080600381746</v>
      </c>
      <c r="E53" s="125" t="s">
        <v>787</v>
      </c>
    </row>
    <row r="54" spans="2:5" ht="20.25">
      <c r="B54" s="125" t="s">
        <v>785</v>
      </c>
      <c r="C54" s="125" t="s">
        <v>789</v>
      </c>
      <c r="D54" s="125">
        <f>(101.325/100)*(298.15/273.15)</f>
        <v>1.1059875068643603</v>
      </c>
      <c r="E54" s="125" t="s">
        <v>580</v>
      </c>
    </row>
    <row r="55" spans="2:5" ht="20.25">
      <c r="B55" s="125" t="s">
        <v>785</v>
      </c>
      <c r="C55" s="125" t="s">
        <v>386</v>
      </c>
      <c r="D55" s="125">
        <f>(101.325/100)*(298.15/273.15)</f>
        <v>1.1059875068643603</v>
      </c>
      <c r="E55" s="125" t="s">
        <v>581</v>
      </c>
    </row>
    <row r="56" spans="2:5" ht="20.25">
      <c r="B56" s="125" t="s">
        <v>785</v>
      </c>
      <c r="C56" t="s">
        <v>792</v>
      </c>
      <c r="D56" s="125">
        <v>1</v>
      </c>
      <c r="E56" s="125"/>
    </row>
    <row r="57" spans="2:5" ht="20.25">
      <c r="B57" s="125" t="s">
        <v>785</v>
      </c>
      <c r="C57" t="s">
        <v>388</v>
      </c>
      <c r="D57" s="125">
        <v>1</v>
      </c>
      <c r="E57" s="125"/>
    </row>
    <row r="58" spans="2:5" ht="20.25">
      <c r="B58" s="125" t="s">
        <v>2019</v>
      </c>
      <c r="C58" s="125" t="s">
        <v>306</v>
      </c>
      <c r="D58" s="125">
        <f>((101.325+0.981)/100)*(298.15/288.15)</f>
        <v>1.0585644247787613</v>
      </c>
      <c r="E58" s="125" t="s">
        <v>569</v>
      </c>
    </row>
    <row r="59" spans="2:5" ht="20.25">
      <c r="B59" s="125" t="s">
        <v>2019</v>
      </c>
      <c r="C59" s="125" t="s">
        <v>385</v>
      </c>
      <c r="D59" s="125">
        <f>((101.325+0.981)/100)*(298.15/288.15)</f>
        <v>1.0585644247787613</v>
      </c>
      <c r="E59" s="125" t="s">
        <v>787</v>
      </c>
    </row>
    <row r="60" spans="2:5" ht="20.25">
      <c r="B60" s="125" t="s">
        <v>2019</v>
      </c>
      <c r="C60" s="125" t="s">
        <v>788</v>
      </c>
      <c r="D60" s="125">
        <f>(101.325/100)*(298.15/273.15)</f>
        <v>1.1059875068643603</v>
      </c>
      <c r="E60" s="125" t="s">
        <v>580</v>
      </c>
    </row>
    <row r="61" spans="2:5" ht="20.25">
      <c r="B61" s="125" t="s">
        <v>2019</v>
      </c>
      <c r="C61" s="125" t="s">
        <v>386</v>
      </c>
      <c r="D61" s="125">
        <f>(101.325/100)*(298.15/273.15)</f>
        <v>1.1059875068643603</v>
      </c>
      <c r="E61" s="125" t="s">
        <v>581</v>
      </c>
    </row>
    <row r="62" spans="2:5" ht="20.25">
      <c r="B62" s="125" t="s">
        <v>2019</v>
      </c>
      <c r="C62" t="s">
        <v>792</v>
      </c>
      <c r="D62" s="125">
        <v>1</v>
      </c>
      <c r="E62" s="125" t="s">
        <v>580</v>
      </c>
    </row>
    <row r="63" spans="2:5" ht="20.25">
      <c r="B63" s="128" t="s">
        <v>2019</v>
      </c>
      <c r="C63" s="187" t="s">
        <v>388</v>
      </c>
      <c r="D63" s="128">
        <v>1</v>
      </c>
      <c r="E63" s="128" t="s">
        <v>581</v>
      </c>
    </row>
  </sheetData>
  <sheetProtection algorithmName="SHA-512" hashValue="Ai91QeYHcEANDy3SyPQmf+j7VbsehK3L95SKIg6cHZhI5itJWi2T6FQzZH36rhJduZP2/BipGUiFJO1D7Ux1SQ==" saltValue="UGecOigzVCOHFg7s0ICYlA==" spinCount="100000" sheet="1" objects="1" scenarios="1"/>
  <phoneticPr fontId="5"/>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0" tint="-0.14999847407452621"/>
  </sheetPr>
  <dimension ref="A1:S2000"/>
  <sheetViews>
    <sheetView zoomScaleNormal="100" workbookViewId="0"/>
  </sheetViews>
  <sheetFormatPr defaultRowHeight="18.75"/>
  <cols>
    <col min="1" max="1" width="4.125" customWidth="1"/>
    <col min="2" max="2" width="9.25" bestFit="1" customWidth="1"/>
    <col min="3" max="4" width="47.125" customWidth="1"/>
    <col min="5" max="5" width="4.125" customWidth="1"/>
    <col min="6" max="6" width="31.75" customWidth="1"/>
    <col min="7" max="8" width="4.125" customWidth="1"/>
    <col min="9" max="9" width="13.875" customWidth="1"/>
    <col min="10" max="10" width="34.625" customWidth="1"/>
    <col min="11" max="11" width="16.625" bestFit="1" customWidth="1"/>
    <col min="12" max="16" width="14.25" customWidth="1"/>
    <col min="18" max="18" width="39.375" customWidth="1"/>
    <col min="19" max="19" width="13.75" bestFit="1" customWidth="1"/>
    <col min="24" max="24" width="63" bestFit="1" customWidth="1"/>
  </cols>
  <sheetData>
    <row r="1" spans="2:19">
      <c r="S1" t="s">
        <v>742</v>
      </c>
    </row>
    <row r="2" spans="2:19" ht="18.75" customHeight="1">
      <c r="I2" s="1001" t="s">
        <v>776</v>
      </c>
      <c r="J2" s="1002"/>
      <c r="K2" s="1006" t="s">
        <v>624</v>
      </c>
      <c r="L2" s="180" t="s">
        <v>607</v>
      </c>
      <c r="M2" s="180" t="s">
        <v>607</v>
      </c>
      <c r="N2" s="180" t="s">
        <v>607</v>
      </c>
      <c r="O2" s="180" t="s">
        <v>607</v>
      </c>
      <c r="P2" s="180" t="s">
        <v>607</v>
      </c>
      <c r="R2" s="999" t="s">
        <v>624</v>
      </c>
      <c r="S2" s="185" t="s">
        <v>607</v>
      </c>
    </row>
    <row r="3" spans="2:19">
      <c r="I3" s="1001"/>
      <c r="J3" s="1002"/>
      <c r="K3" s="1006"/>
      <c r="L3" s="180" t="s">
        <v>734</v>
      </c>
      <c r="M3" s="180" t="s">
        <v>735</v>
      </c>
      <c r="N3" s="180" t="s">
        <v>736</v>
      </c>
      <c r="O3" s="180" t="s">
        <v>737</v>
      </c>
      <c r="P3" s="180" t="s">
        <v>738</v>
      </c>
      <c r="R3" s="999"/>
      <c r="S3" s="185" t="str">
        <f>CONCATENATE(事業所概要_算定体制!$B$3,事業所概要_算定体制!$C$3,"年度")</f>
        <v>令和７年度</v>
      </c>
    </row>
    <row r="4" spans="2:19">
      <c r="K4" s="121" t="s">
        <v>477</v>
      </c>
      <c r="L4" s="121">
        <v>4.1599999999999997E-4</v>
      </c>
      <c r="M4" s="121">
        <v>4.1599999999999997E-4</v>
      </c>
      <c r="N4" s="121">
        <v>4.1599999999999997E-4</v>
      </c>
      <c r="O4" s="121">
        <v>4.1599999999999997E-4</v>
      </c>
      <c r="P4" s="121">
        <v>4.1599999999999997E-4</v>
      </c>
      <c r="R4" s="121" t="s">
        <v>477</v>
      </c>
      <c r="S4" s="121">
        <f>HLOOKUP($S$3,$L$3:$P$5,2,FALSE)</f>
        <v>4.1599999999999997E-4</v>
      </c>
    </row>
    <row r="5" spans="2:19">
      <c r="K5" s="121" t="s">
        <v>623</v>
      </c>
      <c r="L5" s="121">
        <v>4.2299999999999998E-4</v>
      </c>
      <c r="M5" s="121">
        <v>4.2299999999999998E-4</v>
      </c>
      <c r="N5" s="121">
        <v>4.2299999999999998E-4</v>
      </c>
      <c r="O5" s="121">
        <v>4.2299999999999998E-4</v>
      </c>
      <c r="P5" s="121">
        <v>4.2299999999999998E-4</v>
      </c>
      <c r="R5" s="121" t="s">
        <v>896</v>
      </c>
      <c r="S5" s="121">
        <f>HLOOKUP($S$3,$L$3:$P$5,3,FALSE)</f>
        <v>4.2299999999999998E-4</v>
      </c>
    </row>
    <row r="7" spans="2:19">
      <c r="B7" s="1003" t="s">
        <v>408</v>
      </c>
      <c r="C7" s="1003" t="s">
        <v>617</v>
      </c>
      <c r="D7" s="1005" t="s">
        <v>625</v>
      </c>
      <c r="F7" s="1005" t="s">
        <v>621</v>
      </c>
      <c r="I7" s="1007" t="s">
        <v>622</v>
      </c>
      <c r="J7" s="1008"/>
      <c r="K7" s="1005" t="s">
        <v>409</v>
      </c>
      <c r="L7" s="180" t="s">
        <v>607</v>
      </c>
      <c r="M7" s="180" t="s">
        <v>607</v>
      </c>
      <c r="N7" s="180" t="s">
        <v>607</v>
      </c>
      <c r="O7" s="180" t="s">
        <v>607</v>
      </c>
      <c r="P7" s="180" t="s">
        <v>607</v>
      </c>
      <c r="R7" s="1000" t="s">
        <v>743</v>
      </c>
      <c r="S7" s="185" t="s">
        <v>607</v>
      </c>
    </row>
    <row r="8" spans="2:19">
      <c r="B8" s="1004"/>
      <c r="C8" s="1004"/>
      <c r="D8" s="1005"/>
      <c r="F8" s="1005"/>
      <c r="I8" s="183" t="s">
        <v>408</v>
      </c>
      <c r="J8" s="183" t="s">
        <v>617</v>
      </c>
      <c r="K8" s="1005"/>
      <c r="L8" s="180" t="s">
        <v>734</v>
      </c>
      <c r="M8" s="180" t="s">
        <v>735</v>
      </c>
      <c r="N8" s="180" t="s">
        <v>736</v>
      </c>
      <c r="O8" s="180" t="s">
        <v>737</v>
      </c>
      <c r="P8" s="180" t="s">
        <v>738</v>
      </c>
      <c r="R8" s="1000"/>
      <c r="S8" s="185" t="str">
        <f>CONCATENATE(事業所概要_算定体制!$B$3,事業所概要_算定体制!$C$3,"年度")</f>
        <v>令和７年度</v>
      </c>
    </row>
    <row r="9" spans="2:19">
      <c r="B9" s="121" t="s">
        <v>979</v>
      </c>
      <c r="C9" s="490" t="s">
        <v>908</v>
      </c>
      <c r="D9" s="490" t="str">
        <f t="shared" ref="D9:D72" si="0">IF(B9="","",B9&amp;":"&amp;C9)</f>
        <v>A0269:東京電力エナジーパートナー(株)</v>
      </c>
      <c r="F9" s="124"/>
      <c r="I9" s="124" t="s">
        <v>648</v>
      </c>
      <c r="J9" s="124" t="s">
        <v>1488</v>
      </c>
      <c r="K9" s="181"/>
      <c r="L9" s="181">
        <v>4.2200000000000001E-4</v>
      </c>
      <c r="M9" s="181">
        <v>4.2200000000000001E-4</v>
      </c>
      <c r="N9" s="181">
        <v>4.2200000000000001E-4</v>
      </c>
      <c r="O9" s="181">
        <v>4.2200000000000001E-4</v>
      </c>
      <c r="P9" s="181">
        <v>4.2200000000000001E-4</v>
      </c>
      <c r="R9" s="156" t="str">
        <f>I9&amp;":"&amp;J9&amp;K9</f>
        <v>A0002:イーレックス(株)</v>
      </c>
      <c r="S9" s="181">
        <f>HLOOKUP($S$8,$L$8:$P$2000,ROW()-7,FALSE)</f>
        <v>4.2200000000000001E-4</v>
      </c>
    </row>
    <row r="10" spans="2:19">
      <c r="B10" s="121" t="s">
        <v>648</v>
      </c>
      <c r="C10" s="490" t="s">
        <v>1488</v>
      </c>
      <c r="D10" s="490" t="str">
        <f t="shared" si="0"/>
        <v>A0002:イーレックス(株)</v>
      </c>
      <c r="F10" s="125" t="s">
        <v>391</v>
      </c>
      <c r="I10" s="125" t="s">
        <v>980</v>
      </c>
      <c r="J10" s="125" t="s">
        <v>1489</v>
      </c>
      <c r="K10" s="182"/>
      <c r="L10" s="182">
        <v>0</v>
      </c>
      <c r="M10" s="182">
        <v>0</v>
      </c>
      <c r="N10" s="182">
        <v>0</v>
      </c>
      <c r="O10" s="182">
        <v>0</v>
      </c>
      <c r="P10" s="182">
        <v>0</v>
      </c>
      <c r="R10" s="155" t="str">
        <f t="shared" ref="R10:R73" si="1">I10&amp;":"&amp;J10&amp;K10</f>
        <v>A0003:リエスパワー(株)</v>
      </c>
      <c r="S10" s="181">
        <f t="shared" ref="S10:S73" si="2">HLOOKUP($S$8,$L$8:$P$2000,ROW()-7,FALSE)</f>
        <v>0</v>
      </c>
    </row>
    <row r="11" spans="2:19">
      <c r="B11" s="121" t="s">
        <v>980</v>
      </c>
      <c r="C11" s="490" t="s">
        <v>1489</v>
      </c>
      <c r="D11" s="490" t="str">
        <f t="shared" si="0"/>
        <v>A0003:リエスパワー(株)</v>
      </c>
      <c r="F11" s="125" t="s">
        <v>392</v>
      </c>
      <c r="I11" s="125" t="s">
        <v>981</v>
      </c>
      <c r="J11" s="125" t="s">
        <v>1490</v>
      </c>
      <c r="K11" s="182" t="s">
        <v>652</v>
      </c>
      <c r="L11" s="182">
        <v>0</v>
      </c>
      <c r="M11" s="182">
        <v>0</v>
      </c>
      <c r="N11" s="182">
        <v>0</v>
      </c>
      <c r="O11" s="182">
        <v>0</v>
      </c>
      <c r="P11" s="182">
        <v>0</v>
      </c>
      <c r="R11" s="155" t="str">
        <f t="shared" si="1"/>
        <v>A0004:エバーグリーン・リテイリング(株)メニューA</v>
      </c>
      <c r="S11" s="181">
        <f t="shared" si="2"/>
        <v>0</v>
      </c>
    </row>
    <row r="12" spans="2:19">
      <c r="B12" s="121" t="s">
        <v>981</v>
      </c>
      <c r="C12" s="490" t="s">
        <v>1490</v>
      </c>
      <c r="D12" s="490" t="str">
        <f t="shared" si="0"/>
        <v>A0004:エバーグリーン・リテイリング(株)</v>
      </c>
      <c r="F12" s="125" t="s">
        <v>393</v>
      </c>
      <c r="I12" s="125" t="s">
        <v>981</v>
      </c>
      <c r="J12" s="125" t="s">
        <v>1490</v>
      </c>
      <c r="K12" s="182" t="s">
        <v>1998</v>
      </c>
      <c r="L12" s="182">
        <v>0</v>
      </c>
      <c r="M12" s="182">
        <v>0</v>
      </c>
      <c r="N12" s="182">
        <v>0</v>
      </c>
      <c r="O12" s="182">
        <v>0</v>
      </c>
      <c r="P12" s="182">
        <v>0</v>
      </c>
      <c r="R12" s="155" t="str">
        <f t="shared" si="1"/>
        <v>A0004:エバーグリーン・リテイリング(株)(参考値)事業者全体</v>
      </c>
      <c r="S12" s="181">
        <f t="shared" si="2"/>
        <v>0</v>
      </c>
    </row>
    <row r="13" spans="2:19">
      <c r="B13" s="121" t="s">
        <v>982</v>
      </c>
      <c r="C13" s="490" t="s">
        <v>1491</v>
      </c>
      <c r="D13" s="490" t="str">
        <f t="shared" si="0"/>
        <v>A0006:エバーグリーン・マーケティング(株)</v>
      </c>
      <c r="F13" s="125" t="s">
        <v>394</v>
      </c>
      <c r="I13" s="125" t="s">
        <v>982</v>
      </c>
      <c r="J13" s="125" t="s">
        <v>1491</v>
      </c>
      <c r="K13" s="182" t="s">
        <v>652</v>
      </c>
      <c r="L13" s="182">
        <v>0</v>
      </c>
      <c r="M13" s="182">
        <v>0</v>
      </c>
      <c r="N13" s="182">
        <v>0</v>
      </c>
      <c r="O13" s="182">
        <v>0</v>
      </c>
      <c r="P13" s="182">
        <v>0</v>
      </c>
      <c r="R13" s="155" t="str">
        <f t="shared" si="1"/>
        <v>A0006:エバーグリーン・マーケティング(株)メニューA</v>
      </c>
      <c r="S13" s="181">
        <f t="shared" si="2"/>
        <v>0</v>
      </c>
    </row>
    <row r="14" spans="2:19">
      <c r="B14" s="121" t="s">
        <v>983</v>
      </c>
      <c r="C14" s="490" t="s">
        <v>1492</v>
      </c>
      <c r="D14" s="490" t="str">
        <f t="shared" si="0"/>
        <v>A0007:(株)SEウイングズ</v>
      </c>
      <c r="F14" s="125" t="s">
        <v>395</v>
      </c>
      <c r="I14" s="125" t="s">
        <v>982</v>
      </c>
      <c r="J14" s="125" t="s">
        <v>1491</v>
      </c>
      <c r="K14" s="182" t="s">
        <v>729</v>
      </c>
      <c r="L14" s="182">
        <v>3.7399999999999998E-4</v>
      </c>
      <c r="M14" s="182">
        <v>3.7399999999999998E-4</v>
      </c>
      <c r="N14" s="182">
        <v>3.7399999999999998E-4</v>
      </c>
      <c r="O14" s="182">
        <v>3.7399999999999998E-4</v>
      </c>
      <c r="P14" s="182">
        <v>3.7399999999999998E-4</v>
      </c>
      <c r="R14" s="155" t="str">
        <f t="shared" si="1"/>
        <v>A0006:エバーグリーン・マーケティング(株)メニューB</v>
      </c>
      <c r="S14" s="181">
        <f t="shared" si="2"/>
        <v>3.7399999999999998E-4</v>
      </c>
    </row>
    <row r="15" spans="2:19">
      <c r="B15" s="121" t="s">
        <v>984</v>
      </c>
      <c r="C15" s="490" t="s">
        <v>1493</v>
      </c>
      <c r="D15" s="490" t="str">
        <f t="shared" si="0"/>
        <v>A0008:(株)イーセル</v>
      </c>
      <c r="F15" s="125" t="s">
        <v>396</v>
      </c>
      <c r="I15" s="125" t="s">
        <v>982</v>
      </c>
      <c r="J15" s="125" t="s">
        <v>1491</v>
      </c>
      <c r="K15" s="182" t="s">
        <v>1998</v>
      </c>
      <c r="L15" s="182">
        <v>3.0800000000000001E-4</v>
      </c>
      <c r="M15" s="182">
        <v>3.0800000000000001E-4</v>
      </c>
      <c r="N15" s="182">
        <v>3.0800000000000001E-4</v>
      </c>
      <c r="O15" s="182">
        <v>3.0800000000000001E-4</v>
      </c>
      <c r="P15" s="182">
        <v>3.0800000000000001E-4</v>
      </c>
      <c r="R15" s="155" t="str">
        <f t="shared" si="1"/>
        <v>A0006:エバーグリーン・マーケティング(株)(参考値)事業者全体</v>
      </c>
      <c r="S15" s="181">
        <f t="shared" si="2"/>
        <v>3.0800000000000001E-4</v>
      </c>
    </row>
    <row r="16" spans="2:19">
      <c r="B16" s="121" t="s">
        <v>985</v>
      </c>
      <c r="C16" s="490" t="s">
        <v>1494</v>
      </c>
      <c r="D16" s="490" t="str">
        <f t="shared" si="0"/>
        <v>A0009:(株)エネット</v>
      </c>
      <c r="F16" s="125" t="s">
        <v>397</v>
      </c>
      <c r="I16" s="125" t="s">
        <v>983</v>
      </c>
      <c r="J16" s="125" t="s">
        <v>1492</v>
      </c>
      <c r="K16" s="182"/>
      <c r="L16" s="182">
        <v>4.1100000000000002E-4</v>
      </c>
      <c r="M16" s="182">
        <v>4.1100000000000002E-4</v>
      </c>
      <c r="N16" s="182">
        <v>4.1100000000000002E-4</v>
      </c>
      <c r="O16" s="182">
        <v>4.1100000000000002E-4</v>
      </c>
      <c r="P16" s="182">
        <v>4.1100000000000002E-4</v>
      </c>
      <c r="R16" s="155" t="str">
        <f t="shared" si="1"/>
        <v>A0007:(株)SEウイングズ</v>
      </c>
      <c r="S16" s="181">
        <f t="shared" si="2"/>
        <v>4.1100000000000002E-4</v>
      </c>
    </row>
    <row r="17" spans="2:19">
      <c r="B17" s="121" t="s">
        <v>986</v>
      </c>
      <c r="C17" s="490" t="s">
        <v>1495</v>
      </c>
      <c r="D17" s="490" t="str">
        <f t="shared" si="0"/>
        <v>A0011:須賀川瓦斯(株)</v>
      </c>
      <c r="F17" s="125" t="s">
        <v>398</v>
      </c>
      <c r="I17" s="125" t="s">
        <v>984</v>
      </c>
      <c r="J17" s="125" t="s">
        <v>1493</v>
      </c>
      <c r="K17" s="182" t="s">
        <v>652</v>
      </c>
      <c r="L17" s="182">
        <v>0</v>
      </c>
      <c r="M17" s="182">
        <v>0</v>
      </c>
      <c r="N17" s="182">
        <v>0</v>
      </c>
      <c r="O17" s="182">
        <v>0</v>
      </c>
      <c r="P17" s="182">
        <v>0</v>
      </c>
      <c r="R17" s="155" t="str">
        <f t="shared" si="1"/>
        <v>A0008:(株)イーセルメニューA</v>
      </c>
      <c r="S17" s="181">
        <f t="shared" si="2"/>
        <v>0</v>
      </c>
    </row>
    <row r="18" spans="2:19">
      <c r="B18" s="121" t="s">
        <v>987</v>
      </c>
      <c r="C18" s="490" t="s">
        <v>1496</v>
      </c>
      <c r="D18" s="490" t="str">
        <f t="shared" si="0"/>
        <v>A0012:出光興産(株)</v>
      </c>
      <c r="F18" s="125" t="s">
        <v>399</v>
      </c>
      <c r="I18" s="125" t="s">
        <v>984</v>
      </c>
      <c r="J18" s="125" t="s">
        <v>1493</v>
      </c>
      <c r="K18" s="182" t="s">
        <v>729</v>
      </c>
      <c r="L18" s="182">
        <v>3.39E-4</v>
      </c>
      <c r="M18" s="182">
        <v>3.39E-4</v>
      </c>
      <c r="N18" s="182">
        <v>3.39E-4</v>
      </c>
      <c r="O18" s="182">
        <v>3.39E-4</v>
      </c>
      <c r="P18" s="182">
        <v>3.39E-4</v>
      </c>
      <c r="R18" s="155" t="str">
        <f t="shared" si="1"/>
        <v>A0008:(株)イーセルメニューB</v>
      </c>
      <c r="S18" s="181">
        <f t="shared" si="2"/>
        <v>3.39E-4</v>
      </c>
    </row>
    <row r="19" spans="2:19">
      <c r="B19" s="121" t="s">
        <v>988</v>
      </c>
      <c r="C19" s="490" t="s">
        <v>1497</v>
      </c>
      <c r="D19" s="490" t="str">
        <f t="shared" si="0"/>
        <v>A0013:(株)オプテージ</v>
      </c>
      <c r="F19" s="125" t="s">
        <v>400</v>
      </c>
      <c r="I19" s="125" t="s">
        <v>984</v>
      </c>
      <c r="J19" s="125" t="s">
        <v>1493</v>
      </c>
      <c r="K19" s="182" t="s">
        <v>1998</v>
      </c>
      <c r="L19" s="182">
        <v>2.9999999999999997E-4</v>
      </c>
      <c r="M19" s="182">
        <v>2.9999999999999997E-4</v>
      </c>
      <c r="N19" s="182">
        <v>2.9999999999999997E-4</v>
      </c>
      <c r="O19" s="182">
        <v>2.9999999999999997E-4</v>
      </c>
      <c r="P19" s="182">
        <v>2.9999999999999997E-4</v>
      </c>
      <c r="R19" s="155" t="str">
        <f t="shared" si="1"/>
        <v>A0008:(株)イーセル(参考値)事業者全体</v>
      </c>
      <c r="S19" s="181">
        <f t="shared" si="2"/>
        <v>2.9999999999999997E-4</v>
      </c>
    </row>
    <row r="20" spans="2:19">
      <c r="B20" s="121" t="s">
        <v>989</v>
      </c>
      <c r="C20" s="490" t="s">
        <v>1498</v>
      </c>
      <c r="D20" s="490" t="str">
        <f t="shared" si="0"/>
        <v>A0014:エネサーブ(株)</v>
      </c>
      <c r="F20" s="125" t="s">
        <v>401</v>
      </c>
      <c r="I20" s="125" t="s">
        <v>985</v>
      </c>
      <c r="J20" s="125" t="s">
        <v>1494</v>
      </c>
      <c r="K20" s="182" t="s">
        <v>652</v>
      </c>
      <c r="L20" s="182">
        <v>0</v>
      </c>
      <c r="M20" s="182">
        <v>0</v>
      </c>
      <c r="N20" s="182">
        <v>0</v>
      </c>
      <c r="O20" s="182">
        <v>0</v>
      </c>
      <c r="P20" s="182">
        <v>0</v>
      </c>
      <c r="R20" s="155" t="str">
        <f t="shared" si="1"/>
        <v>A0009:(株)エネットメニューA</v>
      </c>
      <c r="S20" s="181">
        <f t="shared" si="2"/>
        <v>0</v>
      </c>
    </row>
    <row r="21" spans="2:19">
      <c r="B21" s="121" t="s">
        <v>990</v>
      </c>
      <c r="C21" s="490" t="s">
        <v>1499</v>
      </c>
      <c r="D21" s="490" t="str">
        <f t="shared" si="0"/>
        <v>A0015:(株)エネワンでんき</v>
      </c>
      <c r="F21" s="125" t="s">
        <v>402</v>
      </c>
      <c r="I21" s="125" t="s">
        <v>985</v>
      </c>
      <c r="J21" s="125" t="s">
        <v>1494</v>
      </c>
      <c r="K21" s="182" t="s">
        <v>729</v>
      </c>
      <c r="L21" s="182">
        <v>0</v>
      </c>
      <c r="M21" s="182">
        <v>0</v>
      </c>
      <c r="N21" s="182">
        <v>0</v>
      </c>
      <c r="O21" s="182">
        <v>0</v>
      </c>
      <c r="P21" s="182">
        <v>0</v>
      </c>
      <c r="R21" s="155" t="str">
        <f t="shared" si="1"/>
        <v>A0009:(株)エネットメニューB</v>
      </c>
      <c r="S21" s="181">
        <f t="shared" si="2"/>
        <v>0</v>
      </c>
    </row>
    <row r="22" spans="2:19">
      <c r="B22" s="121" t="s">
        <v>991</v>
      </c>
      <c r="C22" s="490" t="s">
        <v>1500</v>
      </c>
      <c r="D22" s="490" t="str">
        <f t="shared" si="0"/>
        <v>A0016:ミツウロコグリーンエネルギー(株)</v>
      </c>
      <c r="F22" s="125" t="s">
        <v>403</v>
      </c>
      <c r="I22" s="125" t="s">
        <v>985</v>
      </c>
      <c r="J22" s="125" t="s">
        <v>1494</v>
      </c>
      <c r="K22" s="182" t="s">
        <v>730</v>
      </c>
      <c r="L22" s="182">
        <v>2.9999999999999997E-4</v>
      </c>
      <c r="M22" s="182">
        <v>2.9999999999999997E-4</v>
      </c>
      <c r="N22" s="182">
        <v>2.9999999999999997E-4</v>
      </c>
      <c r="O22" s="182">
        <v>2.9999999999999997E-4</v>
      </c>
      <c r="P22" s="182">
        <v>2.9999999999999997E-4</v>
      </c>
      <c r="R22" s="155" t="str">
        <f t="shared" si="1"/>
        <v>A0009:(株)エネットメニューC</v>
      </c>
      <c r="S22" s="181">
        <f t="shared" si="2"/>
        <v>2.9999999999999997E-4</v>
      </c>
    </row>
    <row r="23" spans="2:19">
      <c r="B23" s="121" t="s">
        <v>992</v>
      </c>
      <c r="C23" s="490" t="s">
        <v>1501</v>
      </c>
      <c r="D23" s="490" t="str">
        <f t="shared" si="0"/>
        <v>A0017:(株)リエネ</v>
      </c>
      <c r="F23" s="125" t="s">
        <v>404</v>
      </c>
      <c r="I23" s="125" t="s">
        <v>985</v>
      </c>
      <c r="J23" s="125" t="s">
        <v>1494</v>
      </c>
      <c r="K23" s="182" t="s">
        <v>915</v>
      </c>
      <c r="L23" s="182">
        <v>3.4900000000000003E-4</v>
      </c>
      <c r="M23" s="182">
        <v>3.4900000000000003E-4</v>
      </c>
      <c r="N23" s="182">
        <v>3.4900000000000003E-4</v>
      </c>
      <c r="O23" s="182">
        <v>3.4900000000000003E-4</v>
      </c>
      <c r="P23" s="182">
        <v>3.4900000000000003E-4</v>
      </c>
      <c r="R23" s="155" t="str">
        <f t="shared" si="1"/>
        <v>A0009:(株)エネットメニューD</v>
      </c>
      <c r="S23" s="181">
        <f t="shared" si="2"/>
        <v>3.4900000000000003E-4</v>
      </c>
    </row>
    <row r="24" spans="2:19">
      <c r="B24" s="121" t="s">
        <v>993</v>
      </c>
      <c r="C24" s="490" t="s">
        <v>1502</v>
      </c>
      <c r="D24" s="490" t="str">
        <f t="shared" si="0"/>
        <v>A0018:ネクストパワーやまと(株)</v>
      </c>
      <c r="F24" s="125" t="s">
        <v>405</v>
      </c>
      <c r="I24" s="125" t="s">
        <v>985</v>
      </c>
      <c r="J24" s="125" t="s">
        <v>1494</v>
      </c>
      <c r="K24" s="182" t="s">
        <v>916</v>
      </c>
      <c r="L24" s="182">
        <v>4.0000000000000002E-4</v>
      </c>
      <c r="M24" s="182">
        <v>4.0000000000000002E-4</v>
      </c>
      <c r="N24" s="182">
        <v>4.0000000000000002E-4</v>
      </c>
      <c r="O24" s="182">
        <v>4.0000000000000002E-4</v>
      </c>
      <c r="P24" s="182">
        <v>4.0000000000000002E-4</v>
      </c>
      <c r="R24" s="155" t="str">
        <f t="shared" si="1"/>
        <v>A0009:(株)エネットメニューE</v>
      </c>
      <c r="S24" s="181">
        <f t="shared" si="2"/>
        <v>4.0000000000000002E-4</v>
      </c>
    </row>
    <row r="25" spans="2:19">
      <c r="B25" s="121" t="s">
        <v>994</v>
      </c>
      <c r="C25" s="490" t="s">
        <v>1503</v>
      </c>
      <c r="D25" s="490" t="str">
        <f t="shared" si="0"/>
        <v>A0019:日本テクノ(株)</v>
      </c>
      <c r="F25" s="125" t="s">
        <v>406</v>
      </c>
      <c r="I25" s="125" t="s">
        <v>985</v>
      </c>
      <c r="J25" s="125" t="s">
        <v>1494</v>
      </c>
      <c r="K25" s="182" t="s">
        <v>1999</v>
      </c>
      <c r="L25" s="182">
        <v>5.4699999999999996E-4</v>
      </c>
      <c r="M25" s="182">
        <v>5.4699999999999996E-4</v>
      </c>
      <c r="N25" s="182">
        <v>5.4699999999999996E-4</v>
      </c>
      <c r="O25" s="182">
        <v>5.4699999999999996E-4</v>
      </c>
      <c r="P25" s="182">
        <v>5.4699999999999996E-4</v>
      </c>
      <c r="R25" s="155" t="str">
        <f t="shared" si="1"/>
        <v>A0009:(株)エネットメニューF</v>
      </c>
      <c r="S25" s="181">
        <f t="shared" si="2"/>
        <v>5.4699999999999996E-4</v>
      </c>
    </row>
    <row r="26" spans="2:19">
      <c r="B26" s="121" t="s">
        <v>647</v>
      </c>
      <c r="C26" s="490" t="s">
        <v>1504</v>
      </c>
      <c r="D26" s="490" t="str">
        <f t="shared" si="0"/>
        <v>A0020:中央電力エナジー(株)</v>
      </c>
      <c r="F26" s="125" t="s">
        <v>407</v>
      </c>
      <c r="I26" s="125" t="s">
        <v>985</v>
      </c>
      <c r="J26" s="125" t="s">
        <v>1494</v>
      </c>
      <c r="K26" s="182" t="s">
        <v>1998</v>
      </c>
      <c r="L26" s="182">
        <v>4.1399999999999998E-4</v>
      </c>
      <c r="M26" s="182">
        <v>4.1399999999999998E-4</v>
      </c>
      <c r="N26" s="182">
        <v>4.1399999999999998E-4</v>
      </c>
      <c r="O26" s="182">
        <v>4.1399999999999998E-4</v>
      </c>
      <c r="P26" s="182">
        <v>4.1399999999999998E-4</v>
      </c>
      <c r="R26" s="155" t="str">
        <f t="shared" si="1"/>
        <v>A0009:(株)エネット(参考値)事業者全体</v>
      </c>
      <c r="S26" s="181">
        <f t="shared" si="2"/>
        <v>4.1399999999999998E-4</v>
      </c>
    </row>
    <row r="27" spans="2:19">
      <c r="B27" s="121" t="s">
        <v>995</v>
      </c>
      <c r="C27" s="490" t="s">
        <v>1505</v>
      </c>
      <c r="D27" s="490" t="str">
        <f t="shared" si="0"/>
        <v>A0021:(株)Looop</v>
      </c>
      <c r="F27" s="125" t="s">
        <v>618</v>
      </c>
      <c r="I27" s="125" t="s">
        <v>986</v>
      </c>
      <c r="J27" s="125" t="s">
        <v>1495</v>
      </c>
      <c r="K27" s="182" t="s">
        <v>652</v>
      </c>
      <c r="L27" s="182">
        <v>0</v>
      </c>
      <c r="M27" s="182">
        <v>0</v>
      </c>
      <c r="N27" s="182">
        <v>0</v>
      </c>
      <c r="O27" s="182">
        <v>0</v>
      </c>
      <c r="P27" s="182">
        <v>0</v>
      </c>
      <c r="R27" s="155" t="str">
        <f t="shared" si="1"/>
        <v>A0011:須賀川瓦斯(株)メニューA</v>
      </c>
      <c r="S27" s="181">
        <f t="shared" si="2"/>
        <v>0</v>
      </c>
    </row>
    <row r="28" spans="2:19">
      <c r="B28" s="121" t="s">
        <v>996</v>
      </c>
      <c r="C28" s="490" t="s">
        <v>1506</v>
      </c>
      <c r="D28" s="490" t="str">
        <f t="shared" si="0"/>
        <v>A0023:(株)ナンワ(旧：(株)ナンワエナジー)</v>
      </c>
      <c r="F28" s="125" t="s">
        <v>619</v>
      </c>
      <c r="I28" s="125" t="s">
        <v>986</v>
      </c>
      <c r="J28" s="125" t="s">
        <v>1495</v>
      </c>
      <c r="K28" s="182" t="s">
        <v>729</v>
      </c>
      <c r="L28" s="182">
        <v>0</v>
      </c>
      <c r="M28" s="182">
        <v>0</v>
      </c>
      <c r="N28" s="182">
        <v>0</v>
      </c>
      <c r="O28" s="182">
        <v>0</v>
      </c>
      <c r="P28" s="182">
        <v>0</v>
      </c>
      <c r="R28" s="155" t="str">
        <f t="shared" si="1"/>
        <v>A0011:須賀川瓦斯(株)メニューB</v>
      </c>
      <c r="S28" s="181">
        <f t="shared" si="2"/>
        <v>0</v>
      </c>
    </row>
    <row r="29" spans="2:19">
      <c r="B29" s="121" t="s">
        <v>997</v>
      </c>
      <c r="C29" s="490" t="s">
        <v>1507</v>
      </c>
      <c r="D29" s="490" t="str">
        <f t="shared" si="0"/>
        <v>A0024:静岡ガス＆パワー(株)</v>
      </c>
      <c r="F29" s="125" t="s">
        <v>620</v>
      </c>
      <c r="I29" s="125" t="s">
        <v>986</v>
      </c>
      <c r="J29" s="125" t="s">
        <v>1495</v>
      </c>
      <c r="K29" s="182" t="s">
        <v>730</v>
      </c>
      <c r="L29" s="182">
        <v>0</v>
      </c>
      <c r="M29" s="182">
        <v>0</v>
      </c>
      <c r="N29" s="182">
        <v>0</v>
      </c>
      <c r="O29" s="182">
        <v>0</v>
      </c>
      <c r="P29" s="182">
        <v>0</v>
      </c>
      <c r="R29" s="155" t="str">
        <f t="shared" si="1"/>
        <v>A0011:須賀川瓦斯(株)メニューC</v>
      </c>
      <c r="S29" s="181">
        <f t="shared" si="2"/>
        <v>0</v>
      </c>
    </row>
    <row r="30" spans="2:19">
      <c r="B30" s="121" t="s">
        <v>998</v>
      </c>
      <c r="C30" s="490" t="s">
        <v>1508</v>
      </c>
      <c r="D30" s="490" t="str">
        <f t="shared" si="0"/>
        <v>A0025:荏原環境プラント(株)</v>
      </c>
      <c r="F30" s="125" t="s">
        <v>909</v>
      </c>
      <c r="I30" s="125" t="s">
        <v>986</v>
      </c>
      <c r="J30" s="125" t="s">
        <v>1495</v>
      </c>
      <c r="K30" s="182" t="s">
        <v>915</v>
      </c>
      <c r="L30" s="182">
        <v>4.95E-4</v>
      </c>
      <c r="M30" s="182">
        <v>4.95E-4</v>
      </c>
      <c r="N30" s="182">
        <v>4.95E-4</v>
      </c>
      <c r="O30" s="182">
        <v>4.95E-4</v>
      </c>
      <c r="P30" s="182">
        <v>4.95E-4</v>
      </c>
      <c r="R30" s="155" t="str">
        <f t="shared" si="1"/>
        <v>A0011:須賀川瓦斯(株)メニューD</v>
      </c>
      <c r="S30" s="181">
        <f t="shared" si="2"/>
        <v>4.95E-4</v>
      </c>
    </row>
    <row r="31" spans="2:19">
      <c r="B31" s="121" t="s">
        <v>999</v>
      </c>
      <c r="C31" s="490" t="s">
        <v>1509</v>
      </c>
      <c r="D31" s="490" t="str">
        <f t="shared" si="0"/>
        <v>A0026:東京エコサービス(株)</v>
      </c>
      <c r="F31" s="125" t="s">
        <v>910</v>
      </c>
      <c r="I31" s="125" t="s">
        <v>986</v>
      </c>
      <c r="J31" s="125" t="s">
        <v>1495</v>
      </c>
      <c r="K31" s="182" t="s">
        <v>1998</v>
      </c>
      <c r="L31" s="182">
        <v>4.4499999999999997E-4</v>
      </c>
      <c r="M31" s="182">
        <v>4.4499999999999997E-4</v>
      </c>
      <c r="N31" s="182">
        <v>4.4499999999999997E-4</v>
      </c>
      <c r="O31" s="182">
        <v>4.4499999999999997E-4</v>
      </c>
      <c r="P31" s="182">
        <v>4.4499999999999997E-4</v>
      </c>
      <c r="R31" s="155" t="str">
        <f t="shared" si="1"/>
        <v>A0011:須賀川瓦斯(株)(参考値)事業者全体</v>
      </c>
      <c r="S31" s="181">
        <f t="shared" si="2"/>
        <v>4.4499999999999997E-4</v>
      </c>
    </row>
    <row r="32" spans="2:19">
      <c r="B32" s="121" t="s">
        <v>1000</v>
      </c>
      <c r="C32" s="490" t="s">
        <v>1510</v>
      </c>
      <c r="D32" s="490" t="str">
        <f t="shared" si="0"/>
        <v>A0027:ダイヤモンドパワー(株)</v>
      </c>
      <c r="F32" s="125" t="s">
        <v>911</v>
      </c>
      <c r="I32" s="125" t="s">
        <v>987</v>
      </c>
      <c r="J32" s="125" t="s">
        <v>1496</v>
      </c>
      <c r="K32" s="182" t="s">
        <v>652</v>
      </c>
      <c r="L32" s="182">
        <v>0</v>
      </c>
      <c r="M32" s="182">
        <v>0</v>
      </c>
      <c r="N32" s="182">
        <v>0</v>
      </c>
      <c r="O32" s="182">
        <v>0</v>
      </c>
      <c r="P32" s="182">
        <v>0</v>
      </c>
      <c r="R32" s="155" t="str">
        <f t="shared" si="1"/>
        <v>A0012:出光興産(株)メニューA</v>
      </c>
      <c r="S32" s="181">
        <f t="shared" si="2"/>
        <v>0</v>
      </c>
    </row>
    <row r="33" spans="2:19">
      <c r="B33" s="121" t="s">
        <v>1001</v>
      </c>
      <c r="C33" s="490" t="s">
        <v>1511</v>
      </c>
      <c r="D33" s="490" t="str">
        <f t="shared" si="0"/>
        <v>A0031:(株)新出光</v>
      </c>
      <c r="F33" s="125" t="s">
        <v>912</v>
      </c>
      <c r="I33" s="125" t="s">
        <v>987</v>
      </c>
      <c r="J33" s="125" t="s">
        <v>1496</v>
      </c>
      <c r="K33" s="182" t="s">
        <v>729</v>
      </c>
      <c r="L33" s="182">
        <v>0</v>
      </c>
      <c r="M33" s="182">
        <v>0</v>
      </c>
      <c r="N33" s="182">
        <v>0</v>
      </c>
      <c r="O33" s="182">
        <v>0</v>
      </c>
      <c r="P33" s="182">
        <v>0</v>
      </c>
      <c r="R33" s="155" t="str">
        <f t="shared" si="1"/>
        <v>A0012:出光興産(株)メニューB</v>
      </c>
      <c r="S33" s="181">
        <f t="shared" si="2"/>
        <v>0</v>
      </c>
    </row>
    <row r="34" spans="2:19">
      <c r="B34" s="121" t="s">
        <v>1002</v>
      </c>
      <c r="C34" s="490" t="s">
        <v>1512</v>
      </c>
      <c r="D34" s="490" t="str">
        <f t="shared" si="0"/>
        <v>A0032:セントラル石油瓦斯(株)</v>
      </c>
      <c r="F34" s="125" t="s">
        <v>913</v>
      </c>
      <c r="I34" s="125" t="s">
        <v>987</v>
      </c>
      <c r="J34" s="125" t="s">
        <v>1496</v>
      </c>
      <c r="K34" s="182" t="s">
        <v>730</v>
      </c>
      <c r="L34" s="182">
        <v>2.0000000000000001E-4</v>
      </c>
      <c r="M34" s="182">
        <v>2.0000000000000001E-4</v>
      </c>
      <c r="N34" s="182">
        <v>2.0000000000000001E-4</v>
      </c>
      <c r="O34" s="182">
        <v>2.0000000000000001E-4</v>
      </c>
      <c r="P34" s="182">
        <v>2.0000000000000001E-4</v>
      </c>
      <c r="R34" s="155" t="str">
        <f t="shared" si="1"/>
        <v>A0012:出光興産(株)メニューC</v>
      </c>
      <c r="S34" s="181">
        <f t="shared" si="2"/>
        <v>2.0000000000000001E-4</v>
      </c>
    </row>
    <row r="35" spans="2:19">
      <c r="B35" s="121" t="s">
        <v>1003</v>
      </c>
      <c r="C35" s="490" t="s">
        <v>1513</v>
      </c>
      <c r="D35" s="490" t="str">
        <f t="shared" si="0"/>
        <v>A0034:一般財団法人泉佐野電力</v>
      </c>
      <c r="F35" s="125" t="s">
        <v>914</v>
      </c>
      <c r="I35" s="125" t="s">
        <v>987</v>
      </c>
      <c r="J35" s="125" t="s">
        <v>1496</v>
      </c>
      <c r="K35" s="182" t="s">
        <v>915</v>
      </c>
      <c r="L35" s="182">
        <v>5.3200000000000003E-4</v>
      </c>
      <c r="M35" s="182">
        <v>5.3200000000000003E-4</v>
      </c>
      <c r="N35" s="182">
        <v>5.3200000000000003E-4</v>
      </c>
      <c r="O35" s="182">
        <v>5.3200000000000003E-4</v>
      </c>
      <c r="P35" s="182">
        <v>5.3200000000000003E-4</v>
      </c>
      <c r="R35" s="155" t="str">
        <f t="shared" si="1"/>
        <v>A0012:出光興産(株)メニューD</v>
      </c>
      <c r="S35" s="181">
        <f t="shared" si="2"/>
        <v>5.3200000000000003E-4</v>
      </c>
    </row>
    <row r="36" spans="2:19">
      <c r="B36" s="121" t="s">
        <v>1004</v>
      </c>
      <c r="C36" s="490" t="s">
        <v>1514</v>
      </c>
      <c r="D36" s="490" t="str">
        <f t="shared" si="0"/>
        <v>A0035:コスモエネルギーソリューションズ(株)</v>
      </c>
      <c r="F36" s="128" t="s">
        <v>919</v>
      </c>
      <c r="I36" s="125" t="s">
        <v>987</v>
      </c>
      <c r="J36" s="125" t="s">
        <v>1496</v>
      </c>
      <c r="K36" s="182" t="s">
        <v>1998</v>
      </c>
      <c r="L36" s="182">
        <v>4.1899999999999999E-4</v>
      </c>
      <c r="M36" s="182">
        <v>4.1899999999999999E-4</v>
      </c>
      <c r="N36" s="182">
        <v>4.1899999999999999E-4</v>
      </c>
      <c r="O36" s="182">
        <v>4.1899999999999999E-4</v>
      </c>
      <c r="P36" s="182">
        <v>4.1899999999999999E-4</v>
      </c>
      <c r="R36" s="155" t="str">
        <f t="shared" si="1"/>
        <v>A0012:出光興産(株)(参考値)事業者全体</v>
      </c>
      <c r="S36" s="181">
        <f t="shared" si="2"/>
        <v>4.1899999999999999E-4</v>
      </c>
    </row>
    <row r="37" spans="2:19">
      <c r="B37" s="121" t="s">
        <v>1005</v>
      </c>
      <c r="C37" s="490" t="s">
        <v>1515</v>
      </c>
      <c r="D37" s="490" t="str">
        <f t="shared" si="0"/>
        <v>A0036:(株)グリーンサークル</v>
      </c>
      <c r="I37" s="125" t="s">
        <v>988</v>
      </c>
      <c r="J37" s="125" t="s">
        <v>1497</v>
      </c>
      <c r="K37" s="182" t="s">
        <v>652</v>
      </c>
      <c r="L37" s="182">
        <v>0</v>
      </c>
      <c r="M37" s="182">
        <v>0</v>
      </c>
      <c r="N37" s="182">
        <v>0</v>
      </c>
      <c r="O37" s="182">
        <v>0</v>
      </c>
      <c r="P37" s="182">
        <v>0</v>
      </c>
      <c r="R37" s="155" t="str">
        <f t="shared" si="1"/>
        <v>A0013:(株)オプテージメニューA</v>
      </c>
      <c r="S37" s="181">
        <f t="shared" si="2"/>
        <v>0</v>
      </c>
    </row>
    <row r="38" spans="2:19">
      <c r="B38" s="121" t="s">
        <v>1006</v>
      </c>
      <c r="C38" s="490" t="s">
        <v>1516</v>
      </c>
      <c r="D38" s="490" t="str">
        <f t="shared" si="0"/>
        <v>A0039:北海道瓦斯(株)</v>
      </c>
      <c r="I38" s="125" t="s">
        <v>988</v>
      </c>
      <c r="J38" s="125" t="s">
        <v>1497</v>
      </c>
      <c r="K38" s="182" t="s">
        <v>729</v>
      </c>
      <c r="L38" s="182">
        <v>3.3300000000000002E-4</v>
      </c>
      <c r="M38" s="182">
        <v>3.3300000000000002E-4</v>
      </c>
      <c r="N38" s="182">
        <v>3.3300000000000002E-4</v>
      </c>
      <c r="O38" s="182">
        <v>3.3300000000000002E-4</v>
      </c>
      <c r="P38" s="182">
        <v>3.3300000000000002E-4</v>
      </c>
      <c r="R38" s="155" t="str">
        <f t="shared" si="1"/>
        <v>A0013:(株)オプテージメニューB</v>
      </c>
      <c r="S38" s="181">
        <f t="shared" si="2"/>
        <v>3.3300000000000002E-4</v>
      </c>
    </row>
    <row r="39" spans="2:19">
      <c r="B39" s="121" t="s">
        <v>1007</v>
      </c>
      <c r="C39" s="490" t="s">
        <v>1517</v>
      </c>
      <c r="D39" s="490" t="str">
        <f t="shared" si="0"/>
        <v>A0040:アルカナエナジー(株)</v>
      </c>
      <c r="I39" s="125" t="s">
        <v>988</v>
      </c>
      <c r="J39" s="125" t="s">
        <v>1497</v>
      </c>
      <c r="K39" s="182" t="s">
        <v>1998</v>
      </c>
      <c r="L39" s="182">
        <v>3.3300000000000002E-4</v>
      </c>
      <c r="M39" s="182">
        <v>3.3300000000000002E-4</v>
      </c>
      <c r="N39" s="182">
        <v>3.3300000000000002E-4</v>
      </c>
      <c r="O39" s="182">
        <v>3.3300000000000002E-4</v>
      </c>
      <c r="P39" s="182">
        <v>3.3300000000000002E-4</v>
      </c>
      <c r="R39" s="155" t="str">
        <f t="shared" si="1"/>
        <v>A0013:(株)オプテージ(参考値)事業者全体</v>
      </c>
      <c r="S39" s="181">
        <f t="shared" si="2"/>
        <v>3.3300000000000002E-4</v>
      </c>
    </row>
    <row r="40" spans="2:19">
      <c r="B40" s="121" t="s">
        <v>1008</v>
      </c>
      <c r="C40" s="490" t="s">
        <v>1518</v>
      </c>
      <c r="D40" s="490" t="str">
        <f t="shared" si="0"/>
        <v>A0042:新エネルギー開発(株)</v>
      </c>
      <c r="I40" s="125" t="s">
        <v>989</v>
      </c>
      <c r="J40" s="125" t="s">
        <v>1498</v>
      </c>
      <c r="K40" s="182" t="s">
        <v>652</v>
      </c>
      <c r="L40" s="182">
        <v>0</v>
      </c>
      <c r="M40" s="182">
        <v>0</v>
      </c>
      <c r="N40" s="182">
        <v>0</v>
      </c>
      <c r="O40" s="182">
        <v>0</v>
      </c>
      <c r="P40" s="182">
        <v>0</v>
      </c>
      <c r="R40" s="155" t="str">
        <f t="shared" si="1"/>
        <v>A0014:エネサーブ(株)メニューA</v>
      </c>
      <c r="S40" s="181">
        <f t="shared" si="2"/>
        <v>0</v>
      </c>
    </row>
    <row r="41" spans="2:19">
      <c r="B41" s="121" t="s">
        <v>1009</v>
      </c>
      <c r="C41" s="490" t="s">
        <v>1519</v>
      </c>
      <c r="D41" s="490" t="str">
        <f t="shared" si="0"/>
        <v>A0043:伊藤忠エネクス(株)</v>
      </c>
      <c r="I41" s="125" t="s">
        <v>989</v>
      </c>
      <c r="J41" s="125" t="s">
        <v>1498</v>
      </c>
      <c r="K41" s="182" t="s">
        <v>729</v>
      </c>
      <c r="L41" s="182">
        <v>6.6E-4</v>
      </c>
      <c r="M41" s="182">
        <v>6.6E-4</v>
      </c>
      <c r="N41" s="182">
        <v>6.6E-4</v>
      </c>
      <c r="O41" s="182">
        <v>6.6E-4</v>
      </c>
      <c r="P41" s="182">
        <v>6.6E-4</v>
      </c>
      <c r="R41" s="155" t="str">
        <f t="shared" si="1"/>
        <v>A0014:エネサーブ(株)メニューB</v>
      </c>
      <c r="S41" s="181">
        <f t="shared" si="2"/>
        <v>6.6E-4</v>
      </c>
    </row>
    <row r="42" spans="2:19">
      <c r="B42" s="121" t="s">
        <v>1010</v>
      </c>
      <c r="C42" s="490" t="s">
        <v>1520</v>
      </c>
      <c r="D42" s="490" t="str">
        <f t="shared" si="0"/>
        <v>A0045:(株)VーPower</v>
      </c>
      <c r="I42" s="125" t="s">
        <v>989</v>
      </c>
      <c r="J42" s="125" t="s">
        <v>1498</v>
      </c>
      <c r="K42" s="182" t="s">
        <v>1998</v>
      </c>
      <c r="L42" s="182">
        <v>2.8400000000000002E-4</v>
      </c>
      <c r="M42" s="182">
        <v>2.8400000000000002E-4</v>
      </c>
      <c r="N42" s="182">
        <v>2.8400000000000002E-4</v>
      </c>
      <c r="O42" s="182">
        <v>2.8400000000000002E-4</v>
      </c>
      <c r="P42" s="182">
        <v>2.8400000000000002E-4</v>
      </c>
      <c r="R42" s="155" t="str">
        <f t="shared" si="1"/>
        <v>A0014:エネサーブ(株)(参考値)事業者全体</v>
      </c>
      <c r="S42" s="181">
        <f t="shared" si="2"/>
        <v>2.8400000000000002E-4</v>
      </c>
    </row>
    <row r="43" spans="2:19">
      <c r="B43" s="121" t="s">
        <v>1011</v>
      </c>
      <c r="C43" s="490" t="s">
        <v>1521</v>
      </c>
      <c r="D43" s="490" t="str">
        <f t="shared" si="0"/>
        <v>A0046:大和エネルギー(株)</v>
      </c>
      <c r="I43" s="125" t="s">
        <v>990</v>
      </c>
      <c r="J43" s="125" t="s">
        <v>1499</v>
      </c>
      <c r="K43" s="182" t="s">
        <v>652</v>
      </c>
      <c r="L43" s="182">
        <v>4.0299999999999998E-4</v>
      </c>
      <c r="M43" s="182">
        <v>4.0299999999999998E-4</v>
      </c>
      <c r="N43" s="182">
        <v>4.0299999999999998E-4</v>
      </c>
      <c r="O43" s="182">
        <v>4.0299999999999998E-4</v>
      </c>
      <c r="P43" s="182">
        <v>4.0299999999999998E-4</v>
      </c>
      <c r="R43" s="155" t="str">
        <f t="shared" si="1"/>
        <v>A0015:(株)エネワンでんきメニューA</v>
      </c>
      <c r="S43" s="181">
        <f t="shared" si="2"/>
        <v>4.0299999999999998E-4</v>
      </c>
    </row>
    <row r="44" spans="2:19">
      <c r="B44" s="121" t="s">
        <v>1012</v>
      </c>
      <c r="C44" s="490" t="s">
        <v>1522</v>
      </c>
      <c r="D44" s="490" t="str">
        <f t="shared" si="0"/>
        <v>A0048:大阪瓦斯(株)</v>
      </c>
      <c r="I44" s="125" t="s">
        <v>990</v>
      </c>
      <c r="J44" s="125" t="s">
        <v>1499</v>
      </c>
      <c r="K44" s="182" t="s">
        <v>729</v>
      </c>
      <c r="L44" s="182">
        <v>3.79E-4</v>
      </c>
      <c r="M44" s="182">
        <v>3.79E-4</v>
      </c>
      <c r="N44" s="182">
        <v>3.79E-4</v>
      </c>
      <c r="O44" s="182">
        <v>3.79E-4</v>
      </c>
      <c r="P44" s="182">
        <v>3.79E-4</v>
      </c>
      <c r="R44" s="155" t="str">
        <f t="shared" si="1"/>
        <v>A0015:(株)エネワンでんきメニューB</v>
      </c>
      <c r="S44" s="181">
        <f t="shared" si="2"/>
        <v>3.79E-4</v>
      </c>
    </row>
    <row r="45" spans="2:19">
      <c r="B45" s="121" t="s">
        <v>1013</v>
      </c>
      <c r="C45" s="490" t="s">
        <v>1523</v>
      </c>
      <c r="D45" s="490" t="str">
        <f t="shared" si="0"/>
        <v>A0049:エフビットコミュニケーションズ(株)　</v>
      </c>
      <c r="I45" s="125" t="s">
        <v>990</v>
      </c>
      <c r="J45" s="125" t="s">
        <v>1499</v>
      </c>
      <c r="K45" s="182" t="s">
        <v>1998</v>
      </c>
      <c r="L45" s="182">
        <v>3.79E-4</v>
      </c>
      <c r="M45" s="182">
        <v>3.79E-4</v>
      </c>
      <c r="N45" s="182">
        <v>3.79E-4</v>
      </c>
      <c r="O45" s="182">
        <v>3.79E-4</v>
      </c>
      <c r="P45" s="182">
        <v>3.79E-4</v>
      </c>
      <c r="R45" s="155" t="str">
        <f t="shared" si="1"/>
        <v>A0015:(株)エネワンでんき(参考値)事業者全体</v>
      </c>
      <c r="S45" s="181">
        <f t="shared" si="2"/>
        <v>3.79E-4</v>
      </c>
    </row>
    <row r="46" spans="2:19">
      <c r="B46" s="121" t="s">
        <v>1014</v>
      </c>
      <c r="C46" s="490" t="s">
        <v>1524</v>
      </c>
      <c r="D46" s="490" t="str">
        <f t="shared" si="0"/>
        <v>A0050:ENEOS Power(株)（旧:ENEOS(株)）</v>
      </c>
      <c r="I46" s="125" t="s">
        <v>991</v>
      </c>
      <c r="J46" s="125" t="s">
        <v>1500</v>
      </c>
      <c r="K46" s="182" t="s">
        <v>652</v>
      </c>
      <c r="L46" s="182">
        <v>0</v>
      </c>
      <c r="M46" s="182">
        <v>0</v>
      </c>
      <c r="N46" s="182">
        <v>0</v>
      </c>
      <c r="O46" s="182">
        <v>0</v>
      </c>
      <c r="P46" s="182">
        <v>0</v>
      </c>
      <c r="R46" s="155" t="str">
        <f t="shared" si="1"/>
        <v>A0016:ミツウロコグリーンエネルギー(株)メニューA</v>
      </c>
      <c r="S46" s="181">
        <f t="shared" si="2"/>
        <v>0</v>
      </c>
    </row>
    <row r="47" spans="2:19">
      <c r="B47" s="121" t="s">
        <v>1015</v>
      </c>
      <c r="C47" s="490" t="s">
        <v>1525</v>
      </c>
      <c r="D47" s="490" t="str">
        <f t="shared" si="0"/>
        <v>A0051:真庭バイオエネルギー(株)</v>
      </c>
      <c r="I47" s="125" t="s">
        <v>991</v>
      </c>
      <c r="J47" s="125" t="s">
        <v>1500</v>
      </c>
      <c r="K47" s="182" t="s">
        <v>729</v>
      </c>
      <c r="L47" s="182">
        <v>2.0000000000000001E-4</v>
      </c>
      <c r="M47" s="182">
        <v>2.0000000000000001E-4</v>
      </c>
      <c r="N47" s="182">
        <v>2.0000000000000001E-4</v>
      </c>
      <c r="O47" s="182">
        <v>2.0000000000000001E-4</v>
      </c>
      <c r="P47" s="182">
        <v>2.0000000000000001E-4</v>
      </c>
      <c r="R47" s="155" t="str">
        <f t="shared" si="1"/>
        <v>A0016:ミツウロコグリーンエネルギー(株)メニューB</v>
      </c>
      <c r="S47" s="181">
        <f t="shared" si="2"/>
        <v>2.0000000000000001E-4</v>
      </c>
    </row>
    <row r="48" spans="2:19">
      <c r="B48" s="121" t="s">
        <v>1016</v>
      </c>
      <c r="C48" s="490" t="s">
        <v>1526</v>
      </c>
      <c r="D48" s="490" t="str">
        <f t="shared" si="0"/>
        <v>A0052:三井物産(株)</v>
      </c>
      <c r="I48" s="125" t="s">
        <v>991</v>
      </c>
      <c r="J48" s="125" t="s">
        <v>1500</v>
      </c>
      <c r="K48" s="182" t="s">
        <v>730</v>
      </c>
      <c r="L48" s="182">
        <v>0</v>
      </c>
      <c r="M48" s="182">
        <v>0</v>
      </c>
      <c r="N48" s="182">
        <v>0</v>
      </c>
      <c r="O48" s="182">
        <v>0</v>
      </c>
      <c r="P48" s="182">
        <v>0</v>
      </c>
      <c r="R48" s="155" t="str">
        <f t="shared" si="1"/>
        <v>A0016:ミツウロコグリーンエネルギー(株)メニューC</v>
      </c>
      <c r="S48" s="181">
        <f t="shared" si="2"/>
        <v>0</v>
      </c>
    </row>
    <row r="49" spans="2:19">
      <c r="B49" s="121" t="s">
        <v>1017</v>
      </c>
      <c r="C49" s="490" t="s">
        <v>1527</v>
      </c>
      <c r="D49" s="490" t="str">
        <f t="shared" si="0"/>
        <v>A0053:オリックス(株)</v>
      </c>
      <c r="I49" s="125" t="s">
        <v>991</v>
      </c>
      <c r="J49" s="125" t="s">
        <v>1500</v>
      </c>
      <c r="K49" s="182" t="s">
        <v>915</v>
      </c>
      <c r="L49" s="182">
        <v>0</v>
      </c>
      <c r="M49" s="182">
        <v>0</v>
      </c>
      <c r="N49" s="182">
        <v>0</v>
      </c>
      <c r="O49" s="182">
        <v>0</v>
      </c>
      <c r="P49" s="182">
        <v>0</v>
      </c>
      <c r="R49" s="155" t="str">
        <f t="shared" si="1"/>
        <v>A0016:ミツウロコグリーンエネルギー(株)メニューD</v>
      </c>
      <c r="S49" s="181">
        <f t="shared" si="2"/>
        <v>0</v>
      </c>
    </row>
    <row r="50" spans="2:19">
      <c r="B50" s="121" t="s">
        <v>1018</v>
      </c>
      <c r="C50" s="490" t="s">
        <v>1528</v>
      </c>
      <c r="D50" s="490" t="str">
        <f t="shared" si="0"/>
        <v>A0054:(株)エネサンス関東</v>
      </c>
      <c r="I50" s="125" t="s">
        <v>991</v>
      </c>
      <c r="J50" s="125" t="s">
        <v>1500</v>
      </c>
      <c r="K50" s="182" t="s">
        <v>916</v>
      </c>
      <c r="L50" s="182">
        <v>2.5799999999999998E-4</v>
      </c>
      <c r="M50" s="182">
        <v>2.5799999999999998E-4</v>
      </c>
      <c r="N50" s="182">
        <v>2.5799999999999998E-4</v>
      </c>
      <c r="O50" s="182">
        <v>2.5799999999999998E-4</v>
      </c>
      <c r="P50" s="182">
        <v>2.5799999999999998E-4</v>
      </c>
      <c r="R50" s="155" t="str">
        <f t="shared" si="1"/>
        <v>A0016:ミツウロコグリーンエネルギー(株)メニューE</v>
      </c>
      <c r="S50" s="181">
        <f t="shared" si="2"/>
        <v>2.5799999999999998E-4</v>
      </c>
    </row>
    <row r="51" spans="2:19">
      <c r="B51" s="121" t="s">
        <v>1019</v>
      </c>
      <c r="C51" s="490" t="s">
        <v>1529</v>
      </c>
      <c r="D51" s="490" t="str">
        <f t="shared" si="0"/>
        <v>A0055:(株)UPDATER</v>
      </c>
      <c r="I51" s="125" t="s">
        <v>991</v>
      </c>
      <c r="J51" s="125" t="s">
        <v>1500</v>
      </c>
      <c r="K51" s="182" t="s">
        <v>1999</v>
      </c>
      <c r="L51" s="182">
        <v>0</v>
      </c>
      <c r="M51" s="182">
        <v>0</v>
      </c>
      <c r="N51" s="182">
        <v>0</v>
      </c>
      <c r="O51" s="182">
        <v>0</v>
      </c>
      <c r="P51" s="182">
        <v>0</v>
      </c>
      <c r="R51" s="155" t="str">
        <f t="shared" si="1"/>
        <v>A0016:ミツウロコグリーンエネルギー(株)メニューF</v>
      </c>
      <c r="S51" s="181">
        <f t="shared" si="2"/>
        <v>0</v>
      </c>
    </row>
    <row r="52" spans="2:19">
      <c r="B52" s="121" t="s">
        <v>1020</v>
      </c>
      <c r="C52" s="490" t="s">
        <v>1530</v>
      </c>
      <c r="D52" s="490" t="str">
        <f t="shared" si="0"/>
        <v>A0056:シン・エナジー(株)</v>
      </c>
      <c r="I52" s="125" t="s">
        <v>991</v>
      </c>
      <c r="J52" s="125" t="s">
        <v>1500</v>
      </c>
      <c r="K52" s="182" t="s">
        <v>2000</v>
      </c>
      <c r="L52" s="182">
        <v>0</v>
      </c>
      <c r="M52" s="182">
        <v>0</v>
      </c>
      <c r="N52" s="182">
        <v>0</v>
      </c>
      <c r="O52" s="182">
        <v>0</v>
      </c>
      <c r="P52" s="182">
        <v>0</v>
      </c>
      <c r="R52" s="155" t="str">
        <f t="shared" si="1"/>
        <v>A0016:ミツウロコグリーンエネルギー(株)メニューG</v>
      </c>
      <c r="S52" s="181">
        <f t="shared" si="2"/>
        <v>0</v>
      </c>
    </row>
    <row r="53" spans="2:19">
      <c r="B53" s="121" t="s">
        <v>1021</v>
      </c>
      <c r="C53" s="490" t="s">
        <v>1531</v>
      </c>
      <c r="D53" s="490" t="str">
        <f t="shared" si="0"/>
        <v>A0057:(株)サニックス</v>
      </c>
      <c r="I53" s="125" t="s">
        <v>991</v>
      </c>
      <c r="J53" s="125" t="s">
        <v>1500</v>
      </c>
      <c r="K53" s="182" t="s">
        <v>2001</v>
      </c>
      <c r="L53" s="182">
        <v>0</v>
      </c>
      <c r="M53" s="182">
        <v>0</v>
      </c>
      <c r="N53" s="182">
        <v>0</v>
      </c>
      <c r="O53" s="182">
        <v>0</v>
      </c>
      <c r="P53" s="182">
        <v>0</v>
      </c>
      <c r="R53" s="155" t="str">
        <f t="shared" si="1"/>
        <v>A0016:ミツウロコグリーンエネルギー(株)メニューH</v>
      </c>
      <c r="S53" s="181">
        <f t="shared" si="2"/>
        <v>0</v>
      </c>
    </row>
    <row r="54" spans="2:19">
      <c r="B54" s="121" t="s">
        <v>1022</v>
      </c>
      <c r="C54" s="490" t="s">
        <v>1532</v>
      </c>
      <c r="D54" s="490" t="str">
        <f t="shared" si="0"/>
        <v>A0058:(株)コンシェルジュ</v>
      </c>
      <c r="I54" s="125" t="s">
        <v>991</v>
      </c>
      <c r="J54" s="125" t="s">
        <v>1500</v>
      </c>
      <c r="K54" s="182" t="s">
        <v>2002</v>
      </c>
      <c r="L54" s="182">
        <v>2.5799999999999998E-4</v>
      </c>
      <c r="M54" s="182">
        <v>2.5799999999999998E-4</v>
      </c>
      <c r="N54" s="182">
        <v>2.5799999999999998E-4</v>
      </c>
      <c r="O54" s="182">
        <v>2.5799999999999998E-4</v>
      </c>
      <c r="P54" s="182">
        <v>2.5799999999999998E-4</v>
      </c>
      <c r="R54" s="155" t="str">
        <f t="shared" si="1"/>
        <v>A0016:ミツウロコグリーンエネルギー(株)メニューI</v>
      </c>
      <c r="S54" s="181">
        <f t="shared" si="2"/>
        <v>2.5799999999999998E-4</v>
      </c>
    </row>
    <row r="55" spans="2:19">
      <c r="B55" s="121" t="s">
        <v>1023</v>
      </c>
      <c r="C55" s="490" t="s">
        <v>1533</v>
      </c>
      <c r="D55" s="490" t="str">
        <f t="shared" si="0"/>
        <v>A0060:(株)アイ・グリッド・ソリューションズ</v>
      </c>
      <c r="I55" s="125" t="s">
        <v>991</v>
      </c>
      <c r="J55" s="125" t="s">
        <v>1500</v>
      </c>
      <c r="K55" s="182" t="s">
        <v>2003</v>
      </c>
      <c r="L55" s="182">
        <v>1.73E-4</v>
      </c>
      <c r="M55" s="182">
        <v>1.73E-4</v>
      </c>
      <c r="N55" s="182">
        <v>1.73E-4</v>
      </c>
      <c r="O55" s="182">
        <v>1.73E-4</v>
      </c>
      <c r="P55" s="182">
        <v>1.73E-4</v>
      </c>
      <c r="R55" s="155" t="str">
        <f t="shared" si="1"/>
        <v>A0016:ミツウロコグリーンエネルギー(株)メニューJ</v>
      </c>
      <c r="S55" s="181">
        <f t="shared" si="2"/>
        <v>1.73E-4</v>
      </c>
    </row>
    <row r="56" spans="2:19">
      <c r="B56" s="121" t="s">
        <v>1024</v>
      </c>
      <c r="C56" s="490" t="s">
        <v>1534</v>
      </c>
      <c r="D56" s="490" t="str">
        <f t="shared" si="0"/>
        <v>A0061:サミットエナジー(株)</v>
      </c>
      <c r="I56" s="125" t="s">
        <v>991</v>
      </c>
      <c r="J56" s="125" t="s">
        <v>1500</v>
      </c>
      <c r="K56" s="182" t="s">
        <v>2004</v>
      </c>
      <c r="L56" s="182">
        <v>4.3600000000000003E-4</v>
      </c>
      <c r="M56" s="182">
        <v>4.3600000000000003E-4</v>
      </c>
      <c r="N56" s="182">
        <v>4.3600000000000003E-4</v>
      </c>
      <c r="O56" s="182">
        <v>4.3600000000000003E-4</v>
      </c>
      <c r="P56" s="182">
        <v>4.3600000000000003E-4</v>
      </c>
      <c r="R56" s="155" t="str">
        <f t="shared" si="1"/>
        <v>A0016:ミツウロコグリーンエネルギー(株)メニューK</v>
      </c>
      <c r="S56" s="181">
        <f t="shared" si="2"/>
        <v>4.3600000000000003E-4</v>
      </c>
    </row>
    <row r="57" spans="2:19">
      <c r="B57" s="121" t="s">
        <v>1025</v>
      </c>
      <c r="C57" s="490" t="s">
        <v>1535</v>
      </c>
      <c r="D57" s="490" t="str">
        <f t="shared" si="0"/>
        <v>A0062:リコージャパン(株)</v>
      </c>
      <c r="I57" s="125" t="s">
        <v>991</v>
      </c>
      <c r="J57" s="125" t="s">
        <v>1500</v>
      </c>
      <c r="K57" s="182" t="s">
        <v>1998</v>
      </c>
      <c r="L57" s="182">
        <v>3.8699999999999997E-4</v>
      </c>
      <c r="M57" s="182">
        <v>3.8699999999999997E-4</v>
      </c>
      <c r="N57" s="182">
        <v>3.8699999999999997E-4</v>
      </c>
      <c r="O57" s="182">
        <v>3.8699999999999997E-4</v>
      </c>
      <c r="P57" s="182">
        <v>3.8699999999999997E-4</v>
      </c>
      <c r="R57" s="155" t="str">
        <f t="shared" si="1"/>
        <v>A0016:ミツウロコグリーンエネルギー(株)(参考値)事業者全体</v>
      </c>
      <c r="S57" s="181">
        <f t="shared" si="2"/>
        <v>3.8699999999999997E-4</v>
      </c>
    </row>
    <row r="58" spans="2:19">
      <c r="B58" s="121" t="s">
        <v>1026</v>
      </c>
      <c r="C58" s="490" t="s">
        <v>1536</v>
      </c>
      <c r="D58" s="490" t="str">
        <f t="shared" si="0"/>
        <v>A0063:(株)エネルギア・ソリューション・アンド・サービス</v>
      </c>
      <c r="I58" s="125" t="s">
        <v>992</v>
      </c>
      <c r="J58" s="125" t="s">
        <v>1501</v>
      </c>
      <c r="K58" s="182" t="s">
        <v>652</v>
      </c>
      <c r="L58" s="182">
        <v>0</v>
      </c>
      <c r="M58" s="182">
        <v>0</v>
      </c>
      <c r="N58" s="182">
        <v>0</v>
      </c>
      <c r="O58" s="182">
        <v>0</v>
      </c>
      <c r="P58" s="182">
        <v>0</v>
      </c>
      <c r="R58" s="155" t="str">
        <f t="shared" si="1"/>
        <v>A0017:(株)リエネメニューA</v>
      </c>
      <c r="S58" s="181">
        <f t="shared" si="2"/>
        <v>0</v>
      </c>
    </row>
    <row r="59" spans="2:19">
      <c r="B59" s="121" t="s">
        <v>1027</v>
      </c>
      <c r="C59" s="490" t="s">
        <v>1537</v>
      </c>
      <c r="D59" s="490" t="str">
        <f t="shared" si="0"/>
        <v>A0064:東京ガス(株)</v>
      </c>
      <c r="I59" s="125" t="s">
        <v>992</v>
      </c>
      <c r="J59" s="125" t="s">
        <v>1501</v>
      </c>
      <c r="K59" s="182" t="s">
        <v>729</v>
      </c>
      <c r="L59" s="182">
        <v>0</v>
      </c>
      <c r="M59" s="182">
        <v>0</v>
      </c>
      <c r="N59" s="182">
        <v>0</v>
      </c>
      <c r="O59" s="182">
        <v>0</v>
      </c>
      <c r="P59" s="182">
        <v>0</v>
      </c>
      <c r="R59" s="155" t="str">
        <f t="shared" si="1"/>
        <v>A0017:(株)リエネメニューB</v>
      </c>
      <c r="S59" s="181">
        <f t="shared" si="2"/>
        <v>0</v>
      </c>
    </row>
    <row r="60" spans="2:19">
      <c r="B60" s="121" t="s">
        <v>1028</v>
      </c>
      <c r="C60" s="490" t="s">
        <v>1538</v>
      </c>
      <c r="D60" s="490" t="str">
        <f t="shared" si="0"/>
        <v>A0065:テス・エンジニアリング(株)</v>
      </c>
      <c r="I60" s="125" t="s">
        <v>992</v>
      </c>
      <c r="J60" s="125" t="s">
        <v>1501</v>
      </c>
      <c r="K60" s="182" t="s">
        <v>730</v>
      </c>
      <c r="L60" s="182">
        <v>5.9199999999999997E-4</v>
      </c>
      <c r="M60" s="182">
        <v>5.9199999999999997E-4</v>
      </c>
      <c r="N60" s="182">
        <v>5.9199999999999997E-4</v>
      </c>
      <c r="O60" s="182">
        <v>5.9199999999999997E-4</v>
      </c>
      <c r="P60" s="182">
        <v>5.9199999999999997E-4</v>
      </c>
      <c r="R60" s="155" t="str">
        <f t="shared" si="1"/>
        <v>A0017:(株)リエネメニューC</v>
      </c>
      <c r="S60" s="181">
        <f t="shared" si="2"/>
        <v>5.9199999999999997E-4</v>
      </c>
    </row>
    <row r="61" spans="2:19">
      <c r="B61" s="121" t="s">
        <v>1029</v>
      </c>
      <c r="C61" s="490" t="s">
        <v>1539</v>
      </c>
      <c r="D61" s="490" t="str">
        <f t="shared" si="0"/>
        <v>A0066:青梅ガス(株)</v>
      </c>
      <c r="I61" s="125" t="s">
        <v>992</v>
      </c>
      <c r="J61" s="125" t="s">
        <v>1501</v>
      </c>
      <c r="K61" s="182" t="s">
        <v>1998</v>
      </c>
      <c r="L61" s="182">
        <v>2.8499999999999999E-4</v>
      </c>
      <c r="M61" s="182">
        <v>2.8499999999999999E-4</v>
      </c>
      <c r="N61" s="182">
        <v>2.8499999999999999E-4</v>
      </c>
      <c r="O61" s="182">
        <v>2.8499999999999999E-4</v>
      </c>
      <c r="P61" s="182">
        <v>2.8499999999999999E-4</v>
      </c>
      <c r="R61" s="155" t="str">
        <f t="shared" si="1"/>
        <v>A0017:(株)リエネ(参考値)事業者全体</v>
      </c>
      <c r="S61" s="181">
        <f t="shared" si="2"/>
        <v>2.8499999999999999E-4</v>
      </c>
    </row>
    <row r="62" spans="2:19">
      <c r="B62" s="121" t="s">
        <v>1030</v>
      </c>
      <c r="C62" s="490" t="s">
        <v>1540</v>
      </c>
      <c r="D62" s="490" t="str">
        <f t="shared" si="0"/>
        <v>A0067:(株)イーネットワークシステムズ</v>
      </c>
      <c r="I62" s="125" t="s">
        <v>993</v>
      </c>
      <c r="J62" s="125" t="s">
        <v>1502</v>
      </c>
      <c r="K62" s="182" t="s">
        <v>652</v>
      </c>
      <c r="L62" s="182">
        <v>0</v>
      </c>
      <c r="M62" s="182">
        <v>0</v>
      </c>
      <c r="N62" s="182">
        <v>0</v>
      </c>
      <c r="O62" s="182">
        <v>0</v>
      </c>
      <c r="P62" s="182">
        <v>0</v>
      </c>
      <c r="R62" s="155" t="str">
        <f t="shared" si="1"/>
        <v>A0018:ネクストパワーやまと(株)メニューA</v>
      </c>
      <c r="S62" s="181">
        <f t="shared" si="2"/>
        <v>0</v>
      </c>
    </row>
    <row r="63" spans="2:19">
      <c r="B63" s="121" t="s">
        <v>1031</v>
      </c>
      <c r="C63" s="490" t="s">
        <v>1541</v>
      </c>
      <c r="D63" s="490" t="str">
        <f t="shared" si="0"/>
        <v>A0068:(株)エネアーク関東</v>
      </c>
      <c r="I63" s="125" t="s">
        <v>993</v>
      </c>
      <c r="J63" s="125" t="s">
        <v>1502</v>
      </c>
      <c r="K63" s="182" t="s">
        <v>729</v>
      </c>
      <c r="L63" s="182">
        <v>2.4499999999999999E-4</v>
      </c>
      <c r="M63" s="182">
        <v>2.4499999999999999E-4</v>
      </c>
      <c r="N63" s="182">
        <v>2.4499999999999999E-4</v>
      </c>
      <c r="O63" s="182">
        <v>2.4499999999999999E-4</v>
      </c>
      <c r="P63" s="182">
        <v>2.4499999999999999E-4</v>
      </c>
      <c r="R63" s="155" t="str">
        <f t="shared" si="1"/>
        <v>A0018:ネクストパワーやまと(株)メニューB</v>
      </c>
      <c r="S63" s="181">
        <f t="shared" si="2"/>
        <v>2.4499999999999999E-4</v>
      </c>
    </row>
    <row r="64" spans="2:19">
      <c r="B64" s="121" t="s">
        <v>1032</v>
      </c>
      <c r="C64" s="490" t="s">
        <v>1542</v>
      </c>
      <c r="D64" s="490" t="str">
        <f t="shared" si="0"/>
        <v>A0069:(株)東急パワーサプライ</v>
      </c>
      <c r="I64" s="125" t="s">
        <v>993</v>
      </c>
      <c r="J64" s="125" t="s">
        <v>1502</v>
      </c>
      <c r="K64" s="182" t="s">
        <v>730</v>
      </c>
      <c r="L64" s="182">
        <v>4.7800000000000002E-4</v>
      </c>
      <c r="M64" s="182">
        <v>4.7800000000000002E-4</v>
      </c>
      <c r="N64" s="182">
        <v>4.7800000000000002E-4</v>
      </c>
      <c r="O64" s="182">
        <v>4.7800000000000002E-4</v>
      </c>
      <c r="P64" s="182">
        <v>4.7800000000000002E-4</v>
      </c>
      <c r="R64" s="155" t="str">
        <f t="shared" si="1"/>
        <v>A0018:ネクストパワーやまと(株)メニューC</v>
      </c>
      <c r="S64" s="181">
        <f t="shared" si="2"/>
        <v>4.7800000000000002E-4</v>
      </c>
    </row>
    <row r="65" spans="2:19">
      <c r="B65" s="121" t="s">
        <v>1033</v>
      </c>
      <c r="C65" s="490" t="s">
        <v>1543</v>
      </c>
      <c r="D65" s="490" t="str">
        <f t="shared" si="0"/>
        <v>A0070:王子・伊藤忠エネクス電力販売(株)</v>
      </c>
      <c r="I65" s="125" t="s">
        <v>993</v>
      </c>
      <c r="J65" s="125" t="s">
        <v>1502</v>
      </c>
      <c r="K65" s="182" t="s">
        <v>1998</v>
      </c>
      <c r="L65" s="182">
        <v>4.75E-4</v>
      </c>
      <c r="M65" s="182">
        <v>4.75E-4</v>
      </c>
      <c r="N65" s="182">
        <v>4.75E-4</v>
      </c>
      <c r="O65" s="182">
        <v>4.75E-4</v>
      </c>
      <c r="P65" s="182">
        <v>4.75E-4</v>
      </c>
      <c r="R65" s="155" t="str">
        <f t="shared" si="1"/>
        <v>A0018:ネクストパワーやまと(株)(参考値)事業者全体</v>
      </c>
      <c r="S65" s="181">
        <f t="shared" si="2"/>
        <v>4.75E-4</v>
      </c>
    </row>
    <row r="66" spans="2:19">
      <c r="B66" s="121" t="s">
        <v>1034</v>
      </c>
      <c r="C66" s="490" t="s">
        <v>1544</v>
      </c>
      <c r="D66" s="490" t="str">
        <f t="shared" si="0"/>
        <v>A0071:伊藤忠商事(株)</v>
      </c>
      <c r="I66" s="125" t="s">
        <v>994</v>
      </c>
      <c r="J66" s="125" t="s">
        <v>1503</v>
      </c>
      <c r="K66" s="182" t="s">
        <v>652</v>
      </c>
      <c r="L66" s="182">
        <v>0</v>
      </c>
      <c r="M66" s="182">
        <v>0</v>
      </c>
      <c r="N66" s="182">
        <v>0</v>
      </c>
      <c r="O66" s="182">
        <v>0</v>
      </c>
      <c r="P66" s="182">
        <v>0</v>
      </c>
      <c r="R66" s="155" t="str">
        <f t="shared" si="1"/>
        <v>A0019:日本テクノ(株)メニューA</v>
      </c>
      <c r="S66" s="181">
        <f t="shared" si="2"/>
        <v>0</v>
      </c>
    </row>
    <row r="67" spans="2:19">
      <c r="B67" s="121" t="s">
        <v>1035</v>
      </c>
      <c r="C67" s="490" t="s">
        <v>1545</v>
      </c>
      <c r="D67" s="490" t="str">
        <f t="shared" si="0"/>
        <v>A0072:(株)エコスタイル</v>
      </c>
      <c r="I67" s="125" t="s">
        <v>994</v>
      </c>
      <c r="J67" s="125" t="s">
        <v>1503</v>
      </c>
      <c r="K67" s="182" t="s">
        <v>729</v>
      </c>
      <c r="L67" s="182">
        <v>4.2000000000000002E-4</v>
      </c>
      <c r="M67" s="182">
        <v>4.2000000000000002E-4</v>
      </c>
      <c r="N67" s="182">
        <v>4.2000000000000002E-4</v>
      </c>
      <c r="O67" s="182">
        <v>4.2000000000000002E-4</v>
      </c>
      <c r="P67" s="182">
        <v>4.2000000000000002E-4</v>
      </c>
      <c r="R67" s="155" t="str">
        <f t="shared" si="1"/>
        <v>A0019:日本テクノ(株)メニューB</v>
      </c>
      <c r="S67" s="181">
        <f t="shared" si="2"/>
        <v>4.2000000000000002E-4</v>
      </c>
    </row>
    <row r="68" spans="2:19">
      <c r="B68" s="121" t="s">
        <v>1036</v>
      </c>
      <c r="C68" s="490" t="s">
        <v>1546</v>
      </c>
      <c r="D68" s="490" t="str">
        <f t="shared" si="0"/>
        <v>A0073:入間ガス(株)</v>
      </c>
      <c r="I68" s="125" t="s">
        <v>994</v>
      </c>
      <c r="J68" s="125" t="s">
        <v>1503</v>
      </c>
      <c r="K68" s="182" t="s">
        <v>1998</v>
      </c>
      <c r="L68" s="182">
        <v>2.4000000000000001E-4</v>
      </c>
      <c r="M68" s="182">
        <v>2.4000000000000001E-4</v>
      </c>
      <c r="N68" s="182">
        <v>2.4000000000000001E-4</v>
      </c>
      <c r="O68" s="182">
        <v>2.4000000000000001E-4</v>
      </c>
      <c r="P68" s="182">
        <v>2.4000000000000001E-4</v>
      </c>
      <c r="R68" s="155" t="str">
        <f t="shared" si="1"/>
        <v>A0019:日本テクノ(株)(参考値)事業者全体</v>
      </c>
      <c r="S68" s="181">
        <f t="shared" si="2"/>
        <v>2.4000000000000001E-4</v>
      </c>
    </row>
    <row r="69" spans="2:19">
      <c r="B69" s="121" t="s">
        <v>1037</v>
      </c>
      <c r="C69" s="490" t="s">
        <v>1547</v>
      </c>
      <c r="D69" s="490" t="str">
        <f t="shared" si="0"/>
        <v>A0075:(株)とんでんホールディングス</v>
      </c>
      <c r="I69" s="125" t="s">
        <v>647</v>
      </c>
      <c r="J69" s="125" t="s">
        <v>1504</v>
      </c>
      <c r="K69" s="182" t="s">
        <v>652</v>
      </c>
      <c r="L69" s="182">
        <v>0</v>
      </c>
      <c r="M69" s="182">
        <v>0</v>
      </c>
      <c r="N69" s="182">
        <v>0</v>
      </c>
      <c r="O69" s="182">
        <v>0</v>
      </c>
      <c r="P69" s="182">
        <v>0</v>
      </c>
      <c r="R69" s="155" t="str">
        <f t="shared" si="1"/>
        <v>A0020:中央電力エナジー(株)メニューA</v>
      </c>
      <c r="S69" s="181">
        <f t="shared" si="2"/>
        <v>0</v>
      </c>
    </row>
    <row r="70" spans="2:19">
      <c r="B70" s="121" t="s">
        <v>1038</v>
      </c>
      <c r="C70" s="490" t="s">
        <v>1548</v>
      </c>
      <c r="D70" s="490" t="str">
        <f t="shared" si="0"/>
        <v>A0076:日鉄エンジニアリング(株)</v>
      </c>
      <c r="I70" s="125" t="s">
        <v>647</v>
      </c>
      <c r="J70" s="125" t="s">
        <v>1504</v>
      </c>
      <c r="K70" s="182" t="s">
        <v>729</v>
      </c>
      <c r="L70" s="182">
        <v>0</v>
      </c>
      <c r="M70" s="182">
        <v>0</v>
      </c>
      <c r="N70" s="182">
        <v>0</v>
      </c>
      <c r="O70" s="182">
        <v>0</v>
      </c>
      <c r="P70" s="182">
        <v>0</v>
      </c>
      <c r="R70" s="155" t="str">
        <f t="shared" si="1"/>
        <v>A0020:中央電力エナジー(株)メニューB</v>
      </c>
      <c r="S70" s="181">
        <f t="shared" si="2"/>
        <v>0</v>
      </c>
    </row>
    <row r="71" spans="2:19">
      <c r="B71" s="121" t="s">
        <v>1039</v>
      </c>
      <c r="C71" s="490" t="s">
        <v>1549</v>
      </c>
      <c r="D71" s="490" t="str">
        <f t="shared" si="0"/>
        <v>A0077:auエネルギー＆ライフ(株)</v>
      </c>
      <c r="I71" s="125" t="s">
        <v>647</v>
      </c>
      <c r="J71" s="125" t="s">
        <v>1504</v>
      </c>
      <c r="K71" s="182" t="s">
        <v>730</v>
      </c>
      <c r="L71" s="182">
        <v>0</v>
      </c>
      <c r="M71" s="182">
        <v>0</v>
      </c>
      <c r="N71" s="182">
        <v>0</v>
      </c>
      <c r="O71" s="182">
        <v>0</v>
      </c>
      <c r="P71" s="182">
        <v>0</v>
      </c>
      <c r="R71" s="155" t="str">
        <f t="shared" si="1"/>
        <v>A0020:中央電力エナジー(株)メニューC</v>
      </c>
      <c r="S71" s="181">
        <f t="shared" si="2"/>
        <v>0</v>
      </c>
    </row>
    <row r="72" spans="2:19">
      <c r="B72" s="121" t="s">
        <v>1040</v>
      </c>
      <c r="C72" s="490" t="s">
        <v>1550</v>
      </c>
      <c r="D72" s="490" t="str">
        <f t="shared" si="0"/>
        <v>A0079:イワタニ関東(株)</v>
      </c>
      <c r="I72" s="125" t="s">
        <v>647</v>
      </c>
      <c r="J72" s="125" t="s">
        <v>1504</v>
      </c>
      <c r="K72" s="182" t="s">
        <v>915</v>
      </c>
      <c r="L72" s="182">
        <v>6.5099999999999999E-4</v>
      </c>
      <c r="M72" s="182">
        <v>6.5099999999999999E-4</v>
      </c>
      <c r="N72" s="182">
        <v>6.5099999999999999E-4</v>
      </c>
      <c r="O72" s="182">
        <v>6.5099999999999999E-4</v>
      </c>
      <c r="P72" s="182">
        <v>6.5099999999999999E-4</v>
      </c>
      <c r="R72" s="155" t="str">
        <f t="shared" si="1"/>
        <v>A0020:中央電力エナジー(株)メニューD</v>
      </c>
      <c r="S72" s="181">
        <f t="shared" si="2"/>
        <v>6.5099999999999999E-4</v>
      </c>
    </row>
    <row r="73" spans="2:19">
      <c r="B73" s="121" t="s">
        <v>1041</v>
      </c>
      <c r="C73" s="490" t="s">
        <v>1551</v>
      </c>
      <c r="D73" s="490" t="str">
        <f t="shared" ref="D73:D136" si="3">IF(B73="","",B73&amp;":"&amp;C73)</f>
        <v>A0080:イワタニ首都圏(株)</v>
      </c>
      <c r="I73" s="125" t="s">
        <v>647</v>
      </c>
      <c r="J73" s="125" t="s">
        <v>1504</v>
      </c>
      <c r="K73" s="182" t="s">
        <v>1998</v>
      </c>
      <c r="L73" s="182">
        <v>2.9799999999999998E-4</v>
      </c>
      <c r="M73" s="182">
        <v>2.9799999999999998E-4</v>
      </c>
      <c r="N73" s="182">
        <v>2.9799999999999998E-4</v>
      </c>
      <c r="O73" s="182">
        <v>2.9799999999999998E-4</v>
      </c>
      <c r="P73" s="182">
        <v>2.9799999999999998E-4</v>
      </c>
      <c r="R73" s="155" t="str">
        <f t="shared" si="1"/>
        <v>A0020:中央電力エナジー(株)(参考値)事業者全体</v>
      </c>
      <c r="S73" s="181">
        <f t="shared" si="2"/>
        <v>2.9799999999999998E-4</v>
      </c>
    </row>
    <row r="74" spans="2:19">
      <c r="B74" s="121" t="s">
        <v>1042</v>
      </c>
      <c r="C74" s="490" t="s">
        <v>1552</v>
      </c>
      <c r="D74" s="490" t="str">
        <f t="shared" si="3"/>
        <v>A0081:サーラeエナジー(株)</v>
      </c>
      <c r="I74" s="125" t="s">
        <v>995</v>
      </c>
      <c r="J74" s="125" t="s">
        <v>1505</v>
      </c>
      <c r="K74" s="182" t="s">
        <v>652</v>
      </c>
      <c r="L74" s="182">
        <v>0</v>
      </c>
      <c r="M74" s="182">
        <v>0</v>
      </c>
      <c r="N74" s="182">
        <v>0</v>
      </c>
      <c r="O74" s="182">
        <v>0</v>
      </c>
      <c r="P74" s="182">
        <v>0</v>
      </c>
      <c r="R74" s="155" t="str">
        <f t="shared" ref="R74:R137" si="4">I74&amp;":"&amp;J74&amp;K74</f>
        <v>A0021:(株)LooopメニューA</v>
      </c>
      <c r="S74" s="181">
        <f t="shared" ref="S74:S137" si="5">HLOOKUP($S$8,$L$8:$P$2000,ROW()-7,FALSE)</f>
        <v>0</v>
      </c>
    </row>
    <row r="75" spans="2:19">
      <c r="B75" s="121" t="s">
        <v>1043</v>
      </c>
      <c r="C75" s="490" t="s">
        <v>1553</v>
      </c>
      <c r="D75" s="490" t="str">
        <f t="shared" si="3"/>
        <v>A0082:(株)地球クラブ</v>
      </c>
      <c r="I75" s="125" t="s">
        <v>995</v>
      </c>
      <c r="J75" s="125" t="s">
        <v>1505</v>
      </c>
      <c r="K75" s="182" t="s">
        <v>729</v>
      </c>
      <c r="L75" s="182">
        <v>1.73E-4</v>
      </c>
      <c r="M75" s="182">
        <v>1.73E-4</v>
      </c>
      <c r="N75" s="182">
        <v>1.73E-4</v>
      </c>
      <c r="O75" s="182">
        <v>1.73E-4</v>
      </c>
      <c r="P75" s="182">
        <v>1.73E-4</v>
      </c>
      <c r="R75" s="155" t="str">
        <f t="shared" si="4"/>
        <v>A0021:(株)LooopメニューB</v>
      </c>
      <c r="S75" s="181">
        <f t="shared" si="5"/>
        <v>1.73E-4</v>
      </c>
    </row>
    <row r="76" spans="2:19">
      <c r="B76" s="121" t="s">
        <v>1044</v>
      </c>
      <c r="C76" s="490" t="s">
        <v>1554</v>
      </c>
      <c r="D76" s="490" t="str">
        <f t="shared" si="3"/>
        <v>A0084:西部瓦斯(株)</v>
      </c>
      <c r="I76" s="125" t="s">
        <v>995</v>
      </c>
      <c r="J76" s="125" t="s">
        <v>1505</v>
      </c>
      <c r="K76" s="182" t="s">
        <v>730</v>
      </c>
      <c r="L76" s="182">
        <v>5.9599999999999996E-4</v>
      </c>
      <c r="M76" s="182">
        <v>5.9599999999999996E-4</v>
      </c>
      <c r="N76" s="182">
        <v>5.9599999999999996E-4</v>
      </c>
      <c r="O76" s="182">
        <v>5.9599999999999996E-4</v>
      </c>
      <c r="P76" s="182">
        <v>5.9599999999999996E-4</v>
      </c>
      <c r="R76" s="155" t="str">
        <f t="shared" si="4"/>
        <v>A0021:(株)LooopメニューC</v>
      </c>
      <c r="S76" s="181">
        <f t="shared" si="5"/>
        <v>5.9599999999999996E-4</v>
      </c>
    </row>
    <row r="77" spans="2:19">
      <c r="B77" s="121" t="s">
        <v>1045</v>
      </c>
      <c r="C77" s="490" t="s">
        <v>1555</v>
      </c>
      <c r="D77" s="490" t="str">
        <f t="shared" si="3"/>
        <v>A0085:東邦ガス(株)</v>
      </c>
      <c r="I77" s="125" t="s">
        <v>995</v>
      </c>
      <c r="J77" s="125" t="s">
        <v>1505</v>
      </c>
      <c r="K77" s="182" t="s">
        <v>1998</v>
      </c>
      <c r="L77" s="182">
        <v>5.8699999999999996E-4</v>
      </c>
      <c r="M77" s="182">
        <v>5.8699999999999996E-4</v>
      </c>
      <c r="N77" s="182">
        <v>5.8699999999999996E-4</v>
      </c>
      <c r="O77" s="182">
        <v>5.8699999999999996E-4</v>
      </c>
      <c r="P77" s="182">
        <v>5.8699999999999996E-4</v>
      </c>
      <c r="R77" s="155" t="str">
        <f t="shared" si="4"/>
        <v>A0021:(株)Looop(参考値)事業者全体</v>
      </c>
      <c r="S77" s="181">
        <f t="shared" si="5"/>
        <v>5.8699999999999996E-4</v>
      </c>
    </row>
    <row r="78" spans="2:19">
      <c r="B78" s="121" t="s">
        <v>1046</v>
      </c>
      <c r="C78" s="490" t="s">
        <v>1556</v>
      </c>
      <c r="D78" s="490" t="str">
        <f t="shared" si="3"/>
        <v>A0086:シナネン(株)</v>
      </c>
      <c r="I78" s="125" t="s">
        <v>996</v>
      </c>
      <c r="J78" s="125" t="s">
        <v>1506</v>
      </c>
      <c r="K78" s="182"/>
      <c r="L78" s="182">
        <v>6.5300000000000004E-4</v>
      </c>
      <c r="M78" s="182">
        <v>6.5300000000000004E-4</v>
      </c>
      <c r="N78" s="182">
        <v>6.5300000000000004E-4</v>
      </c>
      <c r="O78" s="182">
        <v>6.5300000000000004E-4</v>
      </c>
      <c r="P78" s="182">
        <v>6.5300000000000004E-4</v>
      </c>
      <c r="R78" s="155" t="str">
        <f t="shared" si="4"/>
        <v>A0023:(株)ナンワ(旧：(株)ナンワエナジー)</v>
      </c>
      <c r="S78" s="181">
        <f t="shared" si="5"/>
        <v>6.5300000000000004E-4</v>
      </c>
    </row>
    <row r="79" spans="2:19">
      <c r="B79" s="121" t="s">
        <v>1047</v>
      </c>
      <c r="C79" s="490" t="s">
        <v>1557</v>
      </c>
      <c r="D79" s="490" t="str">
        <f t="shared" si="3"/>
        <v>A0088:カワサキグリーンエナジー(株)</v>
      </c>
      <c r="I79" s="125" t="s">
        <v>997</v>
      </c>
      <c r="J79" s="125" t="s">
        <v>1507</v>
      </c>
      <c r="K79" s="182" t="s">
        <v>652</v>
      </c>
      <c r="L79" s="182">
        <v>3.1399999999999999E-4</v>
      </c>
      <c r="M79" s="182">
        <v>3.1399999999999999E-4</v>
      </c>
      <c r="N79" s="182">
        <v>3.1399999999999999E-4</v>
      </c>
      <c r="O79" s="182">
        <v>3.1399999999999999E-4</v>
      </c>
      <c r="P79" s="182">
        <v>3.1399999999999999E-4</v>
      </c>
      <c r="R79" s="155" t="str">
        <f t="shared" si="4"/>
        <v>A0024:静岡ガス＆パワー(株)メニューA</v>
      </c>
      <c r="S79" s="181">
        <f t="shared" si="5"/>
        <v>3.1399999999999999E-4</v>
      </c>
    </row>
    <row r="80" spans="2:19">
      <c r="B80" s="121" t="s">
        <v>1048</v>
      </c>
      <c r="C80" s="490" t="s">
        <v>1558</v>
      </c>
      <c r="D80" s="490" t="str">
        <f t="shared" si="3"/>
        <v>A0089:大一ガス(株)</v>
      </c>
      <c r="I80" s="125" t="s">
        <v>997</v>
      </c>
      <c r="J80" s="125" t="s">
        <v>1507</v>
      </c>
      <c r="K80" s="182" t="s">
        <v>729</v>
      </c>
      <c r="L80" s="182">
        <v>0</v>
      </c>
      <c r="M80" s="182">
        <v>0</v>
      </c>
      <c r="N80" s="182">
        <v>0</v>
      </c>
      <c r="O80" s="182">
        <v>0</v>
      </c>
      <c r="P80" s="182">
        <v>0</v>
      </c>
      <c r="R80" s="155" t="str">
        <f t="shared" si="4"/>
        <v>A0024:静岡ガス＆パワー(株)メニューB</v>
      </c>
      <c r="S80" s="181">
        <f t="shared" si="5"/>
        <v>0</v>
      </c>
    </row>
    <row r="81" spans="2:19">
      <c r="B81" s="121" t="s">
        <v>1049</v>
      </c>
      <c r="C81" s="490" t="s">
        <v>1559</v>
      </c>
      <c r="D81" s="490" t="str">
        <f t="shared" si="3"/>
        <v>A0090:(株)リミックスポイント</v>
      </c>
      <c r="I81" s="125" t="s">
        <v>997</v>
      </c>
      <c r="J81" s="125" t="s">
        <v>1507</v>
      </c>
      <c r="K81" s="182" t="s">
        <v>730</v>
      </c>
      <c r="L81" s="182">
        <v>3.5500000000000001E-4</v>
      </c>
      <c r="M81" s="182">
        <v>3.5500000000000001E-4</v>
      </c>
      <c r="N81" s="182">
        <v>3.5500000000000001E-4</v>
      </c>
      <c r="O81" s="182">
        <v>3.5500000000000001E-4</v>
      </c>
      <c r="P81" s="182">
        <v>3.5500000000000001E-4</v>
      </c>
      <c r="R81" s="155" t="str">
        <f t="shared" si="4"/>
        <v>A0024:静岡ガス＆パワー(株)メニューC</v>
      </c>
      <c r="S81" s="181">
        <f t="shared" si="5"/>
        <v>3.5500000000000001E-4</v>
      </c>
    </row>
    <row r="82" spans="2:19">
      <c r="B82" s="121" t="s">
        <v>1050</v>
      </c>
      <c r="C82" s="490" t="s">
        <v>1560</v>
      </c>
      <c r="D82" s="490" t="str">
        <f t="shared" si="3"/>
        <v>A0092:(株)中海テレビ放送</v>
      </c>
      <c r="I82" s="125" t="s">
        <v>997</v>
      </c>
      <c r="J82" s="125" t="s">
        <v>1507</v>
      </c>
      <c r="K82" s="182" t="s">
        <v>915</v>
      </c>
      <c r="L82" s="182">
        <v>0</v>
      </c>
      <c r="M82" s="182">
        <v>0</v>
      </c>
      <c r="N82" s="182">
        <v>0</v>
      </c>
      <c r="O82" s="182">
        <v>0</v>
      </c>
      <c r="P82" s="182">
        <v>0</v>
      </c>
      <c r="R82" s="155" t="str">
        <f t="shared" si="4"/>
        <v>A0024:静岡ガス＆パワー(株)メニューD</v>
      </c>
      <c r="S82" s="181">
        <f t="shared" si="5"/>
        <v>0</v>
      </c>
    </row>
    <row r="83" spans="2:19">
      <c r="B83" s="121" t="s">
        <v>1051</v>
      </c>
      <c r="C83" s="490" t="s">
        <v>1561</v>
      </c>
      <c r="D83" s="490" t="str">
        <f t="shared" si="3"/>
        <v>A0093:パシフィックパワー(株)</v>
      </c>
      <c r="I83" s="125" t="s">
        <v>997</v>
      </c>
      <c r="J83" s="125" t="s">
        <v>1507</v>
      </c>
      <c r="K83" s="182" t="s">
        <v>916</v>
      </c>
      <c r="L83" s="182">
        <v>3.3199999999999999E-4</v>
      </c>
      <c r="M83" s="182">
        <v>3.3199999999999999E-4</v>
      </c>
      <c r="N83" s="182">
        <v>3.3199999999999999E-4</v>
      </c>
      <c r="O83" s="182">
        <v>3.3199999999999999E-4</v>
      </c>
      <c r="P83" s="182">
        <v>3.3199999999999999E-4</v>
      </c>
      <c r="R83" s="155" t="str">
        <f t="shared" si="4"/>
        <v>A0024:静岡ガス＆パワー(株)メニューE</v>
      </c>
      <c r="S83" s="181">
        <f t="shared" si="5"/>
        <v>3.3199999999999999E-4</v>
      </c>
    </row>
    <row r="84" spans="2:19">
      <c r="B84" s="121" t="s">
        <v>1052</v>
      </c>
      <c r="C84" s="490" t="s">
        <v>1562</v>
      </c>
      <c r="D84" s="490" t="str">
        <f t="shared" si="3"/>
        <v>A0104:(株)ジェイコム札幌</v>
      </c>
      <c r="I84" s="125" t="s">
        <v>997</v>
      </c>
      <c r="J84" s="125" t="s">
        <v>1507</v>
      </c>
      <c r="K84" s="182" t="s">
        <v>1999</v>
      </c>
      <c r="L84" s="182">
        <v>4.8899999999999996E-4</v>
      </c>
      <c r="M84" s="182">
        <v>4.8899999999999996E-4</v>
      </c>
      <c r="N84" s="182">
        <v>4.8899999999999996E-4</v>
      </c>
      <c r="O84" s="182">
        <v>4.8899999999999996E-4</v>
      </c>
      <c r="P84" s="182">
        <v>4.8899999999999996E-4</v>
      </c>
      <c r="R84" s="155" t="str">
        <f t="shared" si="4"/>
        <v>A0024:静岡ガス＆パワー(株)メニューF</v>
      </c>
      <c r="S84" s="181">
        <f t="shared" si="5"/>
        <v>4.8899999999999996E-4</v>
      </c>
    </row>
    <row r="85" spans="2:19">
      <c r="B85" s="121" t="s">
        <v>1053</v>
      </c>
      <c r="C85" s="490" t="s">
        <v>1563</v>
      </c>
      <c r="D85" s="490" t="str">
        <f t="shared" si="3"/>
        <v>A0120:鹿児島電力(株)</v>
      </c>
      <c r="I85" s="125" t="s">
        <v>997</v>
      </c>
      <c r="J85" s="125" t="s">
        <v>1507</v>
      </c>
      <c r="K85" s="182" t="s">
        <v>1998</v>
      </c>
      <c r="L85" s="182">
        <v>4.5899999999999999E-4</v>
      </c>
      <c r="M85" s="182">
        <v>4.5899999999999999E-4</v>
      </c>
      <c r="N85" s="182">
        <v>4.5899999999999999E-4</v>
      </c>
      <c r="O85" s="182">
        <v>4.5899999999999999E-4</v>
      </c>
      <c r="P85" s="182">
        <v>4.5899999999999999E-4</v>
      </c>
      <c r="R85" s="155" t="str">
        <f t="shared" si="4"/>
        <v>A0024:静岡ガス＆パワー(株)(参考値)事業者全体</v>
      </c>
      <c r="S85" s="181">
        <f t="shared" si="5"/>
        <v>4.5899999999999999E-4</v>
      </c>
    </row>
    <row r="86" spans="2:19">
      <c r="B86" s="121" t="s">
        <v>1054</v>
      </c>
      <c r="C86" s="490" t="s">
        <v>1564</v>
      </c>
      <c r="D86" s="490" t="str">
        <f t="shared" si="3"/>
        <v>A0121:太陽ガス(株)</v>
      </c>
      <c r="I86" s="125" t="s">
        <v>998</v>
      </c>
      <c r="J86" s="125" t="s">
        <v>1508</v>
      </c>
      <c r="K86" s="182" t="s">
        <v>652</v>
      </c>
      <c r="L86" s="182">
        <v>0</v>
      </c>
      <c r="M86" s="182">
        <v>0</v>
      </c>
      <c r="N86" s="182">
        <v>0</v>
      </c>
      <c r="O86" s="182">
        <v>0</v>
      </c>
      <c r="P86" s="182">
        <v>0</v>
      </c>
      <c r="R86" s="155" t="str">
        <f t="shared" si="4"/>
        <v>A0025:荏原環境プラント(株)メニューA</v>
      </c>
      <c r="S86" s="181">
        <f t="shared" si="5"/>
        <v>0</v>
      </c>
    </row>
    <row r="87" spans="2:19">
      <c r="B87" s="121" t="s">
        <v>1055</v>
      </c>
      <c r="C87" s="490" t="s">
        <v>1565</v>
      </c>
      <c r="D87" s="490" t="str">
        <f t="shared" si="3"/>
        <v>A0122:アーバンエナジー(株)</v>
      </c>
      <c r="I87" s="125" t="s">
        <v>998</v>
      </c>
      <c r="J87" s="125" t="s">
        <v>1508</v>
      </c>
      <c r="K87" s="182" t="s">
        <v>729</v>
      </c>
      <c r="L87" s="182">
        <v>0</v>
      </c>
      <c r="M87" s="182">
        <v>0</v>
      </c>
      <c r="N87" s="182">
        <v>0</v>
      </c>
      <c r="O87" s="182">
        <v>0</v>
      </c>
      <c r="P87" s="182">
        <v>0</v>
      </c>
      <c r="R87" s="155" t="str">
        <f t="shared" si="4"/>
        <v>A0025:荏原環境プラント(株)メニューB</v>
      </c>
      <c r="S87" s="181">
        <f t="shared" si="5"/>
        <v>0</v>
      </c>
    </row>
    <row r="88" spans="2:19">
      <c r="B88" s="121" t="s">
        <v>1056</v>
      </c>
      <c r="C88" s="490" t="s">
        <v>1566</v>
      </c>
      <c r="D88" s="490" t="str">
        <f t="shared" si="3"/>
        <v>A0123:パワーネクスト(株)</v>
      </c>
      <c r="I88" s="125" t="s">
        <v>998</v>
      </c>
      <c r="J88" s="125" t="s">
        <v>1508</v>
      </c>
      <c r="K88" s="182" t="s">
        <v>730</v>
      </c>
      <c r="L88" s="182">
        <v>1.36E-4</v>
      </c>
      <c r="M88" s="182">
        <v>1.36E-4</v>
      </c>
      <c r="N88" s="182">
        <v>1.36E-4</v>
      </c>
      <c r="O88" s="182">
        <v>1.36E-4</v>
      </c>
      <c r="P88" s="182">
        <v>1.36E-4</v>
      </c>
      <c r="R88" s="155" t="str">
        <f t="shared" si="4"/>
        <v>A0025:荏原環境プラント(株)メニューC</v>
      </c>
      <c r="S88" s="181">
        <f t="shared" si="5"/>
        <v>1.36E-4</v>
      </c>
    </row>
    <row r="89" spans="2:19">
      <c r="B89" s="121" t="s">
        <v>1057</v>
      </c>
      <c r="C89" s="490" t="s">
        <v>1567</v>
      </c>
      <c r="D89" s="490" t="str">
        <f t="shared" si="3"/>
        <v>A0124:合同会社北上新電力</v>
      </c>
      <c r="I89" s="125" t="s">
        <v>998</v>
      </c>
      <c r="J89" s="125" t="s">
        <v>1508</v>
      </c>
      <c r="K89" s="182" t="s">
        <v>915</v>
      </c>
      <c r="L89" s="182">
        <v>2.7599999999999999E-4</v>
      </c>
      <c r="M89" s="182">
        <v>2.7599999999999999E-4</v>
      </c>
      <c r="N89" s="182">
        <v>2.7599999999999999E-4</v>
      </c>
      <c r="O89" s="182">
        <v>2.7599999999999999E-4</v>
      </c>
      <c r="P89" s="182">
        <v>2.7599999999999999E-4</v>
      </c>
      <c r="R89" s="155" t="str">
        <f t="shared" si="4"/>
        <v>A0025:荏原環境プラント(株)メニューD</v>
      </c>
      <c r="S89" s="181">
        <f t="shared" si="5"/>
        <v>2.7599999999999999E-4</v>
      </c>
    </row>
    <row r="90" spans="2:19">
      <c r="B90" s="121" t="s">
        <v>1058</v>
      </c>
      <c r="C90" s="490" t="s">
        <v>1568</v>
      </c>
      <c r="D90" s="490" t="str">
        <f t="shared" si="3"/>
        <v>A0126:(株)タクマエナジー</v>
      </c>
      <c r="I90" s="125" t="s">
        <v>998</v>
      </c>
      <c r="J90" s="125" t="s">
        <v>1508</v>
      </c>
      <c r="K90" s="182" t="s">
        <v>916</v>
      </c>
      <c r="L90" s="182">
        <v>2.0599999999999999E-4</v>
      </c>
      <c r="M90" s="182">
        <v>2.0599999999999999E-4</v>
      </c>
      <c r="N90" s="182">
        <v>2.0599999999999999E-4</v>
      </c>
      <c r="O90" s="182">
        <v>2.0599999999999999E-4</v>
      </c>
      <c r="P90" s="182">
        <v>2.0599999999999999E-4</v>
      </c>
      <c r="R90" s="155" t="str">
        <f t="shared" si="4"/>
        <v>A0025:荏原環境プラント(株)メニューE</v>
      </c>
      <c r="S90" s="181">
        <f t="shared" si="5"/>
        <v>2.0599999999999999E-4</v>
      </c>
    </row>
    <row r="91" spans="2:19">
      <c r="B91" s="121" t="s">
        <v>1059</v>
      </c>
      <c r="C91" s="490" t="s">
        <v>1569</v>
      </c>
      <c r="D91" s="490" t="str">
        <f t="shared" si="3"/>
        <v>A0130:丸紅新電力(株)</v>
      </c>
      <c r="I91" s="125" t="s">
        <v>998</v>
      </c>
      <c r="J91" s="125" t="s">
        <v>1508</v>
      </c>
      <c r="K91" s="182" t="s">
        <v>1999</v>
      </c>
      <c r="L91" s="182">
        <v>2.7599999999999999E-4</v>
      </c>
      <c r="M91" s="182">
        <v>2.7599999999999999E-4</v>
      </c>
      <c r="N91" s="182">
        <v>2.7599999999999999E-4</v>
      </c>
      <c r="O91" s="182">
        <v>2.7599999999999999E-4</v>
      </c>
      <c r="P91" s="182">
        <v>2.7599999999999999E-4</v>
      </c>
      <c r="R91" s="155" t="str">
        <f t="shared" si="4"/>
        <v>A0025:荏原環境プラント(株)メニューF</v>
      </c>
      <c r="S91" s="181">
        <f t="shared" si="5"/>
        <v>2.7599999999999999E-4</v>
      </c>
    </row>
    <row r="92" spans="2:19">
      <c r="B92" s="121" t="s">
        <v>1060</v>
      </c>
      <c r="C92" s="490" t="s">
        <v>1570</v>
      </c>
      <c r="D92" s="490" t="str">
        <f t="shared" si="3"/>
        <v>A0133:奈良電力(株)</v>
      </c>
      <c r="I92" s="125" t="s">
        <v>998</v>
      </c>
      <c r="J92" s="125" t="s">
        <v>1508</v>
      </c>
      <c r="K92" s="182" t="s">
        <v>2000</v>
      </c>
      <c r="L92" s="182">
        <v>3.4699999999999998E-4</v>
      </c>
      <c r="M92" s="182">
        <v>3.4699999999999998E-4</v>
      </c>
      <c r="N92" s="182">
        <v>3.4699999999999998E-4</v>
      </c>
      <c r="O92" s="182">
        <v>3.4699999999999998E-4</v>
      </c>
      <c r="P92" s="182">
        <v>3.4699999999999998E-4</v>
      </c>
      <c r="R92" s="155" t="str">
        <f t="shared" si="4"/>
        <v>A0025:荏原環境プラント(株)メニューG</v>
      </c>
      <c r="S92" s="181">
        <f t="shared" si="5"/>
        <v>3.4699999999999998E-4</v>
      </c>
    </row>
    <row r="93" spans="2:19">
      <c r="B93" s="121" t="s">
        <v>1061</v>
      </c>
      <c r="C93" s="490" t="s">
        <v>1571</v>
      </c>
      <c r="D93" s="490" t="str">
        <f t="shared" si="3"/>
        <v>A0134:カナデビア(株)（旧:日立造船(株)）</v>
      </c>
      <c r="I93" s="125" t="s">
        <v>998</v>
      </c>
      <c r="J93" s="125" t="s">
        <v>1508</v>
      </c>
      <c r="K93" s="182" t="s">
        <v>2001</v>
      </c>
      <c r="L93" s="182">
        <v>3.6499999999999998E-4</v>
      </c>
      <c r="M93" s="182">
        <v>3.6499999999999998E-4</v>
      </c>
      <c r="N93" s="182">
        <v>3.6499999999999998E-4</v>
      </c>
      <c r="O93" s="182">
        <v>3.6499999999999998E-4</v>
      </c>
      <c r="P93" s="182">
        <v>3.6499999999999998E-4</v>
      </c>
      <c r="R93" s="155" t="str">
        <f t="shared" si="4"/>
        <v>A0025:荏原環境プラント(株)メニューH</v>
      </c>
      <c r="S93" s="181">
        <f t="shared" si="5"/>
        <v>3.6499999999999998E-4</v>
      </c>
    </row>
    <row r="94" spans="2:19">
      <c r="B94" s="121" t="s">
        <v>1062</v>
      </c>
      <c r="C94" s="490" t="s">
        <v>1572</v>
      </c>
      <c r="D94" s="490" t="str">
        <f t="shared" si="3"/>
        <v>A0135:大東ガス(株)</v>
      </c>
      <c r="I94" s="125" t="s">
        <v>998</v>
      </c>
      <c r="J94" s="125" t="s">
        <v>1508</v>
      </c>
      <c r="K94" s="182" t="s">
        <v>2002</v>
      </c>
      <c r="L94" s="182">
        <v>2.5000000000000001E-4</v>
      </c>
      <c r="M94" s="182">
        <v>2.5000000000000001E-4</v>
      </c>
      <c r="N94" s="182">
        <v>2.5000000000000001E-4</v>
      </c>
      <c r="O94" s="182">
        <v>2.5000000000000001E-4</v>
      </c>
      <c r="P94" s="182">
        <v>2.5000000000000001E-4</v>
      </c>
      <c r="R94" s="155" t="str">
        <f t="shared" si="4"/>
        <v>A0025:荏原環境プラント(株)メニューI</v>
      </c>
      <c r="S94" s="181">
        <f t="shared" si="5"/>
        <v>2.5000000000000001E-4</v>
      </c>
    </row>
    <row r="95" spans="2:19">
      <c r="B95" s="121" t="s">
        <v>1063</v>
      </c>
      <c r="C95" s="490" t="s">
        <v>1573</v>
      </c>
      <c r="D95" s="490" t="str">
        <f t="shared" si="3"/>
        <v>A0136:パナソニックオペレーショナルエクセレンス(株)</v>
      </c>
      <c r="I95" s="125" t="s">
        <v>998</v>
      </c>
      <c r="J95" s="125" t="s">
        <v>1508</v>
      </c>
      <c r="K95" s="182" t="s">
        <v>2003</v>
      </c>
      <c r="L95" s="182">
        <v>2.9999999999999997E-4</v>
      </c>
      <c r="M95" s="182">
        <v>2.9999999999999997E-4</v>
      </c>
      <c r="N95" s="182">
        <v>2.9999999999999997E-4</v>
      </c>
      <c r="O95" s="182">
        <v>2.9999999999999997E-4</v>
      </c>
      <c r="P95" s="182">
        <v>2.9999999999999997E-4</v>
      </c>
      <c r="R95" s="155" t="str">
        <f t="shared" si="4"/>
        <v>A0025:荏原環境プラント(株)メニューJ</v>
      </c>
      <c r="S95" s="181">
        <f t="shared" si="5"/>
        <v>2.9999999999999997E-4</v>
      </c>
    </row>
    <row r="96" spans="2:19">
      <c r="B96" s="121" t="s">
        <v>1064</v>
      </c>
      <c r="C96" s="490" t="s">
        <v>1574</v>
      </c>
      <c r="D96" s="490" t="str">
        <f t="shared" si="3"/>
        <v>A0137:アストモスエネルギー(株)</v>
      </c>
      <c r="I96" s="125" t="s">
        <v>998</v>
      </c>
      <c r="J96" s="125" t="s">
        <v>1508</v>
      </c>
      <c r="K96" s="182" t="s">
        <v>2004</v>
      </c>
      <c r="L96" s="182">
        <v>1.6200000000000001E-4</v>
      </c>
      <c r="M96" s="182">
        <v>1.6200000000000001E-4</v>
      </c>
      <c r="N96" s="182">
        <v>1.6200000000000001E-4</v>
      </c>
      <c r="O96" s="182">
        <v>1.6200000000000001E-4</v>
      </c>
      <c r="P96" s="182">
        <v>1.6200000000000001E-4</v>
      </c>
      <c r="R96" s="155" t="str">
        <f t="shared" si="4"/>
        <v>A0025:荏原環境プラント(株)メニューK</v>
      </c>
      <c r="S96" s="181">
        <f t="shared" si="5"/>
        <v>1.6200000000000001E-4</v>
      </c>
    </row>
    <row r="97" spans="2:19">
      <c r="B97" s="121" t="s">
        <v>1065</v>
      </c>
      <c r="C97" s="490" t="s">
        <v>1575</v>
      </c>
      <c r="D97" s="490" t="str">
        <f t="shared" si="3"/>
        <v>A0138:(株)関電エネルギーソリューション</v>
      </c>
      <c r="I97" s="125" t="s">
        <v>998</v>
      </c>
      <c r="J97" s="125" t="s">
        <v>1508</v>
      </c>
      <c r="K97" s="182" t="s">
        <v>2005</v>
      </c>
      <c r="L97" s="182">
        <v>4.2200000000000001E-4</v>
      </c>
      <c r="M97" s="182">
        <v>4.2200000000000001E-4</v>
      </c>
      <c r="N97" s="182">
        <v>4.2200000000000001E-4</v>
      </c>
      <c r="O97" s="182">
        <v>4.2200000000000001E-4</v>
      </c>
      <c r="P97" s="182">
        <v>4.2200000000000001E-4</v>
      </c>
      <c r="R97" s="155" t="str">
        <f t="shared" si="4"/>
        <v>A0025:荏原環境プラント(株)メニューL</v>
      </c>
      <c r="S97" s="181">
        <f t="shared" si="5"/>
        <v>4.2200000000000001E-4</v>
      </c>
    </row>
    <row r="98" spans="2:19">
      <c r="B98" s="121" t="s">
        <v>1066</v>
      </c>
      <c r="C98" s="490" t="s">
        <v>1576</v>
      </c>
      <c r="D98" s="490" t="str">
        <f t="shared" si="3"/>
        <v>A0140:MCリテールエナジー(株)</v>
      </c>
      <c r="I98" s="125" t="s">
        <v>998</v>
      </c>
      <c r="J98" s="125" t="s">
        <v>1508</v>
      </c>
      <c r="K98" s="182" t="s">
        <v>2006</v>
      </c>
      <c r="L98" s="182">
        <v>3.6499999999999998E-4</v>
      </c>
      <c r="M98" s="182">
        <v>3.6499999999999998E-4</v>
      </c>
      <c r="N98" s="182">
        <v>3.6499999999999998E-4</v>
      </c>
      <c r="O98" s="182">
        <v>3.6499999999999998E-4</v>
      </c>
      <c r="P98" s="182">
        <v>3.6499999999999998E-4</v>
      </c>
      <c r="R98" s="155" t="str">
        <f t="shared" si="4"/>
        <v>A0025:荏原環境プラント(株)メニューM</v>
      </c>
      <c r="S98" s="181">
        <f t="shared" si="5"/>
        <v>3.6499999999999998E-4</v>
      </c>
    </row>
    <row r="99" spans="2:19">
      <c r="B99" s="121" t="s">
        <v>1067</v>
      </c>
      <c r="C99" s="490" t="s">
        <v>1577</v>
      </c>
      <c r="D99" s="490" t="str">
        <f t="shared" si="3"/>
        <v>A0141:(株)北九州パワー</v>
      </c>
      <c r="I99" s="125" t="s">
        <v>998</v>
      </c>
      <c r="J99" s="125" t="s">
        <v>1508</v>
      </c>
      <c r="K99" s="182" t="s">
        <v>2007</v>
      </c>
      <c r="L99" s="182">
        <v>4.6999999999999997E-5</v>
      </c>
      <c r="M99" s="182">
        <v>4.6999999999999997E-5</v>
      </c>
      <c r="N99" s="182">
        <v>4.6999999999999997E-5</v>
      </c>
      <c r="O99" s="182">
        <v>4.6999999999999997E-5</v>
      </c>
      <c r="P99" s="182">
        <v>4.6999999999999997E-5</v>
      </c>
      <c r="R99" s="155" t="str">
        <f t="shared" si="4"/>
        <v>A0025:荏原環境プラント(株)メニューN</v>
      </c>
      <c r="S99" s="181">
        <f t="shared" si="5"/>
        <v>4.6999999999999997E-5</v>
      </c>
    </row>
    <row r="100" spans="2:19">
      <c r="B100" s="121" t="s">
        <v>1068</v>
      </c>
      <c r="C100" s="490" t="s">
        <v>1578</v>
      </c>
      <c r="D100" s="490" t="str">
        <f t="shared" si="3"/>
        <v>A0142:武州瓦斯(株)</v>
      </c>
      <c r="I100" s="125" t="s">
        <v>998</v>
      </c>
      <c r="J100" s="125" t="s">
        <v>1508</v>
      </c>
      <c r="K100" s="182" t="s">
        <v>2008</v>
      </c>
      <c r="L100" s="182">
        <v>1.9000000000000001E-4</v>
      </c>
      <c r="M100" s="182">
        <v>1.9000000000000001E-4</v>
      </c>
      <c r="N100" s="182">
        <v>1.9000000000000001E-4</v>
      </c>
      <c r="O100" s="182">
        <v>1.9000000000000001E-4</v>
      </c>
      <c r="P100" s="182">
        <v>1.9000000000000001E-4</v>
      </c>
      <c r="R100" s="155" t="str">
        <f t="shared" si="4"/>
        <v>A0025:荏原環境プラント(株)メニューO</v>
      </c>
      <c r="S100" s="181">
        <f t="shared" si="5"/>
        <v>1.9000000000000001E-4</v>
      </c>
    </row>
    <row r="101" spans="2:19">
      <c r="B101" s="121" t="s">
        <v>1069</v>
      </c>
      <c r="C101" s="490" t="s">
        <v>1579</v>
      </c>
      <c r="D101" s="490" t="str">
        <f t="shared" si="3"/>
        <v>A0143:リニューアブル・ジャパン(株)</v>
      </c>
      <c r="I101" s="125" t="s">
        <v>998</v>
      </c>
      <c r="J101" s="125" t="s">
        <v>1508</v>
      </c>
      <c r="K101" s="182" t="s">
        <v>2009</v>
      </c>
      <c r="L101" s="182">
        <v>2.04E-4</v>
      </c>
      <c r="M101" s="182">
        <v>2.04E-4</v>
      </c>
      <c r="N101" s="182">
        <v>2.04E-4</v>
      </c>
      <c r="O101" s="182">
        <v>2.04E-4</v>
      </c>
      <c r="P101" s="182">
        <v>2.04E-4</v>
      </c>
      <c r="R101" s="155" t="str">
        <f t="shared" si="4"/>
        <v>A0025:荏原環境プラント(株)メニューP</v>
      </c>
      <c r="S101" s="181">
        <f t="shared" si="5"/>
        <v>2.04E-4</v>
      </c>
    </row>
    <row r="102" spans="2:19">
      <c r="B102" s="121" t="s">
        <v>1070</v>
      </c>
      <c r="C102" s="490" t="s">
        <v>1580</v>
      </c>
      <c r="D102" s="490" t="str">
        <f t="shared" si="3"/>
        <v>A0144:大垣ガス(株)</v>
      </c>
      <c r="I102" s="125" t="s">
        <v>998</v>
      </c>
      <c r="J102" s="125" t="s">
        <v>1508</v>
      </c>
      <c r="K102" s="182" t="s">
        <v>2010</v>
      </c>
      <c r="L102" s="182">
        <v>0</v>
      </c>
      <c r="M102" s="182">
        <v>0</v>
      </c>
      <c r="N102" s="182">
        <v>0</v>
      </c>
      <c r="O102" s="182">
        <v>0</v>
      </c>
      <c r="P102" s="182">
        <v>0</v>
      </c>
      <c r="R102" s="155" t="str">
        <f t="shared" si="4"/>
        <v>A0025:荏原環境プラント(株)メニューQ</v>
      </c>
      <c r="S102" s="181">
        <f t="shared" si="5"/>
        <v>0</v>
      </c>
    </row>
    <row r="103" spans="2:19">
      <c r="B103" s="121" t="s">
        <v>1071</v>
      </c>
      <c r="C103" s="490" t="s">
        <v>1581</v>
      </c>
      <c r="D103" s="490" t="str">
        <f t="shared" si="3"/>
        <v>A0145:(株)藤田商店</v>
      </c>
      <c r="I103" s="125" t="s">
        <v>998</v>
      </c>
      <c r="J103" s="125" t="s">
        <v>1508</v>
      </c>
      <c r="K103" s="182" t="s">
        <v>2011</v>
      </c>
      <c r="L103" s="182">
        <v>2.6200000000000003E-4</v>
      </c>
      <c r="M103" s="182">
        <v>2.6200000000000003E-4</v>
      </c>
      <c r="N103" s="182">
        <v>2.6200000000000003E-4</v>
      </c>
      <c r="O103" s="182">
        <v>2.6200000000000003E-4</v>
      </c>
      <c r="P103" s="182">
        <v>2.6200000000000003E-4</v>
      </c>
      <c r="R103" s="155" t="str">
        <f t="shared" si="4"/>
        <v>A0025:荏原環境プラント(株)メニューR</v>
      </c>
      <c r="S103" s="181">
        <f t="shared" si="5"/>
        <v>2.6200000000000003E-4</v>
      </c>
    </row>
    <row r="104" spans="2:19">
      <c r="B104" s="121" t="s">
        <v>1072</v>
      </c>
      <c r="C104" s="490" t="s">
        <v>1582</v>
      </c>
      <c r="D104" s="490" t="str">
        <f t="shared" si="3"/>
        <v>A0149:(株)グローバルエンジニアリング</v>
      </c>
      <c r="I104" s="125" t="s">
        <v>998</v>
      </c>
      <c r="J104" s="125" t="s">
        <v>1508</v>
      </c>
      <c r="K104" s="182" t="s">
        <v>1998</v>
      </c>
      <c r="L104" s="182">
        <v>2.4899999999999998E-4</v>
      </c>
      <c r="M104" s="182">
        <v>2.4899999999999998E-4</v>
      </c>
      <c r="N104" s="182">
        <v>2.4899999999999998E-4</v>
      </c>
      <c r="O104" s="182">
        <v>2.4899999999999998E-4</v>
      </c>
      <c r="P104" s="182">
        <v>2.4899999999999998E-4</v>
      </c>
      <c r="R104" s="155" t="str">
        <f t="shared" si="4"/>
        <v>A0025:荏原環境プラント(株)(参考値)事業者全体</v>
      </c>
      <c r="S104" s="181">
        <f t="shared" si="5"/>
        <v>2.4899999999999998E-4</v>
      </c>
    </row>
    <row r="105" spans="2:19">
      <c r="B105" s="121" t="s">
        <v>1073</v>
      </c>
      <c r="C105" s="490" t="s">
        <v>1583</v>
      </c>
      <c r="D105" s="490" t="str">
        <f t="shared" si="3"/>
        <v>A0150:九州エナジー(株)</v>
      </c>
      <c r="I105" s="125" t="s">
        <v>999</v>
      </c>
      <c r="J105" s="125" t="s">
        <v>1509</v>
      </c>
      <c r="K105" s="182" t="s">
        <v>652</v>
      </c>
      <c r="L105" s="182">
        <v>0</v>
      </c>
      <c r="M105" s="182">
        <v>0</v>
      </c>
      <c r="N105" s="182">
        <v>0</v>
      </c>
      <c r="O105" s="182">
        <v>0</v>
      </c>
      <c r="P105" s="182">
        <v>0</v>
      </c>
      <c r="R105" s="155" t="str">
        <f t="shared" si="4"/>
        <v>A0026:東京エコサービス(株)メニューA</v>
      </c>
      <c r="S105" s="181">
        <f t="shared" si="5"/>
        <v>0</v>
      </c>
    </row>
    <row r="106" spans="2:19">
      <c r="B106" s="121" t="s">
        <v>1074</v>
      </c>
      <c r="C106" s="490" t="s">
        <v>1584</v>
      </c>
      <c r="D106" s="490" t="str">
        <f t="shared" si="3"/>
        <v>A0151:(株)トヨタエナジーソリューションズ</v>
      </c>
      <c r="I106" s="125" t="s">
        <v>999</v>
      </c>
      <c r="J106" s="125" t="s">
        <v>1509</v>
      </c>
      <c r="K106" s="182" t="s">
        <v>729</v>
      </c>
      <c r="L106" s="182">
        <v>5.8E-5</v>
      </c>
      <c r="M106" s="182">
        <v>5.8E-5</v>
      </c>
      <c r="N106" s="182">
        <v>5.8E-5</v>
      </c>
      <c r="O106" s="182">
        <v>5.8E-5</v>
      </c>
      <c r="P106" s="182">
        <v>5.8E-5</v>
      </c>
      <c r="R106" s="155" t="str">
        <f t="shared" si="4"/>
        <v>A0026:東京エコサービス(株)メニューB</v>
      </c>
      <c r="S106" s="181">
        <f t="shared" si="5"/>
        <v>5.8E-5</v>
      </c>
    </row>
    <row r="107" spans="2:19">
      <c r="B107" s="121" t="s">
        <v>1075</v>
      </c>
      <c r="C107" s="490" t="s">
        <v>1585</v>
      </c>
      <c r="D107" s="490" t="str">
        <f t="shared" si="3"/>
        <v>A0153:(株)エナリス・パワー・マーケティング</v>
      </c>
      <c r="I107" s="125" t="s">
        <v>999</v>
      </c>
      <c r="J107" s="125" t="s">
        <v>1509</v>
      </c>
      <c r="K107" s="182" t="s">
        <v>1998</v>
      </c>
      <c r="L107" s="182">
        <v>4.8999999999999998E-5</v>
      </c>
      <c r="M107" s="182">
        <v>4.8999999999999998E-5</v>
      </c>
      <c r="N107" s="182">
        <v>4.8999999999999998E-5</v>
      </c>
      <c r="O107" s="182">
        <v>4.8999999999999998E-5</v>
      </c>
      <c r="P107" s="182">
        <v>4.8999999999999998E-5</v>
      </c>
      <c r="R107" s="155" t="str">
        <f t="shared" si="4"/>
        <v>A0026:東京エコサービス(株)(参考値)事業者全体</v>
      </c>
      <c r="S107" s="181">
        <f t="shared" si="5"/>
        <v>4.8999999999999998E-5</v>
      </c>
    </row>
    <row r="108" spans="2:19">
      <c r="B108" s="121" t="s">
        <v>1076</v>
      </c>
      <c r="C108" s="490" t="s">
        <v>1586</v>
      </c>
      <c r="D108" s="490" t="str">
        <f t="shared" si="3"/>
        <v>A0154:歌舞伎エナジー(株)</v>
      </c>
      <c r="I108" s="125" t="s">
        <v>1000</v>
      </c>
      <c r="J108" s="125" t="s">
        <v>1510</v>
      </c>
      <c r="K108" s="182" t="s">
        <v>652</v>
      </c>
      <c r="L108" s="182">
        <v>0</v>
      </c>
      <c r="M108" s="182">
        <v>0</v>
      </c>
      <c r="N108" s="182">
        <v>0</v>
      </c>
      <c r="O108" s="182">
        <v>0</v>
      </c>
      <c r="P108" s="182">
        <v>0</v>
      </c>
      <c r="R108" s="155" t="str">
        <f t="shared" si="4"/>
        <v>A0027:ダイヤモンドパワー(株)メニューA</v>
      </c>
      <c r="S108" s="181">
        <f t="shared" si="5"/>
        <v>0</v>
      </c>
    </row>
    <row r="109" spans="2:19">
      <c r="B109" s="121" t="s">
        <v>1077</v>
      </c>
      <c r="C109" s="490" t="s">
        <v>1587</v>
      </c>
      <c r="D109" s="490" t="str">
        <f t="shared" si="3"/>
        <v>A0155:みやまスマートエネルギー(株)</v>
      </c>
      <c r="I109" s="125" t="s">
        <v>1000</v>
      </c>
      <c r="J109" s="125" t="s">
        <v>1510</v>
      </c>
      <c r="K109" s="182" t="s">
        <v>729</v>
      </c>
      <c r="L109" s="182">
        <v>1.18E-4</v>
      </c>
      <c r="M109" s="182">
        <v>1.18E-4</v>
      </c>
      <c r="N109" s="182">
        <v>1.18E-4</v>
      </c>
      <c r="O109" s="182">
        <v>1.18E-4</v>
      </c>
      <c r="P109" s="182">
        <v>1.18E-4</v>
      </c>
      <c r="R109" s="155" t="str">
        <f t="shared" si="4"/>
        <v>A0027:ダイヤモンドパワー(株)メニューB</v>
      </c>
      <c r="S109" s="181">
        <f t="shared" si="5"/>
        <v>1.18E-4</v>
      </c>
    </row>
    <row r="110" spans="2:19">
      <c r="B110" s="121" t="s">
        <v>1078</v>
      </c>
      <c r="C110" s="490" t="s">
        <v>1588</v>
      </c>
      <c r="D110" s="490" t="str">
        <f t="shared" si="3"/>
        <v>A0156:エフィシエント(株)</v>
      </c>
      <c r="I110" s="125" t="s">
        <v>1000</v>
      </c>
      <c r="J110" s="125" t="s">
        <v>1510</v>
      </c>
      <c r="K110" s="182" t="s">
        <v>730</v>
      </c>
      <c r="L110" s="182">
        <v>2.6899999999999998E-4</v>
      </c>
      <c r="M110" s="182">
        <v>2.6899999999999998E-4</v>
      </c>
      <c r="N110" s="182">
        <v>2.6899999999999998E-4</v>
      </c>
      <c r="O110" s="182">
        <v>2.6899999999999998E-4</v>
      </c>
      <c r="P110" s="182">
        <v>2.6899999999999998E-4</v>
      </c>
      <c r="R110" s="155" t="str">
        <f t="shared" si="4"/>
        <v>A0027:ダイヤモンドパワー(株)メニューC</v>
      </c>
      <c r="S110" s="181">
        <f t="shared" si="5"/>
        <v>2.6899999999999998E-4</v>
      </c>
    </row>
    <row r="111" spans="2:19">
      <c r="B111" s="121" t="s">
        <v>1079</v>
      </c>
      <c r="C111" s="490" t="s">
        <v>1589</v>
      </c>
      <c r="D111" s="490" t="str">
        <f t="shared" si="3"/>
        <v>A0157:(株)生活クラブエナジー</v>
      </c>
      <c r="I111" s="125" t="s">
        <v>1000</v>
      </c>
      <c r="J111" s="125" t="s">
        <v>1510</v>
      </c>
      <c r="K111" s="182" t="s">
        <v>915</v>
      </c>
      <c r="L111" s="182">
        <v>3.8400000000000001E-4</v>
      </c>
      <c r="M111" s="182">
        <v>3.8400000000000001E-4</v>
      </c>
      <c r="N111" s="182">
        <v>3.8400000000000001E-4</v>
      </c>
      <c r="O111" s="182">
        <v>3.8400000000000001E-4</v>
      </c>
      <c r="P111" s="182">
        <v>3.8400000000000001E-4</v>
      </c>
      <c r="R111" s="155" t="str">
        <f t="shared" si="4"/>
        <v>A0027:ダイヤモンドパワー(株)メニューD</v>
      </c>
      <c r="S111" s="181">
        <f t="shared" si="5"/>
        <v>3.8400000000000001E-4</v>
      </c>
    </row>
    <row r="112" spans="2:19">
      <c r="B112" s="121" t="s">
        <v>1080</v>
      </c>
      <c r="C112" s="490" t="s">
        <v>1590</v>
      </c>
      <c r="D112" s="490" t="str">
        <f t="shared" si="3"/>
        <v>A0158:生活協同組合コープこうべ</v>
      </c>
      <c r="I112" s="125" t="s">
        <v>1000</v>
      </c>
      <c r="J112" s="125" t="s">
        <v>1510</v>
      </c>
      <c r="K112" s="182" t="s">
        <v>1998</v>
      </c>
      <c r="L112" s="182">
        <v>1.0059999999999999E-3</v>
      </c>
      <c r="M112" s="182">
        <v>1.0059999999999999E-3</v>
      </c>
      <c r="N112" s="182">
        <v>1.0059999999999999E-3</v>
      </c>
      <c r="O112" s="182">
        <v>1.0059999999999999E-3</v>
      </c>
      <c r="P112" s="182">
        <v>1.0059999999999999E-3</v>
      </c>
      <c r="R112" s="155" t="str">
        <f t="shared" si="4"/>
        <v>A0027:ダイヤモンドパワー(株)(参考値)事業者全体</v>
      </c>
      <c r="S112" s="181">
        <f t="shared" si="5"/>
        <v>1.0059999999999999E-3</v>
      </c>
    </row>
    <row r="113" spans="2:19">
      <c r="B113" s="121" t="s">
        <v>1081</v>
      </c>
      <c r="C113" s="490" t="s">
        <v>1591</v>
      </c>
      <c r="D113" s="490" t="str">
        <f t="shared" si="3"/>
        <v>A0159:(株)シーエナジー</v>
      </c>
      <c r="I113" s="125" t="s">
        <v>1001</v>
      </c>
      <c r="J113" s="125" t="s">
        <v>1511</v>
      </c>
      <c r="K113" s="182" t="s">
        <v>652</v>
      </c>
      <c r="L113" s="182">
        <v>0</v>
      </c>
      <c r="M113" s="182">
        <v>0</v>
      </c>
      <c r="N113" s="182">
        <v>0</v>
      </c>
      <c r="O113" s="182">
        <v>0</v>
      </c>
      <c r="P113" s="182">
        <v>0</v>
      </c>
      <c r="R113" s="155" t="str">
        <f t="shared" si="4"/>
        <v>A0031:(株)新出光メニューA</v>
      </c>
      <c r="S113" s="181">
        <f t="shared" si="5"/>
        <v>0</v>
      </c>
    </row>
    <row r="114" spans="2:19">
      <c r="B114" s="121" t="s">
        <v>1082</v>
      </c>
      <c r="C114" s="490" t="s">
        <v>1592</v>
      </c>
      <c r="D114" s="490" t="str">
        <f t="shared" si="3"/>
        <v>A0160:角栄ガス(株)</v>
      </c>
      <c r="I114" s="125" t="s">
        <v>1001</v>
      </c>
      <c r="J114" s="125" t="s">
        <v>1511</v>
      </c>
      <c r="K114" s="182" t="s">
        <v>729</v>
      </c>
      <c r="L114" s="182">
        <v>0</v>
      </c>
      <c r="M114" s="182">
        <v>0</v>
      </c>
      <c r="N114" s="182">
        <v>0</v>
      </c>
      <c r="O114" s="182">
        <v>0</v>
      </c>
      <c r="P114" s="182">
        <v>0</v>
      </c>
      <c r="R114" s="155" t="str">
        <f t="shared" si="4"/>
        <v>A0031:(株)新出光メニューB</v>
      </c>
      <c r="S114" s="181">
        <f t="shared" si="5"/>
        <v>0</v>
      </c>
    </row>
    <row r="115" spans="2:19">
      <c r="B115" s="121" t="s">
        <v>1083</v>
      </c>
      <c r="C115" s="490" t="s">
        <v>1593</v>
      </c>
      <c r="D115" s="490" t="str">
        <f t="shared" si="3"/>
        <v>A0161:京葉瓦斯(株)</v>
      </c>
      <c r="I115" s="125" t="s">
        <v>1001</v>
      </c>
      <c r="J115" s="125" t="s">
        <v>1511</v>
      </c>
      <c r="K115" s="182" t="s">
        <v>730</v>
      </c>
      <c r="L115" s="182">
        <v>0</v>
      </c>
      <c r="M115" s="182">
        <v>0</v>
      </c>
      <c r="N115" s="182">
        <v>0</v>
      </c>
      <c r="O115" s="182">
        <v>0</v>
      </c>
      <c r="P115" s="182">
        <v>0</v>
      </c>
      <c r="R115" s="155" t="str">
        <f t="shared" si="4"/>
        <v>A0031:(株)新出光メニューC</v>
      </c>
      <c r="S115" s="181">
        <f t="shared" si="5"/>
        <v>0</v>
      </c>
    </row>
    <row r="116" spans="2:19">
      <c r="B116" s="121" t="s">
        <v>1084</v>
      </c>
      <c r="C116" s="490" t="s">
        <v>1594</v>
      </c>
      <c r="D116" s="490" t="str">
        <f t="shared" si="3"/>
        <v>A0162:TOPPANホールディングス(株)</v>
      </c>
      <c r="I116" s="125" t="s">
        <v>1001</v>
      </c>
      <c r="J116" s="125" t="s">
        <v>1511</v>
      </c>
      <c r="K116" s="182" t="s">
        <v>915</v>
      </c>
      <c r="L116" s="182">
        <v>3.1399999999999999E-4</v>
      </c>
      <c r="M116" s="182">
        <v>3.1399999999999999E-4</v>
      </c>
      <c r="N116" s="182">
        <v>3.1399999999999999E-4</v>
      </c>
      <c r="O116" s="182">
        <v>3.1399999999999999E-4</v>
      </c>
      <c r="P116" s="182">
        <v>3.1399999999999999E-4</v>
      </c>
      <c r="R116" s="155" t="str">
        <f t="shared" si="4"/>
        <v>A0031:(株)新出光メニューD</v>
      </c>
      <c r="S116" s="181">
        <f t="shared" si="5"/>
        <v>3.1399999999999999E-4</v>
      </c>
    </row>
    <row r="117" spans="2:19">
      <c r="B117" s="121" t="s">
        <v>1085</v>
      </c>
      <c r="C117" s="490" t="s">
        <v>1595</v>
      </c>
      <c r="D117" s="490" t="str">
        <f t="shared" si="3"/>
        <v>A0163:伊勢崎ガス(株)</v>
      </c>
      <c r="I117" s="125" t="s">
        <v>1001</v>
      </c>
      <c r="J117" s="125" t="s">
        <v>1511</v>
      </c>
      <c r="K117" s="182" t="s">
        <v>916</v>
      </c>
      <c r="L117" s="182">
        <v>2.5900000000000001E-4</v>
      </c>
      <c r="M117" s="182">
        <v>2.5900000000000001E-4</v>
      </c>
      <c r="N117" s="182">
        <v>2.5900000000000001E-4</v>
      </c>
      <c r="O117" s="182">
        <v>2.5900000000000001E-4</v>
      </c>
      <c r="P117" s="182">
        <v>2.5900000000000001E-4</v>
      </c>
      <c r="R117" s="155" t="str">
        <f t="shared" si="4"/>
        <v>A0031:(株)新出光メニューE</v>
      </c>
      <c r="S117" s="181">
        <f t="shared" si="5"/>
        <v>2.5900000000000001E-4</v>
      </c>
    </row>
    <row r="118" spans="2:19">
      <c r="B118" s="121" t="s">
        <v>1086</v>
      </c>
      <c r="C118" s="490" t="s">
        <v>1596</v>
      </c>
      <c r="D118" s="490" t="str">
        <f t="shared" si="3"/>
        <v>A0164:キヤノンマーケティングジャパン(株)</v>
      </c>
      <c r="I118" s="125" t="s">
        <v>1001</v>
      </c>
      <c r="J118" s="125" t="s">
        <v>1511</v>
      </c>
      <c r="K118" s="182" t="s">
        <v>1999</v>
      </c>
      <c r="L118" s="182">
        <v>0</v>
      </c>
      <c r="M118" s="182">
        <v>0</v>
      </c>
      <c r="N118" s="182">
        <v>0</v>
      </c>
      <c r="O118" s="182">
        <v>0</v>
      </c>
      <c r="P118" s="182">
        <v>0</v>
      </c>
      <c r="R118" s="155" t="str">
        <f t="shared" si="4"/>
        <v>A0031:(株)新出光メニューF</v>
      </c>
      <c r="S118" s="181">
        <f t="shared" si="5"/>
        <v>0</v>
      </c>
    </row>
    <row r="119" spans="2:19">
      <c r="B119" s="121" t="s">
        <v>1087</v>
      </c>
      <c r="C119" s="490" t="s">
        <v>1597</v>
      </c>
      <c r="D119" s="490" t="str">
        <f t="shared" si="3"/>
        <v>A0165:(株)とっとり市民電力</v>
      </c>
      <c r="I119" s="125" t="s">
        <v>1001</v>
      </c>
      <c r="J119" s="125" t="s">
        <v>1511</v>
      </c>
      <c r="K119" s="182" t="s">
        <v>2000</v>
      </c>
      <c r="L119" s="182">
        <v>0</v>
      </c>
      <c r="M119" s="182">
        <v>0</v>
      </c>
      <c r="N119" s="182">
        <v>0</v>
      </c>
      <c r="O119" s="182">
        <v>0</v>
      </c>
      <c r="P119" s="182">
        <v>0</v>
      </c>
      <c r="R119" s="155" t="str">
        <f t="shared" si="4"/>
        <v>A0031:(株)新出光メニューG</v>
      </c>
      <c r="S119" s="181">
        <f t="shared" si="5"/>
        <v>0</v>
      </c>
    </row>
    <row r="120" spans="2:19">
      <c r="B120" s="121" t="s">
        <v>1088</v>
      </c>
      <c r="C120" s="490" t="s">
        <v>1598</v>
      </c>
      <c r="D120" s="490" t="str">
        <f t="shared" si="3"/>
        <v>A0166:(株)エクスゲート(旧：(株)イーエムアイ)</v>
      </c>
      <c r="I120" s="125" t="s">
        <v>1001</v>
      </c>
      <c r="J120" s="125" t="s">
        <v>1511</v>
      </c>
      <c r="K120" s="182" t="s">
        <v>2001</v>
      </c>
      <c r="L120" s="182">
        <v>0</v>
      </c>
      <c r="M120" s="182">
        <v>0</v>
      </c>
      <c r="N120" s="182">
        <v>0</v>
      </c>
      <c r="O120" s="182">
        <v>0</v>
      </c>
      <c r="P120" s="182">
        <v>0</v>
      </c>
      <c r="R120" s="155" t="str">
        <f t="shared" si="4"/>
        <v>A0031:(株)新出光メニューH</v>
      </c>
      <c r="S120" s="181">
        <f t="shared" si="5"/>
        <v>0</v>
      </c>
    </row>
    <row r="121" spans="2:19">
      <c r="B121" s="121" t="s">
        <v>1089</v>
      </c>
      <c r="C121" s="490" t="s">
        <v>1599</v>
      </c>
      <c r="D121" s="490" t="str">
        <f t="shared" si="3"/>
        <v>A0167:佐野瓦斯(株)</v>
      </c>
      <c r="I121" s="125" t="s">
        <v>1001</v>
      </c>
      <c r="J121" s="125" t="s">
        <v>1511</v>
      </c>
      <c r="K121" s="182" t="s">
        <v>2002</v>
      </c>
      <c r="L121" s="182">
        <v>0</v>
      </c>
      <c r="M121" s="182">
        <v>0</v>
      </c>
      <c r="N121" s="182">
        <v>0</v>
      </c>
      <c r="O121" s="182">
        <v>0</v>
      </c>
      <c r="P121" s="182">
        <v>0</v>
      </c>
      <c r="R121" s="155" t="str">
        <f t="shared" si="4"/>
        <v>A0031:(株)新出光メニューI</v>
      </c>
      <c r="S121" s="181">
        <f t="shared" si="5"/>
        <v>0</v>
      </c>
    </row>
    <row r="122" spans="2:19">
      <c r="B122" s="121" t="s">
        <v>1090</v>
      </c>
      <c r="C122" s="490" t="s">
        <v>1600</v>
      </c>
      <c r="D122" s="490" t="str">
        <f t="shared" si="3"/>
        <v>A0168:桐生瓦斯(株)</v>
      </c>
      <c r="I122" s="125" t="s">
        <v>1001</v>
      </c>
      <c r="J122" s="125" t="s">
        <v>1511</v>
      </c>
      <c r="K122" s="182" t="s">
        <v>2003</v>
      </c>
      <c r="L122" s="182">
        <v>0</v>
      </c>
      <c r="M122" s="182">
        <v>0</v>
      </c>
      <c r="N122" s="182">
        <v>0</v>
      </c>
      <c r="O122" s="182">
        <v>0</v>
      </c>
      <c r="P122" s="182">
        <v>0</v>
      </c>
      <c r="R122" s="155" t="str">
        <f t="shared" si="4"/>
        <v>A0031:(株)新出光メニューJ</v>
      </c>
      <c r="S122" s="181">
        <f t="shared" si="5"/>
        <v>0</v>
      </c>
    </row>
    <row r="123" spans="2:19">
      <c r="B123" s="121" t="s">
        <v>1091</v>
      </c>
      <c r="C123" s="490" t="s">
        <v>1601</v>
      </c>
      <c r="D123" s="490" t="str">
        <f t="shared" si="3"/>
        <v>A0169:森の電力(株)</v>
      </c>
      <c r="I123" s="125" t="s">
        <v>1001</v>
      </c>
      <c r="J123" s="125" t="s">
        <v>1511</v>
      </c>
      <c r="K123" s="182" t="s">
        <v>2004</v>
      </c>
      <c r="L123" s="182">
        <v>5.1999999999999995E-4</v>
      </c>
      <c r="M123" s="182">
        <v>5.1999999999999995E-4</v>
      </c>
      <c r="N123" s="182">
        <v>5.1999999999999995E-4</v>
      </c>
      <c r="O123" s="182">
        <v>5.1999999999999995E-4</v>
      </c>
      <c r="P123" s="182">
        <v>5.1999999999999995E-4</v>
      </c>
      <c r="R123" s="155" t="str">
        <f t="shared" si="4"/>
        <v>A0031:(株)新出光メニューK</v>
      </c>
      <c r="S123" s="181">
        <f t="shared" si="5"/>
        <v>5.1999999999999995E-4</v>
      </c>
    </row>
    <row r="124" spans="2:19">
      <c r="B124" s="121" t="s">
        <v>1092</v>
      </c>
      <c r="C124" s="490" t="s">
        <v>1602</v>
      </c>
      <c r="D124" s="490" t="str">
        <f t="shared" si="3"/>
        <v>A0170:大和ハウス工業(株)</v>
      </c>
      <c r="I124" s="125" t="s">
        <v>1001</v>
      </c>
      <c r="J124" s="125" t="s">
        <v>1511</v>
      </c>
      <c r="K124" s="182" t="s">
        <v>1998</v>
      </c>
      <c r="L124" s="182">
        <v>4.3300000000000001E-4</v>
      </c>
      <c r="M124" s="182">
        <v>4.3300000000000001E-4</v>
      </c>
      <c r="N124" s="182">
        <v>4.3300000000000001E-4</v>
      </c>
      <c r="O124" s="182">
        <v>4.3300000000000001E-4</v>
      </c>
      <c r="P124" s="182">
        <v>4.3300000000000001E-4</v>
      </c>
      <c r="R124" s="155" t="str">
        <f t="shared" si="4"/>
        <v>A0031:(株)新出光(参考値)事業者全体</v>
      </c>
      <c r="S124" s="181">
        <f t="shared" si="5"/>
        <v>4.3300000000000001E-4</v>
      </c>
    </row>
    <row r="125" spans="2:19">
      <c r="B125" s="121" t="s">
        <v>1093</v>
      </c>
      <c r="C125" s="490" t="s">
        <v>1603</v>
      </c>
      <c r="D125" s="490" t="str">
        <f t="shared" si="3"/>
        <v>A0172:HTBエナジー(株)</v>
      </c>
      <c r="I125" s="125" t="s">
        <v>1002</v>
      </c>
      <c r="J125" s="125" t="s">
        <v>1512</v>
      </c>
      <c r="K125" s="182"/>
      <c r="L125" s="182">
        <v>3.4900000000000003E-4</v>
      </c>
      <c r="M125" s="182">
        <v>3.4900000000000003E-4</v>
      </c>
      <c r="N125" s="182">
        <v>3.4900000000000003E-4</v>
      </c>
      <c r="O125" s="182">
        <v>3.4900000000000003E-4</v>
      </c>
      <c r="P125" s="182">
        <v>3.4900000000000003E-4</v>
      </c>
      <c r="R125" s="155" t="str">
        <f t="shared" si="4"/>
        <v>A0032:セントラル石油瓦斯(株)</v>
      </c>
      <c r="S125" s="181">
        <f t="shared" si="5"/>
        <v>3.4900000000000003E-4</v>
      </c>
    </row>
    <row r="126" spans="2:19">
      <c r="B126" s="121" t="s">
        <v>1094</v>
      </c>
      <c r="C126" s="490" t="s">
        <v>1604</v>
      </c>
      <c r="D126" s="490" t="str">
        <f t="shared" si="3"/>
        <v>A0173:(株)アシストワンエナジー</v>
      </c>
      <c r="I126" s="125" t="s">
        <v>1003</v>
      </c>
      <c r="J126" s="125" t="s">
        <v>1513</v>
      </c>
      <c r="K126" s="182"/>
      <c r="L126" s="182">
        <v>4.64E-4</v>
      </c>
      <c r="M126" s="182">
        <v>4.64E-4</v>
      </c>
      <c r="N126" s="182">
        <v>4.64E-4</v>
      </c>
      <c r="O126" s="182">
        <v>4.64E-4</v>
      </c>
      <c r="P126" s="182">
        <v>4.64E-4</v>
      </c>
      <c r="R126" s="155" t="str">
        <f t="shared" si="4"/>
        <v>A0034:一般財団法人泉佐野電力</v>
      </c>
      <c r="S126" s="181">
        <f t="shared" si="5"/>
        <v>4.64E-4</v>
      </c>
    </row>
    <row r="127" spans="2:19">
      <c r="B127" s="121" t="s">
        <v>1095</v>
      </c>
      <c r="C127" s="490" t="s">
        <v>1605</v>
      </c>
      <c r="D127" s="490" t="str">
        <f t="shared" si="3"/>
        <v>A0175:(株)フソウ・エナジー</v>
      </c>
      <c r="I127" s="125" t="s">
        <v>1004</v>
      </c>
      <c r="J127" s="125" t="s">
        <v>1514</v>
      </c>
      <c r="K127" s="182" t="s">
        <v>652</v>
      </c>
      <c r="L127" s="182">
        <v>0</v>
      </c>
      <c r="M127" s="182">
        <v>0</v>
      </c>
      <c r="N127" s="182">
        <v>0</v>
      </c>
      <c r="O127" s="182">
        <v>0</v>
      </c>
      <c r="P127" s="182">
        <v>0</v>
      </c>
      <c r="R127" s="155" t="str">
        <f t="shared" si="4"/>
        <v>A0035:コスモエネルギーソリューションズ(株)メニューA</v>
      </c>
      <c r="S127" s="181">
        <f t="shared" si="5"/>
        <v>0</v>
      </c>
    </row>
    <row r="128" spans="2:19">
      <c r="B128" s="121" t="s">
        <v>1096</v>
      </c>
      <c r="C128" s="490" t="s">
        <v>1606</v>
      </c>
      <c r="D128" s="490" t="str">
        <f t="shared" si="3"/>
        <v>A0177:湘南電力(株)</v>
      </c>
      <c r="I128" s="125" t="s">
        <v>1004</v>
      </c>
      <c r="J128" s="125" t="s">
        <v>1514</v>
      </c>
      <c r="K128" s="182" t="s">
        <v>729</v>
      </c>
      <c r="L128" s="182">
        <v>3.9999999999999998E-6</v>
      </c>
      <c r="M128" s="182">
        <v>3.9999999999999998E-6</v>
      </c>
      <c r="N128" s="182">
        <v>3.9999999999999998E-6</v>
      </c>
      <c r="O128" s="182">
        <v>3.9999999999999998E-6</v>
      </c>
      <c r="P128" s="182">
        <v>3.9999999999999998E-6</v>
      </c>
      <c r="R128" s="155" t="str">
        <f t="shared" si="4"/>
        <v>A0035:コスモエネルギーソリューションズ(株)メニューB</v>
      </c>
      <c r="S128" s="181">
        <f t="shared" si="5"/>
        <v>3.9999999999999998E-6</v>
      </c>
    </row>
    <row r="129" spans="2:19">
      <c r="B129" s="121" t="s">
        <v>1097</v>
      </c>
      <c r="C129" s="490" t="s">
        <v>1607</v>
      </c>
      <c r="D129" s="490" t="str">
        <f t="shared" si="3"/>
        <v>A0178:大東建託パートナーズ(株)</v>
      </c>
      <c r="I129" s="125" t="s">
        <v>1004</v>
      </c>
      <c r="J129" s="125" t="s">
        <v>1514</v>
      </c>
      <c r="K129" s="182" t="s">
        <v>730</v>
      </c>
      <c r="L129" s="182">
        <v>9.1000000000000003E-5</v>
      </c>
      <c r="M129" s="182">
        <v>9.1000000000000003E-5</v>
      </c>
      <c r="N129" s="182">
        <v>9.1000000000000003E-5</v>
      </c>
      <c r="O129" s="182">
        <v>9.1000000000000003E-5</v>
      </c>
      <c r="P129" s="182">
        <v>9.1000000000000003E-5</v>
      </c>
      <c r="R129" s="155" t="str">
        <f t="shared" si="4"/>
        <v>A0035:コスモエネルギーソリューションズ(株)メニューC</v>
      </c>
      <c r="S129" s="181">
        <f t="shared" si="5"/>
        <v>9.1000000000000003E-5</v>
      </c>
    </row>
    <row r="130" spans="2:19">
      <c r="B130" s="121" t="s">
        <v>1098</v>
      </c>
      <c r="C130" s="490" t="s">
        <v>1608</v>
      </c>
      <c r="D130" s="490" t="str">
        <f t="shared" si="3"/>
        <v>A0179:Japan電力(株)</v>
      </c>
      <c r="I130" s="125" t="s">
        <v>1004</v>
      </c>
      <c r="J130" s="125" t="s">
        <v>1514</v>
      </c>
      <c r="K130" s="182" t="s">
        <v>915</v>
      </c>
      <c r="L130" s="182">
        <v>1.12E-4</v>
      </c>
      <c r="M130" s="182">
        <v>1.12E-4</v>
      </c>
      <c r="N130" s="182">
        <v>1.12E-4</v>
      </c>
      <c r="O130" s="182">
        <v>1.12E-4</v>
      </c>
      <c r="P130" s="182">
        <v>1.12E-4</v>
      </c>
      <c r="R130" s="155" t="str">
        <f t="shared" si="4"/>
        <v>A0035:コスモエネルギーソリューションズ(株)メニューD</v>
      </c>
      <c r="S130" s="181">
        <f t="shared" si="5"/>
        <v>1.12E-4</v>
      </c>
    </row>
    <row r="131" spans="2:19">
      <c r="B131" s="121" t="s">
        <v>1099</v>
      </c>
      <c r="C131" s="490" t="s">
        <v>1609</v>
      </c>
      <c r="D131" s="490" t="str">
        <f t="shared" si="3"/>
        <v>A0180:電源開発(株)</v>
      </c>
      <c r="I131" s="125" t="s">
        <v>1004</v>
      </c>
      <c r="J131" s="125" t="s">
        <v>1514</v>
      </c>
      <c r="K131" s="182" t="s">
        <v>916</v>
      </c>
      <c r="L131" s="182">
        <v>9.2500000000000004E-4</v>
      </c>
      <c r="M131" s="182">
        <v>9.2500000000000004E-4</v>
      </c>
      <c r="N131" s="182">
        <v>9.2500000000000004E-4</v>
      </c>
      <c r="O131" s="182">
        <v>9.2500000000000004E-4</v>
      </c>
      <c r="P131" s="182">
        <v>9.2500000000000004E-4</v>
      </c>
      <c r="R131" s="155" t="str">
        <f t="shared" si="4"/>
        <v>A0035:コスモエネルギーソリューションズ(株)メニューE</v>
      </c>
      <c r="S131" s="181">
        <f t="shared" si="5"/>
        <v>9.2500000000000004E-4</v>
      </c>
    </row>
    <row r="132" spans="2:19">
      <c r="B132" s="121" t="s">
        <v>1100</v>
      </c>
      <c r="C132" s="490" t="s">
        <v>1610</v>
      </c>
      <c r="D132" s="490" t="str">
        <f t="shared" si="3"/>
        <v>A0181:鈴与商事(株)</v>
      </c>
      <c r="I132" s="125" t="s">
        <v>1004</v>
      </c>
      <c r="J132" s="125" t="s">
        <v>1514</v>
      </c>
      <c r="K132" s="182" t="s">
        <v>1998</v>
      </c>
      <c r="L132" s="182">
        <v>3.4900000000000003E-4</v>
      </c>
      <c r="M132" s="182">
        <v>3.4900000000000003E-4</v>
      </c>
      <c r="N132" s="182">
        <v>3.4900000000000003E-4</v>
      </c>
      <c r="O132" s="182">
        <v>3.4900000000000003E-4</v>
      </c>
      <c r="P132" s="182">
        <v>3.4900000000000003E-4</v>
      </c>
      <c r="R132" s="155" t="str">
        <f t="shared" si="4"/>
        <v>A0035:コスモエネルギーソリューションズ(株)(参考値)事業者全体</v>
      </c>
      <c r="S132" s="181">
        <f t="shared" si="5"/>
        <v>3.4900000000000003E-4</v>
      </c>
    </row>
    <row r="133" spans="2:19">
      <c r="B133" s="121" t="s">
        <v>1101</v>
      </c>
      <c r="C133" s="490" t="s">
        <v>1611</v>
      </c>
      <c r="D133" s="490" t="str">
        <f t="shared" si="3"/>
        <v>A0184:ワタミエナジー(株)</v>
      </c>
      <c r="I133" s="125" t="s">
        <v>1005</v>
      </c>
      <c r="J133" s="125" t="s">
        <v>1515</v>
      </c>
      <c r="K133" s="182" t="s">
        <v>652</v>
      </c>
      <c r="L133" s="182">
        <v>0</v>
      </c>
      <c r="M133" s="182">
        <v>0</v>
      </c>
      <c r="N133" s="182">
        <v>0</v>
      </c>
      <c r="O133" s="182">
        <v>0</v>
      </c>
      <c r="P133" s="182">
        <v>0</v>
      </c>
      <c r="R133" s="155" t="str">
        <f t="shared" si="4"/>
        <v>A0036:(株)グリーンサークルメニューA</v>
      </c>
      <c r="S133" s="181">
        <f t="shared" si="5"/>
        <v>0</v>
      </c>
    </row>
    <row r="134" spans="2:19">
      <c r="B134" s="121" t="s">
        <v>1102</v>
      </c>
      <c r="C134" s="490" t="s">
        <v>1612</v>
      </c>
      <c r="D134" s="490" t="str">
        <f t="shared" si="3"/>
        <v>A0185:(株)パルシステム電力</v>
      </c>
      <c r="I134" s="125" t="s">
        <v>1005</v>
      </c>
      <c r="J134" s="125" t="s">
        <v>1515</v>
      </c>
      <c r="K134" s="182" t="s">
        <v>729</v>
      </c>
      <c r="L134" s="182">
        <v>4.3600000000000003E-4</v>
      </c>
      <c r="M134" s="182">
        <v>4.3600000000000003E-4</v>
      </c>
      <c r="N134" s="182">
        <v>4.3600000000000003E-4</v>
      </c>
      <c r="O134" s="182">
        <v>4.3600000000000003E-4</v>
      </c>
      <c r="P134" s="182">
        <v>4.3600000000000003E-4</v>
      </c>
      <c r="R134" s="155" t="str">
        <f t="shared" si="4"/>
        <v>A0036:(株)グリーンサークルメニューB</v>
      </c>
      <c r="S134" s="181">
        <f t="shared" si="5"/>
        <v>4.3600000000000003E-4</v>
      </c>
    </row>
    <row r="135" spans="2:19">
      <c r="B135" s="121" t="s">
        <v>1103</v>
      </c>
      <c r="C135" s="490" t="s">
        <v>1613</v>
      </c>
      <c r="D135" s="490" t="str">
        <f t="shared" si="3"/>
        <v>A0186:SBパワー(株)</v>
      </c>
      <c r="I135" s="125" t="s">
        <v>1005</v>
      </c>
      <c r="J135" s="125" t="s">
        <v>1515</v>
      </c>
      <c r="K135" s="182" t="s">
        <v>1998</v>
      </c>
      <c r="L135" s="182">
        <v>2.8600000000000001E-4</v>
      </c>
      <c r="M135" s="182">
        <v>2.8600000000000001E-4</v>
      </c>
      <c r="N135" s="182">
        <v>2.8600000000000001E-4</v>
      </c>
      <c r="O135" s="182">
        <v>2.8600000000000001E-4</v>
      </c>
      <c r="P135" s="182">
        <v>2.8600000000000001E-4</v>
      </c>
      <c r="R135" s="155" t="str">
        <f t="shared" si="4"/>
        <v>A0036:(株)グリーンサークル(参考値)事業者全体</v>
      </c>
      <c r="S135" s="181">
        <f t="shared" si="5"/>
        <v>2.8600000000000001E-4</v>
      </c>
    </row>
    <row r="136" spans="2:19">
      <c r="B136" s="121" t="s">
        <v>1104</v>
      </c>
      <c r="C136" s="490" t="s">
        <v>1614</v>
      </c>
      <c r="D136" s="490" t="str">
        <f t="shared" si="3"/>
        <v>A0187:NFパワーサービス(株)</v>
      </c>
      <c r="I136" s="125" t="s">
        <v>1006</v>
      </c>
      <c r="J136" s="125" t="s">
        <v>1516</v>
      </c>
      <c r="K136" s="182" t="s">
        <v>652</v>
      </c>
      <c r="L136" s="182">
        <v>0</v>
      </c>
      <c r="M136" s="182">
        <v>0</v>
      </c>
      <c r="N136" s="182">
        <v>0</v>
      </c>
      <c r="O136" s="182">
        <v>0</v>
      </c>
      <c r="P136" s="182">
        <v>0</v>
      </c>
      <c r="R136" s="155" t="str">
        <f t="shared" si="4"/>
        <v>A0039:北海道瓦斯(株)メニューA</v>
      </c>
      <c r="S136" s="181">
        <f t="shared" si="5"/>
        <v>0</v>
      </c>
    </row>
    <row r="137" spans="2:19">
      <c r="B137" s="121" t="s">
        <v>1105</v>
      </c>
      <c r="C137" s="490" t="s">
        <v>1615</v>
      </c>
      <c r="D137" s="490" t="str">
        <f t="shared" ref="D137:D200" si="6">IF(B137="","",B137&amp;":"&amp;C137)</f>
        <v>A0188:ひおき地域エネルギー(株)</v>
      </c>
      <c r="I137" s="125" t="s">
        <v>1006</v>
      </c>
      <c r="J137" s="125" t="s">
        <v>1516</v>
      </c>
      <c r="K137" s="182" t="s">
        <v>729</v>
      </c>
      <c r="L137" s="182">
        <v>5.6999999999999998E-4</v>
      </c>
      <c r="M137" s="182">
        <v>5.6999999999999998E-4</v>
      </c>
      <c r="N137" s="182">
        <v>5.6999999999999998E-4</v>
      </c>
      <c r="O137" s="182">
        <v>5.6999999999999998E-4</v>
      </c>
      <c r="P137" s="182">
        <v>5.6999999999999998E-4</v>
      </c>
      <c r="R137" s="155" t="str">
        <f t="shared" si="4"/>
        <v>A0039:北海道瓦斯(株)メニューB</v>
      </c>
      <c r="S137" s="181">
        <f t="shared" si="5"/>
        <v>5.6999999999999998E-4</v>
      </c>
    </row>
    <row r="138" spans="2:19">
      <c r="B138" s="121" t="s">
        <v>1106</v>
      </c>
      <c r="C138" s="490" t="s">
        <v>1616</v>
      </c>
      <c r="D138" s="490" t="str">
        <f t="shared" si="6"/>
        <v>A0189:和歌山電力(株)</v>
      </c>
      <c r="I138" s="125" t="s">
        <v>1006</v>
      </c>
      <c r="J138" s="125" t="s">
        <v>1516</v>
      </c>
      <c r="K138" s="182" t="s">
        <v>1998</v>
      </c>
      <c r="L138" s="182">
        <v>4.7699999999999999E-4</v>
      </c>
      <c r="M138" s="182">
        <v>4.7699999999999999E-4</v>
      </c>
      <c r="N138" s="182">
        <v>4.7699999999999999E-4</v>
      </c>
      <c r="O138" s="182">
        <v>4.7699999999999999E-4</v>
      </c>
      <c r="P138" s="182">
        <v>4.7699999999999999E-4</v>
      </c>
      <c r="R138" s="155" t="str">
        <f t="shared" ref="R138:R201" si="7">I138&amp;":"&amp;J138&amp;K138</f>
        <v>A0039:北海道瓦斯(株)(参考値)事業者全体</v>
      </c>
      <c r="S138" s="181">
        <f t="shared" ref="S138:S201" si="8">HLOOKUP($S$8,$L$8:$P$2000,ROW()-7,FALSE)</f>
        <v>4.7699999999999999E-4</v>
      </c>
    </row>
    <row r="139" spans="2:19">
      <c r="B139" s="121" t="s">
        <v>1107</v>
      </c>
      <c r="C139" s="490" t="s">
        <v>1617</v>
      </c>
      <c r="D139" s="490" t="str">
        <f t="shared" si="6"/>
        <v>A0190:日本瓦斯(株)(日本ガス(株))</v>
      </c>
      <c r="I139" s="125" t="s">
        <v>1007</v>
      </c>
      <c r="J139" s="125" t="s">
        <v>1517</v>
      </c>
      <c r="K139" s="182"/>
      <c r="L139" s="182">
        <v>4.95E-4</v>
      </c>
      <c r="M139" s="182">
        <v>4.95E-4</v>
      </c>
      <c r="N139" s="182">
        <v>4.95E-4</v>
      </c>
      <c r="O139" s="182">
        <v>4.95E-4</v>
      </c>
      <c r="P139" s="182">
        <v>4.95E-4</v>
      </c>
      <c r="R139" s="155" t="str">
        <f t="shared" si="7"/>
        <v>A0040:アルカナエナジー(株)</v>
      </c>
      <c r="S139" s="181">
        <f t="shared" si="8"/>
        <v>4.95E-4</v>
      </c>
    </row>
    <row r="140" spans="2:19">
      <c r="B140" s="121" t="s">
        <v>1108</v>
      </c>
      <c r="C140" s="490" t="s">
        <v>1618</v>
      </c>
      <c r="D140" s="490" t="str">
        <f t="shared" si="6"/>
        <v>A0193:九電みらいエナジー(株)</v>
      </c>
      <c r="I140" s="125" t="s">
        <v>1008</v>
      </c>
      <c r="J140" s="125" t="s">
        <v>1518</v>
      </c>
      <c r="K140" s="182" t="s">
        <v>652</v>
      </c>
      <c r="L140" s="182">
        <v>5.5699999999999999E-4</v>
      </c>
      <c r="M140" s="182">
        <v>5.5699999999999999E-4</v>
      </c>
      <c r="N140" s="182">
        <v>5.5699999999999999E-4</v>
      </c>
      <c r="O140" s="182">
        <v>5.5699999999999999E-4</v>
      </c>
      <c r="P140" s="182">
        <v>5.5699999999999999E-4</v>
      </c>
      <c r="R140" s="155" t="str">
        <f t="shared" si="7"/>
        <v>A0042:新エネルギー開発(株)メニューA</v>
      </c>
      <c r="S140" s="181">
        <f t="shared" si="8"/>
        <v>5.5699999999999999E-4</v>
      </c>
    </row>
    <row r="141" spans="2:19">
      <c r="B141" s="121" t="s">
        <v>1109</v>
      </c>
      <c r="C141" s="490" t="s">
        <v>1619</v>
      </c>
      <c r="D141" s="490" t="str">
        <f t="shared" si="6"/>
        <v>A0195:(株)フォレストパワー</v>
      </c>
      <c r="I141" s="125" t="s">
        <v>1008</v>
      </c>
      <c r="J141" s="125" t="s">
        <v>1518</v>
      </c>
      <c r="K141" s="182" t="s">
        <v>729</v>
      </c>
      <c r="L141" s="182">
        <v>0</v>
      </c>
      <c r="M141" s="182">
        <v>0</v>
      </c>
      <c r="N141" s="182">
        <v>0</v>
      </c>
      <c r="O141" s="182">
        <v>0</v>
      </c>
      <c r="P141" s="182">
        <v>0</v>
      </c>
      <c r="R141" s="155" t="str">
        <f t="shared" si="7"/>
        <v>A0042:新エネルギー開発(株)メニューB</v>
      </c>
      <c r="S141" s="181">
        <f t="shared" si="8"/>
        <v>0</v>
      </c>
    </row>
    <row r="142" spans="2:19">
      <c r="B142" s="121" t="s">
        <v>1110</v>
      </c>
      <c r="C142" s="490" t="s">
        <v>1620</v>
      </c>
      <c r="D142" s="490" t="str">
        <f t="shared" si="6"/>
        <v>A0196:日高都市ガス(株)</v>
      </c>
      <c r="I142" s="125" t="s">
        <v>1008</v>
      </c>
      <c r="J142" s="125" t="s">
        <v>1518</v>
      </c>
      <c r="K142" s="182" t="s">
        <v>1998</v>
      </c>
      <c r="L142" s="182">
        <v>5.4900000000000001E-4</v>
      </c>
      <c r="M142" s="182">
        <v>5.4900000000000001E-4</v>
      </c>
      <c r="N142" s="182">
        <v>5.4900000000000001E-4</v>
      </c>
      <c r="O142" s="182">
        <v>5.4900000000000001E-4</v>
      </c>
      <c r="P142" s="182">
        <v>5.4900000000000001E-4</v>
      </c>
      <c r="R142" s="155" t="str">
        <f t="shared" si="7"/>
        <v>A0042:新エネルギー開発(株)(参考値)事業者全体</v>
      </c>
      <c r="S142" s="181">
        <f t="shared" si="8"/>
        <v>5.4900000000000001E-4</v>
      </c>
    </row>
    <row r="143" spans="2:19">
      <c r="B143" s="121" t="s">
        <v>1111</v>
      </c>
      <c r="C143" s="490" t="s">
        <v>1621</v>
      </c>
      <c r="D143" s="490" t="str">
        <f t="shared" si="6"/>
        <v>A0197:(株)アドバンテック</v>
      </c>
      <c r="I143" s="125" t="s">
        <v>1009</v>
      </c>
      <c r="J143" s="125" t="s">
        <v>1519</v>
      </c>
      <c r="K143" s="182" t="s">
        <v>652</v>
      </c>
      <c r="L143" s="182">
        <v>2.5300000000000002E-4</v>
      </c>
      <c r="M143" s="182">
        <v>2.5300000000000002E-4</v>
      </c>
      <c r="N143" s="182">
        <v>2.5300000000000002E-4</v>
      </c>
      <c r="O143" s="182">
        <v>2.5300000000000002E-4</v>
      </c>
      <c r="P143" s="182">
        <v>2.5300000000000002E-4</v>
      </c>
      <c r="R143" s="155" t="str">
        <f t="shared" si="7"/>
        <v>A0043:伊藤忠エネクス(株)メニューA</v>
      </c>
      <c r="S143" s="181">
        <f t="shared" si="8"/>
        <v>2.5300000000000002E-4</v>
      </c>
    </row>
    <row r="144" spans="2:19">
      <c r="B144" s="121" t="s">
        <v>1112</v>
      </c>
      <c r="C144" s="490" t="s">
        <v>1622</v>
      </c>
      <c r="D144" s="490" t="str">
        <f t="shared" si="6"/>
        <v>A0199:ローカルエナジー(株)</v>
      </c>
      <c r="I144" s="125" t="s">
        <v>1009</v>
      </c>
      <c r="J144" s="125" t="s">
        <v>1519</v>
      </c>
      <c r="K144" s="182" t="s">
        <v>729</v>
      </c>
      <c r="L144" s="182">
        <v>4.2200000000000001E-4</v>
      </c>
      <c r="M144" s="182">
        <v>4.2200000000000001E-4</v>
      </c>
      <c r="N144" s="182">
        <v>4.2200000000000001E-4</v>
      </c>
      <c r="O144" s="182">
        <v>4.2200000000000001E-4</v>
      </c>
      <c r="P144" s="182">
        <v>4.2200000000000001E-4</v>
      </c>
      <c r="R144" s="155" t="str">
        <f t="shared" si="7"/>
        <v>A0043:伊藤忠エネクス(株)メニューB</v>
      </c>
      <c r="S144" s="181">
        <f t="shared" si="8"/>
        <v>4.2200000000000001E-4</v>
      </c>
    </row>
    <row r="145" spans="2:19">
      <c r="B145" s="121" t="s">
        <v>1113</v>
      </c>
      <c r="C145" s="490" t="s">
        <v>1623</v>
      </c>
      <c r="D145" s="490" t="str">
        <f t="shared" si="6"/>
        <v>A0200:エネックス(株)</v>
      </c>
      <c r="I145" s="125" t="s">
        <v>1009</v>
      </c>
      <c r="J145" s="125" t="s">
        <v>1519</v>
      </c>
      <c r="K145" s="182" t="s">
        <v>1998</v>
      </c>
      <c r="L145" s="182">
        <v>4.2200000000000001E-4</v>
      </c>
      <c r="M145" s="182">
        <v>4.2200000000000001E-4</v>
      </c>
      <c r="N145" s="182">
        <v>4.2200000000000001E-4</v>
      </c>
      <c r="O145" s="182">
        <v>4.2200000000000001E-4</v>
      </c>
      <c r="P145" s="182">
        <v>4.2200000000000001E-4</v>
      </c>
      <c r="R145" s="155" t="str">
        <f t="shared" si="7"/>
        <v>A0043:伊藤忠エネクス(株)(参考値)事業者全体</v>
      </c>
      <c r="S145" s="181">
        <f t="shared" si="8"/>
        <v>4.2200000000000001E-4</v>
      </c>
    </row>
    <row r="146" spans="2:19">
      <c r="B146" s="121" t="s">
        <v>1114</v>
      </c>
      <c r="C146" s="490" t="s">
        <v>1624</v>
      </c>
      <c r="D146" s="490" t="str">
        <f t="shared" si="6"/>
        <v>A0203:(株)レクスポート</v>
      </c>
      <c r="I146" s="125" t="s">
        <v>1010</v>
      </c>
      <c r="J146" s="125" t="s">
        <v>1520</v>
      </c>
      <c r="K146" s="182" t="s">
        <v>652</v>
      </c>
      <c r="L146" s="182">
        <v>0</v>
      </c>
      <c r="M146" s="182">
        <v>0</v>
      </c>
      <c r="N146" s="182">
        <v>0</v>
      </c>
      <c r="O146" s="182">
        <v>0</v>
      </c>
      <c r="P146" s="182">
        <v>0</v>
      </c>
      <c r="R146" s="155" t="str">
        <f t="shared" si="7"/>
        <v>A0045:(株)VーPowerメニューA</v>
      </c>
      <c r="S146" s="181">
        <f t="shared" si="8"/>
        <v>0</v>
      </c>
    </row>
    <row r="147" spans="2:19">
      <c r="B147" s="121" t="s">
        <v>1115</v>
      </c>
      <c r="C147" s="490" t="s">
        <v>1625</v>
      </c>
      <c r="D147" s="490" t="str">
        <f t="shared" si="6"/>
        <v>A0204:なでしこ電力(株)</v>
      </c>
      <c r="I147" s="125" t="s">
        <v>1010</v>
      </c>
      <c r="J147" s="125" t="s">
        <v>1520</v>
      </c>
      <c r="K147" s="182" t="s">
        <v>729</v>
      </c>
      <c r="L147" s="182">
        <v>0</v>
      </c>
      <c r="M147" s="182">
        <v>0</v>
      </c>
      <c r="N147" s="182">
        <v>0</v>
      </c>
      <c r="O147" s="182">
        <v>0</v>
      </c>
      <c r="P147" s="182">
        <v>0</v>
      </c>
      <c r="R147" s="155" t="str">
        <f t="shared" si="7"/>
        <v>A0045:(株)VーPowerメニューB</v>
      </c>
      <c r="S147" s="181">
        <f t="shared" si="8"/>
        <v>0</v>
      </c>
    </row>
    <row r="148" spans="2:19">
      <c r="B148" s="121" t="s">
        <v>1116</v>
      </c>
      <c r="C148" s="490" t="s">
        <v>1626</v>
      </c>
      <c r="D148" s="490" t="str">
        <f t="shared" si="6"/>
        <v>A0206:日田グリーン電力(株)</v>
      </c>
      <c r="I148" s="125" t="s">
        <v>1010</v>
      </c>
      <c r="J148" s="125" t="s">
        <v>1520</v>
      </c>
      <c r="K148" s="182" t="s">
        <v>730</v>
      </c>
      <c r="L148" s="182">
        <v>0</v>
      </c>
      <c r="M148" s="182">
        <v>0</v>
      </c>
      <c r="N148" s="182">
        <v>0</v>
      </c>
      <c r="O148" s="182">
        <v>0</v>
      </c>
      <c r="P148" s="182">
        <v>0</v>
      </c>
      <c r="R148" s="155" t="str">
        <f t="shared" si="7"/>
        <v>A0045:(株)VーPowerメニューC</v>
      </c>
      <c r="S148" s="181">
        <f t="shared" si="8"/>
        <v>0</v>
      </c>
    </row>
    <row r="149" spans="2:19">
      <c r="B149" s="121" t="s">
        <v>1117</v>
      </c>
      <c r="C149" s="490" t="s">
        <v>1627</v>
      </c>
      <c r="D149" s="490" t="str">
        <f t="shared" si="6"/>
        <v>A0209:埼玉ガス(株)</v>
      </c>
      <c r="I149" s="125" t="s">
        <v>1010</v>
      </c>
      <c r="J149" s="125" t="s">
        <v>1520</v>
      </c>
      <c r="K149" s="182" t="s">
        <v>915</v>
      </c>
      <c r="L149" s="182">
        <v>4.8200000000000001E-4</v>
      </c>
      <c r="M149" s="182">
        <v>4.8200000000000001E-4</v>
      </c>
      <c r="N149" s="182">
        <v>4.8200000000000001E-4</v>
      </c>
      <c r="O149" s="182">
        <v>4.8200000000000001E-4</v>
      </c>
      <c r="P149" s="182">
        <v>4.8200000000000001E-4</v>
      </c>
      <c r="R149" s="155" t="str">
        <f t="shared" si="7"/>
        <v>A0045:(株)VーPowerメニューD</v>
      </c>
      <c r="S149" s="181">
        <f t="shared" si="8"/>
        <v>4.8200000000000001E-4</v>
      </c>
    </row>
    <row r="150" spans="2:19">
      <c r="B150" s="121" t="s">
        <v>1118</v>
      </c>
      <c r="C150" s="490" t="s">
        <v>1628</v>
      </c>
      <c r="D150" s="490" t="str">
        <f t="shared" si="6"/>
        <v>A0210:宮崎パワーライン(株)</v>
      </c>
      <c r="I150" s="125" t="s">
        <v>1010</v>
      </c>
      <c r="J150" s="125" t="s">
        <v>1520</v>
      </c>
      <c r="K150" s="182" t="s">
        <v>1998</v>
      </c>
      <c r="L150" s="182">
        <v>4.4700000000000002E-4</v>
      </c>
      <c r="M150" s="182">
        <v>4.4700000000000002E-4</v>
      </c>
      <c r="N150" s="182">
        <v>4.4700000000000002E-4</v>
      </c>
      <c r="O150" s="182">
        <v>4.4700000000000002E-4</v>
      </c>
      <c r="P150" s="182">
        <v>4.4700000000000002E-4</v>
      </c>
      <c r="R150" s="155" t="str">
        <f t="shared" si="7"/>
        <v>A0045:(株)VーPower(参考値)事業者全体</v>
      </c>
      <c r="S150" s="181">
        <f t="shared" si="8"/>
        <v>4.4700000000000002E-4</v>
      </c>
    </row>
    <row r="151" spans="2:19">
      <c r="B151" s="121" t="s">
        <v>1119</v>
      </c>
      <c r="C151" s="490" t="s">
        <v>1629</v>
      </c>
      <c r="D151" s="490" t="str">
        <f t="shared" si="6"/>
        <v>A0211:(株)パワー・オプティマイザー</v>
      </c>
      <c r="I151" s="125" t="s">
        <v>1011</v>
      </c>
      <c r="J151" s="125" t="s">
        <v>1521</v>
      </c>
      <c r="K151" s="182"/>
      <c r="L151" s="182">
        <v>4.5800000000000002E-4</v>
      </c>
      <c r="M151" s="182">
        <v>4.5800000000000002E-4</v>
      </c>
      <c r="N151" s="182">
        <v>4.5800000000000002E-4</v>
      </c>
      <c r="O151" s="182">
        <v>4.5800000000000002E-4</v>
      </c>
      <c r="P151" s="182">
        <v>4.5800000000000002E-4</v>
      </c>
      <c r="R151" s="155" t="str">
        <f t="shared" si="7"/>
        <v>A0046:大和エネルギー(株)</v>
      </c>
      <c r="S151" s="181">
        <f t="shared" si="8"/>
        <v>4.5800000000000002E-4</v>
      </c>
    </row>
    <row r="152" spans="2:19">
      <c r="B152" s="121" t="s">
        <v>1120</v>
      </c>
      <c r="C152" s="490" t="s">
        <v>1630</v>
      </c>
      <c r="D152" s="490" t="str">
        <f t="shared" si="6"/>
        <v>A0213:(株)UーPOWER</v>
      </c>
      <c r="I152" s="125" t="s">
        <v>1012</v>
      </c>
      <c r="J152" s="125" t="s">
        <v>1522</v>
      </c>
      <c r="K152" s="182" t="s">
        <v>652</v>
      </c>
      <c r="L152" s="182">
        <v>0</v>
      </c>
      <c r="M152" s="182">
        <v>0</v>
      </c>
      <c r="N152" s="182">
        <v>0</v>
      </c>
      <c r="O152" s="182">
        <v>0</v>
      </c>
      <c r="P152" s="182">
        <v>0</v>
      </c>
      <c r="R152" s="155" t="str">
        <f t="shared" si="7"/>
        <v>A0048:大阪瓦斯(株)メニューA</v>
      </c>
      <c r="S152" s="181">
        <f t="shared" si="8"/>
        <v>0</v>
      </c>
    </row>
    <row r="153" spans="2:19">
      <c r="B153" s="121" t="s">
        <v>1121</v>
      </c>
      <c r="C153" s="490" t="s">
        <v>1631</v>
      </c>
      <c r="D153" s="490" t="str">
        <f t="shared" si="6"/>
        <v>A0214:(株)TTSパワー</v>
      </c>
      <c r="I153" s="125" t="s">
        <v>1012</v>
      </c>
      <c r="J153" s="125" t="s">
        <v>1522</v>
      </c>
      <c r="K153" s="182" t="s">
        <v>729</v>
      </c>
      <c r="L153" s="182">
        <v>0</v>
      </c>
      <c r="M153" s="182">
        <v>0</v>
      </c>
      <c r="N153" s="182">
        <v>0</v>
      </c>
      <c r="O153" s="182">
        <v>0</v>
      </c>
      <c r="P153" s="182">
        <v>0</v>
      </c>
      <c r="R153" s="155" t="str">
        <f t="shared" si="7"/>
        <v>A0048:大阪瓦斯(株)メニューB</v>
      </c>
      <c r="S153" s="181">
        <f t="shared" si="8"/>
        <v>0</v>
      </c>
    </row>
    <row r="154" spans="2:19">
      <c r="B154" s="121" t="s">
        <v>1122</v>
      </c>
      <c r="C154" s="490" t="s">
        <v>1632</v>
      </c>
      <c r="D154" s="490" t="str">
        <f t="shared" si="6"/>
        <v>A0216:(株)岩手ウッドパワー</v>
      </c>
      <c r="I154" s="125" t="s">
        <v>1012</v>
      </c>
      <c r="J154" s="125" t="s">
        <v>1522</v>
      </c>
      <c r="K154" s="182" t="s">
        <v>730</v>
      </c>
      <c r="L154" s="182">
        <v>3.48E-4</v>
      </c>
      <c r="M154" s="182">
        <v>3.48E-4</v>
      </c>
      <c r="N154" s="182">
        <v>3.48E-4</v>
      </c>
      <c r="O154" s="182">
        <v>3.48E-4</v>
      </c>
      <c r="P154" s="182">
        <v>3.48E-4</v>
      </c>
      <c r="R154" s="155" t="str">
        <f t="shared" si="7"/>
        <v>A0048:大阪瓦斯(株)メニューC</v>
      </c>
      <c r="S154" s="181">
        <f t="shared" si="8"/>
        <v>3.48E-4</v>
      </c>
    </row>
    <row r="155" spans="2:19">
      <c r="B155" s="121" t="s">
        <v>1123</v>
      </c>
      <c r="C155" s="490" t="s">
        <v>1633</v>
      </c>
      <c r="D155" s="490" t="str">
        <f t="shared" si="6"/>
        <v>A0217:里山パワーワークス(株)</v>
      </c>
      <c r="I155" s="125" t="s">
        <v>1012</v>
      </c>
      <c r="J155" s="125" t="s">
        <v>1522</v>
      </c>
      <c r="K155" s="182" t="s">
        <v>915</v>
      </c>
      <c r="L155" s="182">
        <v>3.4900000000000003E-4</v>
      </c>
      <c r="M155" s="182">
        <v>3.4900000000000003E-4</v>
      </c>
      <c r="N155" s="182">
        <v>3.4900000000000003E-4</v>
      </c>
      <c r="O155" s="182">
        <v>3.4900000000000003E-4</v>
      </c>
      <c r="P155" s="182">
        <v>3.4900000000000003E-4</v>
      </c>
      <c r="R155" s="155" t="str">
        <f t="shared" si="7"/>
        <v>A0048:大阪瓦斯(株)メニューD</v>
      </c>
      <c r="S155" s="181">
        <f t="shared" si="8"/>
        <v>3.4900000000000003E-4</v>
      </c>
    </row>
    <row r="156" spans="2:19">
      <c r="B156" s="121" t="s">
        <v>1124</v>
      </c>
      <c r="C156" s="490" t="s">
        <v>1634</v>
      </c>
      <c r="D156" s="490" t="str">
        <f t="shared" si="6"/>
        <v>A0218:(株)中之条パワー</v>
      </c>
      <c r="I156" s="125" t="s">
        <v>1012</v>
      </c>
      <c r="J156" s="125" t="s">
        <v>1522</v>
      </c>
      <c r="K156" s="182" t="s">
        <v>916</v>
      </c>
      <c r="L156" s="182">
        <v>2.9500000000000001E-4</v>
      </c>
      <c r="M156" s="182">
        <v>2.9500000000000001E-4</v>
      </c>
      <c r="N156" s="182">
        <v>2.9500000000000001E-4</v>
      </c>
      <c r="O156" s="182">
        <v>2.9500000000000001E-4</v>
      </c>
      <c r="P156" s="182">
        <v>2.9500000000000001E-4</v>
      </c>
      <c r="R156" s="155" t="str">
        <f t="shared" si="7"/>
        <v>A0048:大阪瓦斯(株)メニューE</v>
      </c>
      <c r="S156" s="181">
        <f t="shared" si="8"/>
        <v>2.9500000000000001E-4</v>
      </c>
    </row>
    <row r="157" spans="2:19">
      <c r="B157" s="121" t="s">
        <v>1125</v>
      </c>
      <c r="C157" s="490" t="s">
        <v>1635</v>
      </c>
      <c r="D157" s="490" t="str">
        <f t="shared" si="6"/>
        <v>A0220:日産トレーデイング(株)</v>
      </c>
      <c r="I157" s="125" t="s">
        <v>1012</v>
      </c>
      <c r="J157" s="125" t="s">
        <v>1522</v>
      </c>
      <c r="K157" s="182" t="s">
        <v>1999</v>
      </c>
      <c r="L157" s="182">
        <v>0</v>
      </c>
      <c r="M157" s="182">
        <v>0</v>
      </c>
      <c r="N157" s="182">
        <v>0</v>
      </c>
      <c r="O157" s="182">
        <v>0</v>
      </c>
      <c r="P157" s="182">
        <v>0</v>
      </c>
      <c r="R157" s="155" t="str">
        <f t="shared" si="7"/>
        <v>A0048:大阪瓦斯(株)メニューF</v>
      </c>
      <c r="S157" s="181">
        <f t="shared" si="8"/>
        <v>0</v>
      </c>
    </row>
    <row r="158" spans="2:19">
      <c r="B158" s="121" t="s">
        <v>1126</v>
      </c>
      <c r="C158" s="490" t="s">
        <v>1636</v>
      </c>
      <c r="D158" s="490" t="str">
        <f t="shared" si="6"/>
        <v>A0221:(株)エネウィル</v>
      </c>
      <c r="I158" s="125" t="s">
        <v>1012</v>
      </c>
      <c r="J158" s="125" t="s">
        <v>1522</v>
      </c>
      <c r="K158" s="182" t="s">
        <v>2000</v>
      </c>
      <c r="L158" s="182">
        <v>5.0100000000000003E-4</v>
      </c>
      <c r="M158" s="182">
        <v>5.0100000000000003E-4</v>
      </c>
      <c r="N158" s="182">
        <v>5.0100000000000003E-4</v>
      </c>
      <c r="O158" s="182">
        <v>5.0100000000000003E-4</v>
      </c>
      <c r="P158" s="182">
        <v>5.0100000000000003E-4</v>
      </c>
      <c r="R158" s="155" t="str">
        <f t="shared" si="7"/>
        <v>A0048:大阪瓦斯(株)メニューG</v>
      </c>
      <c r="S158" s="181">
        <f t="shared" si="8"/>
        <v>5.0100000000000003E-4</v>
      </c>
    </row>
    <row r="159" spans="2:19">
      <c r="B159" s="121" t="s">
        <v>1127</v>
      </c>
      <c r="C159" s="490" t="s">
        <v>1637</v>
      </c>
      <c r="D159" s="490" t="str">
        <f t="shared" si="6"/>
        <v>A0222:Next Power(株)</v>
      </c>
      <c r="I159" s="125" t="s">
        <v>1012</v>
      </c>
      <c r="J159" s="125" t="s">
        <v>1522</v>
      </c>
      <c r="K159" s="182" t="s">
        <v>1998</v>
      </c>
      <c r="L159" s="182">
        <v>4.6500000000000003E-4</v>
      </c>
      <c r="M159" s="182">
        <v>4.6500000000000003E-4</v>
      </c>
      <c r="N159" s="182">
        <v>4.6500000000000003E-4</v>
      </c>
      <c r="O159" s="182">
        <v>4.6500000000000003E-4</v>
      </c>
      <c r="P159" s="182">
        <v>4.6500000000000003E-4</v>
      </c>
      <c r="R159" s="155" t="str">
        <f t="shared" si="7"/>
        <v>A0048:大阪瓦斯(株)(参考値)事業者全体</v>
      </c>
      <c r="S159" s="181">
        <f t="shared" si="8"/>
        <v>4.6500000000000003E-4</v>
      </c>
    </row>
    <row r="160" spans="2:19">
      <c r="B160" s="121" t="s">
        <v>1128</v>
      </c>
      <c r="C160" s="490" t="s">
        <v>1638</v>
      </c>
      <c r="D160" s="490" t="str">
        <f t="shared" si="6"/>
        <v>A0227:はりま電力(株)</v>
      </c>
      <c r="I160" s="125" t="s">
        <v>1013</v>
      </c>
      <c r="J160" s="125" t="s">
        <v>1523</v>
      </c>
      <c r="K160" s="182" t="s">
        <v>652</v>
      </c>
      <c r="L160" s="182">
        <v>1E-4</v>
      </c>
      <c r="M160" s="182">
        <v>1E-4</v>
      </c>
      <c r="N160" s="182">
        <v>1E-4</v>
      </c>
      <c r="O160" s="182">
        <v>1E-4</v>
      </c>
      <c r="P160" s="182">
        <v>1E-4</v>
      </c>
      <c r="R160" s="155" t="str">
        <f t="shared" si="7"/>
        <v>A0049:エフビットコミュニケーションズ(株)　メニューA</v>
      </c>
      <c r="S160" s="181">
        <f t="shared" si="8"/>
        <v>1E-4</v>
      </c>
    </row>
    <row r="161" spans="2:19">
      <c r="B161" s="121" t="s">
        <v>1129</v>
      </c>
      <c r="C161" s="490" t="s">
        <v>1639</v>
      </c>
      <c r="D161" s="490" t="str">
        <f t="shared" si="6"/>
        <v>A0228:(株)浜松新電力</v>
      </c>
      <c r="I161" s="125" t="s">
        <v>1013</v>
      </c>
      <c r="J161" s="125" t="s">
        <v>1523</v>
      </c>
      <c r="K161" s="182" t="s">
        <v>729</v>
      </c>
      <c r="L161" s="182">
        <v>0</v>
      </c>
      <c r="M161" s="182">
        <v>0</v>
      </c>
      <c r="N161" s="182">
        <v>0</v>
      </c>
      <c r="O161" s="182">
        <v>0</v>
      </c>
      <c r="P161" s="182">
        <v>0</v>
      </c>
      <c r="R161" s="155" t="str">
        <f t="shared" si="7"/>
        <v>A0049:エフビットコミュニケーションズ(株)　メニューB</v>
      </c>
      <c r="S161" s="181">
        <f t="shared" si="8"/>
        <v>0</v>
      </c>
    </row>
    <row r="162" spans="2:19">
      <c r="B162" s="121" t="s">
        <v>1130</v>
      </c>
      <c r="C162" s="490" t="s">
        <v>1640</v>
      </c>
      <c r="D162" s="490" t="str">
        <f t="shared" si="6"/>
        <v>A0229:ゼロワットパワー(株)</v>
      </c>
      <c r="I162" s="125" t="s">
        <v>1013</v>
      </c>
      <c r="J162" s="125" t="s">
        <v>1523</v>
      </c>
      <c r="K162" s="182" t="s">
        <v>730</v>
      </c>
      <c r="L162" s="182">
        <v>2.13E-4</v>
      </c>
      <c r="M162" s="182">
        <v>2.13E-4</v>
      </c>
      <c r="N162" s="182">
        <v>2.13E-4</v>
      </c>
      <c r="O162" s="182">
        <v>2.13E-4</v>
      </c>
      <c r="P162" s="182">
        <v>2.13E-4</v>
      </c>
      <c r="R162" s="155" t="str">
        <f t="shared" si="7"/>
        <v>A0049:エフビットコミュニケーションズ(株)　メニューC</v>
      </c>
      <c r="S162" s="181">
        <f t="shared" si="8"/>
        <v>2.13E-4</v>
      </c>
    </row>
    <row r="163" spans="2:19">
      <c r="B163" s="121" t="s">
        <v>1131</v>
      </c>
      <c r="C163" s="490" t="s">
        <v>1641</v>
      </c>
      <c r="D163" s="490" t="str">
        <f t="shared" si="6"/>
        <v>A0230:アストマックス(株)</v>
      </c>
      <c r="I163" s="125" t="s">
        <v>1013</v>
      </c>
      <c r="J163" s="125" t="s">
        <v>1523</v>
      </c>
      <c r="K163" s="182" t="s">
        <v>1998</v>
      </c>
      <c r="L163" s="182">
        <v>2.1100000000000001E-4</v>
      </c>
      <c r="M163" s="182">
        <v>2.1100000000000001E-4</v>
      </c>
      <c r="N163" s="182">
        <v>2.1100000000000001E-4</v>
      </c>
      <c r="O163" s="182">
        <v>2.1100000000000001E-4</v>
      </c>
      <c r="P163" s="182">
        <v>2.1100000000000001E-4</v>
      </c>
      <c r="R163" s="155" t="str">
        <f t="shared" si="7"/>
        <v>A0049:エフビットコミュニケーションズ(株)　(参考値)事業者全体</v>
      </c>
      <c r="S163" s="181">
        <f t="shared" si="8"/>
        <v>2.1100000000000001E-4</v>
      </c>
    </row>
    <row r="164" spans="2:19">
      <c r="B164" s="121" t="s">
        <v>1132</v>
      </c>
      <c r="C164" s="490" t="s">
        <v>1642</v>
      </c>
      <c r="D164" s="490" t="str">
        <f t="shared" si="6"/>
        <v>A0231:(株)やまがた新電力</v>
      </c>
      <c r="I164" s="125" t="s">
        <v>1014</v>
      </c>
      <c r="J164" s="125" t="s">
        <v>1524</v>
      </c>
      <c r="K164" s="182" t="s">
        <v>652</v>
      </c>
      <c r="L164" s="182">
        <v>0</v>
      </c>
      <c r="M164" s="182">
        <v>0</v>
      </c>
      <c r="N164" s="182">
        <v>0</v>
      </c>
      <c r="O164" s="182">
        <v>0</v>
      </c>
      <c r="P164" s="182">
        <v>0</v>
      </c>
      <c r="R164" s="155" t="str">
        <f t="shared" si="7"/>
        <v>A0050:ENEOS Power(株)（旧:ENEOS(株)）メニューA</v>
      </c>
      <c r="S164" s="181">
        <f t="shared" si="8"/>
        <v>0</v>
      </c>
    </row>
    <row r="165" spans="2:19">
      <c r="B165" s="121" t="s">
        <v>1133</v>
      </c>
      <c r="C165" s="490" t="s">
        <v>1643</v>
      </c>
      <c r="D165" s="490" t="str">
        <f t="shared" si="6"/>
        <v>A0232:一般社団法人東松島みらいとし機構</v>
      </c>
      <c r="I165" s="125" t="s">
        <v>1014</v>
      </c>
      <c r="J165" s="125" t="s">
        <v>1524</v>
      </c>
      <c r="K165" s="182" t="s">
        <v>729</v>
      </c>
      <c r="L165" s="182">
        <v>0</v>
      </c>
      <c r="M165" s="182">
        <v>0</v>
      </c>
      <c r="N165" s="182">
        <v>0</v>
      </c>
      <c r="O165" s="182">
        <v>0</v>
      </c>
      <c r="P165" s="182">
        <v>0</v>
      </c>
      <c r="R165" s="155" t="str">
        <f t="shared" si="7"/>
        <v>A0050:ENEOS Power(株)（旧:ENEOS(株)）メニューB</v>
      </c>
      <c r="S165" s="181">
        <f t="shared" si="8"/>
        <v>0</v>
      </c>
    </row>
    <row r="166" spans="2:19">
      <c r="B166" s="121" t="s">
        <v>1134</v>
      </c>
      <c r="C166" s="490" t="s">
        <v>1644</v>
      </c>
      <c r="D166" s="490" t="str">
        <f t="shared" si="6"/>
        <v>A0234:(株)グリーンパワー大東</v>
      </c>
      <c r="I166" s="125" t="s">
        <v>1014</v>
      </c>
      <c r="J166" s="125" t="s">
        <v>1524</v>
      </c>
      <c r="K166" s="182" t="s">
        <v>730</v>
      </c>
      <c r="L166" s="182">
        <v>0</v>
      </c>
      <c r="M166" s="182">
        <v>0</v>
      </c>
      <c r="N166" s="182">
        <v>0</v>
      </c>
      <c r="O166" s="182">
        <v>0</v>
      </c>
      <c r="P166" s="182">
        <v>0</v>
      </c>
      <c r="R166" s="155" t="str">
        <f t="shared" si="7"/>
        <v>A0050:ENEOS Power(株)（旧:ENEOS(株)）メニューC</v>
      </c>
      <c r="S166" s="181">
        <f t="shared" si="8"/>
        <v>0</v>
      </c>
    </row>
    <row r="167" spans="2:19">
      <c r="B167" s="121" t="s">
        <v>1135</v>
      </c>
      <c r="C167" s="490" t="s">
        <v>1645</v>
      </c>
      <c r="D167" s="490" t="str">
        <f t="shared" si="6"/>
        <v>A0236:(株)シーラソーラー</v>
      </c>
      <c r="I167" s="125" t="s">
        <v>1014</v>
      </c>
      <c r="J167" s="125" t="s">
        <v>1524</v>
      </c>
      <c r="K167" s="182" t="s">
        <v>915</v>
      </c>
      <c r="L167" s="182">
        <v>0</v>
      </c>
      <c r="M167" s="182">
        <v>0</v>
      </c>
      <c r="N167" s="182">
        <v>0</v>
      </c>
      <c r="O167" s="182">
        <v>0</v>
      </c>
      <c r="P167" s="182">
        <v>0</v>
      </c>
      <c r="R167" s="155" t="str">
        <f t="shared" si="7"/>
        <v>A0050:ENEOS Power(株)（旧:ENEOS(株)）メニューD</v>
      </c>
      <c r="S167" s="181">
        <f t="shared" si="8"/>
        <v>0</v>
      </c>
    </row>
    <row r="168" spans="2:19">
      <c r="B168" s="121" t="s">
        <v>1136</v>
      </c>
      <c r="C168" s="490" t="s">
        <v>1646</v>
      </c>
      <c r="D168" s="490" t="str">
        <f t="shared" si="6"/>
        <v>A0237:御所野縄文電力(株)</v>
      </c>
      <c r="I168" s="125" t="s">
        <v>1014</v>
      </c>
      <c r="J168" s="125" t="s">
        <v>1524</v>
      </c>
      <c r="K168" s="182" t="s">
        <v>916</v>
      </c>
      <c r="L168" s="182">
        <v>0</v>
      </c>
      <c r="M168" s="182">
        <v>0</v>
      </c>
      <c r="N168" s="182">
        <v>0</v>
      </c>
      <c r="O168" s="182">
        <v>0</v>
      </c>
      <c r="P168" s="182">
        <v>0</v>
      </c>
      <c r="R168" s="155" t="str">
        <f t="shared" si="7"/>
        <v>A0050:ENEOS Power(株)（旧:ENEOS(株)）メニューE</v>
      </c>
      <c r="S168" s="181">
        <f t="shared" si="8"/>
        <v>0</v>
      </c>
    </row>
    <row r="169" spans="2:19">
      <c r="B169" s="121" t="s">
        <v>1137</v>
      </c>
      <c r="C169" s="490" t="s">
        <v>1647</v>
      </c>
      <c r="D169" s="490" t="str">
        <f t="shared" si="6"/>
        <v>A0238:(株)カーボンニュートラル</v>
      </c>
      <c r="I169" s="125" t="s">
        <v>1014</v>
      </c>
      <c r="J169" s="125" t="s">
        <v>1524</v>
      </c>
      <c r="K169" s="182" t="s">
        <v>1999</v>
      </c>
      <c r="L169" s="182">
        <v>5.0799999999999999E-4</v>
      </c>
      <c r="M169" s="182">
        <v>5.0799999999999999E-4</v>
      </c>
      <c r="N169" s="182">
        <v>5.0799999999999999E-4</v>
      </c>
      <c r="O169" s="182">
        <v>5.0799999999999999E-4</v>
      </c>
      <c r="P169" s="182">
        <v>5.0799999999999999E-4</v>
      </c>
      <c r="R169" s="155" t="str">
        <f t="shared" si="7"/>
        <v>A0050:ENEOS Power(株)（旧:ENEOS(株)）メニューF</v>
      </c>
      <c r="S169" s="181">
        <f t="shared" si="8"/>
        <v>5.0799999999999999E-4</v>
      </c>
    </row>
    <row r="170" spans="2:19">
      <c r="B170" s="121" t="s">
        <v>1138</v>
      </c>
      <c r="C170" s="490" t="s">
        <v>1648</v>
      </c>
      <c r="D170" s="490" t="str">
        <f t="shared" si="6"/>
        <v>A0239:宮古新電力(株)</v>
      </c>
      <c r="I170" s="125" t="s">
        <v>1014</v>
      </c>
      <c r="J170" s="125" t="s">
        <v>1524</v>
      </c>
      <c r="K170" s="182" t="s">
        <v>1998</v>
      </c>
      <c r="L170" s="182">
        <v>4.8200000000000001E-4</v>
      </c>
      <c r="M170" s="182">
        <v>4.8200000000000001E-4</v>
      </c>
      <c r="N170" s="182">
        <v>4.8200000000000001E-4</v>
      </c>
      <c r="O170" s="182">
        <v>4.8200000000000001E-4</v>
      </c>
      <c r="P170" s="182">
        <v>4.8200000000000001E-4</v>
      </c>
      <c r="R170" s="155" t="str">
        <f t="shared" si="7"/>
        <v>A0050:ENEOS Power(株)（旧:ENEOS(株)）(参考値)事業者全体</v>
      </c>
      <c r="S170" s="181">
        <f t="shared" si="8"/>
        <v>4.8200000000000001E-4</v>
      </c>
    </row>
    <row r="171" spans="2:19">
      <c r="B171" s="121" t="s">
        <v>1139</v>
      </c>
      <c r="C171" s="490" t="s">
        <v>1649</v>
      </c>
      <c r="D171" s="490" t="str">
        <f t="shared" si="6"/>
        <v>A0240:長崎地域電力(株)</v>
      </c>
      <c r="I171" s="125" t="s">
        <v>1015</v>
      </c>
      <c r="J171" s="125" t="s">
        <v>1525</v>
      </c>
      <c r="K171" s="182"/>
      <c r="L171" s="182">
        <v>3.9800000000000002E-4</v>
      </c>
      <c r="M171" s="182">
        <v>3.9800000000000002E-4</v>
      </c>
      <c r="N171" s="182">
        <v>3.9800000000000002E-4</v>
      </c>
      <c r="O171" s="182">
        <v>3.9800000000000002E-4</v>
      </c>
      <c r="P171" s="182">
        <v>3.9800000000000002E-4</v>
      </c>
      <c r="R171" s="155" t="str">
        <f t="shared" si="7"/>
        <v>A0051:真庭バイオエネルギー(株)</v>
      </c>
      <c r="S171" s="181">
        <f t="shared" si="8"/>
        <v>3.9800000000000002E-4</v>
      </c>
    </row>
    <row r="172" spans="2:19">
      <c r="B172" s="121" t="s">
        <v>1140</v>
      </c>
      <c r="C172" s="490" t="s">
        <v>1650</v>
      </c>
      <c r="D172" s="490" t="str">
        <f t="shared" si="6"/>
        <v>A0241:(株)エネアーク関西</v>
      </c>
      <c r="I172" s="125" t="s">
        <v>1016</v>
      </c>
      <c r="J172" s="125" t="s">
        <v>1526</v>
      </c>
      <c r="K172" s="182" t="s">
        <v>652</v>
      </c>
      <c r="L172" s="182">
        <v>0</v>
      </c>
      <c r="M172" s="182">
        <v>0</v>
      </c>
      <c r="N172" s="182">
        <v>0</v>
      </c>
      <c r="O172" s="182">
        <v>0</v>
      </c>
      <c r="P172" s="182">
        <v>0</v>
      </c>
      <c r="R172" s="155" t="str">
        <f t="shared" si="7"/>
        <v>A0052:三井物産(株)メニューA</v>
      </c>
      <c r="S172" s="181">
        <f t="shared" si="8"/>
        <v>0</v>
      </c>
    </row>
    <row r="173" spans="2:19">
      <c r="B173" s="121" t="s">
        <v>1141</v>
      </c>
      <c r="C173" s="490" t="s">
        <v>1651</v>
      </c>
      <c r="D173" s="490" t="str">
        <f t="shared" si="6"/>
        <v>A0243:近畿電力(株)</v>
      </c>
      <c r="I173" s="125" t="s">
        <v>1016</v>
      </c>
      <c r="J173" s="125" t="s">
        <v>1526</v>
      </c>
      <c r="K173" s="182" t="s">
        <v>729</v>
      </c>
      <c r="L173" s="182">
        <v>0</v>
      </c>
      <c r="M173" s="182">
        <v>0</v>
      </c>
      <c r="N173" s="182">
        <v>0</v>
      </c>
      <c r="O173" s="182">
        <v>0</v>
      </c>
      <c r="P173" s="182">
        <v>0</v>
      </c>
      <c r="R173" s="155" t="str">
        <f t="shared" si="7"/>
        <v>A0052:三井物産(株)メニューB</v>
      </c>
      <c r="S173" s="181">
        <f t="shared" si="8"/>
        <v>0</v>
      </c>
    </row>
    <row r="174" spans="2:19">
      <c r="B174" s="121" t="s">
        <v>1142</v>
      </c>
      <c r="C174" s="490" t="s">
        <v>1652</v>
      </c>
      <c r="D174" s="490" t="str">
        <f t="shared" si="6"/>
        <v>A0245:新電力おおいた(株)</v>
      </c>
      <c r="I174" s="125" t="s">
        <v>1016</v>
      </c>
      <c r="J174" s="125" t="s">
        <v>1526</v>
      </c>
      <c r="K174" s="182" t="s">
        <v>730</v>
      </c>
      <c r="L174" s="182">
        <v>4.2400000000000001E-4</v>
      </c>
      <c r="M174" s="182">
        <v>4.2400000000000001E-4</v>
      </c>
      <c r="N174" s="182">
        <v>4.2400000000000001E-4</v>
      </c>
      <c r="O174" s="182">
        <v>4.2400000000000001E-4</v>
      </c>
      <c r="P174" s="182">
        <v>4.2400000000000001E-4</v>
      </c>
      <c r="R174" s="155" t="str">
        <f t="shared" si="7"/>
        <v>A0052:三井物産(株)メニューC</v>
      </c>
      <c r="S174" s="181">
        <f t="shared" si="8"/>
        <v>4.2400000000000001E-4</v>
      </c>
    </row>
    <row r="175" spans="2:19">
      <c r="B175" s="121" t="s">
        <v>1143</v>
      </c>
      <c r="C175" s="490" t="s">
        <v>1653</v>
      </c>
      <c r="D175" s="490" t="str">
        <f t="shared" si="6"/>
        <v>A0246:(株)日本セレモニー</v>
      </c>
      <c r="I175" s="125" t="s">
        <v>1016</v>
      </c>
      <c r="J175" s="125" t="s">
        <v>1526</v>
      </c>
      <c r="K175" s="182" t="s">
        <v>915</v>
      </c>
      <c r="L175" s="182">
        <v>1.2589999999999999E-3</v>
      </c>
      <c r="M175" s="182">
        <v>1.2589999999999999E-3</v>
      </c>
      <c r="N175" s="182">
        <v>1.2589999999999999E-3</v>
      </c>
      <c r="O175" s="182">
        <v>1.2589999999999999E-3</v>
      </c>
      <c r="P175" s="182">
        <v>1.2589999999999999E-3</v>
      </c>
      <c r="R175" s="155" t="str">
        <f t="shared" si="7"/>
        <v>A0052:三井物産(株)メニューD</v>
      </c>
      <c r="S175" s="181">
        <f t="shared" si="8"/>
        <v>1.2589999999999999E-3</v>
      </c>
    </row>
    <row r="176" spans="2:19">
      <c r="B176" s="121" t="s">
        <v>1144</v>
      </c>
      <c r="C176" s="490" t="s">
        <v>1654</v>
      </c>
      <c r="D176" s="490" t="str">
        <f t="shared" si="6"/>
        <v>A0248:(株)池見石油店</v>
      </c>
      <c r="I176" s="125" t="s">
        <v>1016</v>
      </c>
      <c r="J176" s="125" t="s">
        <v>1526</v>
      </c>
      <c r="K176" s="182" t="s">
        <v>1998</v>
      </c>
      <c r="L176" s="182">
        <v>8.2200000000000003E-4</v>
      </c>
      <c r="M176" s="182">
        <v>8.2200000000000003E-4</v>
      </c>
      <c r="N176" s="182">
        <v>8.2200000000000003E-4</v>
      </c>
      <c r="O176" s="182">
        <v>8.2200000000000003E-4</v>
      </c>
      <c r="P176" s="182">
        <v>8.2200000000000003E-4</v>
      </c>
      <c r="R176" s="155" t="str">
        <f t="shared" si="7"/>
        <v>A0052:三井物産(株)(参考値)事業者全体</v>
      </c>
      <c r="S176" s="181">
        <f t="shared" si="8"/>
        <v>8.2200000000000003E-4</v>
      </c>
    </row>
    <row r="177" spans="2:19">
      <c r="B177" s="121" t="s">
        <v>1145</v>
      </c>
      <c r="C177" s="490" t="s">
        <v>1655</v>
      </c>
      <c r="D177" s="490" t="str">
        <f t="shared" si="6"/>
        <v>A0250:芝浦電力(株)</v>
      </c>
      <c r="I177" s="125" t="s">
        <v>1017</v>
      </c>
      <c r="J177" s="125" t="s">
        <v>1527</v>
      </c>
      <c r="K177" s="182" t="s">
        <v>652</v>
      </c>
      <c r="L177" s="182">
        <v>3.9899999999999999E-4</v>
      </c>
      <c r="M177" s="182">
        <v>3.9899999999999999E-4</v>
      </c>
      <c r="N177" s="182">
        <v>3.9899999999999999E-4</v>
      </c>
      <c r="O177" s="182">
        <v>3.9899999999999999E-4</v>
      </c>
      <c r="P177" s="182">
        <v>3.9899999999999999E-4</v>
      </c>
      <c r="R177" s="155" t="str">
        <f t="shared" si="7"/>
        <v>A0053:オリックス(株)メニューA</v>
      </c>
      <c r="S177" s="181">
        <f t="shared" si="8"/>
        <v>3.9899999999999999E-4</v>
      </c>
    </row>
    <row r="178" spans="2:19">
      <c r="B178" s="121" t="s">
        <v>1146</v>
      </c>
      <c r="C178" s="490" t="s">
        <v>1656</v>
      </c>
      <c r="D178" s="490" t="str">
        <f t="shared" si="6"/>
        <v>A0253:(株)地域創生ホールディングス</v>
      </c>
      <c r="I178" s="125" t="s">
        <v>1017</v>
      </c>
      <c r="J178" s="125" t="s">
        <v>1527</v>
      </c>
      <c r="K178" s="182" t="s">
        <v>729</v>
      </c>
      <c r="L178" s="182">
        <v>2.99E-4</v>
      </c>
      <c r="M178" s="182">
        <v>2.99E-4</v>
      </c>
      <c r="N178" s="182">
        <v>2.99E-4</v>
      </c>
      <c r="O178" s="182">
        <v>2.99E-4</v>
      </c>
      <c r="P178" s="182">
        <v>2.99E-4</v>
      </c>
      <c r="R178" s="155" t="str">
        <f t="shared" si="7"/>
        <v>A0053:オリックス(株)メニューB</v>
      </c>
      <c r="S178" s="181">
        <f t="shared" si="8"/>
        <v>2.99E-4</v>
      </c>
    </row>
    <row r="179" spans="2:19">
      <c r="B179" s="121" t="s">
        <v>1147</v>
      </c>
      <c r="C179" s="490" t="s">
        <v>1657</v>
      </c>
      <c r="D179" s="490" t="str">
        <f t="shared" si="6"/>
        <v>A0256:(株)エーコープサービス</v>
      </c>
      <c r="I179" s="125" t="s">
        <v>1017</v>
      </c>
      <c r="J179" s="125" t="s">
        <v>1527</v>
      </c>
      <c r="K179" s="182" t="s">
        <v>730</v>
      </c>
      <c r="L179" s="182">
        <v>1.9900000000000001E-4</v>
      </c>
      <c r="M179" s="182">
        <v>1.9900000000000001E-4</v>
      </c>
      <c r="N179" s="182">
        <v>1.9900000000000001E-4</v>
      </c>
      <c r="O179" s="182">
        <v>1.9900000000000001E-4</v>
      </c>
      <c r="P179" s="182">
        <v>1.9900000000000001E-4</v>
      </c>
      <c r="R179" s="155" t="str">
        <f t="shared" si="7"/>
        <v>A0053:オリックス(株)メニューC</v>
      </c>
      <c r="S179" s="181">
        <f t="shared" si="8"/>
        <v>1.9900000000000001E-4</v>
      </c>
    </row>
    <row r="180" spans="2:19">
      <c r="B180" s="121" t="s">
        <v>1148</v>
      </c>
      <c r="C180" s="490" t="s">
        <v>1658</v>
      </c>
      <c r="D180" s="490" t="str">
        <f t="shared" si="6"/>
        <v>A0258:宮崎瓦斯(株)(旧：(株)宮崎ガスリビング)</v>
      </c>
      <c r="I180" s="125" t="s">
        <v>1017</v>
      </c>
      <c r="J180" s="125" t="s">
        <v>1527</v>
      </c>
      <c r="K180" s="182" t="s">
        <v>915</v>
      </c>
      <c r="L180" s="182">
        <v>0</v>
      </c>
      <c r="M180" s="182">
        <v>0</v>
      </c>
      <c r="N180" s="182">
        <v>0</v>
      </c>
      <c r="O180" s="182">
        <v>0</v>
      </c>
      <c r="P180" s="182">
        <v>0</v>
      </c>
      <c r="R180" s="155" t="str">
        <f t="shared" si="7"/>
        <v>A0053:オリックス(株)メニューD</v>
      </c>
      <c r="S180" s="181">
        <f t="shared" si="8"/>
        <v>0</v>
      </c>
    </row>
    <row r="181" spans="2:19">
      <c r="B181" s="121" t="s">
        <v>1149</v>
      </c>
      <c r="C181" s="490" t="s">
        <v>1659</v>
      </c>
      <c r="D181" s="490" t="str">
        <f t="shared" si="6"/>
        <v>A0259:山陰エレキ・アライアンス(株)</v>
      </c>
      <c r="I181" s="125" t="s">
        <v>1017</v>
      </c>
      <c r="J181" s="125" t="s">
        <v>1527</v>
      </c>
      <c r="K181" s="182" t="s">
        <v>916</v>
      </c>
      <c r="L181" s="182">
        <v>4.4999999999999999E-4</v>
      </c>
      <c r="M181" s="182">
        <v>4.4999999999999999E-4</v>
      </c>
      <c r="N181" s="182">
        <v>4.4999999999999999E-4</v>
      </c>
      <c r="O181" s="182">
        <v>4.4999999999999999E-4</v>
      </c>
      <c r="P181" s="182">
        <v>4.4999999999999999E-4</v>
      </c>
      <c r="R181" s="155" t="str">
        <f t="shared" si="7"/>
        <v>A0053:オリックス(株)メニューE</v>
      </c>
      <c r="S181" s="181">
        <f t="shared" si="8"/>
        <v>4.4999999999999999E-4</v>
      </c>
    </row>
    <row r="182" spans="2:19">
      <c r="B182" s="121" t="s">
        <v>1150</v>
      </c>
      <c r="C182" s="490" t="s">
        <v>1660</v>
      </c>
      <c r="D182" s="490" t="str">
        <f t="shared" si="6"/>
        <v>A0260:(株)ジョヴィ</v>
      </c>
      <c r="I182" s="125" t="s">
        <v>1017</v>
      </c>
      <c r="J182" s="125" t="s">
        <v>1527</v>
      </c>
      <c r="K182" s="182" t="s">
        <v>1999</v>
      </c>
      <c r="L182" s="182">
        <v>3.1500000000000001E-4</v>
      </c>
      <c r="M182" s="182">
        <v>3.1500000000000001E-4</v>
      </c>
      <c r="N182" s="182">
        <v>3.1500000000000001E-4</v>
      </c>
      <c r="O182" s="182">
        <v>3.1500000000000001E-4</v>
      </c>
      <c r="P182" s="182">
        <v>3.1500000000000001E-4</v>
      </c>
      <c r="R182" s="155" t="str">
        <f t="shared" si="7"/>
        <v>A0053:オリックス(株)メニューF</v>
      </c>
      <c r="S182" s="181">
        <f t="shared" si="8"/>
        <v>3.1500000000000001E-4</v>
      </c>
    </row>
    <row r="183" spans="2:19">
      <c r="B183" s="121" t="s">
        <v>1151</v>
      </c>
      <c r="C183" s="490" t="s">
        <v>1661</v>
      </c>
      <c r="D183" s="490" t="str">
        <f t="shared" si="6"/>
        <v xml:space="preserve">A0261:ミライフ東日本(株) </v>
      </c>
      <c r="I183" s="125" t="s">
        <v>1017</v>
      </c>
      <c r="J183" s="125" t="s">
        <v>1527</v>
      </c>
      <c r="K183" s="182" t="s">
        <v>2000</v>
      </c>
      <c r="L183" s="182">
        <v>2.3499999999999999E-4</v>
      </c>
      <c r="M183" s="182">
        <v>2.3499999999999999E-4</v>
      </c>
      <c r="N183" s="182">
        <v>2.3499999999999999E-4</v>
      </c>
      <c r="O183" s="182">
        <v>2.3499999999999999E-4</v>
      </c>
      <c r="P183" s="182">
        <v>2.3499999999999999E-4</v>
      </c>
      <c r="R183" s="155" t="str">
        <f t="shared" si="7"/>
        <v>A0053:オリックス(株)メニューG</v>
      </c>
      <c r="S183" s="181">
        <f t="shared" si="8"/>
        <v>2.3499999999999999E-4</v>
      </c>
    </row>
    <row r="184" spans="2:19">
      <c r="B184" s="121" t="s">
        <v>1152</v>
      </c>
      <c r="C184" s="490" t="s">
        <v>1662</v>
      </c>
      <c r="D184" s="490" t="str">
        <f t="shared" si="6"/>
        <v>A0264:山陰酸素工業(株)</v>
      </c>
      <c r="I184" s="125" t="s">
        <v>1017</v>
      </c>
      <c r="J184" s="125" t="s">
        <v>1527</v>
      </c>
      <c r="K184" s="182" t="s">
        <v>2001</v>
      </c>
      <c r="L184" s="182">
        <v>4.2200000000000001E-4</v>
      </c>
      <c r="M184" s="182">
        <v>4.2200000000000001E-4</v>
      </c>
      <c r="N184" s="182">
        <v>4.2200000000000001E-4</v>
      </c>
      <c r="O184" s="182">
        <v>4.2200000000000001E-4</v>
      </c>
      <c r="P184" s="182">
        <v>4.2200000000000001E-4</v>
      </c>
      <c r="R184" s="155" t="str">
        <f t="shared" si="7"/>
        <v>A0053:オリックス(株)メニューH</v>
      </c>
      <c r="S184" s="181">
        <f t="shared" si="8"/>
        <v>4.2200000000000001E-4</v>
      </c>
    </row>
    <row r="185" spans="2:19">
      <c r="B185" s="121" t="s">
        <v>1153</v>
      </c>
      <c r="C185" s="490" t="s">
        <v>1663</v>
      </c>
      <c r="D185" s="490" t="str">
        <f t="shared" si="6"/>
        <v>A0265:武陽ガス(株)</v>
      </c>
      <c r="I185" s="125" t="s">
        <v>1017</v>
      </c>
      <c r="J185" s="125" t="s">
        <v>1527</v>
      </c>
      <c r="K185" s="182" t="s">
        <v>1998</v>
      </c>
      <c r="L185" s="182">
        <v>1.096E-3</v>
      </c>
      <c r="M185" s="182">
        <v>1.096E-3</v>
      </c>
      <c r="N185" s="182">
        <v>1.096E-3</v>
      </c>
      <c r="O185" s="182">
        <v>1.096E-3</v>
      </c>
      <c r="P185" s="182">
        <v>1.096E-3</v>
      </c>
      <c r="R185" s="155" t="str">
        <f t="shared" si="7"/>
        <v>A0053:オリックス(株)(参考値)事業者全体</v>
      </c>
      <c r="S185" s="181">
        <f t="shared" si="8"/>
        <v>1.096E-3</v>
      </c>
    </row>
    <row r="186" spans="2:19">
      <c r="B186" s="121" t="s">
        <v>1154</v>
      </c>
      <c r="C186" s="490" t="s">
        <v>1664</v>
      </c>
      <c r="D186" s="490" t="str">
        <f t="shared" si="6"/>
        <v>A0266:常石商事(株)</v>
      </c>
      <c r="I186" s="125" t="s">
        <v>1018</v>
      </c>
      <c r="J186" s="125" t="s">
        <v>1528</v>
      </c>
      <c r="K186" s="182"/>
      <c r="L186" s="182">
        <v>3.3799999999999998E-4</v>
      </c>
      <c r="M186" s="182">
        <v>3.3799999999999998E-4</v>
      </c>
      <c r="N186" s="182">
        <v>3.3799999999999998E-4</v>
      </c>
      <c r="O186" s="182">
        <v>3.3799999999999998E-4</v>
      </c>
      <c r="P186" s="182">
        <v>3.3799999999999998E-4</v>
      </c>
      <c r="R186" s="155" t="str">
        <f t="shared" si="7"/>
        <v>A0054:(株)エネサンス関東</v>
      </c>
      <c r="S186" s="181">
        <f t="shared" si="8"/>
        <v>3.3799999999999998E-4</v>
      </c>
    </row>
    <row r="187" spans="2:19">
      <c r="B187" s="121" t="s">
        <v>1155</v>
      </c>
      <c r="C187" s="490" t="s">
        <v>1665</v>
      </c>
      <c r="D187" s="490" t="str">
        <f t="shared" si="6"/>
        <v>A0267:北海道電力(株)</v>
      </c>
      <c r="I187" s="125" t="s">
        <v>1019</v>
      </c>
      <c r="J187" s="125" t="s">
        <v>1529</v>
      </c>
      <c r="K187" s="182" t="s">
        <v>652</v>
      </c>
      <c r="L187" s="182">
        <v>0</v>
      </c>
      <c r="M187" s="182">
        <v>0</v>
      </c>
      <c r="N187" s="182">
        <v>0</v>
      </c>
      <c r="O187" s="182">
        <v>0</v>
      </c>
      <c r="P187" s="182">
        <v>0</v>
      </c>
      <c r="R187" s="155" t="str">
        <f t="shared" si="7"/>
        <v>A0055:(株)UPDATERメニューA</v>
      </c>
      <c r="S187" s="181">
        <f t="shared" si="8"/>
        <v>0</v>
      </c>
    </row>
    <row r="188" spans="2:19">
      <c r="B188" s="121" t="s">
        <v>1156</v>
      </c>
      <c r="C188" s="490" t="s">
        <v>1666</v>
      </c>
      <c r="D188" s="490" t="str">
        <f t="shared" si="6"/>
        <v>A0268:東北電力(株)</v>
      </c>
      <c r="I188" s="125" t="s">
        <v>1019</v>
      </c>
      <c r="J188" s="125" t="s">
        <v>1529</v>
      </c>
      <c r="K188" s="182" t="s">
        <v>729</v>
      </c>
      <c r="L188" s="182">
        <v>4.0499999999999998E-4</v>
      </c>
      <c r="M188" s="182">
        <v>4.0499999999999998E-4</v>
      </c>
      <c r="N188" s="182">
        <v>4.0499999999999998E-4</v>
      </c>
      <c r="O188" s="182">
        <v>4.0499999999999998E-4</v>
      </c>
      <c r="P188" s="182">
        <v>4.0499999999999998E-4</v>
      </c>
      <c r="R188" s="155" t="str">
        <f t="shared" si="7"/>
        <v>A0055:(株)UPDATERメニューB</v>
      </c>
      <c r="S188" s="181">
        <f t="shared" si="8"/>
        <v>4.0499999999999998E-4</v>
      </c>
    </row>
    <row r="189" spans="2:19">
      <c r="B189" s="121" t="s">
        <v>1157</v>
      </c>
      <c r="C189" s="490" t="s">
        <v>1667</v>
      </c>
      <c r="D189" s="490" t="str">
        <f t="shared" si="6"/>
        <v>A0270:中部電力ミライズ(株)</v>
      </c>
      <c r="I189" s="125" t="s">
        <v>1019</v>
      </c>
      <c r="J189" s="125" t="s">
        <v>1529</v>
      </c>
      <c r="K189" s="182" t="s">
        <v>1998</v>
      </c>
      <c r="L189" s="182">
        <v>3.8000000000000002E-5</v>
      </c>
      <c r="M189" s="182">
        <v>3.8000000000000002E-5</v>
      </c>
      <c r="N189" s="182">
        <v>3.8000000000000002E-5</v>
      </c>
      <c r="O189" s="182">
        <v>3.8000000000000002E-5</v>
      </c>
      <c r="P189" s="182">
        <v>3.8000000000000002E-5</v>
      </c>
      <c r="R189" s="155" t="str">
        <f t="shared" si="7"/>
        <v>A0055:(株)UPDATER(参考値)事業者全体</v>
      </c>
      <c r="S189" s="181">
        <f t="shared" si="8"/>
        <v>3.8000000000000002E-5</v>
      </c>
    </row>
    <row r="190" spans="2:19">
      <c r="B190" s="121" t="s">
        <v>1158</v>
      </c>
      <c r="C190" s="490" t="s">
        <v>1668</v>
      </c>
      <c r="D190" s="490" t="str">
        <f t="shared" si="6"/>
        <v>A0271:北陸電力(株)</v>
      </c>
      <c r="I190" s="125" t="s">
        <v>1020</v>
      </c>
      <c r="J190" s="125" t="s">
        <v>1530</v>
      </c>
      <c r="K190" s="182" t="s">
        <v>652</v>
      </c>
      <c r="L190" s="182">
        <v>4.2400000000000001E-4</v>
      </c>
      <c r="M190" s="182">
        <v>4.2400000000000001E-4</v>
      </c>
      <c r="N190" s="182">
        <v>4.2400000000000001E-4</v>
      </c>
      <c r="O190" s="182">
        <v>4.2400000000000001E-4</v>
      </c>
      <c r="P190" s="182">
        <v>4.2400000000000001E-4</v>
      </c>
      <c r="R190" s="155" t="str">
        <f t="shared" si="7"/>
        <v>A0056:シン・エナジー(株)メニューA</v>
      </c>
      <c r="S190" s="181">
        <f t="shared" si="8"/>
        <v>4.2400000000000001E-4</v>
      </c>
    </row>
    <row r="191" spans="2:19">
      <c r="B191" s="121" t="s">
        <v>1159</v>
      </c>
      <c r="C191" s="490" t="s">
        <v>1669</v>
      </c>
      <c r="D191" s="490" t="str">
        <f t="shared" si="6"/>
        <v>A0272:関西電力(株)</v>
      </c>
      <c r="I191" s="125" t="s">
        <v>1020</v>
      </c>
      <c r="J191" s="125" t="s">
        <v>1530</v>
      </c>
      <c r="K191" s="182" t="s">
        <v>729</v>
      </c>
      <c r="L191" s="182">
        <v>0</v>
      </c>
      <c r="M191" s="182">
        <v>0</v>
      </c>
      <c r="N191" s="182">
        <v>0</v>
      </c>
      <c r="O191" s="182">
        <v>0</v>
      </c>
      <c r="P191" s="182">
        <v>0</v>
      </c>
      <c r="R191" s="155" t="str">
        <f t="shared" si="7"/>
        <v>A0056:シン・エナジー(株)メニューB</v>
      </c>
      <c r="S191" s="181">
        <f t="shared" si="8"/>
        <v>0</v>
      </c>
    </row>
    <row r="192" spans="2:19">
      <c r="B192" s="121" t="s">
        <v>1160</v>
      </c>
      <c r="C192" s="490" t="s">
        <v>1670</v>
      </c>
      <c r="D192" s="490" t="str">
        <f t="shared" si="6"/>
        <v>A0273:中国電力(株)</v>
      </c>
      <c r="I192" s="125" t="s">
        <v>1020</v>
      </c>
      <c r="J192" s="125" t="s">
        <v>1530</v>
      </c>
      <c r="K192" s="182" t="s">
        <v>730</v>
      </c>
      <c r="L192" s="182">
        <v>3.0899999999999998E-4</v>
      </c>
      <c r="M192" s="182">
        <v>3.0899999999999998E-4</v>
      </c>
      <c r="N192" s="182">
        <v>3.0899999999999998E-4</v>
      </c>
      <c r="O192" s="182">
        <v>3.0899999999999998E-4</v>
      </c>
      <c r="P192" s="182">
        <v>3.0899999999999998E-4</v>
      </c>
      <c r="R192" s="155" t="str">
        <f t="shared" si="7"/>
        <v>A0056:シン・エナジー(株)メニューC</v>
      </c>
      <c r="S192" s="181">
        <f t="shared" si="8"/>
        <v>3.0899999999999998E-4</v>
      </c>
    </row>
    <row r="193" spans="2:19">
      <c r="B193" s="121" t="s">
        <v>1161</v>
      </c>
      <c r="C193" s="490" t="s">
        <v>1671</v>
      </c>
      <c r="D193" s="490" t="str">
        <f t="shared" si="6"/>
        <v>A0274:四国電力(株)</v>
      </c>
      <c r="I193" s="125" t="s">
        <v>1020</v>
      </c>
      <c r="J193" s="125" t="s">
        <v>1530</v>
      </c>
      <c r="K193" s="182" t="s">
        <v>915</v>
      </c>
      <c r="L193" s="182">
        <v>0</v>
      </c>
      <c r="M193" s="182">
        <v>0</v>
      </c>
      <c r="N193" s="182">
        <v>0</v>
      </c>
      <c r="O193" s="182">
        <v>0</v>
      </c>
      <c r="P193" s="182">
        <v>0</v>
      </c>
      <c r="R193" s="155" t="str">
        <f t="shared" si="7"/>
        <v>A0056:シン・エナジー(株)メニューD</v>
      </c>
      <c r="S193" s="181">
        <f t="shared" si="8"/>
        <v>0</v>
      </c>
    </row>
    <row r="194" spans="2:19">
      <c r="B194" s="121" t="s">
        <v>1162</v>
      </c>
      <c r="C194" s="490" t="s">
        <v>1672</v>
      </c>
      <c r="D194" s="490" t="str">
        <f t="shared" si="6"/>
        <v>A0275:九州電力(株)</v>
      </c>
      <c r="I194" s="125" t="s">
        <v>1020</v>
      </c>
      <c r="J194" s="125" t="s">
        <v>1530</v>
      </c>
      <c r="K194" s="182" t="s">
        <v>916</v>
      </c>
      <c r="L194" s="182">
        <v>5.9599999999999996E-4</v>
      </c>
      <c r="M194" s="182">
        <v>5.9599999999999996E-4</v>
      </c>
      <c r="N194" s="182">
        <v>5.9599999999999996E-4</v>
      </c>
      <c r="O194" s="182">
        <v>5.9599999999999996E-4</v>
      </c>
      <c r="P194" s="182">
        <v>5.9599999999999996E-4</v>
      </c>
      <c r="R194" s="155" t="str">
        <f t="shared" si="7"/>
        <v>A0056:シン・エナジー(株)メニューE</v>
      </c>
      <c r="S194" s="181">
        <f t="shared" si="8"/>
        <v>5.9599999999999996E-4</v>
      </c>
    </row>
    <row r="195" spans="2:19">
      <c r="B195" s="121" t="s">
        <v>1163</v>
      </c>
      <c r="C195" s="490" t="s">
        <v>1673</v>
      </c>
      <c r="D195" s="490" t="str">
        <f t="shared" si="6"/>
        <v>A0276:沖縄電力(株)</v>
      </c>
      <c r="I195" s="125" t="s">
        <v>1020</v>
      </c>
      <c r="J195" s="125" t="s">
        <v>1530</v>
      </c>
      <c r="K195" s="182" t="s">
        <v>1998</v>
      </c>
      <c r="L195" s="182">
        <v>5.3799999999999996E-4</v>
      </c>
      <c r="M195" s="182">
        <v>5.3799999999999996E-4</v>
      </c>
      <c r="N195" s="182">
        <v>5.3799999999999996E-4</v>
      </c>
      <c r="O195" s="182">
        <v>5.3799999999999996E-4</v>
      </c>
      <c r="P195" s="182">
        <v>5.3799999999999996E-4</v>
      </c>
      <c r="R195" s="155" t="str">
        <f t="shared" si="7"/>
        <v>A0056:シン・エナジー(株)(参考値)事業者全体</v>
      </c>
      <c r="S195" s="181">
        <f t="shared" si="8"/>
        <v>5.3799999999999996E-4</v>
      </c>
    </row>
    <row r="196" spans="2:19">
      <c r="B196" s="121" t="s">
        <v>1164</v>
      </c>
      <c r="C196" s="490" t="s">
        <v>1674</v>
      </c>
      <c r="D196" s="490" t="str">
        <f t="shared" si="6"/>
        <v>A0277:北日本石油(株)</v>
      </c>
      <c r="I196" s="125" t="s">
        <v>1021</v>
      </c>
      <c r="J196" s="125" t="s">
        <v>1531</v>
      </c>
      <c r="K196" s="182" t="s">
        <v>652</v>
      </c>
      <c r="L196" s="182">
        <v>0</v>
      </c>
      <c r="M196" s="182">
        <v>0</v>
      </c>
      <c r="N196" s="182">
        <v>0</v>
      </c>
      <c r="O196" s="182">
        <v>0</v>
      </c>
      <c r="P196" s="182">
        <v>0</v>
      </c>
      <c r="R196" s="155" t="str">
        <f t="shared" si="7"/>
        <v>A0057:(株)サニックスメニューA</v>
      </c>
      <c r="S196" s="181">
        <f t="shared" si="8"/>
        <v>0</v>
      </c>
    </row>
    <row r="197" spans="2:19">
      <c r="B197" s="121" t="s">
        <v>1165</v>
      </c>
      <c r="C197" s="490" t="s">
        <v>1675</v>
      </c>
      <c r="D197" s="490" t="str">
        <f t="shared" si="6"/>
        <v>A0278:千葉電力(株)</v>
      </c>
      <c r="I197" s="125" t="s">
        <v>1021</v>
      </c>
      <c r="J197" s="125" t="s">
        <v>1531</v>
      </c>
      <c r="K197" s="182" t="s">
        <v>729</v>
      </c>
      <c r="L197" s="182">
        <v>0</v>
      </c>
      <c r="M197" s="182">
        <v>0</v>
      </c>
      <c r="N197" s="182">
        <v>0</v>
      </c>
      <c r="O197" s="182">
        <v>0</v>
      </c>
      <c r="P197" s="182">
        <v>0</v>
      </c>
      <c r="R197" s="155" t="str">
        <f t="shared" si="7"/>
        <v>A0057:(株)サニックスメニューB</v>
      </c>
      <c r="S197" s="181">
        <f t="shared" si="8"/>
        <v>0</v>
      </c>
    </row>
    <row r="198" spans="2:19">
      <c r="B198" s="121" t="s">
        <v>1166</v>
      </c>
      <c r="C198" s="490" t="s">
        <v>1676</v>
      </c>
      <c r="D198" s="490" t="str">
        <f t="shared" si="6"/>
        <v>A0280:やめエネルギー(株)</v>
      </c>
      <c r="I198" s="125" t="s">
        <v>1021</v>
      </c>
      <c r="J198" s="125" t="s">
        <v>1531</v>
      </c>
      <c r="K198" s="182" t="s">
        <v>730</v>
      </c>
      <c r="L198" s="182">
        <v>2.99E-4</v>
      </c>
      <c r="M198" s="182">
        <v>2.99E-4</v>
      </c>
      <c r="N198" s="182">
        <v>2.99E-4</v>
      </c>
      <c r="O198" s="182">
        <v>2.99E-4</v>
      </c>
      <c r="P198" s="182">
        <v>2.99E-4</v>
      </c>
      <c r="R198" s="155" t="str">
        <f t="shared" si="7"/>
        <v>A0057:(株)サニックスメニューC</v>
      </c>
      <c r="S198" s="181">
        <f t="shared" si="8"/>
        <v>2.99E-4</v>
      </c>
    </row>
    <row r="199" spans="2:19">
      <c r="B199" s="121" t="s">
        <v>1167</v>
      </c>
      <c r="C199" s="490" t="s">
        <v>1677</v>
      </c>
      <c r="D199" s="490" t="str">
        <f t="shared" si="6"/>
        <v>A0281:(株)アースインフィニティ</v>
      </c>
      <c r="I199" s="125" t="s">
        <v>1021</v>
      </c>
      <c r="J199" s="125" t="s">
        <v>1531</v>
      </c>
      <c r="K199" s="182" t="s">
        <v>915</v>
      </c>
      <c r="L199" s="182">
        <v>2.72E-4</v>
      </c>
      <c r="M199" s="182">
        <v>2.72E-4</v>
      </c>
      <c r="N199" s="182">
        <v>2.72E-4</v>
      </c>
      <c r="O199" s="182">
        <v>2.72E-4</v>
      </c>
      <c r="P199" s="182">
        <v>2.72E-4</v>
      </c>
      <c r="R199" s="155" t="str">
        <f t="shared" si="7"/>
        <v>A0057:(株)サニックスメニューD</v>
      </c>
      <c r="S199" s="181">
        <f t="shared" si="8"/>
        <v>2.72E-4</v>
      </c>
    </row>
    <row r="200" spans="2:19">
      <c r="B200" s="121" t="s">
        <v>1168</v>
      </c>
      <c r="C200" s="490" t="s">
        <v>1678</v>
      </c>
      <c r="D200" s="490" t="str">
        <f t="shared" si="6"/>
        <v>A0283:足利ガス(株)</v>
      </c>
      <c r="I200" s="125" t="s">
        <v>1021</v>
      </c>
      <c r="J200" s="125" t="s">
        <v>1531</v>
      </c>
      <c r="K200" s="182" t="s">
        <v>916</v>
      </c>
      <c r="L200" s="182">
        <v>4.84E-4</v>
      </c>
      <c r="M200" s="182">
        <v>4.84E-4</v>
      </c>
      <c r="N200" s="182">
        <v>4.84E-4</v>
      </c>
      <c r="O200" s="182">
        <v>4.84E-4</v>
      </c>
      <c r="P200" s="182">
        <v>4.84E-4</v>
      </c>
      <c r="R200" s="155" t="str">
        <f t="shared" si="7"/>
        <v>A0057:(株)サニックスメニューE</v>
      </c>
      <c r="S200" s="181">
        <f t="shared" si="8"/>
        <v>4.84E-4</v>
      </c>
    </row>
    <row r="201" spans="2:19">
      <c r="B201" s="121" t="s">
        <v>1169</v>
      </c>
      <c r="C201" s="490" t="s">
        <v>1679</v>
      </c>
      <c r="D201" s="490" t="str">
        <f t="shared" ref="D201:D264" si="9">IF(B201="","",B201&amp;":"&amp;C201)</f>
        <v>A0284:(株)Misumi</v>
      </c>
      <c r="I201" s="125" t="s">
        <v>1021</v>
      </c>
      <c r="J201" s="125" t="s">
        <v>1531</v>
      </c>
      <c r="K201" s="182" t="s">
        <v>1998</v>
      </c>
      <c r="L201" s="182">
        <v>4.7800000000000002E-4</v>
      </c>
      <c r="M201" s="182">
        <v>4.7800000000000002E-4</v>
      </c>
      <c r="N201" s="182">
        <v>4.7800000000000002E-4</v>
      </c>
      <c r="O201" s="182">
        <v>4.7800000000000002E-4</v>
      </c>
      <c r="P201" s="182">
        <v>4.7800000000000002E-4</v>
      </c>
      <c r="R201" s="155" t="str">
        <f t="shared" si="7"/>
        <v>A0057:(株)サニックス(参考値)事業者全体</v>
      </c>
      <c r="S201" s="181">
        <f t="shared" si="8"/>
        <v>4.7800000000000002E-4</v>
      </c>
    </row>
    <row r="202" spans="2:19">
      <c r="B202" s="121" t="s">
        <v>1170</v>
      </c>
      <c r="C202" s="490" t="s">
        <v>1680</v>
      </c>
      <c r="D202" s="490" t="str">
        <f t="shared" si="9"/>
        <v>A0285:米子瓦斯(株)</v>
      </c>
      <c r="I202" s="125" t="s">
        <v>1022</v>
      </c>
      <c r="J202" s="125" t="s">
        <v>1532</v>
      </c>
      <c r="K202" s="182" t="s">
        <v>652</v>
      </c>
      <c r="L202" s="182">
        <v>0</v>
      </c>
      <c r="M202" s="182">
        <v>0</v>
      </c>
      <c r="N202" s="182">
        <v>0</v>
      </c>
      <c r="O202" s="182">
        <v>0</v>
      </c>
      <c r="P202" s="182">
        <v>0</v>
      </c>
      <c r="R202" s="155" t="str">
        <f t="shared" ref="R202:R265" si="10">I202&amp;":"&amp;J202&amp;K202</f>
        <v>A0058:(株)コンシェルジュメニューA</v>
      </c>
      <c r="S202" s="181">
        <f t="shared" ref="S202:S265" si="11">HLOOKUP($S$8,$L$8:$P$2000,ROW()-7,FALSE)</f>
        <v>0</v>
      </c>
    </row>
    <row r="203" spans="2:19">
      <c r="B203" s="121" t="s">
        <v>1171</v>
      </c>
      <c r="C203" s="490" t="s">
        <v>1681</v>
      </c>
      <c r="D203" s="490" t="str">
        <f t="shared" si="9"/>
        <v>A0286:(株)エルピオ</v>
      </c>
      <c r="I203" s="125" t="s">
        <v>1022</v>
      </c>
      <c r="J203" s="125" t="s">
        <v>1532</v>
      </c>
      <c r="K203" s="182" t="s">
        <v>729</v>
      </c>
      <c r="L203" s="182">
        <v>7.5500000000000003E-4</v>
      </c>
      <c r="M203" s="182">
        <v>7.5500000000000003E-4</v>
      </c>
      <c r="N203" s="182">
        <v>7.5500000000000003E-4</v>
      </c>
      <c r="O203" s="182">
        <v>7.5500000000000003E-4</v>
      </c>
      <c r="P203" s="182">
        <v>7.5500000000000003E-4</v>
      </c>
      <c r="R203" s="155" t="str">
        <f t="shared" si="10"/>
        <v>A0058:(株)コンシェルジュメニューB</v>
      </c>
      <c r="S203" s="181">
        <f t="shared" si="11"/>
        <v>7.5500000000000003E-4</v>
      </c>
    </row>
    <row r="204" spans="2:19">
      <c r="B204" s="121" t="s">
        <v>1172</v>
      </c>
      <c r="C204" s="490" t="s">
        <v>1682</v>
      </c>
      <c r="D204" s="490" t="str">
        <f t="shared" si="9"/>
        <v>A0287:浜田ガス(株)</v>
      </c>
      <c r="I204" s="125" t="s">
        <v>1022</v>
      </c>
      <c r="J204" s="125" t="s">
        <v>1532</v>
      </c>
      <c r="K204" s="182" t="s">
        <v>1998</v>
      </c>
      <c r="L204" s="182">
        <v>1.74E-4</v>
      </c>
      <c r="M204" s="182">
        <v>1.74E-4</v>
      </c>
      <c r="N204" s="182">
        <v>1.74E-4</v>
      </c>
      <c r="O204" s="182">
        <v>1.74E-4</v>
      </c>
      <c r="P204" s="182">
        <v>1.74E-4</v>
      </c>
      <c r="R204" s="155" t="str">
        <f t="shared" si="10"/>
        <v>A0058:(株)コンシェルジュ(参考値)事業者全体</v>
      </c>
      <c r="S204" s="181">
        <f t="shared" si="11"/>
        <v>1.74E-4</v>
      </c>
    </row>
    <row r="205" spans="2:19">
      <c r="B205" s="121" t="s">
        <v>1173</v>
      </c>
      <c r="C205" s="490" t="s">
        <v>1683</v>
      </c>
      <c r="D205" s="490" t="str">
        <f t="shared" si="9"/>
        <v>A0288:(株)アメニティ電力</v>
      </c>
      <c r="I205" s="125" t="s">
        <v>1023</v>
      </c>
      <c r="J205" s="125" t="s">
        <v>1533</v>
      </c>
      <c r="K205" s="182" t="s">
        <v>652</v>
      </c>
      <c r="L205" s="182">
        <v>0</v>
      </c>
      <c r="M205" s="182">
        <v>0</v>
      </c>
      <c r="N205" s="182">
        <v>0</v>
      </c>
      <c r="O205" s="182">
        <v>0</v>
      </c>
      <c r="P205" s="182">
        <v>0</v>
      </c>
      <c r="R205" s="155" t="str">
        <f t="shared" si="10"/>
        <v>A0060:(株)アイ・グリッド・ソリューションズメニューA</v>
      </c>
      <c r="S205" s="181">
        <f t="shared" si="11"/>
        <v>0</v>
      </c>
    </row>
    <row r="206" spans="2:19">
      <c r="B206" s="121" t="s">
        <v>1174</v>
      </c>
      <c r="C206" s="490" t="s">
        <v>1684</v>
      </c>
      <c r="D206" s="490" t="str">
        <f t="shared" si="9"/>
        <v>A0292:岡田建設(株)</v>
      </c>
      <c r="I206" s="125" t="s">
        <v>1023</v>
      </c>
      <c r="J206" s="125" t="s">
        <v>1533</v>
      </c>
      <c r="K206" s="182" t="s">
        <v>729</v>
      </c>
      <c r="L206" s="182">
        <v>5.6499999999999996E-4</v>
      </c>
      <c r="M206" s="182">
        <v>5.6499999999999996E-4</v>
      </c>
      <c r="N206" s="182">
        <v>5.6499999999999996E-4</v>
      </c>
      <c r="O206" s="182">
        <v>5.6499999999999996E-4</v>
      </c>
      <c r="P206" s="182">
        <v>5.6499999999999996E-4</v>
      </c>
      <c r="R206" s="155" t="str">
        <f t="shared" si="10"/>
        <v>A0060:(株)アイ・グリッド・ソリューションズメニューB</v>
      </c>
      <c r="S206" s="181">
        <f t="shared" si="11"/>
        <v>5.6499999999999996E-4</v>
      </c>
    </row>
    <row r="207" spans="2:19">
      <c r="B207" s="121" t="s">
        <v>1175</v>
      </c>
      <c r="C207" s="490" t="s">
        <v>1685</v>
      </c>
      <c r="D207" s="490" t="str">
        <f t="shared" si="9"/>
        <v>A0293:出雲ガス(株)</v>
      </c>
      <c r="I207" s="125" t="s">
        <v>1023</v>
      </c>
      <c r="J207" s="125" t="s">
        <v>1533</v>
      </c>
      <c r="K207" s="182" t="s">
        <v>1998</v>
      </c>
      <c r="L207" s="182">
        <v>4.6799999999999999E-4</v>
      </c>
      <c r="M207" s="182">
        <v>4.6799999999999999E-4</v>
      </c>
      <c r="N207" s="182">
        <v>4.6799999999999999E-4</v>
      </c>
      <c r="O207" s="182">
        <v>4.6799999999999999E-4</v>
      </c>
      <c r="P207" s="182">
        <v>4.6799999999999999E-4</v>
      </c>
      <c r="R207" s="155" t="str">
        <f t="shared" si="10"/>
        <v>A0060:(株)アイ・グリッド・ソリューションズ(参考値)事業者全体</v>
      </c>
      <c r="S207" s="181">
        <f t="shared" si="11"/>
        <v>4.6799999999999999E-4</v>
      </c>
    </row>
    <row r="208" spans="2:19">
      <c r="B208" s="121" t="s">
        <v>1176</v>
      </c>
      <c r="C208" s="490" t="s">
        <v>1686</v>
      </c>
      <c r="D208" s="490" t="str">
        <f t="shared" si="9"/>
        <v>A0295:一般社団法人グリーンコープでんき</v>
      </c>
      <c r="I208" s="125" t="s">
        <v>1024</v>
      </c>
      <c r="J208" s="125" t="s">
        <v>1534</v>
      </c>
      <c r="K208" s="182" t="s">
        <v>652</v>
      </c>
      <c r="L208" s="182">
        <v>0</v>
      </c>
      <c r="M208" s="182">
        <v>0</v>
      </c>
      <c r="N208" s="182">
        <v>0</v>
      </c>
      <c r="O208" s="182">
        <v>0</v>
      </c>
      <c r="P208" s="182">
        <v>0</v>
      </c>
      <c r="R208" s="155" t="str">
        <f t="shared" si="10"/>
        <v>A0061:サミットエナジー(株)メニューA</v>
      </c>
      <c r="S208" s="181">
        <f t="shared" si="11"/>
        <v>0</v>
      </c>
    </row>
    <row r="209" spans="2:19">
      <c r="B209" s="121" t="s">
        <v>1177</v>
      </c>
      <c r="C209" s="490" t="s">
        <v>1687</v>
      </c>
      <c r="D209" s="490" t="str">
        <f t="shared" si="9"/>
        <v>A0296:公益財団法人東京都環境公社</v>
      </c>
      <c r="I209" s="125" t="s">
        <v>1024</v>
      </c>
      <c r="J209" s="125" t="s">
        <v>1534</v>
      </c>
      <c r="K209" s="182" t="s">
        <v>729</v>
      </c>
      <c r="L209" s="182">
        <v>5.2400000000000005E-4</v>
      </c>
      <c r="M209" s="182">
        <v>5.2400000000000005E-4</v>
      </c>
      <c r="N209" s="182">
        <v>5.2400000000000005E-4</v>
      </c>
      <c r="O209" s="182">
        <v>5.2400000000000005E-4</v>
      </c>
      <c r="P209" s="182">
        <v>5.2400000000000005E-4</v>
      </c>
      <c r="R209" s="155" t="str">
        <f t="shared" si="10"/>
        <v>A0061:サミットエナジー(株)メニューB</v>
      </c>
      <c r="S209" s="181">
        <f t="shared" si="11"/>
        <v>5.2400000000000005E-4</v>
      </c>
    </row>
    <row r="210" spans="2:19">
      <c r="B210" s="121" t="s">
        <v>1178</v>
      </c>
      <c r="C210" s="490" t="s">
        <v>1688</v>
      </c>
      <c r="D210" s="490" t="str">
        <f t="shared" si="9"/>
        <v>A0300:(株)ファミリーネット・ジャパン</v>
      </c>
      <c r="I210" s="125" t="s">
        <v>1024</v>
      </c>
      <c r="J210" s="125" t="s">
        <v>1534</v>
      </c>
      <c r="K210" s="182" t="s">
        <v>1998</v>
      </c>
      <c r="L210" s="182">
        <v>4.2000000000000002E-4</v>
      </c>
      <c r="M210" s="182">
        <v>4.2000000000000002E-4</v>
      </c>
      <c r="N210" s="182">
        <v>4.2000000000000002E-4</v>
      </c>
      <c r="O210" s="182">
        <v>4.2000000000000002E-4</v>
      </c>
      <c r="P210" s="182">
        <v>4.2000000000000002E-4</v>
      </c>
      <c r="R210" s="155" t="str">
        <f t="shared" si="10"/>
        <v>A0061:サミットエナジー(株)(参考値)事業者全体</v>
      </c>
      <c r="S210" s="181">
        <f t="shared" si="11"/>
        <v>4.2000000000000002E-4</v>
      </c>
    </row>
    <row r="211" spans="2:19">
      <c r="B211" s="121" t="s">
        <v>1179</v>
      </c>
      <c r="C211" s="490" t="s">
        <v>1689</v>
      </c>
      <c r="D211" s="490" t="str">
        <f t="shared" si="9"/>
        <v>A0303:MKステーションズ(株)</v>
      </c>
      <c r="I211" s="125" t="s">
        <v>1025</v>
      </c>
      <c r="J211" s="125" t="s">
        <v>1535</v>
      </c>
      <c r="K211" s="182" t="s">
        <v>652</v>
      </c>
      <c r="L211" s="182">
        <v>0</v>
      </c>
      <c r="M211" s="182">
        <v>0</v>
      </c>
      <c r="N211" s="182">
        <v>0</v>
      </c>
      <c r="O211" s="182">
        <v>0</v>
      </c>
      <c r="P211" s="182">
        <v>0</v>
      </c>
      <c r="R211" s="155" t="str">
        <f t="shared" si="10"/>
        <v>A0062:リコージャパン(株)メニューA</v>
      </c>
      <c r="S211" s="181">
        <f t="shared" si="11"/>
        <v>0</v>
      </c>
    </row>
    <row r="212" spans="2:19">
      <c r="B212" s="121" t="s">
        <v>1180</v>
      </c>
      <c r="C212" s="490" t="s">
        <v>1690</v>
      </c>
      <c r="D212" s="490" t="str">
        <f t="shared" si="9"/>
        <v>A0305:フラワーペイメント(株)</v>
      </c>
      <c r="I212" s="125" t="s">
        <v>1025</v>
      </c>
      <c r="J212" s="125" t="s">
        <v>1535</v>
      </c>
      <c r="K212" s="182" t="s">
        <v>729</v>
      </c>
      <c r="L212" s="182">
        <v>0</v>
      </c>
      <c r="M212" s="182">
        <v>0</v>
      </c>
      <c r="N212" s="182">
        <v>0</v>
      </c>
      <c r="O212" s="182">
        <v>0</v>
      </c>
      <c r="P212" s="182">
        <v>0</v>
      </c>
      <c r="R212" s="155" t="str">
        <f t="shared" si="10"/>
        <v>A0062:リコージャパン(株)メニューB</v>
      </c>
      <c r="S212" s="181">
        <f t="shared" si="11"/>
        <v>0</v>
      </c>
    </row>
    <row r="213" spans="2:19">
      <c r="B213" s="121" t="s">
        <v>1181</v>
      </c>
      <c r="C213" s="490" t="s">
        <v>1691</v>
      </c>
      <c r="D213" s="490" t="str">
        <f t="shared" si="9"/>
        <v>A0306:(株)JTBコミュニケーションデザイン</v>
      </c>
      <c r="I213" s="125" t="s">
        <v>1025</v>
      </c>
      <c r="J213" s="125" t="s">
        <v>1535</v>
      </c>
      <c r="K213" s="182" t="s">
        <v>730</v>
      </c>
      <c r="L213" s="182">
        <v>3.0699999999999998E-4</v>
      </c>
      <c r="M213" s="182">
        <v>3.0699999999999998E-4</v>
      </c>
      <c r="N213" s="182">
        <v>3.0699999999999998E-4</v>
      </c>
      <c r="O213" s="182">
        <v>3.0699999999999998E-4</v>
      </c>
      <c r="P213" s="182">
        <v>3.0699999999999998E-4</v>
      </c>
      <c r="R213" s="155" t="str">
        <f t="shared" si="10"/>
        <v>A0062:リコージャパン(株)メニューC</v>
      </c>
      <c r="S213" s="181">
        <f t="shared" si="11"/>
        <v>3.0699999999999998E-4</v>
      </c>
    </row>
    <row r="214" spans="2:19">
      <c r="B214" s="121" t="s">
        <v>1182</v>
      </c>
      <c r="C214" s="490" t="s">
        <v>1692</v>
      </c>
      <c r="D214" s="490" t="str">
        <f t="shared" si="9"/>
        <v>A0310:全農エネルギー(株)</v>
      </c>
      <c r="I214" s="125" t="s">
        <v>1025</v>
      </c>
      <c r="J214" s="125" t="s">
        <v>1535</v>
      </c>
      <c r="K214" s="182" t="s">
        <v>915</v>
      </c>
      <c r="L214" s="182">
        <v>0</v>
      </c>
      <c r="M214" s="182">
        <v>0</v>
      </c>
      <c r="N214" s="182">
        <v>0</v>
      </c>
      <c r="O214" s="182">
        <v>0</v>
      </c>
      <c r="P214" s="182">
        <v>0</v>
      </c>
      <c r="R214" s="155" t="str">
        <f t="shared" si="10"/>
        <v>A0062:リコージャパン(株)メニューD</v>
      </c>
      <c r="S214" s="181">
        <f t="shared" si="11"/>
        <v>0</v>
      </c>
    </row>
    <row r="215" spans="2:19">
      <c r="B215" s="121" t="s">
        <v>1183</v>
      </c>
      <c r="C215" s="490" t="s">
        <v>1693</v>
      </c>
      <c r="D215" s="490" t="str">
        <f t="shared" si="9"/>
        <v>A0311:(株)ハルエネ</v>
      </c>
      <c r="I215" s="125" t="s">
        <v>1025</v>
      </c>
      <c r="J215" s="125" t="s">
        <v>1535</v>
      </c>
      <c r="K215" s="182" t="s">
        <v>916</v>
      </c>
      <c r="L215" s="182">
        <v>3.6999999999999999E-4</v>
      </c>
      <c r="M215" s="182">
        <v>3.6999999999999999E-4</v>
      </c>
      <c r="N215" s="182">
        <v>3.6999999999999999E-4</v>
      </c>
      <c r="O215" s="182">
        <v>3.6999999999999999E-4</v>
      </c>
      <c r="P215" s="182">
        <v>3.6999999999999999E-4</v>
      </c>
      <c r="R215" s="155" t="str">
        <f t="shared" si="10"/>
        <v>A0062:リコージャパン(株)メニューE</v>
      </c>
      <c r="S215" s="181">
        <f t="shared" si="11"/>
        <v>3.6999999999999999E-4</v>
      </c>
    </row>
    <row r="216" spans="2:19">
      <c r="B216" s="121" t="s">
        <v>1184</v>
      </c>
      <c r="C216" s="490" t="s">
        <v>1694</v>
      </c>
      <c r="D216" s="490" t="str">
        <f t="shared" si="9"/>
        <v>A0314:(株)ビビット</v>
      </c>
      <c r="I216" s="125" t="s">
        <v>1025</v>
      </c>
      <c r="J216" s="125" t="s">
        <v>1535</v>
      </c>
      <c r="K216" s="182" t="s">
        <v>1999</v>
      </c>
      <c r="L216" s="182">
        <v>5.3499999999999999E-4</v>
      </c>
      <c r="M216" s="182">
        <v>5.3499999999999999E-4</v>
      </c>
      <c r="N216" s="182">
        <v>5.3499999999999999E-4</v>
      </c>
      <c r="O216" s="182">
        <v>5.3499999999999999E-4</v>
      </c>
      <c r="P216" s="182">
        <v>5.3499999999999999E-4</v>
      </c>
      <c r="R216" s="155" t="str">
        <f t="shared" si="10"/>
        <v>A0062:リコージャパン(株)メニューF</v>
      </c>
      <c r="S216" s="181">
        <f t="shared" si="11"/>
        <v>5.3499999999999999E-4</v>
      </c>
    </row>
    <row r="217" spans="2:19">
      <c r="B217" s="121" t="s">
        <v>1185</v>
      </c>
      <c r="C217" s="490" t="s">
        <v>1695</v>
      </c>
      <c r="D217" s="490" t="str">
        <f t="shared" si="9"/>
        <v>A0315:(株)おおた電力</v>
      </c>
      <c r="I217" s="125" t="s">
        <v>1025</v>
      </c>
      <c r="J217" s="125" t="s">
        <v>1535</v>
      </c>
      <c r="K217" s="182" t="s">
        <v>1998</v>
      </c>
      <c r="L217" s="182">
        <v>4.7699999999999999E-4</v>
      </c>
      <c r="M217" s="182">
        <v>4.7699999999999999E-4</v>
      </c>
      <c r="N217" s="182">
        <v>4.7699999999999999E-4</v>
      </c>
      <c r="O217" s="182">
        <v>4.7699999999999999E-4</v>
      </c>
      <c r="P217" s="182">
        <v>4.7699999999999999E-4</v>
      </c>
      <c r="R217" s="155" t="str">
        <f t="shared" si="10"/>
        <v>A0062:リコージャパン(株)(参考値)事業者全体</v>
      </c>
      <c r="S217" s="181">
        <f t="shared" si="11"/>
        <v>4.7699999999999999E-4</v>
      </c>
    </row>
    <row r="218" spans="2:19">
      <c r="B218" s="121" t="s">
        <v>1186</v>
      </c>
      <c r="C218" s="490" t="s">
        <v>1696</v>
      </c>
      <c r="D218" s="490" t="str">
        <f t="shared" si="9"/>
        <v>A0317:伊藤忠プランテック(株)</v>
      </c>
      <c r="I218" s="125" t="s">
        <v>1026</v>
      </c>
      <c r="J218" s="125" t="s">
        <v>1536</v>
      </c>
      <c r="K218" s="182" t="s">
        <v>652</v>
      </c>
      <c r="L218" s="182">
        <v>0</v>
      </c>
      <c r="M218" s="182">
        <v>0</v>
      </c>
      <c r="N218" s="182">
        <v>0</v>
      </c>
      <c r="O218" s="182">
        <v>0</v>
      </c>
      <c r="P218" s="182">
        <v>0</v>
      </c>
      <c r="R218" s="155" t="str">
        <f t="shared" si="10"/>
        <v>A0063:(株)エネルギア・ソリューション・アンド・サービスメニューA</v>
      </c>
      <c r="S218" s="181">
        <f t="shared" si="11"/>
        <v>0</v>
      </c>
    </row>
    <row r="219" spans="2:19">
      <c r="B219" s="121" t="s">
        <v>1187</v>
      </c>
      <c r="C219" s="490" t="s">
        <v>1697</v>
      </c>
      <c r="D219" s="490" t="str">
        <f t="shared" si="9"/>
        <v>A0318:(株)オカモト</v>
      </c>
      <c r="I219" s="125" t="s">
        <v>1026</v>
      </c>
      <c r="J219" s="125" t="s">
        <v>1536</v>
      </c>
      <c r="K219" s="182" t="s">
        <v>729</v>
      </c>
      <c r="L219" s="182">
        <v>5.5000000000000003E-4</v>
      </c>
      <c r="M219" s="182">
        <v>5.5000000000000003E-4</v>
      </c>
      <c r="N219" s="182">
        <v>5.5000000000000003E-4</v>
      </c>
      <c r="O219" s="182">
        <v>5.5000000000000003E-4</v>
      </c>
      <c r="P219" s="182">
        <v>5.5000000000000003E-4</v>
      </c>
      <c r="R219" s="155" t="str">
        <f t="shared" si="10"/>
        <v>A0063:(株)エネルギア・ソリューション・アンド・サービスメニューB</v>
      </c>
      <c r="S219" s="181">
        <f t="shared" si="11"/>
        <v>5.5000000000000003E-4</v>
      </c>
    </row>
    <row r="220" spans="2:19">
      <c r="B220" s="121" t="s">
        <v>1188</v>
      </c>
      <c r="C220" s="490" t="s">
        <v>1698</v>
      </c>
      <c r="D220" s="490" t="str">
        <f t="shared" si="9"/>
        <v>A0323:キタコー(株)</v>
      </c>
      <c r="I220" s="125" t="s">
        <v>1026</v>
      </c>
      <c r="J220" s="125" t="s">
        <v>1536</v>
      </c>
      <c r="K220" s="182" t="s">
        <v>1998</v>
      </c>
      <c r="L220" s="182">
        <v>5.2700000000000002E-4</v>
      </c>
      <c r="M220" s="182">
        <v>5.2700000000000002E-4</v>
      </c>
      <c r="N220" s="182">
        <v>5.2700000000000002E-4</v>
      </c>
      <c r="O220" s="182">
        <v>5.2700000000000002E-4</v>
      </c>
      <c r="P220" s="182">
        <v>5.2700000000000002E-4</v>
      </c>
      <c r="R220" s="155" t="str">
        <f t="shared" si="10"/>
        <v>A0063:(株)エネルギア・ソリューション・アンド・サービス(参考値)事業者全体</v>
      </c>
      <c r="S220" s="181">
        <f t="shared" si="11"/>
        <v>5.2700000000000002E-4</v>
      </c>
    </row>
    <row r="221" spans="2:19">
      <c r="B221" s="121" t="s">
        <v>1189</v>
      </c>
      <c r="C221" s="490" t="s">
        <v>1699</v>
      </c>
      <c r="D221" s="490" t="str">
        <f t="shared" si="9"/>
        <v>A0330:香川電力(株)　</v>
      </c>
      <c r="I221" s="125" t="s">
        <v>1027</v>
      </c>
      <c r="J221" s="125" t="s">
        <v>1537</v>
      </c>
      <c r="K221" s="182" t="s">
        <v>652</v>
      </c>
      <c r="L221" s="182">
        <v>0</v>
      </c>
      <c r="M221" s="182">
        <v>0</v>
      </c>
      <c r="N221" s="182">
        <v>0</v>
      </c>
      <c r="O221" s="182">
        <v>0</v>
      </c>
      <c r="P221" s="182">
        <v>0</v>
      </c>
      <c r="R221" s="155" t="str">
        <f t="shared" si="10"/>
        <v>A0064:東京ガス(株)メニューA</v>
      </c>
      <c r="S221" s="181">
        <f t="shared" si="11"/>
        <v>0</v>
      </c>
    </row>
    <row r="222" spans="2:19">
      <c r="B222" s="121" t="s">
        <v>1190</v>
      </c>
      <c r="C222" s="490" t="s">
        <v>1700</v>
      </c>
      <c r="D222" s="490" t="str">
        <f t="shared" si="9"/>
        <v>A0332:(株)PinT</v>
      </c>
      <c r="I222" s="125" t="s">
        <v>1027</v>
      </c>
      <c r="J222" s="125" t="s">
        <v>1537</v>
      </c>
      <c r="K222" s="182" t="s">
        <v>729</v>
      </c>
      <c r="L222" s="182">
        <v>0</v>
      </c>
      <c r="M222" s="182">
        <v>0</v>
      </c>
      <c r="N222" s="182">
        <v>0</v>
      </c>
      <c r="O222" s="182">
        <v>0</v>
      </c>
      <c r="P222" s="182">
        <v>0</v>
      </c>
      <c r="R222" s="155" t="str">
        <f t="shared" si="10"/>
        <v>A0064:東京ガス(株)メニューB</v>
      </c>
      <c r="S222" s="181">
        <f t="shared" si="11"/>
        <v>0</v>
      </c>
    </row>
    <row r="223" spans="2:19">
      <c r="B223" s="121" t="s">
        <v>1191</v>
      </c>
      <c r="C223" s="490" t="s">
        <v>1701</v>
      </c>
      <c r="D223" s="490" t="str">
        <f t="shared" si="9"/>
        <v>A0336:(株)沖縄ガスニューパワー</v>
      </c>
      <c r="I223" s="125" t="s">
        <v>1027</v>
      </c>
      <c r="J223" s="125" t="s">
        <v>1537</v>
      </c>
      <c r="K223" s="182" t="s">
        <v>730</v>
      </c>
      <c r="L223" s="182">
        <v>0</v>
      </c>
      <c r="M223" s="182">
        <v>0</v>
      </c>
      <c r="N223" s="182">
        <v>0</v>
      </c>
      <c r="O223" s="182">
        <v>0</v>
      </c>
      <c r="P223" s="182">
        <v>0</v>
      </c>
      <c r="R223" s="155" t="str">
        <f t="shared" si="10"/>
        <v>A0064:東京ガス(株)メニューC</v>
      </c>
      <c r="S223" s="181">
        <f t="shared" si="11"/>
        <v>0</v>
      </c>
    </row>
    <row r="224" spans="2:19">
      <c r="B224" s="121" t="s">
        <v>1192</v>
      </c>
      <c r="C224" s="490" t="s">
        <v>1702</v>
      </c>
      <c r="D224" s="490" t="str">
        <f t="shared" si="9"/>
        <v>A0337:諏訪瓦斯(株)</v>
      </c>
      <c r="I224" s="125" t="s">
        <v>1027</v>
      </c>
      <c r="J224" s="125" t="s">
        <v>1537</v>
      </c>
      <c r="K224" s="182" t="s">
        <v>915</v>
      </c>
      <c r="L224" s="182">
        <v>0</v>
      </c>
      <c r="M224" s="182">
        <v>0</v>
      </c>
      <c r="N224" s="182">
        <v>0</v>
      </c>
      <c r="O224" s="182">
        <v>0</v>
      </c>
      <c r="P224" s="182">
        <v>0</v>
      </c>
      <c r="R224" s="155" t="str">
        <f t="shared" si="10"/>
        <v>A0064:東京ガス(株)メニューD</v>
      </c>
      <c r="S224" s="181">
        <f t="shared" si="11"/>
        <v>0</v>
      </c>
    </row>
    <row r="225" spans="2:19">
      <c r="B225" s="121" t="s">
        <v>1193</v>
      </c>
      <c r="C225" s="490" t="s">
        <v>1703</v>
      </c>
      <c r="D225" s="490" t="str">
        <f t="shared" si="9"/>
        <v>A0338:エッセンシャルエナジー(株)</v>
      </c>
      <c r="I225" s="125" t="s">
        <v>1027</v>
      </c>
      <c r="J225" s="125" t="s">
        <v>1537</v>
      </c>
      <c r="K225" s="182" t="s">
        <v>916</v>
      </c>
      <c r="L225" s="182">
        <v>0</v>
      </c>
      <c r="M225" s="182">
        <v>0</v>
      </c>
      <c r="N225" s="182">
        <v>0</v>
      </c>
      <c r="O225" s="182">
        <v>0</v>
      </c>
      <c r="P225" s="182">
        <v>0</v>
      </c>
      <c r="R225" s="155" t="str">
        <f t="shared" si="10"/>
        <v>A0064:東京ガス(株)メニューE</v>
      </c>
      <c r="S225" s="181">
        <f t="shared" si="11"/>
        <v>0</v>
      </c>
    </row>
    <row r="226" spans="2:19">
      <c r="B226" s="121" t="s">
        <v>1194</v>
      </c>
      <c r="C226" s="490" t="s">
        <v>1704</v>
      </c>
      <c r="D226" s="490" t="str">
        <f t="shared" si="9"/>
        <v>A0342:(株)いちき串木野電力</v>
      </c>
      <c r="I226" s="125" t="s">
        <v>1027</v>
      </c>
      <c r="J226" s="125" t="s">
        <v>1537</v>
      </c>
      <c r="K226" s="182" t="s">
        <v>1999</v>
      </c>
      <c r="L226" s="182">
        <v>3.68E-4</v>
      </c>
      <c r="M226" s="182">
        <v>3.68E-4</v>
      </c>
      <c r="N226" s="182">
        <v>3.68E-4</v>
      </c>
      <c r="O226" s="182">
        <v>3.68E-4</v>
      </c>
      <c r="P226" s="182">
        <v>3.68E-4</v>
      </c>
      <c r="R226" s="155" t="str">
        <f t="shared" si="10"/>
        <v>A0064:東京ガス(株)メニューF</v>
      </c>
      <c r="S226" s="181">
        <f t="shared" si="11"/>
        <v>3.68E-4</v>
      </c>
    </row>
    <row r="227" spans="2:19">
      <c r="B227" s="121" t="s">
        <v>1195</v>
      </c>
      <c r="C227" s="490" t="s">
        <v>1705</v>
      </c>
      <c r="D227" s="490" t="str">
        <f t="shared" si="9"/>
        <v>A0343:(株)クローバー・テクノロジーズ</v>
      </c>
      <c r="I227" s="125" t="s">
        <v>1027</v>
      </c>
      <c r="J227" s="125" t="s">
        <v>1537</v>
      </c>
      <c r="K227" s="182" t="s">
        <v>1998</v>
      </c>
      <c r="L227" s="182">
        <v>3.5399999999999999E-4</v>
      </c>
      <c r="M227" s="182">
        <v>3.5399999999999999E-4</v>
      </c>
      <c r="N227" s="182">
        <v>3.5399999999999999E-4</v>
      </c>
      <c r="O227" s="182">
        <v>3.5399999999999999E-4</v>
      </c>
      <c r="P227" s="182">
        <v>3.5399999999999999E-4</v>
      </c>
      <c r="R227" s="155" t="str">
        <f t="shared" si="10"/>
        <v>A0064:東京ガス(株)(参考値)事業者全体</v>
      </c>
      <c r="S227" s="181">
        <f t="shared" si="11"/>
        <v>3.5399999999999999E-4</v>
      </c>
    </row>
    <row r="228" spans="2:19">
      <c r="B228" s="121" t="s">
        <v>1196</v>
      </c>
      <c r="C228" s="490" t="s">
        <v>1706</v>
      </c>
      <c r="D228" s="490" t="str">
        <f t="shared" si="9"/>
        <v>A0344:西武ガス(株)</v>
      </c>
      <c r="I228" s="125" t="s">
        <v>1028</v>
      </c>
      <c r="J228" s="125" t="s">
        <v>1538</v>
      </c>
      <c r="K228" s="182" t="s">
        <v>652</v>
      </c>
      <c r="L228" s="182">
        <v>0</v>
      </c>
      <c r="M228" s="182">
        <v>0</v>
      </c>
      <c r="N228" s="182">
        <v>0</v>
      </c>
      <c r="O228" s="182">
        <v>0</v>
      </c>
      <c r="P228" s="182">
        <v>0</v>
      </c>
      <c r="R228" s="155" t="str">
        <f t="shared" si="10"/>
        <v>A0065:テス・エンジニアリング(株)メニューA</v>
      </c>
      <c r="S228" s="181">
        <f t="shared" si="11"/>
        <v>0</v>
      </c>
    </row>
    <row r="229" spans="2:19">
      <c r="B229" s="121" t="s">
        <v>1197</v>
      </c>
      <c r="C229" s="490" t="s">
        <v>1707</v>
      </c>
      <c r="D229" s="490" t="str">
        <f t="shared" si="9"/>
        <v>A0345:松本ガス(株)</v>
      </c>
      <c r="I229" s="125" t="s">
        <v>1028</v>
      </c>
      <c r="J229" s="125" t="s">
        <v>1538</v>
      </c>
      <c r="K229" s="182" t="s">
        <v>729</v>
      </c>
      <c r="L229" s="182">
        <v>0</v>
      </c>
      <c r="M229" s="182">
        <v>0</v>
      </c>
      <c r="N229" s="182">
        <v>0</v>
      </c>
      <c r="O229" s="182">
        <v>0</v>
      </c>
      <c r="P229" s="182">
        <v>0</v>
      </c>
      <c r="R229" s="155" t="str">
        <f t="shared" si="10"/>
        <v>A0065:テス・エンジニアリング(株)メニューB</v>
      </c>
      <c r="S229" s="181">
        <f t="shared" si="11"/>
        <v>0</v>
      </c>
    </row>
    <row r="230" spans="2:19">
      <c r="B230" s="121" t="s">
        <v>1198</v>
      </c>
      <c r="C230" s="490" t="s">
        <v>1708</v>
      </c>
      <c r="D230" s="490" t="str">
        <f t="shared" si="9"/>
        <v>A0348:南部だんだんエナジー(株)</v>
      </c>
      <c r="I230" s="125" t="s">
        <v>1028</v>
      </c>
      <c r="J230" s="125" t="s">
        <v>1538</v>
      </c>
      <c r="K230" s="182" t="s">
        <v>730</v>
      </c>
      <c r="L230" s="182">
        <v>4.28E-4</v>
      </c>
      <c r="M230" s="182">
        <v>4.28E-4</v>
      </c>
      <c r="N230" s="182">
        <v>4.28E-4</v>
      </c>
      <c r="O230" s="182">
        <v>4.28E-4</v>
      </c>
      <c r="P230" s="182">
        <v>4.28E-4</v>
      </c>
      <c r="R230" s="155" t="str">
        <f t="shared" si="10"/>
        <v>A0065:テス・エンジニアリング(株)メニューC</v>
      </c>
      <c r="S230" s="181">
        <f t="shared" si="11"/>
        <v>4.28E-4</v>
      </c>
    </row>
    <row r="231" spans="2:19">
      <c r="B231" s="121" t="s">
        <v>1199</v>
      </c>
      <c r="C231" s="490" t="s">
        <v>1709</v>
      </c>
      <c r="D231" s="490" t="str">
        <f t="shared" si="9"/>
        <v>A0349:(株)エフエネ</v>
      </c>
      <c r="I231" s="125" t="s">
        <v>1028</v>
      </c>
      <c r="J231" s="125" t="s">
        <v>1538</v>
      </c>
      <c r="K231" s="182" t="s">
        <v>1998</v>
      </c>
      <c r="L231" s="182">
        <v>4.1100000000000002E-4</v>
      </c>
      <c r="M231" s="182">
        <v>4.1100000000000002E-4</v>
      </c>
      <c r="N231" s="182">
        <v>4.1100000000000002E-4</v>
      </c>
      <c r="O231" s="182">
        <v>4.1100000000000002E-4</v>
      </c>
      <c r="P231" s="182">
        <v>4.1100000000000002E-4</v>
      </c>
      <c r="R231" s="155" t="str">
        <f t="shared" si="10"/>
        <v>A0065:テス・エンジニアリング(株)(参考値)事業者全体</v>
      </c>
      <c r="S231" s="181">
        <f t="shared" si="11"/>
        <v>4.1100000000000002E-4</v>
      </c>
    </row>
    <row r="232" spans="2:19">
      <c r="B232" s="121" t="s">
        <v>1200</v>
      </c>
      <c r="C232" s="490" t="s">
        <v>1710</v>
      </c>
      <c r="D232" s="490" t="str">
        <f t="shared" si="9"/>
        <v>A0350:こなんウルトラパワー(株)</v>
      </c>
      <c r="I232" s="125" t="s">
        <v>1029</v>
      </c>
      <c r="J232" s="125" t="s">
        <v>1539</v>
      </c>
      <c r="K232" s="182" t="s">
        <v>652</v>
      </c>
      <c r="L232" s="182">
        <v>0</v>
      </c>
      <c r="M232" s="182">
        <v>0</v>
      </c>
      <c r="N232" s="182">
        <v>0</v>
      </c>
      <c r="O232" s="182">
        <v>0</v>
      </c>
      <c r="P232" s="182">
        <v>0</v>
      </c>
      <c r="R232" s="155" t="str">
        <f t="shared" si="10"/>
        <v>A0066:青梅ガス(株)メニューA</v>
      </c>
      <c r="S232" s="181">
        <f t="shared" si="11"/>
        <v>0</v>
      </c>
    </row>
    <row r="233" spans="2:19">
      <c r="B233" s="121" t="s">
        <v>1201</v>
      </c>
      <c r="C233" s="490" t="s">
        <v>1711</v>
      </c>
      <c r="D233" s="490" t="str">
        <f t="shared" si="9"/>
        <v>A0351:(株)CHIBAむつざわエナジー</v>
      </c>
      <c r="I233" s="125" t="s">
        <v>1029</v>
      </c>
      <c r="J233" s="125" t="s">
        <v>1539</v>
      </c>
      <c r="K233" s="182" t="s">
        <v>729</v>
      </c>
      <c r="L233" s="182">
        <v>4.2000000000000002E-4</v>
      </c>
      <c r="M233" s="182">
        <v>4.2000000000000002E-4</v>
      </c>
      <c r="N233" s="182">
        <v>4.2000000000000002E-4</v>
      </c>
      <c r="O233" s="182">
        <v>4.2000000000000002E-4</v>
      </c>
      <c r="P233" s="182">
        <v>4.2000000000000002E-4</v>
      </c>
      <c r="R233" s="155" t="str">
        <f t="shared" si="10"/>
        <v>A0066:青梅ガス(株)メニューB</v>
      </c>
      <c r="S233" s="181">
        <f t="shared" si="11"/>
        <v>4.2000000000000002E-4</v>
      </c>
    </row>
    <row r="234" spans="2:19">
      <c r="B234" s="121" t="s">
        <v>1202</v>
      </c>
      <c r="C234" s="490" t="s">
        <v>1712</v>
      </c>
      <c r="D234" s="490" t="str">
        <f t="shared" si="9"/>
        <v>A0352:(株)関西空調</v>
      </c>
      <c r="I234" s="125" t="s">
        <v>1029</v>
      </c>
      <c r="J234" s="125" t="s">
        <v>1539</v>
      </c>
      <c r="K234" s="182" t="s">
        <v>1998</v>
      </c>
      <c r="L234" s="182">
        <v>4.1800000000000002E-4</v>
      </c>
      <c r="M234" s="182">
        <v>4.1800000000000002E-4</v>
      </c>
      <c r="N234" s="182">
        <v>4.1800000000000002E-4</v>
      </c>
      <c r="O234" s="182">
        <v>4.1800000000000002E-4</v>
      </c>
      <c r="P234" s="182">
        <v>4.1800000000000002E-4</v>
      </c>
      <c r="R234" s="155" t="str">
        <f t="shared" si="10"/>
        <v>A0066:青梅ガス(株)(参考値)事業者全体</v>
      </c>
      <c r="S234" s="181">
        <f t="shared" si="11"/>
        <v>4.1800000000000002E-4</v>
      </c>
    </row>
    <row r="235" spans="2:19">
      <c r="B235" s="121" t="s">
        <v>1203</v>
      </c>
      <c r="C235" s="490" t="s">
        <v>1713</v>
      </c>
      <c r="D235" s="490" t="str">
        <f t="shared" si="9"/>
        <v>A0353:奥出雲電力(株)</v>
      </c>
      <c r="I235" s="125" t="s">
        <v>1030</v>
      </c>
      <c r="J235" s="125" t="s">
        <v>1540</v>
      </c>
      <c r="K235" s="182" t="s">
        <v>652</v>
      </c>
      <c r="L235" s="182">
        <v>0</v>
      </c>
      <c r="M235" s="182">
        <v>0</v>
      </c>
      <c r="N235" s="182">
        <v>0</v>
      </c>
      <c r="O235" s="182">
        <v>0</v>
      </c>
      <c r="P235" s="182">
        <v>0</v>
      </c>
      <c r="R235" s="155" t="str">
        <f t="shared" si="10"/>
        <v>A0067:(株)イーネットワークシステムズメニューA</v>
      </c>
      <c r="S235" s="181">
        <f t="shared" si="11"/>
        <v>0</v>
      </c>
    </row>
    <row r="236" spans="2:19">
      <c r="B236" s="121" t="s">
        <v>1204</v>
      </c>
      <c r="C236" s="490" t="s">
        <v>1714</v>
      </c>
      <c r="D236" s="490" t="str">
        <f t="shared" si="9"/>
        <v>A0355:レジル(株)</v>
      </c>
      <c r="I236" s="125" t="s">
        <v>1030</v>
      </c>
      <c r="J236" s="125" t="s">
        <v>1540</v>
      </c>
      <c r="K236" s="182" t="s">
        <v>729</v>
      </c>
      <c r="L236" s="182">
        <v>0</v>
      </c>
      <c r="M236" s="182">
        <v>0</v>
      </c>
      <c r="N236" s="182">
        <v>0</v>
      </c>
      <c r="O236" s="182">
        <v>0</v>
      </c>
      <c r="P236" s="182">
        <v>0</v>
      </c>
      <c r="R236" s="155" t="str">
        <f t="shared" si="10"/>
        <v>A0067:(株)イーネットワークシステムズメニューB</v>
      </c>
      <c r="S236" s="181">
        <f t="shared" si="11"/>
        <v>0</v>
      </c>
    </row>
    <row r="237" spans="2:19">
      <c r="B237" s="121" t="s">
        <v>1205</v>
      </c>
      <c r="C237" s="490" t="s">
        <v>1715</v>
      </c>
      <c r="D237" s="490" t="str">
        <f t="shared" si="9"/>
        <v>A0356:(株)成田香取エネルギー</v>
      </c>
      <c r="I237" s="125" t="s">
        <v>1030</v>
      </c>
      <c r="J237" s="125" t="s">
        <v>1540</v>
      </c>
      <c r="K237" s="182" t="s">
        <v>730</v>
      </c>
      <c r="L237" s="182">
        <v>0</v>
      </c>
      <c r="M237" s="182">
        <v>0</v>
      </c>
      <c r="N237" s="182">
        <v>0</v>
      </c>
      <c r="O237" s="182">
        <v>0</v>
      </c>
      <c r="P237" s="182">
        <v>0</v>
      </c>
      <c r="R237" s="155" t="str">
        <f t="shared" si="10"/>
        <v>A0067:(株)イーネットワークシステムズメニューC</v>
      </c>
      <c r="S237" s="181">
        <f t="shared" si="11"/>
        <v>0</v>
      </c>
    </row>
    <row r="238" spans="2:19">
      <c r="B238" s="121" t="s">
        <v>1206</v>
      </c>
      <c r="C238" s="490" t="s">
        <v>1716</v>
      </c>
      <c r="D238" s="490" t="str">
        <f t="shared" si="9"/>
        <v>A0362:(株)CWS</v>
      </c>
      <c r="I238" s="125" t="s">
        <v>1030</v>
      </c>
      <c r="J238" s="125" t="s">
        <v>1540</v>
      </c>
      <c r="K238" s="182" t="s">
        <v>915</v>
      </c>
      <c r="L238" s="182">
        <v>0</v>
      </c>
      <c r="M238" s="182">
        <v>0</v>
      </c>
      <c r="N238" s="182">
        <v>0</v>
      </c>
      <c r="O238" s="182">
        <v>0</v>
      </c>
      <c r="P238" s="182">
        <v>0</v>
      </c>
      <c r="R238" s="155" t="str">
        <f t="shared" si="10"/>
        <v>A0067:(株)イーネットワークシステムズメニューD</v>
      </c>
      <c r="S238" s="181">
        <f t="shared" si="11"/>
        <v>0</v>
      </c>
    </row>
    <row r="239" spans="2:19">
      <c r="B239" s="121" t="s">
        <v>1207</v>
      </c>
      <c r="C239" s="490" t="s">
        <v>1717</v>
      </c>
      <c r="D239" s="490" t="str">
        <f t="shared" si="9"/>
        <v>A0364:ふくしま新電力(株)</v>
      </c>
      <c r="I239" s="125" t="s">
        <v>1030</v>
      </c>
      <c r="J239" s="125" t="s">
        <v>1540</v>
      </c>
      <c r="K239" s="182" t="s">
        <v>916</v>
      </c>
      <c r="L239" s="182">
        <v>6.3900000000000003E-4</v>
      </c>
      <c r="M239" s="182">
        <v>6.3900000000000003E-4</v>
      </c>
      <c r="N239" s="182">
        <v>6.3900000000000003E-4</v>
      </c>
      <c r="O239" s="182">
        <v>6.3900000000000003E-4</v>
      </c>
      <c r="P239" s="182">
        <v>6.3900000000000003E-4</v>
      </c>
      <c r="R239" s="155" t="str">
        <f t="shared" si="10"/>
        <v>A0067:(株)イーネットワークシステムズメニューE</v>
      </c>
      <c r="S239" s="181">
        <f t="shared" si="11"/>
        <v>6.3900000000000003E-4</v>
      </c>
    </row>
    <row r="240" spans="2:19">
      <c r="B240" s="121" t="s">
        <v>1208</v>
      </c>
      <c r="C240" s="490" t="s">
        <v>1718</v>
      </c>
      <c r="D240" s="490" t="str">
        <f t="shared" si="9"/>
        <v>A0365:ティーダッシュ合同会社</v>
      </c>
      <c r="I240" s="125" t="s">
        <v>1030</v>
      </c>
      <c r="J240" s="125" t="s">
        <v>1540</v>
      </c>
      <c r="K240" s="182" t="s">
        <v>1998</v>
      </c>
      <c r="L240" s="182">
        <v>5.2300000000000003E-4</v>
      </c>
      <c r="M240" s="182">
        <v>5.2300000000000003E-4</v>
      </c>
      <c r="N240" s="182">
        <v>5.2300000000000003E-4</v>
      </c>
      <c r="O240" s="182">
        <v>5.2300000000000003E-4</v>
      </c>
      <c r="P240" s="182">
        <v>5.2300000000000003E-4</v>
      </c>
      <c r="R240" s="155" t="str">
        <f t="shared" si="10"/>
        <v>A0067:(株)イーネットワークシステムズ(参考値)事業者全体</v>
      </c>
      <c r="S240" s="181">
        <f t="shared" si="11"/>
        <v>5.2300000000000003E-4</v>
      </c>
    </row>
    <row r="241" spans="2:19">
      <c r="B241" s="121" t="s">
        <v>1209</v>
      </c>
      <c r="C241" s="490" t="s">
        <v>1719</v>
      </c>
      <c r="D241" s="490" t="str">
        <f t="shared" si="9"/>
        <v>A0366:(株)エネクスライフサービス</v>
      </c>
      <c r="I241" s="125" t="s">
        <v>1031</v>
      </c>
      <c r="J241" s="125" t="s">
        <v>1541</v>
      </c>
      <c r="K241" s="182"/>
      <c r="L241" s="182">
        <v>3.9800000000000002E-4</v>
      </c>
      <c r="M241" s="182">
        <v>3.9800000000000002E-4</v>
      </c>
      <c r="N241" s="182">
        <v>3.9800000000000002E-4</v>
      </c>
      <c r="O241" s="182">
        <v>3.9800000000000002E-4</v>
      </c>
      <c r="P241" s="182">
        <v>3.9800000000000002E-4</v>
      </c>
      <c r="R241" s="155" t="str">
        <f t="shared" si="10"/>
        <v>A0068:(株)エネアーク関東</v>
      </c>
      <c r="S241" s="181">
        <f t="shared" si="11"/>
        <v>3.9800000000000002E-4</v>
      </c>
    </row>
    <row r="242" spans="2:19">
      <c r="B242" s="121" t="s">
        <v>1210</v>
      </c>
      <c r="C242" s="490" t="s">
        <v>1720</v>
      </c>
      <c r="D242" s="490" t="str">
        <f t="shared" si="9"/>
        <v>A0367:ネイチャーエナジー小国(株)</v>
      </c>
      <c r="I242" s="125" t="s">
        <v>1032</v>
      </c>
      <c r="J242" s="125" t="s">
        <v>1542</v>
      </c>
      <c r="K242" s="182" t="s">
        <v>652</v>
      </c>
      <c r="L242" s="182">
        <v>0</v>
      </c>
      <c r="M242" s="182">
        <v>0</v>
      </c>
      <c r="N242" s="182">
        <v>0</v>
      </c>
      <c r="O242" s="182">
        <v>0</v>
      </c>
      <c r="P242" s="182">
        <v>0</v>
      </c>
      <c r="R242" s="155" t="str">
        <f t="shared" si="10"/>
        <v>A0069:(株)東急パワーサプライメニューA</v>
      </c>
      <c r="S242" s="181">
        <f t="shared" si="11"/>
        <v>0</v>
      </c>
    </row>
    <row r="243" spans="2:19">
      <c r="B243" s="121" t="s">
        <v>1211</v>
      </c>
      <c r="C243" s="490" t="s">
        <v>1721</v>
      </c>
      <c r="D243" s="490" t="str">
        <f t="shared" si="9"/>
        <v>A0368:リエスパワーネクスト(株)</v>
      </c>
      <c r="I243" s="125" t="s">
        <v>1032</v>
      </c>
      <c r="J243" s="125" t="s">
        <v>1542</v>
      </c>
      <c r="K243" s="182" t="s">
        <v>729</v>
      </c>
      <c r="L243" s="182">
        <v>0</v>
      </c>
      <c r="M243" s="182">
        <v>0</v>
      </c>
      <c r="N243" s="182">
        <v>0</v>
      </c>
      <c r="O243" s="182">
        <v>0</v>
      </c>
      <c r="P243" s="182">
        <v>0</v>
      </c>
      <c r="R243" s="155" t="str">
        <f t="shared" si="10"/>
        <v>A0069:(株)東急パワーサプライメニューB</v>
      </c>
      <c r="S243" s="181">
        <f t="shared" si="11"/>
        <v>0</v>
      </c>
    </row>
    <row r="244" spans="2:19">
      <c r="B244" s="121" t="s">
        <v>1212</v>
      </c>
      <c r="C244" s="490" t="s">
        <v>1722</v>
      </c>
      <c r="D244" s="490" t="str">
        <f t="shared" si="9"/>
        <v>A0371:エネルギーパワー(株)</v>
      </c>
      <c r="I244" s="125" t="s">
        <v>1032</v>
      </c>
      <c r="J244" s="125" t="s">
        <v>1542</v>
      </c>
      <c r="K244" s="182" t="s">
        <v>730</v>
      </c>
      <c r="L244" s="182">
        <v>0</v>
      </c>
      <c r="M244" s="182">
        <v>0</v>
      </c>
      <c r="N244" s="182">
        <v>0</v>
      </c>
      <c r="O244" s="182">
        <v>0</v>
      </c>
      <c r="P244" s="182">
        <v>0</v>
      </c>
      <c r="R244" s="155" t="str">
        <f t="shared" si="10"/>
        <v>A0069:(株)東急パワーサプライメニューC</v>
      </c>
      <c r="S244" s="181">
        <f t="shared" si="11"/>
        <v>0</v>
      </c>
    </row>
    <row r="245" spans="2:19">
      <c r="B245" s="121" t="s">
        <v>1213</v>
      </c>
      <c r="C245" s="490" t="s">
        <v>1723</v>
      </c>
      <c r="D245" s="490" t="str">
        <f t="shared" si="9"/>
        <v>A0372:(株)グリムスパワー</v>
      </c>
      <c r="I245" s="125" t="s">
        <v>1032</v>
      </c>
      <c r="J245" s="125" t="s">
        <v>1542</v>
      </c>
      <c r="K245" s="182" t="s">
        <v>915</v>
      </c>
      <c r="L245" s="182">
        <v>0</v>
      </c>
      <c r="M245" s="182">
        <v>0</v>
      </c>
      <c r="N245" s="182">
        <v>0</v>
      </c>
      <c r="O245" s="182">
        <v>0</v>
      </c>
      <c r="P245" s="182">
        <v>0</v>
      </c>
      <c r="R245" s="155" t="str">
        <f t="shared" si="10"/>
        <v>A0069:(株)東急パワーサプライメニューD</v>
      </c>
      <c r="S245" s="181">
        <f t="shared" si="11"/>
        <v>0</v>
      </c>
    </row>
    <row r="246" spans="2:19">
      <c r="B246" s="121" t="s">
        <v>1214</v>
      </c>
      <c r="C246" s="490" t="s">
        <v>1724</v>
      </c>
      <c r="D246" s="490" t="str">
        <f t="shared" si="9"/>
        <v>A0376:自然電力(株)</v>
      </c>
      <c r="I246" s="125" t="s">
        <v>1032</v>
      </c>
      <c r="J246" s="125" t="s">
        <v>1542</v>
      </c>
      <c r="K246" s="182" t="s">
        <v>916</v>
      </c>
      <c r="L246" s="182">
        <v>0</v>
      </c>
      <c r="M246" s="182">
        <v>0</v>
      </c>
      <c r="N246" s="182">
        <v>0</v>
      </c>
      <c r="O246" s="182">
        <v>0</v>
      </c>
      <c r="P246" s="182">
        <v>0</v>
      </c>
      <c r="R246" s="155" t="str">
        <f t="shared" si="10"/>
        <v>A0069:(株)東急パワーサプライメニューE</v>
      </c>
      <c r="S246" s="181">
        <f t="shared" si="11"/>
        <v>0</v>
      </c>
    </row>
    <row r="247" spans="2:19">
      <c r="B247" s="121" t="s">
        <v>1215</v>
      </c>
      <c r="C247" s="490" t="s">
        <v>1725</v>
      </c>
      <c r="D247" s="490" t="str">
        <f t="shared" si="9"/>
        <v>A0378:本庄ガス(株)</v>
      </c>
      <c r="I247" s="125" t="s">
        <v>1032</v>
      </c>
      <c r="J247" s="125" t="s">
        <v>1542</v>
      </c>
      <c r="K247" s="182" t="s">
        <v>1999</v>
      </c>
      <c r="L247" s="182">
        <v>0</v>
      </c>
      <c r="M247" s="182">
        <v>0</v>
      </c>
      <c r="N247" s="182">
        <v>0</v>
      </c>
      <c r="O247" s="182">
        <v>0</v>
      </c>
      <c r="P247" s="182">
        <v>0</v>
      </c>
      <c r="R247" s="155" t="str">
        <f t="shared" si="10"/>
        <v>A0069:(株)東急パワーサプライメニューF</v>
      </c>
      <c r="S247" s="181">
        <f t="shared" si="11"/>
        <v>0</v>
      </c>
    </row>
    <row r="248" spans="2:19">
      <c r="B248" s="121" t="s">
        <v>1216</v>
      </c>
      <c r="C248" s="490" t="s">
        <v>1726</v>
      </c>
      <c r="D248" s="490" t="str">
        <f t="shared" si="9"/>
        <v>A0380:青森県民エナジー(株)</v>
      </c>
      <c r="I248" s="125" t="s">
        <v>1032</v>
      </c>
      <c r="J248" s="125" t="s">
        <v>1542</v>
      </c>
      <c r="K248" s="182" t="s">
        <v>2000</v>
      </c>
      <c r="L248" s="182">
        <v>6.1899999999999998E-4</v>
      </c>
      <c r="M248" s="182">
        <v>6.1899999999999998E-4</v>
      </c>
      <c r="N248" s="182">
        <v>6.1899999999999998E-4</v>
      </c>
      <c r="O248" s="182">
        <v>6.1899999999999998E-4</v>
      </c>
      <c r="P248" s="182">
        <v>6.1899999999999998E-4</v>
      </c>
      <c r="R248" s="155" t="str">
        <f t="shared" si="10"/>
        <v>A0069:(株)東急パワーサプライメニューG</v>
      </c>
      <c r="S248" s="181">
        <f t="shared" si="11"/>
        <v>6.1899999999999998E-4</v>
      </c>
    </row>
    <row r="249" spans="2:19">
      <c r="B249" s="121" t="s">
        <v>1217</v>
      </c>
      <c r="C249" s="490" t="s">
        <v>1727</v>
      </c>
      <c r="D249" s="490" t="str">
        <f t="shared" si="9"/>
        <v>A0381:国際航業(株)</v>
      </c>
      <c r="I249" s="125" t="s">
        <v>1032</v>
      </c>
      <c r="J249" s="125" t="s">
        <v>1542</v>
      </c>
      <c r="K249" s="182" t="s">
        <v>1998</v>
      </c>
      <c r="L249" s="182">
        <v>1.3300000000000001E-4</v>
      </c>
      <c r="M249" s="182">
        <v>1.3300000000000001E-4</v>
      </c>
      <c r="N249" s="182">
        <v>1.3300000000000001E-4</v>
      </c>
      <c r="O249" s="182">
        <v>1.3300000000000001E-4</v>
      </c>
      <c r="P249" s="182">
        <v>1.3300000000000001E-4</v>
      </c>
      <c r="R249" s="155" t="str">
        <f t="shared" si="10"/>
        <v>A0069:(株)東急パワーサプライ(参考値)事業者全体</v>
      </c>
      <c r="S249" s="181">
        <f t="shared" si="11"/>
        <v>1.3300000000000001E-4</v>
      </c>
    </row>
    <row r="250" spans="2:19">
      <c r="B250" s="121" t="s">
        <v>1218</v>
      </c>
      <c r="C250" s="490" t="s">
        <v>1728</v>
      </c>
      <c r="D250" s="490" t="str">
        <f t="shared" si="9"/>
        <v>A0382:ローカルでんき(株)</v>
      </c>
      <c r="I250" s="125" t="s">
        <v>1033</v>
      </c>
      <c r="J250" s="125" t="s">
        <v>1543</v>
      </c>
      <c r="K250" s="182" t="s">
        <v>652</v>
      </c>
      <c r="L250" s="182">
        <v>0</v>
      </c>
      <c r="M250" s="182">
        <v>0</v>
      </c>
      <c r="N250" s="182">
        <v>0</v>
      </c>
      <c r="O250" s="182">
        <v>0</v>
      </c>
      <c r="P250" s="182">
        <v>0</v>
      </c>
      <c r="R250" s="155" t="str">
        <f t="shared" si="10"/>
        <v>A0070:王子・伊藤忠エネクス電力販売(株)メニューA</v>
      </c>
      <c r="S250" s="181">
        <f t="shared" si="11"/>
        <v>0</v>
      </c>
    </row>
    <row r="251" spans="2:19">
      <c r="B251" s="121" t="s">
        <v>1219</v>
      </c>
      <c r="C251" s="490" t="s">
        <v>1729</v>
      </c>
      <c r="D251" s="490" t="str">
        <f t="shared" si="9"/>
        <v>A0383:(株)明治産業</v>
      </c>
      <c r="I251" s="125" t="s">
        <v>1033</v>
      </c>
      <c r="J251" s="125" t="s">
        <v>1543</v>
      </c>
      <c r="K251" s="182" t="s">
        <v>729</v>
      </c>
      <c r="L251" s="182">
        <v>1.2999999999999999E-4</v>
      </c>
      <c r="M251" s="182">
        <v>1.2999999999999999E-4</v>
      </c>
      <c r="N251" s="182">
        <v>1.2999999999999999E-4</v>
      </c>
      <c r="O251" s="182">
        <v>1.2999999999999999E-4</v>
      </c>
      <c r="P251" s="182">
        <v>1.2999999999999999E-4</v>
      </c>
      <c r="R251" s="155" t="str">
        <f t="shared" si="10"/>
        <v>A0070:王子・伊藤忠エネクス電力販売(株)メニューB</v>
      </c>
      <c r="S251" s="181">
        <f t="shared" si="11"/>
        <v>1.2999999999999999E-4</v>
      </c>
    </row>
    <row r="252" spans="2:19">
      <c r="B252" s="121" t="s">
        <v>1220</v>
      </c>
      <c r="C252" s="490" t="s">
        <v>1730</v>
      </c>
      <c r="D252" s="490" t="str">
        <f t="shared" si="9"/>
        <v>A0385:岡山電力(株)</v>
      </c>
      <c r="I252" s="125" t="s">
        <v>1033</v>
      </c>
      <c r="J252" s="125" t="s">
        <v>1543</v>
      </c>
      <c r="K252" s="182" t="s">
        <v>730</v>
      </c>
      <c r="L252" s="182">
        <v>2.3699999999999999E-4</v>
      </c>
      <c r="M252" s="182">
        <v>2.3699999999999999E-4</v>
      </c>
      <c r="N252" s="182">
        <v>2.3699999999999999E-4</v>
      </c>
      <c r="O252" s="182">
        <v>2.3699999999999999E-4</v>
      </c>
      <c r="P252" s="182">
        <v>2.3699999999999999E-4</v>
      </c>
      <c r="R252" s="155" t="str">
        <f t="shared" si="10"/>
        <v>A0070:王子・伊藤忠エネクス電力販売(株)メニューC</v>
      </c>
      <c r="S252" s="181">
        <f t="shared" si="11"/>
        <v>2.3699999999999999E-4</v>
      </c>
    </row>
    <row r="253" spans="2:19">
      <c r="B253" s="121" t="s">
        <v>1221</v>
      </c>
      <c r="C253" s="490" t="s">
        <v>1731</v>
      </c>
      <c r="D253" s="490" t="str">
        <f t="shared" si="9"/>
        <v>A0386:ミライフ(株)</v>
      </c>
      <c r="I253" s="125" t="s">
        <v>1033</v>
      </c>
      <c r="J253" s="125" t="s">
        <v>1543</v>
      </c>
      <c r="K253" s="182" t="s">
        <v>915</v>
      </c>
      <c r="L253" s="182">
        <v>2.5900000000000001E-4</v>
      </c>
      <c r="M253" s="182">
        <v>2.5900000000000001E-4</v>
      </c>
      <c r="N253" s="182">
        <v>2.5900000000000001E-4</v>
      </c>
      <c r="O253" s="182">
        <v>2.5900000000000001E-4</v>
      </c>
      <c r="P253" s="182">
        <v>2.5900000000000001E-4</v>
      </c>
      <c r="R253" s="155" t="str">
        <f t="shared" si="10"/>
        <v>A0070:王子・伊藤忠エネクス電力販売(株)メニューD</v>
      </c>
      <c r="S253" s="181">
        <f t="shared" si="11"/>
        <v>2.5900000000000001E-4</v>
      </c>
    </row>
    <row r="254" spans="2:19">
      <c r="B254" s="121" t="s">
        <v>1222</v>
      </c>
      <c r="C254" s="490" t="s">
        <v>1732</v>
      </c>
      <c r="D254" s="490" t="str">
        <f t="shared" si="9"/>
        <v>A0388:楽天モバイル(株)(旧：楽天エナジー(株))</v>
      </c>
      <c r="I254" s="125" t="s">
        <v>1033</v>
      </c>
      <c r="J254" s="125" t="s">
        <v>1543</v>
      </c>
      <c r="K254" s="182" t="s">
        <v>916</v>
      </c>
      <c r="L254" s="182">
        <v>3.01E-4</v>
      </c>
      <c r="M254" s="182">
        <v>3.01E-4</v>
      </c>
      <c r="N254" s="182">
        <v>3.01E-4</v>
      </c>
      <c r="O254" s="182">
        <v>3.01E-4</v>
      </c>
      <c r="P254" s="182">
        <v>3.01E-4</v>
      </c>
      <c r="R254" s="155" t="str">
        <f t="shared" si="10"/>
        <v>A0070:王子・伊藤忠エネクス電力販売(株)メニューE</v>
      </c>
      <c r="S254" s="181">
        <f t="shared" si="11"/>
        <v>3.01E-4</v>
      </c>
    </row>
    <row r="255" spans="2:19">
      <c r="B255" s="121" t="s">
        <v>1223</v>
      </c>
      <c r="C255" s="490" t="s">
        <v>1733</v>
      </c>
      <c r="D255" s="490" t="str">
        <f t="shared" si="9"/>
        <v>A0389:うすきエネルギー(株)</v>
      </c>
      <c r="I255" s="125" t="s">
        <v>1033</v>
      </c>
      <c r="J255" s="125" t="s">
        <v>1543</v>
      </c>
      <c r="K255" s="182" t="s">
        <v>1999</v>
      </c>
      <c r="L255" s="182">
        <v>3.2600000000000001E-4</v>
      </c>
      <c r="M255" s="182">
        <v>3.2600000000000001E-4</v>
      </c>
      <c r="N255" s="182">
        <v>3.2600000000000001E-4</v>
      </c>
      <c r="O255" s="182">
        <v>3.2600000000000001E-4</v>
      </c>
      <c r="P255" s="182">
        <v>3.2600000000000001E-4</v>
      </c>
      <c r="R255" s="155" t="str">
        <f t="shared" si="10"/>
        <v>A0070:王子・伊藤忠エネクス電力販売(株)メニューF</v>
      </c>
      <c r="S255" s="181">
        <f t="shared" si="11"/>
        <v>3.2600000000000001E-4</v>
      </c>
    </row>
    <row r="256" spans="2:19">
      <c r="B256" s="121" t="s">
        <v>1224</v>
      </c>
      <c r="C256" s="490" t="s">
        <v>1734</v>
      </c>
      <c r="D256" s="490" t="str">
        <f t="shared" si="9"/>
        <v>A0391:森のエネルギー(株)</v>
      </c>
      <c r="I256" s="125" t="s">
        <v>1033</v>
      </c>
      <c r="J256" s="125" t="s">
        <v>1543</v>
      </c>
      <c r="K256" s="182" t="s">
        <v>2000</v>
      </c>
      <c r="L256" s="182">
        <v>4.2200000000000001E-4</v>
      </c>
      <c r="M256" s="182">
        <v>4.2200000000000001E-4</v>
      </c>
      <c r="N256" s="182">
        <v>4.2200000000000001E-4</v>
      </c>
      <c r="O256" s="182">
        <v>4.2200000000000001E-4</v>
      </c>
      <c r="P256" s="182">
        <v>4.2200000000000001E-4</v>
      </c>
      <c r="R256" s="155" t="str">
        <f t="shared" si="10"/>
        <v>A0070:王子・伊藤忠エネクス電力販売(株)メニューG</v>
      </c>
      <c r="S256" s="181">
        <f t="shared" si="11"/>
        <v>4.2200000000000001E-4</v>
      </c>
    </row>
    <row r="257" spans="2:19">
      <c r="B257" s="121" t="s">
        <v>1225</v>
      </c>
      <c r="C257" s="490" t="s">
        <v>1735</v>
      </c>
      <c r="D257" s="490" t="str">
        <f t="shared" si="9"/>
        <v>A0392:岐阜電力(株)</v>
      </c>
      <c r="I257" s="125" t="s">
        <v>1033</v>
      </c>
      <c r="J257" s="125" t="s">
        <v>1543</v>
      </c>
      <c r="K257" s="182" t="s">
        <v>1998</v>
      </c>
      <c r="L257" s="182">
        <v>2.14E-4</v>
      </c>
      <c r="M257" s="182">
        <v>2.14E-4</v>
      </c>
      <c r="N257" s="182">
        <v>2.14E-4</v>
      </c>
      <c r="O257" s="182">
        <v>2.14E-4</v>
      </c>
      <c r="P257" s="182">
        <v>2.14E-4</v>
      </c>
      <c r="R257" s="155" t="str">
        <f t="shared" si="10"/>
        <v>A0070:王子・伊藤忠エネクス電力販売(株)(参考値)事業者全体</v>
      </c>
      <c r="S257" s="181">
        <f t="shared" si="11"/>
        <v>2.14E-4</v>
      </c>
    </row>
    <row r="258" spans="2:19">
      <c r="B258" s="121" t="s">
        <v>1226</v>
      </c>
      <c r="C258" s="490" t="s">
        <v>1736</v>
      </c>
      <c r="D258" s="490" t="str">
        <f t="shared" si="9"/>
        <v>A0397:名南共同エネルギー(株)</v>
      </c>
      <c r="I258" s="125" t="s">
        <v>1034</v>
      </c>
      <c r="J258" s="125" t="s">
        <v>1544</v>
      </c>
      <c r="K258" s="182" t="s">
        <v>652</v>
      </c>
      <c r="L258" s="182">
        <v>0</v>
      </c>
      <c r="M258" s="182">
        <v>0</v>
      </c>
      <c r="N258" s="182">
        <v>0</v>
      </c>
      <c r="O258" s="182">
        <v>0</v>
      </c>
      <c r="P258" s="182">
        <v>0</v>
      </c>
      <c r="R258" s="155" t="str">
        <f t="shared" si="10"/>
        <v>A0071:伊藤忠商事(株)メニューA</v>
      </c>
      <c r="S258" s="181">
        <f t="shared" si="11"/>
        <v>0</v>
      </c>
    </row>
    <row r="259" spans="2:19">
      <c r="B259" s="121" t="s">
        <v>1227</v>
      </c>
      <c r="C259" s="490" t="s">
        <v>1737</v>
      </c>
      <c r="D259" s="490" t="str">
        <f t="shared" si="9"/>
        <v>A0398:Apaman Energy(株)</v>
      </c>
      <c r="I259" s="125" t="s">
        <v>1034</v>
      </c>
      <c r="J259" s="125" t="s">
        <v>1544</v>
      </c>
      <c r="K259" s="182" t="s">
        <v>729</v>
      </c>
      <c r="L259" s="182">
        <v>0</v>
      </c>
      <c r="M259" s="182">
        <v>0</v>
      </c>
      <c r="N259" s="182">
        <v>0</v>
      </c>
      <c r="O259" s="182">
        <v>0</v>
      </c>
      <c r="P259" s="182">
        <v>0</v>
      </c>
      <c r="R259" s="155" t="str">
        <f t="shared" si="10"/>
        <v>A0071:伊藤忠商事(株)メニューB</v>
      </c>
      <c r="S259" s="181">
        <f t="shared" si="11"/>
        <v>0</v>
      </c>
    </row>
    <row r="260" spans="2:19">
      <c r="B260" s="121" t="s">
        <v>1228</v>
      </c>
      <c r="C260" s="490" t="s">
        <v>1738</v>
      </c>
      <c r="D260" s="490" t="str">
        <f t="shared" si="9"/>
        <v>A0405:アストマックス・エネルギー(株)</v>
      </c>
      <c r="I260" s="125" t="s">
        <v>1034</v>
      </c>
      <c r="J260" s="125" t="s">
        <v>1544</v>
      </c>
      <c r="K260" s="182" t="s">
        <v>730</v>
      </c>
      <c r="L260" s="182">
        <v>4.2200000000000001E-4</v>
      </c>
      <c r="M260" s="182">
        <v>4.2200000000000001E-4</v>
      </c>
      <c r="N260" s="182">
        <v>4.2200000000000001E-4</v>
      </c>
      <c r="O260" s="182">
        <v>4.2200000000000001E-4</v>
      </c>
      <c r="P260" s="182">
        <v>4.2200000000000001E-4</v>
      </c>
      <c r="R260" s="155" t="str">
        <f t="shared" si="10"/>
        <v>A0071:伊藤忠商事(株)メニューC</v>
      </c>
      <c r="S260" s="181">
        <f t="shared" si="11"/>
        <v>4.2200000000000001E-4</v>
      </c>
    </row>
    <row r="261" spans="2:19">
      <c r="B261" s="121" t="s">
        <v>1229</v>
      </c>
      <c r="C261" s="490" t="s">
        <v>1739</v>
      </c>
      <c r="D261" s="490" t="str">
        <f t="shared" si="9"/>
        <v>A0407:ALL GREEN POWER(株)</v>
      </c>
      <c r="I261" s="125" t="s">
        <v>1034</v>
      </c>
      <c r="J261" s="125" t="s">
        <v>1544</v>
      </c>
      <c r="K261" s="182" t="s">
        <v>1998</v>
      </c>
      <c r="L261" s="182">
        <v>4.2200000000000001E-4</v>
      </c>
      <c r="M261" s="182">
        <v>4.2200000000000001E-4</v>
      </c>
      <c r="N261" s="182">
        <v>4.2200000000000001E-4</v>
      </c>
      <c r="O261" s="182">
        <v>4.2200000000000001E-4</v>
      </c>
      <c r="P261" s="182">
        <v>4.2200000000000001E-4</v>
      </c>
      <c r="R261" s="155" t="str">
        <f t="shared" si="10"/>
        <v>A0071:伊藤忠商事(株)(参考値)事業者全体</v>
      </c>
      <c r="S261" s="181">
        <f t="shared" si="11"/>
        <v>4.2200000000000001E-4</v>
      </c>
    </row>
    <row r="262" spans="2:19">
      <c r="B262" s="121" t="s">
        <v>1230</v>
      </c>
      <c r="C262" s="490" t="s">
        <v>1740</v>
      </c>
      <c r="D262" s="490" t="str">
        <f t="shared" si="9"/>
        <v>A0411:福井電力(株)</v>
      </c>
      <c r="I262" s="125" t="s">
        <v>1035</v>
      </c>
      <c r="J262" s="125" t="s">
        <v>1545</v>
      </c>
      <c r="K262" s="182" t="s">
        <v>652</v>
      </c>
      <c r="L262" s="182">
        <v>0</v>
      </c>
      <c r="M262" s="182">
        <v>0</v>
      </c>
      <c r="N262" s="182">
        <v>0</v>
      </c>
      <c r="O262" s="182">
        <v>0</v>
      </c>
      <c r="P262" s="182">
        <v>0</v>
      </c>
      <c r="R262" s="155" t="str">
        <f t="shared" si="10"/>
        <v>A0072:(株)エコスタイルメニューA</v>
      </c>
      <c r="S262" s="181">
        <f t="shared" si="11"/>
        <v>0</v>
      </c>
    </row>
    <row r="263" spans="2:19">
      <c r="B263" s="121" t="s">
        <v>1231</v>
      </c>
      <c r="C263" s="490" t="s">
        <v>1741</v>
      </c>
      <c r="D263" s="490" t="str">
        <f t="shared" si="9"/>
        <v>A0413:(株)MKエネルギー</v>
      </c>
      <c r="I263" s="125" t="s">
        <v>1035</v>
      </c>
      <c r="J263" s="125" t="s">
        <v>1545</v>
      </c>
      <c r="K263" s="182" t="s">
        <v>729</v>
      </c>
      <c r="L263" s="182">
        <v>0</v>
      </c>
      <c r="M263" s="182">
        <v>0</v>
      </c>
      <c r="N263" s="182">
        <v>0</v>
      </c>
      <c r="O263" s="182">
        <v>0</v>
      </c>
      <c r="P263" s="182">
        <v>0</v>
      </c>
      <c r="R263" s="155" t="str">
        <f t="shared" si="10"/>
        <v>A0072:(株)エコスタイルメニューB</v>
      </c>
      <c r="S263" s="181">
        <f t="shared" si="11"/>
        <v>0</v>
      </c>
    </row>
    <row r="264" spans="2:19">
      <c r="B264" s="121" t="s">
        <v>1232</v>
      </c>
      <c r="C264" s="490" t="s">
        <v>1742</v>
      </c>
      <c r="D264" s="490" t="str">
        <f t="shared" si="9"/>
        <v>A0415:エネラボ(株)</v>
      </c>
      <c r="I264" s="125" t="s">
        <v>1035</v>
      </c>
      <c r="J264" s="125" t="s">
        <v>1545</v>
      </c>
      <c r="K264" s="182" t="s">
        <v>730</v>
      </c>
      <c r="L264" s="182">
        <v>4.37E-4</v>
      </c>
      <c r="M264" s="182">
        <v>4.37E-4</v>
      </c>
      <c r="N264" s="182">
        <v>4.37E-4</v>
      </c>
      <c r="O264" s="182">
        <v>4.37E-4</v>
      </c>
      <c r="P264" s="182">
        <v>4.37E-4</v>
      </c>
      <c r="R264" s="155" t="str">
        <f t="shared" si="10"/>
        <v>A0072:(株)エコスタイルメニューC</v>
      </c>
      <c r="S264" s="181">
        <f t="shared" si="11"/>
        <v>4.37E-4</v>
      </c>
    </row>
    <row r="265" spans="2:19">
      <c r="B265" s="121" t="s">
        <v>1233</v>
      </c>
      <c r="C265" s="490" t="s">
        <v>1743</v>
      </c>
      <c r="D265" s="490" t="str">
        <f t="shared" ref="D265:D328" si="12">IF(B265="","",B265&amp;":"&amp;C265)</f>
        <v>A0419:スマートエナジー磐田(株)</v>
      </c>
      <c r="I265" s="125" t="s">
        <v>1035</v>
      </c>
      <c r="J265" s="125" t="s">
        <v>1545</v>
      </c>
      <c r="K265" s="182" t="s">
        <v>1998</v>
      </c>
      <c r="L265" s="182">
        <v>3.8099999999999999E-4</v>
      </c>
      <c r="M265" s="182">
        <v>3.8099999999999999E-4</v>
      </c>
      <c r="N265" s="182">
        <v>3.8099999999999999E-4</v>
      </c>
      <c r="O265" s="182">
        <v>3.8099999999999999E-4</v>
      </c>
      <c r="P265" s="182">
        <v>3.8099999999999999E-4</v>
      </c>
      <c r="R265" s="155" t="str">
        <f t="shared" si="10"/>
        <v>A0072:(株)エコスタイル(参考値)事業者全体</v>
      </c>
      <c r="S265" s="181">
        <f t="shared" si="11"/>
        <v>3.8099999999999999E-4</v>
      </c>
    </row>
    <row r="266" spans="2:19">
      <c r="B266" s="121" t="s">
        <v>1234</v>
      </c>
      <c r="C266" s="490" t="s">
        <v>1744</v>
      </c>
      <c r="D266" s="490" t="str">
        <f t="shared" si="12"/>
        <v>A0420:そうまIグリッド合同会社</v>
      </c>
      <c r="I266" s="125" t="s">
        <v>1036</v>
      </c>
      <c r="J266" s="125" t="s">
        <v>1546</v>
      </c>
      <c r="K266" s="182"/>
      <c r="L266" s="182">
        <v>4.1899999999999999E-4</v>
      </c>
      <c r="M266" s="182">
        <v>4.1899999999999999E-4</v>
      </c>
      <c r="N266" s="182">
        <v>4.1899999999999999E-4</v>
      </c>
      <c r="O266" s="182">
        <v>4.1899999999999999E-4</v>
      </c>
      <c r="P266" s="182">
        <v>4.1899999999999999E-4</v>
      </c>
      <c r="R266" s="155" t="str">
        <f t="shared" ref="R266:R329" si="13">I266&amp;":"&amp;J266&amp;K266</f>
        <v>A0073:入間ガス(株)</v>
      </c>
      <c r="S266" s="181">
        <f t="shared" ref="S266:S329" si="14">HLOOKUP($S$8,$L$8:$P$2000,ROW()-7,FALSE)</f>
        <v>4.1899999999999999E-4</v>
      </c>
    </row>
    <row r="267" spans="2:19">
      <c r="B267" s="121" t="s">
        <v>1235</v>
      </c>
      <c r="C267" s="490" t="s">
        <v>1745</v>
      </c>
      <c r="D267" s="490" t="str">
        <f t="shared" si="12"/>
        <v>A0425:エネトレード(株)</v>
      </c>
      <c r="I267" s="125" t="s">
        <v>1037</v>
      </c>
      <c r="J267" s="125" t="s">
        <v>1547</v>
      </c>
      <c r="K267" s="182"/>
      <c r="L267" s="182">
        <v>5.2899999999999996E-4</v>
      </c>
      <c r="M267" s="182">
        <v>5.2899999999999996E-4</v>
      </c>
      <c r="N267" s="182">
        <v>5.2899999999999996E-4</v>
      </c>
      <c r="O267" s="182">
        <v>5.2899999999999996E-4</v>
      </c>
      <c r="P267" s="182">
        <v>5.2899999999999996E-4</v>
      </c>
      <c r="R267" s="155" t="str">
        <f t="shared" si="13"/>
        <v>A0075:(株)とんでんホールディングス</v>
      </c>
      <c r="S267" s="181">
        <f t="shared" si="14"/>
        <v>5.2899999999999996E-4</v>
      </c>
    </row>
    <row r="268" spans="2:19">
      <c r="B268" s="121" t="s">
        <v>1236</v>
      </c>
      <c r="C268" s="490" t="s">
        <v>1746</v>
      </c>
      <c r="D268" s="490" t="str">
        <f t="shared" si="12"/>
        <v>A0429:ニシムラ(株)</v>
      </c>
      <c r="I268" s="125" t="s">
        <v>1038</v>
      </c>
      <c r="J268" s="125" t="s">
        <v>1548</v>
      </c>
      <c r="K268" s="182" t="s">
        <v>652</v>
      </c>
      <c r="L268" s="182">
        <v>0</v>
      </c>
      <c r="M268" s="182">
        <v>0</v>
      </c>
      <c r="N268" s="182">
        <v>0</v>
      </c>
      <c r="O268" s="182">
        <v>0</v>
      </c>
      <c r="P268" s="182">
        <v>0</v>
      </c>
      <c r="R268" s="155" t="str">
        <f t="shared" si="13"/>
        <v>A0076:日鉄エンジニアリング(株)メニューA</v>
      </c>
      <c r="S268" s="181">
        <f t="shared" si="14"/>
        <v>0</v>
      </c>
    </row>
    <row r="269" spans="2:19">
      <c r="B269" s="121" t="s">
        <v>1237</v>
      </c>
      <c r="C269" s="490" t="s">
        <v>1747</v>
      </c>
      <c r="D269" s="490" t="str">
        <f t="shared" si="12"/>
        <v>A0430:(株)さくら新電力</v>
      </c>
      <c r="I269" s="125" t="s">
        <v>1038</v>
      </c>
      <c r="J269" s="125" t="s">
        <v>1548</v>
      </c>
      <c r="K269" s="182" t="s">
        <v>729</v>
      </c>
      <c r="L269" s="182">
        <v>0</v>
      </c>
      <c r="M269" s="182">
        <v>0</v>
      </c>
      <c r="N269" s="182">
        <v>0</v>
      </c>
      <c r="O269" s="182">
        <v>0</v>
      </c>
      <c r="P269" s="182">
        <v>0</v>
      </c>
      <c r="R269" s="155" t="str">
        <f t="shared" si="13"/>
        <v>A0076:日鉄エンジニアリング(株)メニューB</v>
      </c>
      <c r="S269" s="181">
        <f t="shared" si="14"/>
        <v>0</v>
      </c>
    </row>
    <row r="270" spans="2:19">
      <c r="B270" s="121" t="s">
        <v>1238</v>
      </c>
      <c r="C270" s="490" t="s">
        <v>1748</v>
      </c>
      <c r="D270" s="490" t="str">
        <f t="shared" si="12"/>
        <v>A0431:(株)グローアップ</v>
      </c>
      <c r="I270" s="125" t="s">
        <v>1038</v>
      </c>
      <c r="J270" s="125" t="s">
        <v>1548</v>
      </c>
      <c r="K270" s="182" t="s">
        <v>730</v>
      </c>
      <c r="L270" s="182">
        <v>1E-4</v>
      </c>
      <c r="M270" s="182">
        <v>1E-4</v>
      </c>
      <c r="N270" s="182">
        <v>1E-4</v>
      </c>
      <c r="O270" s="182">
        <v>1E-4</v>
      </c>
      <c r="P270" s="182">
        <v>1E-4</v>
      </c>
      <c r="R270" s="155" t="str">
        <f t="shared" si="13"/>
        <v>A0076:日鉄エンジニアリング(株)メニューC</v>
      </c>
      <c r="S270" s="181">
        <f t="shared" si="14"/>
        <v>1E-4</v>
      </c>
    </row>
    <row r="271" spans="2:19">
      <c r="B271" s="121" t="s">
        <v>1239</v>
      </c>
      <c r="C271" s="490" t="s">
        <v>1749</v>
      </c>
      <c r="D271" s="490" t="str">
        <f t="shared" si="12"/>
        <v>A0435:いこま市民パワー(株)</v>
      </c>
      <c r="I271" s="125" t="s">
        <v>1038</v>
      </c>
      <c r="J271" s="125" t="s">
        <v>1548</v>
      </c>
      <c r="K271" s="182" t="s">
        <v>915</v>
      </c>
      <c r="L271" s="182">
        <v>2.5000000000000001E-4</v>
      </c>
      <c r="M271" s="182">
        <v>2.5000000000000001E-4</v>
      </c>
      <c r="N271" s="182">
        <v>2.5000000000000001E-4</v>
      </c>
      <c r="O271" s="182">
        <v>2.5000000000000001E-4</v>
      </c>
      <c r="P271" s="182">
        <v>2.5000000000000001E-4</v>
      </c>
      <c r="R271" s="155" t="str">
        <f t="shared" si="13"/>
        <v>A0076:日鉄エンジニアリング(株)メニューD</v>
      </c>
      <c r="S271" s="181">
        <f t="shared" si="14"/>
        <v>2.5000000000000001E-4</v>
      </c>
    </row>
    <row r="272" spans="2:19">
      <c r="B272" s="121" t="s">
        <v>1240</v>
      </c>
      <c r="C272" s="490" t="s">
        <v>1750</v>
      </c>
      <c r="D272" s="490" t="str">
        <f t="shared" si="12"/>
        <v>A0437:おもてなし山形(株)</v>
      </c>
      <c r="I272" s="125" t="s">
        <v>1038</v>
      </c>
      <c r="J272" s="125" t="s">
        <v>1548</v>
      </c>
      <c r="K272" s="182" t="s">
        <v>916</v>
      </c>
      <c r="L272" s="182">
        <v>6.9200000000000002E-4</v>
      </c>
      <c r="M272" s="182">
        <v>6.9200000000000002E-4</v>
      </c>
      <c r="N272" s="182">
        <v>6.9200000000000002E-4</v>
      </c>
      <c r="O272" s="182">
        <v>6.9200000000000002E-4</v>
      </c>
      <c r="P272" s="182">
        <v>6.9200000000000002E-4</v>
      </c>
      <c r="R272" s="155" t="str">
        <f t="shared" si="13"/>
        <v>A0076:日鉄エンジニアリング(株)メニューE</v>
      </c>
      <c r="S272" s="181">
        <f t="shared" si="14"/>
        <v>6.9200000000000002E-4</v>
      </c>
    </row>
    <row r="273" spans="2:19">
      <c r="B273" s="121" t="s">
        <v>1241</v>
      </c>
      <c r="C273" s="490" t="s">
        <v>1751</v>
      </c>
      <c r="D273" s="490" t="str">
        <f t="shared" si="12"/>
        <v>A0438:長野都市ガス(株)</v>
      </c>
      <c r="I273" s="125" t="s">
        <v>1038</v>
      </c>
      <c r="J273" s="125" t="s">
        <v>1548</v>
      </c>
      <c r="K273" s="182" t="s">
        <v>1998</v>
      </c>
      <c r="L273" s="182">
        <v>5.44E-4</v>
      </c>
      <c r="M273" s="182">
        <v>5.44E-4</v>
      </c>
      <c r="N273" s="182">
        <v>5.44E-4</v>
      </c>
      <c r="O273" s="182">
        <v>5.44E-4</v>
      </c>
      <c r="P273" s="182">
        <v>5.44E-4</v>
      </c>
      <c r="R273" s="155" t="str">
        <f t="shared" si="13"/>
        <v>A0076:日鉄エンジニアリング(株)(参考値)事業者全体</v>
      </c>
      <c r="S273" s="181">
        <f t="shared" si="14"/>
        <v>5.44E-4</v>
      </c>
    </row>
    <row r="274" spans="2:19">
      <c r="B274" s="121" t="s">
        <v>1242</v>
      </c>
      <c r="C274" s="490" t="s">
        <v>1752</v>
      </c>
      <c r="D274" s="490" t="str">
        <f t="shared" si="12"/>
        <v>A0439:上田ガス(株)</v>
      </c>
      <c r="I274" s="125" t="s">
        <v>1039</v>
      </c>
      <c r="J274" s="125" t="s">
        <v>1549</v>
      </c>
      <c r="K274" s="182" t="s">
        <v>652</v>
      </c>
      <c r="L274" s="182">
        <v>0</v>
      </c>
      <c r="M274" s="182">
        <v>0</v>
      </c>
      <c r="N274" s="182">
        <v>0</v>
      </c>
      <c r="O274" s="182">
        <v>0</v>
      </c>
      <c r="P274" s="182">
        <v>0</v>
      </c>
      <c r="R274" s="155" t="str">
        <f t="shared" si="13"/>
        <v>A0077:auエネルギー＆ライフ(株)メニューA</v>
      </c>
      <c r="S274" s="181">
        <f t="shared" si="14"/>
        <v>0</v>
      </c>
    </row>
    <row r="275" spans="2:19">
      <c r="B275" s="121" t="s">
        <v>1243</v>
      </c>
      <c r="C275" s="490" t="s">
        <v>1753</v>
      </c>
      <c r="D275" s="490" t="str">
        <f t="shared" si="12"/>
        <v>A0440:日本瓦斯(株)</v>
      </c>
      <c r="I275" s="125" t="s">
        <v>1039</v>
      </c>
      <c r="J275" s="125" t="s">
        <v>1549</v>
      </c>
      <c r="K275" s="182" t="s">
        <v>729</v>
      </c>
      <c r="L275" s="182">
        <v>0</v>
      </c>
      <c r="M275" s="182">
        <v>0</v>
      </c>
      <c r="N275" s="182">
        <v>0</v>
      </c>
      <c r="O275" s="182">
        <v>0</v>
      </c>
      <c r="P275" s="182">
        <v>0</v>
      </c>
      <c r="R275" s="155" t="str">
        <f t="shared" si="13"/>
        <v>A0077:auエネルギー＆ライフ(株)メニューB</v>
      </c>
      <c r="S275" s="181">
        <f t="shared" si="14"/>
        <v>0</v>
      </c>
    </row>
    <row r="276" spans="2:19">
      <c r="B276" s="121" t="s">
        <v>1244</v>
      </c>
      <c r="C276" s="490" t="s">
        <v>1754</v>
      </c>
      <c r="D276" s="490" t="str">
        <f t="shared" si="12"/>
        <v>A0442:(株)シグナストラスト</v>
      </c>
      <c r="I276" s="125" t="s">
        <v>1039</v>
      </c>
      <c r="J276" s="125" t="s">
        <v>1549</v>
      </c>
      <c r="K276" s="182" t="s">
        <v>730</v>
      </c>
      <c r="L276" s="182">
        <v>4.2499999999999998E-4</v>
      </c>
      <c r="M276" s="182">
        <v>4.2499999999999998E-4</v>
      </c>
      <c r="N276" s="182">
        <v>4.2499999999999998E-4</v>
      </c>
      <c r="O276" s="182">
        <v>4.2499999999999998E-4</v>
      </c>
      <c r="P276" s="182">
        <v>4.2499999999999998E-4</v>
      </c>
      <c r="R276" s="155" t="str">
        <f t="shared" si="13"/>
        <v>A0077:auエネルギー＆ライフ(株)メニューC</v>
      </c>
      <c r="S276" s="181">
        <f t="shared" si="14"/>
        <v>4.2499999999999998E-4</v>
      </c>
    </row>
    <row r="277" spans="2:19">
      <c r="B277" s="121" t="s">
        <v>1245</v>
      </c>
      <c r="C277" s="490" t="s">
        <v>1755</v>
      </c>
      <c r="D277" s="490" t="str">
        <f t="shared" si="12"/>
        <v>A0443:ゲーテハウス(株)</v>
      </c>
      <c r="I277" s="125" t="s">
        <v>1039</v>
      </c>
      <c r="J277" s="125" t="s">
        <v>1549</v>
      </c>
      <c r="K277" s="182" t="s">
        <v>1998</v>
      </c>
      <c r="L277" s="182">
        <v>4.0200000000000001E-4</v>
      </c>
      <c r="M277" s="182">
        <v>4.0200000000000001E-4</v>
      </c>
      <c r="N277" s="182">
        <v>4.0200000000000001E-4</v>
      </c>
      <c r="O277" s="182">
        <v>4.0200000000000001E-4</v>
      </c>
      <c r="P277" s="182">
        <v>4.0200000000000001E-4</v>
      </c>
      <c r="R277" s="155" t="str">
        <f t="shared" si="13"/>
        <v>A0077:auエネルギー＆ライフ(株)(参考値)事業者全体</v>
      </c>
      <c r="S277" s="181">
        <f t="shared" si="14"/>
        <v>4.0200000000000001E-4</v>
      </c>
    </row>
    <row r="278" spans="2:19">
      <c r="B278" s="121" t="s">
        <v>1246</v>
      </c>
      <c r="C278" s="490" t="s">
        <v>1756</v>
      </c>
      <c r="D278" s="490" t="str">
        <f t="shared" si="12"/>
        <v>A0446:JPエネルギー(株)</v>
      </c>
      <c r="I278" s="125" t="s">
        <v>1040</v>
      </c>
      <c r="J278" s="125" t="s">
        <v>1550</v>
      </c>
      <c r="K278" s="182"/>
      <c r="L278" s="182">
        <v>5.8799999999999998E-4</v>
      </c>
      <c r="M278" s="182">
        <v>5.8799999999999998E-4</v>
      </c>
      <c r="N278" s="182">
        <v>5.8799999999999998E-4</v>
      </c>
      <c r="O278" s="182">
        <v>5.8799999999999998E-4</v>
      </c>
      <c r="P278" s="182">
        <v>5.8799999999999998E-4</v>
      </c>
      <c r="R278" s="155" t="str">
        <f t="shared" si="13"/>
        <v>A0079:イワタニ関東(株)</v>
      </c>
      <c r="S278" s="181">
        <f t="shared" si="14"/>
        <v>5.8799999999999998E-4</v>
      </c>
    </row>
    <row r="279" spans="2:19">
      <c r="B279" s="121" t="s">
        <v>1247</v>
      </c>
      <c r="C279" s="490" t="s">
        <v>1757</v>
      </c>
      <c r="D279" s="490" t="str">
        <f t="shared" si="12"/>
        <v>A0447:兵庫電力(株)</v>
      </c>
      <c r="I279" s="125" t="s">
        <v>1041</v>
      </c>
      <c r="J279" s="125" t="s">
        <v>1551</v>
      </c>
      <c r="K279" s="182"/>
      <c r="L279" s="182">
        <v>5.6099999999999998E-4</v>
      </c>
      <c r="M279" s="182">
        <v>5.6099999999999998E-4</v>
      </c>
      <c r="N279" s="182">
        <v>5.6099999999999998E-4</v>
      </c>
      <c r="O279" s="182">
        <v>5.6099999999999998E-4</v>
      </c>
      <c r="P279" s="182">
        <v>5.6099999999999998E-4</v>
      </c>
      <c r="R279" s="155" t="str">
        <f t="shared" si="13"/>
        <v>A0080:イワタニ首都圏(株)</v>
      </c>
      <c r="S279" s="181">
        <f t="shared" si="14"/>
        <v>5.6099999999999998E-4</v>
      </c>
    </row>
    <row r="280" spans="2:19">
      <c r="B280" s="121" t="s">
        <v>1248</v>
      </c>
      <c r="C280" s="490" t="s">
        <v>1758</v>
      </c>
      <c r="D280" s="490" t="str">
        <f t="shared" si="12"/>
        <v>A0451:Cocoテラスたがわ(株)</v>
      </c>
      <c r="I280" s="125" t="s">
        <v>1042</v>
      </c>
      <c r="J280" s="125" t="s">
        <v>1552</v>
      </c>
      <c r="K280" s="182" t="s">
        <v>652</v>
      </c>
      <c r="L280" s="182">
        <v>0</v>
      </c>
      <c r="M280" s="182">
        <v>0</v>
      </c>
      <c r="N280" s="182">
        <v>0</v>
      </c>
      <c r="O280" s="182">
        <v>0</v>
      </c>
      <c r="P280" s="182">
        <v>0</v>
      </c>
      <c r="R280" s="155" t="str">
        <f t="shared" si="13"/>
        <v>A0081:サーラeエナジー(株)メニューA</v>
      </c>
      <c r="S280" s="181">
        <f t="shared" si="14"/>
        <v>0</v>
      </c>
    </row>
    <row r="281" spans="2:19">
      <c r="B281" s="121" t="s">
        <v>1249</v>
      </c>
      <c r="C281" s="490" t="s">
        <v>1759</v>
      </c>
      <c r="D281" s="490" t="str">
        <f t="shared" si="12"/>
        <v>A0452:東北電力エナジートレーディング(株)</v>
      </c>
      <c r="I281" s="125" t="s">
        <v>1042</v>
      </c>
      <c r="J281" s="125" t="s">
        <v>1552</v>
      </c>
      <c r="K281" s="182" t="s">
        <v>729</v>
      </c>
      <c r="L281" s="182">
        <v>3.8699999999999997E-4</v>
      </c>
      <c r="M281" s="182">
        <v>3.8699999999999997E-4</v>
      </c>
      <c r="N281" s="182">
        <v>3.8699999999999997E-4</v>
      </c>
      <c r="O281" s="182">
        <v>3.8699999999999997E-4</v>
      </c>
      <c r="P281" s="182">
        <v>3.8699999999999997E-4</v>
      </c>
      <c r="R281" s="155" t="str">
        <f t="shared" si="13"/>
        <v>A0081:サーラeエナジー(株)メニューB</v>
      </c>
      <c r="S281" s="181">
        <f t="shared" si="14"/>
        <v>3.8699999999999997E-4</v>
      </c>
    </row>
    <row r="282" spans="2:19">
      <c r="B282" s="121" t="s">
        <v>1250</v>
      </c>
      <c r="C282" s="490" t="s">
        <v>1760</v>
      </c>
      <c r="D282" s="490" t="str">
        <f t="shared" si="12"/>
        <v>A0454:(株)まち未来製作所</v>
      </c>
      <c r="I282" s="125" t="s">
        <v>1042</v>
      </c>
      <c r="J282" s="125" t="s">
        <v>1552</v>
      </c>
      <c r="K282" s="182" t="s">
        <v>730</v>
      </c>
      <c r="L282" s="182">
        <v>4.2000000000000002E-4</v>
      </c>
      <c r="M282" s="182">
        <v>4.2000000000000002E-4</v>
      </c>
      <c r="N282" s="182">
        <v>4.2000000000000002E-4</v>
      </c>
      <c r="O282" s="182">
        <v>4.2000000000000002E-4</v>
      </c>
      <c r="P282" s="182">
        <v>4.2000000000000002E-4</v>
      </c>
      <c r="R282" s="155" t="str">
        <f t="shared" si="13"/>
        <v>A0081:サーラeエナジー(株)メニューC</v>
      </c>
      <c r="S282" s="181">
        <f t="shared" si="14"/>
        <v>4.2000000000000002E-4</v>
      </c>
    </row>
    <row r="283" spans="2:19">
      <c r="B283" s="121" t="s">
        <v>1251</v>
      </c>
      <c r="C283" s="490" t="s">
        <v>1761</v>
      </c>
      <c r="D283" s="490" t="str">
        <f t="shared" si="12"/>
        <v>A0456:(株)どさんこパワー</v>
      </c>
      <c r="I283" s="125" t="s">
        <v>1042</v>
      </c>
      <c r="J283" s="125" t="s">
        <v>1552</v>
      </c>
      <c r="K283" s="182" t="s">
        <v>1998</v>
      </c>
      <c r="L283" s="182">
        <v>4.1300000000000001E-4</v>
      </c>
      <c r="M283" s="182">
        <v>4.1300000000000001E-4</v>
      </c>
      <c r="N283" s="182">
        <v>4.1300000000000001E-4</v>
      </c>
      <c r="O283" s="182">
        <v>4.1300000000000001E-4</v>
      </c>
      <c r="P283" s="182">
        <v>4.1300000000000001E-4</v>
      </c>
      <c r="R283" s="155" t="str">
        <f t="shared" si="13"/>
        <v>A0081:サーラeエナジー(株)(参考値)事業者全体</v>
      </c>
      <c r="S283" s="181">
        <f t="shared" si="14"/>
        <v>4.1300000000000001E-4</v>
      </c>
    </row>
    <row r="284" spans="2:19">
      <c r="B284" s="121" t="s">
        <v>1252</v>
      </c>
      <c r="C284" s="490" t="s">
        <v>1762</v>
      </c>
      <c r="D284" s="490" t="str">
        <f t="shared" si="12"/>
        <v>A0457:トリニティエナジー(株)</v>
      </c>
      <c r="I284" s="125" t="s">
        <v>1043</v>
      </c>
      <c r="J284" s="125" t="s">
        <v>1553</v>
      </c>
      <c r="K284" s="182" t="s">
        <v>652</v>
      </c>
      <c r="L284" s="182">
        <v>0</v>
      </c>
      <c r="M284" s="182">
        <v>0</v>
      </c>
      <c r="N284" s="182">
        <v>0</v>
      </c>
      <c r="O284" s="182">
        <v>0</v>
      </c>
      <c r="P284" s="182">
        <v>0</v>
      </c>
      <c r="R284" s="155" t="str">
        <f t="shared" si="13"/>
        <v>A0082:(株)地球クラブメニューA</v>
      </c>
      <c r="S284" s="181">
        <f t="shared" si="14"/>
        <v>0</v>
      </c>
    </row>
    <row r="285" spans="2:19">
      <c r="B285" s="121" t="s">
        <v>1253</v>
      </c>
      <c r="C285" s="490" t="s">
        <v>1763</v>
      </c>
      <c r="D285" s="490" t="str">
        <f t="shared" si="12"/>
        <v>A0461:(株)LIXIL TEPCO スマートパートナーズ</v>
      </c>
      <c r="I285" s="125" t="s">
        <v>1043</v>
      </c>
      <c r="J285" s="125" t="s">
        <v>1553</v>
      </c>
      <c r="K285" s="182" t="s">
        <v>729</v>
      </c>
      <c r="L285" s="182">
        <v>3.7199999999999999E-4</v>
      </c>
      <c r="M285" s="182">
        <v>3.7199999999999999E-4</v>
      </c>
      <c r="N285" s="182">
        <v>3.7199999999999999E-4</v>
      </c>
      <c r="O285" s="182">
        <v>3.7199999999999999E-4</v>
      </c>
      <c r="P285" s="182">
        <v>3.7199999999999999E-4</v>
      </c>
      <c r="R285" s="155" t="str">
        <f t="shared" si="13"/>
        <v>A0082:(株)地球クラブメニューB</v>
      </c>
      <c r="S285" s="181">
        <f t="shared" si="14"/>
        <v>3.7199999999999999E-4</v>
      </c>
    </row>
    <row r="286" spans="2:19">
      <c r="B286" s="121" t="s">
        <v>1254</v>
      </c>
      <c r="C286" s="490" t="s">
        <v>1764</v>
      </c>
      <c r="D286" s="490" t="str">
        <f t="shared" si="12"/>
        <v>A0463:(株)NEXT ONE</v>
      </c>
      <c r="I286" s="125" t="s">
        <v>1043</v>
      </c>
      <c r="J286" s="125" t="s">
        <v>1553</v>
      </c>
      <c r="K286" s="182" t="s">
        <v>1998</v>
      </c>
      <c r="L286" s="182">
        <v>3.3599999999999998E-4</v>
      </c>
      <c r="M286" s="182">
        <v>3.3599999999999998E-4</v>
      </c>
      <c r="N286" s="182">
        <v>3.3599999999999998E-4</v>
      </c>
      <c r="O286" s="182">
        <v>3.3599999999999998E-4</v>
      </c>
      <c r="P286" s="182">
        <v>3.3599999999999998E-4</v>
      </c>
      <c r="R286" s="155" t="str">
        <f t="shared" si="13"/>
        <v>A0082:(株)地球クラブ(参考値)事業者全体</v>
      </c>
      <c r="S286" s="181">
        <f t="shared" si="14"/>
        <v>3.3599999999999998E-4</v>
      </c>
    </row>
    <row r="287" spans="2:19">
      <c r="B287" s="121" t="s">
        <v>1255</v>
      </c>
      <c r="C287" s="490" t="s">
        <v>1765</v>
      </c>
      <c r="D287" s="490" t="str">
        <f t="shared" si="12"/>
        <v>A0465:(株)テラス(旧：(株)ネオ・コーポレーション)</v>
      </c>
      <c r="I287" s="125" t="s">
        <v>1044</v>
      </c>
      <c r="J287" s="125" t="s">
        <v>1554</v>
      </c>
      <c r="K287" s="182" t="s">
        <v>652</v>
      </c>
      <c r="L287" s="182">
        <v>0</v>
      </c>
      <c r="M287" s="182">
        <v>0</v>
      </c>
      <c r="N287" s="182">
        <v>0</v>
      </c>
      <c r="O287" s="182">
        <v>0</v>
      </c>
      <c r="P287" s="182">
        <v>0</v>
      </c>
      <c r="R287" s="155" t="str">
        <f t="shared" si="13"/>
        <v>A0084:西部瓦斯(株)メニューA</v>
      </c>
      <c r="S287" s="181">
        <f t="shared" si="14"/>
        <v>0</v>
      </c>
    </row>
    <row r="288" spans="2:19">
      <c r="B288" s="121" t="s">
        <v>1256</v>
      </c>
      <c r="C288" s="490" t="s">
        <v>1766</v>
      </c>
      <c r="D288" s="490" t="str">
        <f t="shared" si="12"/>
        <v>A0467:つばさでんき(株)(旧：(株)アルファライズ)</v>
      </c>
      <c r="I288" s="125" t="s">
        <v>1044</v>
      </c>
      <c r="J288" s="125" t="s">
        <v>1554</v>
      </c>
      <c r="K288" s="182" t="s">
        <v>729</v>
      </c>
      <c r="L288" s="182">
        <v>4.5399999999999998E-4</v>
      </c>
      <c r="M288" s="182">
        <v>4.5399999999999998E-4</v>
      </c>
      <c r="N288" s="182">
        <v>4.5399999999999998E-4</v>
      </c>
      <c r="O288" s="182">
        <v>4.5399999999999998E-4</v>
      </c>
      <c r="P288" s="182">
        <v>4.5399999999999998E-4</v>
      </c>
      <c r="R288" s="155" t="str">
        <f t="shared" si="13"/>
        <v>A0084:西部瓦斯(株)メニューB</v>
      </c>
      <c r="S288" s="181">
        <f t="shared" si="14"/>
        <v>4.5399999999999998E-4</v>
      </c>
    </row>
    <row r="289" spans="2:19">
      <c r="B289" s="121" t="s">
        <v>1257</v>
      </c>
      <c r="C289" s="490" t="s">
        <v>1767</v>
      </c>
      <c r="D289" s="490" t="str">
        <f t="shared" si="12"/>
        <v>A0468:おおすみ半島スマートエネルギー(株)</v>
      </c>
      <c r="I289" s="125" t="s">
        <v>1044</v>
      </c>
      <c r="J289" s="125" t="s">
        <v>1554</v>
      </c>
      <c r="K289" s="182" t="s">
        <v>1998</v>
      </c>
      <c r="L289" s="182">
        <v>4.1399999999999998E-4</v>
      </c>
      <c r="M289" s="182">
        <v>4.1399999999999998E-4</v>
      </c>
      <c r="N289" s="182">
        <v>4.1399999999999998E-4</v>
      </c>
      <c r="O289" s="182">
        <v>4.1399999999999998E-4</v>
      </c>
      <c r="P289" s="182">
        <v>4.1399999999999998E-4</v>
      </c>
      <c r="R289" s="155" t="str">
        <f t="shared" si="13"/>
        <v>A0084:西部瓦斯(株)(参考値)事業者全体</v>
      </c>
      <c r="S289" s="181">
        <f t="shared" si="14"/>
        <v>4.1399999999999998E-4</v>
      </c>
    </row>
    <row r="290" spans="2:19">
      <c r="B290" s="121" t="s">
        <v>1258</v>
      </c>
      <c r="C290" s="490" t="s">
        <v>1768</v>
      </c>
      <c r="D290" s="490" t="str">
        <f t="shared" si="12"/>
        <v>A0470:おきなわコープエナジー(株)</v>
      </c>
      <c r="I290" s="125" t="s">
        <v>1045</v>
      </c>
      <c r="J290" s="125" t="s">
        <v>1555</v>
      </c>
      <c r="K290" s="182" t="s">
        <v>652</v>
      </c>
      <c r="L290" s="182">
        <v>3.2000000000000003E-4</v>
      </c>
      <c r="M290" s="182">
        <v>3.2000000000000003E-4</v>
      </c>
      <c r="N290" s="182">
        <v>3.2000000000000003E-4</v>
      </c>
      <c r="O290" s="182">
        <v>3.2000000000000003E-4</v>
      </c>
      <c r="P290" s="182">
        <v>3.2000000000000003E-4</v>
      </c>
      <c r="R290" s="155" t="str">
        <f t="shared" si="13"/>
        <v>A0085:東邦ガス(株)メニューA</v>
      </c>
      <c r="S290" s="181">
        <f t="shared" si="14"/>
        <v>3.2000000000000003E-4</v>
      </c>
    </row>
    <row r="291" spans="2:19">
      <c r="B291" s="121" t="s">
        <v>1259</v>
      </c>
      <c r="C291" s="490" t="s">
        <v>1769</v>
      </c>
      <c r="D291" s="490" t="str">
        <f t="shared" si="12"/>
        <v>A0471:久慈地域エネルギー(株)</v>
      </c>
      <c r="I291" s="125" t="s">
        <v>1045</v>
      </c>
      <c r="J291" s="125" t="s">
        <v>1555</v>
      </c>
      <c r="K291" s="182" t="s">
        <v>729</v>
      </c>
      <c r="L291" s="182">
        <v>0</v>
      </c>
      <c r="M291" s="182">
        <v>0</v>
      </c>
      <c r="N291" s="182">
        <v>0</v>
      </c>
      <c r="O291" s="182">
        <v>0</v>
      </c>
      <c r="P291" s="182">
        <v>0</v>
      </c>
      <c r="R291" s="155" t="str">
        <f t="shared" si="13"/>
        <v>A0085:東邦ガス(株)メニューB</v>
      </c>
      <c r="S291" s="181">
        <f t="shared" si="14"/>
        <v>0</v>
      </c>
    </row>
    <row r="292" spans="2:19">
      <c r="B292" s="121" t="s">
        <v>1260</v>
      </c>
      <c r="C292" s="490" t="s">
        <v>1770</v>
      </c>
      <c r="D292" s="490" t="str">
        <f t="shared" si="12"/>
        <v>A0472:弘前ガス(株)</v>
      </c>
      <c r="I292" s="125" t="s">
        <v>1045</v>
      </c>
      <c r="J292" s="125" t="s">
        <v>1555</v>
      </c>
      <c r="K292" s="182" t="s">
        <v>730</v>
      </c>
      <c r="L292" s="182">
        <v>5.4299999999999997E-4</v>
      </c>
      <c r="M292" s="182">
        <v>5.4299999999999997E-4</v>
      </c>
      <c r="N292" s="182">
        <v>5.4299999999999997E-4</v>
      </c>
      <c r="O292" s="182">
        <v>5.4299999999999997E-4</v>
      </c>
      <c r="P292" s="182">
        <v>5.4299999999999997E-4</v>
      </c>
      <c r="R292" s="155" t="str">
        <f t="shared" si="13"/>
        <v>A0085:東邦ガス(株)メニューC</v>
      </c>
      <c r="S292" s="181">
        <f t="shared" si="14"/>
        <v>5.4299999999999997E-4</v>
      </c>
    </row>
    <row r="293" spans="2:19">
      <c r="B293" s="121" t="s">
        <v>1261</v>
      </c>
      <c r="C293" s="490" t="s">
        <v>1771</v>
      </c>
      <c r="D293" s="490" t="str">
        <f t="shared" si="12"/>
        <v>A0473:(株)フォーバルテレコム</v>
      </c>
      <c r="I293" s="125" t="s">
        <v>1045</v>
      </c>
      <c r="J293" s="125" t="s">
        <v>1555</v>
      </c>
      <c r="K293" s="182" t="s">
        <v>1998</v>
      </c>
      <c r="L293" s="182">
        <v>5.1400000000000003E-4</v>
      </c>
      <c r="M293" s="182">
        <v>5.1400000000000003E-4</v>
      </c>
      <c r="N293" s="182">
        <v>5.1400000000000003E-4</v>
      </c>
      <c r="O293" s="182">
        <v>5.1400000000000003E-4</v>
      </c>
      <c r="P293" s="182">
        <v>5.1400000000000003E-4</v>
      </c>
      <c r="R293" s="155" t="str">
        <f t="shared" si="13"/>
        <v>A0085:東邦ガス(株)(参考値)事業者全体</v>
      </c>
      <c r="S293" s="181">
        <f t="shared" si="14"/>
        <v>5.1400000000000003E-4</v>
      </c>
    </row>
    <row r="294" spans="2:19">
      <c r="B294" s="121" t="s">
        <v>1262</v>
      </c>
      <c r="C294" s="490" t="s">
        <v>1772</v>
      </c>
      <c r="D294" s="490" t="str">
        <f t="shared" si="12"/>
        <v>A0476:(株)ストエネ</v>
      </c>
      <c r="I294" s="125" t="s">
        <v>1046</v>
      </c>
      <c r="J294" s="125" t="s">
        <v>1556</v>
      </c>
      <c r="K294" s="182" t="s">
        <v>652</v>
      </c>
      <c r="L294" s="182">
        <v>0</v>
      </c>
      <c r="M294" s="182">
        <v>0</v>
      </c>
      <c r="N294" s="182">
        <v>0</v>
      </c>
      <c r="O294" s="182">
        <v>0</v>
      </c>
      <c r="P294" s="182">
        <v>0</v>
      </c>
      <c r="R294" s="155" t="str">
        <f t="shared" si="13"/>
        <v>A0086:シナネン(株)メニューA</v>
      </c>
      <c r="S294" s="181">
        <f t="shared" si="14"/>
        <v>0</v>
      </c>
    </row>
    <row r="295" spans="2:19">
      <c r="B295" s="121" t="s">
        <v>1263</v>
      </c>
      <c r="C295" s="490" t="s">
        <v>1773</v>
      </c>
      <c r="D295" s="490" t="str">
        <f t="shared" si="12"/>
        <v>A0477:くるめエネルギー(株)</v>
      </c>
      <c r="I295" s="125" t="s">
        <v>1046</v>
      </c>
      <c r="J295" s="125" t="s">
        <v>1556</v>
      </c>
      <c r="K295" s="182" t="s">
        <v>729</v>
      </c>
      <c r="L295" s="182">
        <v>1.25E-4</v>
      </c>
      <c r="M295" s="182">
        <v>1.25E-4</v>
      </c>
      <c r="N295" s="182">
        <v>1.25E-4</v>
      </c>
      <c r="O295" s="182">
        <v>1.25E-4</v>
      </c>
      <c r="P295" s="182">
        <v>1.25E-4</v>
      </c>
      <c r="R295" s="155" t="str">
        <f t="shared" si="13"/>
        <v>A0086:シナネン(株)メニューB</v>
      </c>
      <c r="S295" s="181">
        <f t="shared" si="14"/>
        <v>1.25E-4</v>
      </c>
    </row>
    <row r="296" spans="2:19">
      <c r="B296" s="121" t="s">
        <v>1264</v>
      </c>
      <c r="C296" s="490" t="s">
        <v>1774</v>
      </c>
      <c r="D296" s="490" t="str">
        <f t="shared" si="12"/>
        <v>A0480:松阪新電力(株)</v>
      </c>
      <c r="I296" s="125" t="s">
        <v>1046</v>
      </c>
      <c r="J296" s="125" t="s">
        <v>1556</v>
      </c>
      <c r="K296" s="182" t="s">
        <v>730</v>
      </c>
      <c r="L296" s="182">
        <v>1.7799999999999999E-4</v>
      </c>
      <c r="M296" s="182">
        <v>1.7799999999999999E-4</v>
      </c>
      <c r="N296" s="182">
        <v>1.7799999999999999E-4</v>
      </c>
      <c r="O296" s="182">
        <v>1.7799999999999999E-4</v>
      </c>
      <c r="P296" s="182">
        <v>1.7799999999999999E-4</v>
      </c>
      <c r="R296" s="155" t="str">
        <f t="shared" si="13"/>
        <v>A0086:シナネン(株)メニューC</v>
      </c>
      <c r="S296" s="181">
        <f t="shared" si="14"/>
        <v>1.7799999999999999E-4</v>
      </c>
    </row>
    <row r="297" spans="2:19">
      <c r="B297" s="121" t="s">
        <v>1265</v>
      </c>
      <c r="C297" s="490" t="s">
        <v>1775</v>
      </c>
      <c r="D297" s="490" t="str">
        <f t="shared" si="12"/>
        <v>A0481:ヒューリックプロパティソリューション(株)</v>
      </c>
      <c r="I297" s="125" t="s">
        <v>1046</v>
      </c>
      <c r="J297" s="125" t="s">
        <v>1556</v>
      </c>
      <c r="K297" s="182" t="s">
        <v>915</v>
      </c>
      <c r="L297" s="182">
        <v>2.4699999999999999E-4</v>
      </c>
      <c r="M297" s="182">
        <v>2.4699999999999999E-4</v>
      </c>
      <c r="N297" s="182">
        <v>2.4699999999999999E-4</v>
      </c>
      <c r="O297" s="182">
        <v>2.4699999999999999E-4</v>
      </c>
      <c r="P297" s="182">
        <v>2.4699999999999999E-4</v>
      </c>
      <c r="R297" s="155" t="str">
        <f t="shared" si="13"/>
        <v>A0086:シナネン(株)メニューD</v>
      </c>
      <c r="S297" s="181">
        <f t="shared" si="14"/>
        <v>2.4699999999999999E-4</v>
      </c>
    </row>
    <row r="298" spans="2:19">
      <c r="B298" s="121" t="s">
        <v>1266</v>
      </c>
      <c r="C298" s="490" t="s">
        <v>1776</v>
      </c>
      <c r="D298" s="490" t="str">
        <f t="shared" si="12"/>
        <v>A0482:宮崎電力(株)</v>
      </c>
      <c r="I298" s="125" t="s">
        <v>1046</v>
      </c>
      <c r="J298" s="125" t="s">
        <v>1556</v>
      </c>
      <c r="K298" s="182" t="s">
        <v>916</v>
      </c>
      <c r="L298" s="182">
        <v>3.8099999999999999E-4</v>
      </c>
      <c r="M298" s="182">
        <v>3.8099999999999999E-4</v>
      </c>
      <c r="N298" s="182">
        <v>3.8099999999999999E-4</v>
      </c>
      <c r="O298" s="182">
        <v>3.8099999999999999E-4</v>
      </c>
      <c r="P298" s="182">
        <v>3.8099999999999999E-4</v>
      </c>
      <c r="R298" s="155" t="str">
        <f t="shared" si="13"/>
        <v>A0086:シナネン(株)メニューE</v>
      </c>
      <c r="S298" s="181">
        <f t="shared" si="14"/>
        <v>3.8099999999999999E-4</v>
      </c>
    </row>
    <row r="299" spans="2:19">
      <c r="B299" s="121" t="s">
        <v>1267</v>
      </c>
      <c r="C299" s="490" t="s">
        <v>1777</v>
      </c>
      <c r="D299" s="490" t="str">
        <f t="shared" si="12"/>
        <v>A0490:(株)CDエナジーダイレクト</v>
      </c>
      <c r="I299" s="125" t="s">
        <v>1046</v>
      </c>
      <c r="J299" s="125" t="s">
        <v>1556</v>
      </c>
      <c r="K299" s="182" t="s">
        <v>1999</v>
      </c>
      <c r="L299" s="182">
        <v>2.9E-4</v>
      </c>
      <c r="M299" s="182">
        <v>2.9E-4</v>
      </c>
      <c r="N299" s="182">
        <v>2.9E-4</v>
      </c>
      <c r="O299" s="182">
        <v>2.9E-4</v>
      </c>
      <c r="P299" s="182">
        <v>2.9E-4</v>
      </c>
      <c r="R299" s="155" t="str">
        <f t="shared" si="13"/>
        <v>A0086:シナネン(株)メニューF</v>
      </c>
      <c r="S299" s="181">
        <f t="shared" si="14"/>
        <v>2.9E-4</v>
      </c>
    </row>
    <row r="300" spans="2:19">
      <c r="B300" s="121" t="s">
        <v>1268</v>
      </c>
      <c r="C300" s="490" t="s">
        <v>1778</v>
      </c>
      <c r="D300" s="490" t="str">
        <f t="shared" si="12"/>
        <v>A0491:Q.ENESTでんき(株)</v>
      </c>
      <c r="I300" s="125" t="s">
        <v>1046</v>
      </c>
      <c r="J300" s="125" t="s">
        <v>1556</v>
      </c>
      <c r="K300" s="182" t="s">
        <v>2000</v>
      </c>
      <c r="L300" s="182">
        <v>3.8999999999999999E-4</v>
      </c>
      <c r="M300" s="182">
        <v>3.8999999999999999E-4</v>
      </c>
      <c r="N300" s="182">
        <v>3.8999999999999999E-4</v>
      </c>
      <c r="O300" s="182">
        <v>3.8999999999999999E-4</v>
      </c>
      <c r="P300" s="182">
        <v>3.8999999999999999E-4</v>
      </c>
      <c r="R300" s="155" t="str">
        <f t="shared" si="13"/>
        <v>A0086:シナネン(株)メニューG</v>
      </c>
      <c r="S300" s="181">
        <f t="shared" si="14"/>
        <v>3.8999999999999999E-4</v>
      </c>
    </row>
    <row r="301" spans="2:19">
      <c r="B301" s="121" t="s">
        <v>1269</v>
      </c>
      <c r="C301" s="490" t="s">
        <v>1779</v>
      </c>
      <c r="D301" s="490" t="str">
        <f t="shared" si="12"/>
        <v>A0493:(株)ぶんごおおのエナジー</v>
      </c>
      <c r="I301" s="125" t="s">
        <v>1046</v>
      </c>
      <c r="J301" s="125" t="s">
        <v>1556</v>
      </c>
      <c r="K301" s="182" t="s">
        <v>2001</v>
      </c>
      <c r="L301" s="182">
        <v>0</v>
      </c>
      <c r="M301" s="182">
        <v>0</v>
      </c>
      <c r="N301" s="182">
        <v>0</v>
      </c>
      <c r="O301" s="182">
        <v>0</v>
      </c>
      <c r="P301" s="182">
        <v>0</v>
      </c>
      <c r="R301" s="155" t="str">
        <f t="shared" si="13"/>
        <v>A0086:シナネン(株)メニューH</v>
      </c>
      <c r="S301" s="181">
        <f t="shared" si="14"/>
        <v>0</v>
      </c>
    </row>
    <row r="302" spans="2:19">
      <c r="B302" s="121" t="s">
        <v>1270</v>
      </c>
      <c r="C302" s="490" t="s">
        <v>1780</v>
      </c>
      <c r="D302" s="490" t="str">
        <f t="shared" si="12"/>
        <v>A0494:ヴィジョナリーパワー(株)</v>
      </c>
      <c r="I302" s="125" t="s">
        <v>1046</v>
      </c>
      <c r="J302" s="125" t="s">
        <v>1556</v>
      </c>
      <c r="K302" s="182" t="s">
        <v>1998</v>
      </c>
      <c r="L302" s="182">
        <v>1.5E-5</v>
      </c>
      <c r="M302" s="182">
        <v>1.5E-5</v>
      </c>
      <c r="N302" s="182">
        <v>1.5E-5</v>
      </c>
      <c r="O302" s="182">
        <v>1.5E-5</v>
      </c>
      <c r="P302" s="182">
        <v>1.5E-5</v>
      </c>
      <c r="R302" s="155" t="str">
        <f t="shared" si="13"/>
        <v>A0086:シナネン(株)(参考値)事業者全体</v>
      </c>
      <c r="S302" s="181">
        <f t="shared" si="14"/>
        <v>1.5E-5</v>
      </c>
    </row>
    <row r="303" spans="2:19">
      <c r="B303" s="121" t="s">
        <v>1271</v>
      </c>
      <c r="C303" s="490" t="s">
        <v>1781</v>
      </c>
      <c r="D303" s="490" t="str">
        <f t="shared" si="12"/>
        <v>A0495:有明エナジー(株)</v>
      </c>
      <c r="I303" s="125" t="s">
        <v>1047</v>
      </c>
      <c r="J303" s="125" t="s">
        <v>1557</v>
      </c>
      <c r="K303" s="182" t="s">
        <v>652</v>
      </c>
      <c r="L303" s="182">
        <v>0</v>
      </c>
      <c r="M303" s="182">
        <v>0</v>
      </c>
      <c r="N303" s="182">
        <v>0</v>
      </c>
      <c r="O303" s="182">
        <v>0</v>
      </c>
      <c r="P303" s="182">
        <v>0</v>
      </c>
      <c r="R303" s="155" t="str">
        <f t="shared" si="13"/>
        <v>A0088:カワサキグリーンエナジー(株)メニューA</v>
      </c>
      <c r="S303" s="181">
        <f t="shared" si="14"/>
        <v>0</v>
      </c>
    </row>
    <row r="304" spans="2:19">
      <c r="B304" s="121" t="s">
        <v>1272</v>
      </c>
      <c r="C304" s="490" t="s">
        <v>1782</v>
      </c>
      <c r="D304" s="490" t="str">
        <f t="shared" si="12"/>
        <v>A0499:厚木瓦斯(株)</v>
      </c>
      <c r="I304" s="125" t="s">
        <v>1047</v>
      </c>
      <c r="J304" s="125" t="s">
        <v>1557</v>
      </c>
      <c r="K304" s="182" t="s">
        <v>729</v>
      </c>
      <c r="L304" s="182">
        <v>2.9999999999999997E-4</v>
      </c>
      <c r="M304" s="182">
        <v>2.9999999999999997E-4</v>
      </c>
      <c r="N304" s="182">
        <v>2.9999999999999997E-4</v>
      </c>
      <c r="O304" s="182">
        <v>2.9999999999999997E-4</v>
      </c>
      <c r="P304" s="182">
        <v>2.9999999999999997E-4</v>
      </c>
      <c r="R304" s="155" t="str">
        <f t="shared" si="13"/>
        <v>A0088:カワサキグリーンエナジー(株)メニューB</v>
      </c>
      <c r="S304" s="181">
        <f t="shared" si="14"/>
        <v>2.9999999999999997E-4</v>
      </c>
    </row>
    <row r="305" spans="2:19">
      <c r="B305" s="121" t="s">
        <v>1273</v>
      </c>
      <c r="C305" s="490" t="s">
        <v>1783</v>
      </c>
      <c r="D305" s="490" t="str">
        <f t="shared" si="12"/>
        <v>A0500:(株)エネ・ビジョン</v>
      </c>
      <c r="I305" s="125" t="s">
        <v>1047</v>
      </c>
      <c r="J305" s="125" t="s">
        <v>1557</v>
      </c>
      <c r="K305" s="182" t="s">
        <v>730</v>
      </c>
      <c r="L305" s="182">
        <v>5.3799999999999996E-4</v>
      </c>
      <c r="M305" s="182">
        <v>5.3799999999999996E-4</v>
      </c>
      <c r="N305" s="182">
        <v>5.3799999999999996E-4</v>
      </c>
      <c r="O305" s="182">
        <v>5.3799999999999996E-4</v>
      </c>
      <c r="P305" s="182">
        <v>5.3799999999999996E-4</v>
      </c>
      <c r="R305" s="155" t="str">
        <f t="shared" si="13"/>
        <v>A0088:カワサキグリーンエナジー(株)メニューC</v>
      </c>
      <c r="S305" s="181">
        <f t="shared" si="14"/>
        <v>5.3799999999999996E-4</v>
      </c>
    </row>
    <row r="306" spans="2:19">
      <c r="B306" s="121" t="s">
        <v>1274</v>
      </c>
      <c r="C306" s="490" t="s">
        <v>1784</v>
      </c>
      <c r="D306" s="490" t="str">
        <f t="shared" si="12"/>
        <v>A0501:イワタニ三重(株)</v>
      </c>
      <c r="I306" s="125" t="s">
        <v>1047</v>
      </c>
      <c r="J306" s="125" t="s">
        <v>1557</v>
      </c>
      <c r="K306" s="182" t="s">
        <v>1998</v>
      </c>
      <c r="L306" s="182">
        <v>3.9199999999999999E-4</v>
      </c>
      <c r="M306" s="182">
        <v>3.9199999999999999E-4</v>
      </c>
      <c r="N306" s="182">
        <v>3.9199999999999999E-4</v>
      </c>
      <c r="O306" s="182">
        <v>3.9199999999999999E-4</v>
      </c>
      <c r="P306" s="182">
        <v>3.9199999999999999E-4</v>
      </c>
      <c r="R306" s="155" t="str">
        <f t="shared" si="13"/>
        <v>A0088:カワサキグリーンエナジー(株)(参考値)事業者全体</v>
      </c>
      <c r="S306" s="181">
        <f t="shared" si="14"/>
        <v>3.9199999999999999E-4</v>
      </c>
    </row>
    <row r="307" spans="2:19">
      <c r="B307" s="121" t="s">
        <v>1275</v>
      </c>
      <c r="C307" s="490" t="s">
        <v>1785</v>
      </c>
      <c r="D307" s="490" t="str">
        <f t="shared" si="12"/>
        <v>A0502:(株)マルヰ</v>
      </c>
      <c r="I307" s="125" t="s">
        <v>1048</v>
      </c>
      <c r="J307" s="125" t="s">
        <v>1558</v>
      </c>
      <c r="K307" s="182" t="s">
        <v>652</v>
      </c>
      <c r="L307" s="182">
        <v>0</v>
      </c>
      <c r="M307" s="182">
        <v>0</v>
      </c>
      <c r="N307" s="182">
        <v>0</v>
      </c>
      <c r="O307" s="182">
        <v>0</v>
      </c>
      <c r="P307" s="182">
        <v>0</v>
      </c>
      <c r="R307" s="155" t="str">
        <f t="shared" si="13"/>
        <v>A0089:大一ガス(株)メニューA</v>
      </c>
      <c r="S307" s="181">
        <f t="shared" si="14"/>
        <v>0</v>
      </c>
    </row>
    <row r="308" spans="2:19">
      <c r="B308" s="121" t="s">
        <v>1276</v>
      </c>
      <c r="C308" s="490" t="s">
        <v>1786</v>
      </c>
      <c r="D308" s="490" t="str">
        <f t="shared" si="12"/>
        <v>A0503:大多喜ガス(株)</v>
      </c>
      <c r="I308" s="125" t="s">
        <v>1048</v>
      </c>
      <c r="J308" s="125" t="s">
        <v>1558</v>
      </c>
      <c r="K308" s="182" t="s">
        <v>729</v>
      </c>
      <c r="L308" s="182">
        <v>4.57E-4</v>
      </c>
      <c r="M308" s="182">
        <v>4.57E-4</v>
      </c>
      <c r="N308" s="182">
        <v>4.57E-4</v>
      </c>
      <c r="O308" s="182">
        <v>4.57E-4</v>
      </c>
      <c r="P308" s="182">
        <v>4.57E-4</v>
      </c>
      <c r="R308" s="155" t="str">
        <f t="shared" si="13"/>
        <v>A0089:大一ガス(株)メニューB</v>
      </c>
      <c r="S308" s="181">
        <f t="shared" si="14"/>
        <v>4.57E-4</v>
      </c>
    </row>
    <row r="309" spans="2:19">
      <c r="B309" s="121" t="s">
        <v>1277</v>
      </c>
      <c r="C309" s="490" t="s">
        <v>1787</v>
      </c>
      <c r="D309" s="490" t="str">
        <f t="shared" si="12"/>
        <v>A0506:鈴与電力(株)</v>
      </c>
      <c r="I309" s="125" t="s">
        <v>1048</v>
      </c>
      <c r="J309" s="125" t="s">
        <v>1558</v>
      </c>
      <c r="K309" s="182" t="s">
        <v>730</v>
      </c>
      <c r="L309" s="182">
        <v>5.1699999999999999E-4</v>
      </c>
      <c r="M309" s="182">
        <v>5.1699999999999999E-4</v>
      </c>
      <c r="N309" s="182">
        <v>5.1699999999999999E-4</v>
      </c>
      <c r="O309" s="182">
        <v>5.1699999999999999E-4</v>
      </c>
      <c r="P309" s="182">
        <v>5.1699999999999999E-4</v>
      </c>
      <c r="R309" s="155" t="str">
        <f t="shared" si="13"/>
        <v>A0089:大一ガス(株)メニューC</v>
      </c>
      <c r="S309" s="181">
        <f t="shared" si="14"/>
        <v>5.1699999999999999E-4</v>
      </c>
    </row>
    <row r="310" spans="2:19">
      <c r="B310" s="121" t="s">
        <v>1278</v>
      </c>
      <c r="C310" s="490" t="s">
        <v>1788</v>
      </c>
      <c r="D310" s="490" t="str">
        <f t="shared" si="12"/>
        <v>A0507:コープ電力(株)</v>
      </c>
      <c r="I310" s="125" t="s">
        <v>1048</v>
      </c>
      <c r="J310" s="125" t="s">
        <v>1558</v>
      </c>
      <c r="K310" s="182" t="s">
        <v>1998</v>
      </c>
      <c r="L310" s="182">
        <v>5.13E-4</v>
      </c>
      <c r="M310" s="182">
        <v>5.13E-4</v>
      </c>
      <c r="N310" s="182">
        <v>5.13E-4</v>
      </c>
      <c r="O310" s="182">
        <v>5.13E-4</v>
      </c>
      <c r="P310" s="182">
        <v>5.13E-4</v>
      </c>
      <c r="R310" s="155" t="str">
        <f t="shared" si="13"/>
        <v>A0089:大一ガス(株)(参考値)事業者全体</v>
      </c>
      <c r="S310" s="181">
        <f t="shared" si="14"/>
        <v>5.13E-4</v>
      </c>
    </row>
    <row r="311" spans="2:19">
      <c r="B311" s="121" t="s">
        <v>1279</v>
      </c>
      <c r="C311" s="490" t="s">
        <v>1789</v>
      </c>
      <c r="D311" s="490" t="str">
        <f t="shared" si="12"/>
        <v>A0511:亀岡ふるさとエナジー(株)</v>
      </c>
      <c r="I311" s="125" t="s">
        <v>1049</v>
      </c>
      <c r="J311" s="125" t="s">
        <v>1559</v>
      </c>
      <c r="K311" s="182" t="s">
        <v>652</v>
      </c>
      <c r="L311" s="182">
        <v>0</v>
      </c>
      <c r="M311" s="182">
        <v>0</v>
      </c>
      <c r="N311" s="182">
        <v>0</v>
      </c>
      <c r="O311" s="182">
        <v>0</v>
      </c>
      <c r="P311" s="182">
        <v>0</v>
      </c>
      <c r="R311" s="155" t="str">
        <f t="shared" si="13"/>
        <v>A0090:(株)リミックスポイントメニューA</v>
      </c>
      <c r="S311" s="181">
        <f t="shared" si="14"/>
        <v>0</v>
      </c>
    </row>
    <row r="312" spans="2:19">
      <c r="B312" s="121" t="s">
        <v>1280</v>
      </c>
      <c r="C312" s="490" t="s">
        <v>1790</v>
      </c>
      <c r="D312" s="490" t="str">
        <f t="shared" si="12"/>
        <v>A0513:(株)織戸組</v>
      </c>
      <c r="I312" s="125" t="s">
        <v>1049</v>
      </c>
      <c r="J312" s="125" t="s">
        <v>1559</v>
      </c>
      <c r="K312" s="182" t="s">
        <v>729</v>
      </c>
      <c r="L312" s="182">
        <v>0</v>
      </c>
      <c r="M312" s="182">
        <v>0</v>
      </c>
      <c r="N312" s="182">
        <v>0</v>
      </c>
      <c r="O312" s="182">
        <v>0</v>
      </c>
      <c r="P312" s="182">
        <v>0</v>
      </c>
      <c r="R312" s="155" t="str">
        <f t="shared" si="13"/>
        <v>A0090:(株)リミックスポイントメニューB</v>
      </c>
      <c r="S312" s="181">
        <f t="shared" si="14"/>
        <v>0</v>
      </c>
    </row>
    <row r="313" spans="2:19">
      <c r="B313" s="121" t="s">
        <v>1281</v>
      </c>
      <c r="C313" s="490" t="s">
        <v>1791</v>
      </c>
      <c r="D313" s="490" t="str">
        <f t="shared" si="12"/>
        <v>A0514:ふかやeパワー(株)</v>
      </c>
      <c r="I313" s="125" t="s">
        <v>1049</v>
      </c>
      <c r="J313" s="125" t="s">
        <v>1559</v>
      </c>
      <c r="K313" s="182" t="s">
        <v>730</v>
      </c>
      <c r="L313" s="182">
        <v>4.0000000000000002E-4</v>
      </c>
      <c r="M313" s="182">
        <v>4.0000000000000002E-4</v>
      </c>
      <c r="N313" s="182">
        <v>4.0000000000000002E-4</v>
      </c>
      <c r="O313" s="182">
        <v>4.0000000000000002E-4</v>
      </c>
      <c r="P313" s="182">
        <v>4.0000000000000002E-4</v>
      </c>
      <c r="R313" s="155" t="str">
        <f t="shared" si="13"/>
        <v>A0090:(株)リミックスポイントメニューC</v>
      </c>
      <c r="S313" s="181">
        <f t="shared" si="14"/>
        <v>4.0000000000000002E-4</v>
      </c>
    </row>
    <row r="314" spans="2:19">
      <c r="B314" s="121" t="s">
        <v>1282</v>
      </c>
      <c r="C314" s="490" t="s">
        <v>1792</v>
      </c>
      <c r="D314" s="490" t="str">
        <f t="shared" si="12"/>
        <v>A0515:(株)Link Life</v>
      </c>
      <c r="I314" s="125" t="s">
        <v>1049</v>
      </c>
      <c r="J314" s="125" t="s">
        <v>1559</v>
      </c>
      <c r="K314" s="182" t="s">
        <v>915</v>
      </c>
      <c r="L314" s="182">
        <v>5.3499999999999999E-4</v>
      </c>
      <c r="M314" s="182">
        <v>5.3499999999999999E-4</v>
      </c>
      <c r="N314" s="182">
        <v>5.3499999999999999E-4</v>
      </c>
      <c r="O314" s="182">
        <v>5.3499999999999999E-4</v>
      </c>
      <c r="P314" s="182">
        <v>5.3499999999999999E-4</v>
      </c>
      <c r="R314" s="155" t="str">
        <f t="shared" si="13"/>
        <v>A0090:(株)リミックスポイントメニューD</v>
      </c>
      <c r="S314" s="181">
        <f t="shared" si="14"/>
        <v>5.3499999999999999E-4</v>
      </c>
    </row>
    <row r="315" spans="2:19">
      <c r="B315" s="121" t="s">
        <v>1283</v>
      </c>
      <c r="C315" s="490" t="s">
        <v>1793</v>
      </c>
      <c r="D315" s="490" t="str">
        <f t="shared" si="12"/>
        <v>A0518:(株)グローバルキャスト</v>
      </c>
      <c r="I315" s="125" t="s">
        <v>1049</v>
      </c>
      <c r="J315" s="125" t="s">
        <v>1559</v>
      </c>
      <c r="K315" s="182" t="s">
        <v>1998</v>
      </c>
      <c r="L315" s="182">
        <v>5.2999999999999998E-4</v>
      </c>
      <c r="M315" s="182">
        <v>5.2999999999999998E-4</v>
      </c>
      <c r="N315" s="182">
        <v>5.2999999999999998E-4</v>
      </c>
      <c r="O315" s="182">
        <v>5.2999999999999998E-4</v>
      </c>
      <c r="P315" s="182">
        <v>5.2999999999999998E-4</v>
      </c>
      <c r="R315" s="155" t="str">
        <f t="shared" si="13"/>
        <v>A0090:(株)リミックスポイント(参考値)事業者全体</v>
      </c>
      <c r="S315" s="181">
        <f t="shared" si="14"/>
        <v>5.2999999999999998E-4</v>
      </c>
    </row>
    <row r="316" spans="2:19">
      <c r="B316" s="121" t="s">
        <v>1284</v>
      </c>
      <c r="C316" s="490" t="s">
        <v>1794</v>
      </c>
      <c r="D316" s="490" t="str">
        <f t="shared" si="12"/>
        <v>A0519:日本エネルギー総合システム(株)</v>
      </c>
      <c r="I316" s="125" t="s">
        <v>1050</v>
      </c>
      <c r="J316" s="125" t="s">
        <v>1560</v>
      </c>
      <c r="K316" s="182"/>
      <c r="L316" s="182">
        <v>7.3999999999999999E-4</v>
      </c>
      <c r="M316" s="182">
        <v>7.3999999999999999E-4</v>
      </c>
      <c r="N316" s="182">
        <v>7.3999999999999999E-4</v>
      </c>
      <c r="O316" s="182">
        <v>7.3999999999999999E-4</v>
      </c>
      <c r="P316" s="182">
        <v>7.3999999999999999E-4</v>
      </c>
      <c r="R316" s="155" t="str">
        <f t="shared" si="13"/>
        <v>A0092:(株)中海テレビ放送</v>
      </c>
      <c r="S316" s="181">
        <f t="shared" si="14"/>
        <v>7.3999999999999999E-4</v>
      </c>
    </row>
    <row r="317" spans="2:19">
      <c r="B317" s="121" t="s">
        <v>1285</v>
      </c>
      <c r="C317" s="490" t="s">
        <v>1795</v>
      </c>
      <c r="D317" s="490" t="str">
        <f t="shared" si="12"/>
        <v>A0520:イワタニ東海(株)</v>
      </c>
      <c r="I317" s="125" t="s">
        <v>1051</v>
      </c>
      <c r="J317" s="125" t="s">
        <v>1561</v>
      </c>
      <c r="K317" s="182" t="s">
        <v>652</v>
      </c>
      <c r="L317" s="182">
        <v>0</v>
      </c>
      <c r="M317" s="182">
        <v>0</v>
      </c>
      <c r="N317" s="182">
        <v>0</v>
      </c>
      <c r="O317" s="182">
        <v>0</v>
      </c>
      <c r="P317" s="182">
        <v>0</v>
      </c>
      <c r="R317" s="155" t="str">
        <f t="shared" si="13"/>
        <v>A0093:パシフィックパワー(株)メニューA</v>
      </c>
      <c r="S317" s="181">
        <f t="shared" si="14"/>
        <v>0</v>
      </c>
    </row>
    <row r="318" spans="2:19">
      <c r="B318" s="121" t="s">
        <v>1286</v>
      </c>
      <c r="C318" s="490" t="s">
        <v>1796</v>
      </c>
      <c r="D318" s="490" t="str">
        <f t="shared" si="12"/>
        <v>A0525:(株)ところざわ未来電力</v>
      </c>
      <c r="I318" s="125" t="s">
        <v>1051</v>
      </c>
      <c r="J318" s="125" t="s">
        <v>1561</v>
      </c>
      <c r="K318" s="182" t="s">
        <v>729</v>
      </c>
      <c r="L318" s="182">
        <v>0</v>
      </c>
      <c r="M318" s="182">
        <v>0</v>
      </c>
      <c r="N318" s="182">
        <v>0</v>
      </c>
      <c r="O318" s="182">
        <v>0</v>
      </c>
      <c r="P318" s="182">
        <v>0</v>
      </c>
      <c r="R318" s="155" t="str">
        <f t="shared" si="13"/>
        <v>A0093:パシフィックパワー(株)メニューB</v>
      </c>
      <c r="S318" s="181">
        <f t="shared" si="14"/>
        <v>0</v>
      </c>
    </row>
    <row r="319" spans="2:19">
      <c r="B319" s="121" t="s">
        <v>1287</v>
      </c>
      <c r="C319" s="490" t="s">
        <v>1797</v>
      </c>
      <c r="D319" s="490" t="str">
        <f t="shared" si="12"/>
        <v>A0526:朝日ガスエナジー(株)</v>
      </c>
      <c r="I319" s="125" t="s">
        <v>1051</v>
      </c>
      <c r="J319" s="125" t="s">
        <v>1561</v>
      </c>
      <c r="K319" s="182" t="s">
        <v>730</v>
      </c>
      <c r="L319" s="182">
        <v>4.0299999999999998E-4</v>
      </c>
      <c r="M319" s="182">
        <v>4.0299999999999998E-4</v>
      </c>
      <c r="N319" s="182">
        <v>4.0299999999999998E-4</v>
      </c>
      <c r="O319" s="182">
        <v>4.0299999999999998E-4</v>
      </c>
      <c r="P319" s="182">
        <v>4.0299999999999998E-4</v>
      </c>
      <c r="R319" s="155" t="str">
        <f t="shared" si="13"/>
        <v>A0093:パシフィックパワー(株)メニューC</v>
      </c>
      <c r="S319" s="181">
        <f t="shared" si="14"/>
        <v>4.0299999999999998E-4</v>
      </c>
    </row>
    <row r="320" spans="2:19">
      <c r="B320" s="121" t="s">
        <v>1288</v>
      </c>
      <c r="C320" s="490" t="s">
        <v>1798</v>
      </c>
      <c r="D320" s="490" t="str">
        <f t="shared" si="12"/>
        <v>A0528:(株)エネファント</v>
      </c>
      <c r="I320" s="125" t="s">
        <v>1051</v>
      </c>
      <c r="J320" s="125" t="s">
        <v>1561</v>
      </c>
      <c r="K320" s="182" t="s">
        <v>1998</v>
      </c>
      <c r="L320" s="182">
        <v>1.63E-4</v>
      </c>
      <c r="M320" s="182">
        <v>1.63E-4</v>
      </c>
      <c r="N320" s="182">
        <v>1.63E-4</v>
      </c>
      <c r="O320" s="182">
        <v>1.63E-4</v>
      </c>
      <c r="P320" s="182">
        <v>1.63E-4</v>
      </c>
      <c r="R320" s="155" t="str">
        <f t="shared" si="13"/>
        <v>A0093:パシフィックパワー(株)(参考値)事業者全体</v>
      </c>
      <c r="S320" s="181">
        <f t="shared" si="14"/>
        <v>1.63E-4</v>
      </c>
    </row>
    <row r="321" spans="2:19">
      <c r="B321" s="121" t="s">
        <v>1289</v>
      </c>
      <c r="C321" s="490" t="s">
        <v>1799</v>
      </c>
      <c r="D321" s="490" t="str">
        <f t="shared" si="12"/>
        <v>A0529:(株)エスエナジー</v>
      </c>
      <c r="I321" s="125" t="s">
        <v>1052</v>
      </c>
      <c r="J321" s="125" t="s">
        <v>1562</v>
      </c>
      <c r="K321" s="182" t="s">
        <v>652</v>
      </c>
      <c r="L321" s="182">
        <v>0</v>
      </c>
      <c r="M321" s="182">
        <v>0</v>
      </c>
      <c r="N321" s="182">
        <v>0</v>
      </c>
      <c r="O321" s="182">
        <v>0</v>
      </c>
      <c r="P321" s="182">
        <v>0</v>
      </c>
      <c r="R321" s="155" t="str">
        <f t="shared" si="13"/>
        <v>A0104:(株)ジェイコム札幌メニューA</v>
      </c>
      <c r="S321" s="181">
        <f t="shared" si="14"/>
        <v>0</v>
      </c>
    </row>
    <row r="322" spans="2:19">
      <c r="B322" s="121" t="s">
        <v>1290</v>
      </c>
      <c r="C322" s="490" t="s">
        <v>1800</v>
      </c>
      <c r="D322" s="490" t="str">
        <f t="shared" si="12"/>
        <v>A0532:(株)フリクト電力(旧：(株)Mpower)</v>
      </c>
      <c r="I322" s="125" t="s">
        <v>1052</v>
      </c>
      <c r="J322" s="125" t="s">
        <v>1562</v>
      </c>
      <c r="K322" s="182" t="s">
        <v>729</v>
      </c>
      <c r="L322" s="182">
        <v>5.4699999999999996E-4</v>
      </c>
      <c r="M322" s="182">
        <v>5.4699999999999996E-4</v>
      </c>
      <c r="N322" s="182">
        <v>5.4699999999999996E-4</v>
      </c>
      <c r="O322" s="182">
        <v>5.4699999999999996E-4</v>
      </c>
      <c r="P322" s="182">
        <v>5.4699999999999996E-4</v>
      </c>
      <c r="R322" s="155" t="str">
        <f t="shared" si="13"/>
        <v>A0104:(株)ジェイコム札幌メニューB</v>
      </c>
      <c r="S322" s="181">
        <f t="shared" si="14"/>
        <v>5.4699999999999996E-4</v>
      </c>
    </row>
    <row r="323" spans="2:19">
      <c r="B323" s="121" t="s">
        <v>1291</v>
      </c>
      <c r="C323" s="490" t="s">
        <v>1801</v>
      </c>
      <c r="D323" s="490" t="str">
        <f t="shared" si="12"/>
        <v>A0533:秩父新電力(株)</v>
      </c>
      <c r="I323" s="125" t="s">
        <v>1052</v>
      </c>
      <c r="J323" s="125" t="s">
        <v>1562</v>
      </c>
      <c r="K323" s="182" t="s">
        <v>1998</v>
      </c>
      <c r="L323" s="182">
        <v>5.3700000000000004E-4</v>
      </c>
      <c r="M323" s="182">
        <v>5.3700000000000004E-4</v>
      </c>
      <c r="N323" s="182">
        <v>5.3700000000000004E-4</v>
      </c>
      <c r="O323" s="182">
        <v>5.3700000000000004E-4</v>
      </c>
      <c r="P323" s="182">
        <v>5.3700000000000004E-4</v>
      </c>
      <c r="R323" s="155" t="str">
        <f t="shared" si="13"/>
        <v>A0104:(株)ジェイコム札幌(参考値)事業者全体</v>
      </c>
      <c r="S323" s="181">
        <f t="shared" si="14"/>
        <v>5.3700000000000004E-4</v>
      </c>
    </row>
    <row r="324" spans="2:19">
      <c r="B324" s="121" t="s">
        <v>1292</v>
      </c>
      <c r="C324" s="490" t="s">
        <v>1802</v>
      </c>
      <c r="D324" s="490" t="str">
        <f t="shared" si="12"/>
        <v>A0534:みよしエナジー(株)</v>
      </c>
      <c r="I324" s="125" t="s">
        <v>1053</v>
      </c>
      <c r="J324" s="125" t="s">
        <v>1563</v>
      </c>
      <c r="K324" s="182"/>
      <c r="L324" s="182">
        <v>4.0900000000000002E-4</v>
      </c>
      <c r="M324" s="182">
        <v>4.0900000000000002E-4</v>
      </c>
      <c r="N324" s="182">
        <v>4.0900000000000002E-4</v>
      </c>
      <c r="O324" s="182">
        <v>4.0900000000000002E-4</v>
      </c>
      <c r="P324" s="182">
        <v>4.0900000000000002E-4</v>
      </c>
      <c r="R324" s="155" t="str">
        <f t="shared" si="13"/>
        <v>A0120:鹿児島電力(株)</v>
      </c>
      <c r="S324" s="181">
        <f t="shared" si="14"/>
        <v>4.0900000000000002E-4</v>
      </c>
    </row>
    <row r="325" spans="2:19">
      <c r="B325" s="121" t="s">
        <v>1293</v>
      </c>
      <c r="C325" s="490" t="s">
        <v>1803</v>
      </c>
      <c r="D325" s="490" t="str">
        <f t="shared" si="12"/>
        <v>A0538:綿半パートナーズ(株)</v>
      </c>
      <c r="I325" s="125" t="s">
        <v>1054</v>
      </c>
      <c r="J325" s="125" t="s">
        <v>1564</v>
      </c>
      <c r="K325" s="182"/>
      <c r="L325" s="182">
        <v>4.2900000000000002E-4</v>
      </c>
      <c r="M325" s="182">
        <v>4.2900000000000002E-4</v>
      </c>
      <c r="N325" s="182">
        <v>4.2900000000000002E-4</v>
      </c>
      <c r="O325" s="182">
        <v>4.2900000000000002E-4</v>
      </c>
      <c r="P325" s="182">
        <v>4.2900000000000002E-4</v>
      </c>
      <c r="R325" s="155" t="str">
        <f t="shared" si="13"/>
        <v>A0121:太陽ガス(株)</v>
      </c>
      <c r="S325" s="181">
        <f t="shared" si="14"/>
        <v>4.2900000000000002E-4</v>
      </c>
    </row>
    <row r="326" spans="2:19">
      <c r="B326" s="121" t="s">
        <v>1294</v>
      </c>
      <c r="C326" s="490" t="s">
        <v>1804</v>
      </c>
      <c r="D326" s="490" t="str">
        <f t="shared" si="12"/>
        <v>A0539:(株)karch</v>
      </c>
      <c r="I326" s="125" t="s">
        <v>1055</v>
      </c>
      <c r="J326" s="125" t="s">
        <v>1565</v>
      </c>
      <c r="K326" s="182" t="s">
        <v>652</v>
      </c>
      <c r="L326" s="182">
        <v>0</v>
      </c>
      <c r="M326" s="182">
        <v>0</v>
      </c>
      <c r="N326" s="182">
        <v>0</v>
      </c>
      <c r="O326" s="182">
        <v>0</v>
      </c>
      <c r="P326" s="182">
        <v>0</v>
      </c>
      <c r="R326" s="155" t="str">
        <f t="shared" si="13"/>
        <v>A0122:アーバンエナジー(株)メニューA</v>
      </c>
      <c r="S326" s="181">
        <f t="shared" si="14"/>
        <v>0</v>
      </c>
    </row>
    <row r="327" spans="2:19">
      <c r="B327" s="121" t="s">
        <v>1295</v>
      </c>
      <c r="C327" s="490" t="s">
        <v>1805</v>
      </c>
      <c r="D327" s="490" t="str">
        <f t="shared" si="12"/>
        <v>A0543:(株)かみでん里山公社</v>
      </c>
      <c r="I327" s="125" t="s">
        <v>1055</v>
      </c>
      <c r="J327" s="125" t="s">
        <v>1565</v>
      </c>
      <c r="K327" s="182" t="s">
        <v>729</v>
      </c>
      <c r="L327" s="182">
        <v>2.9E-4</v>
      </c>
      <c r="M327" s="182">
        <v>2.9E-4</v>
      </c>
      <c r="N327" s="182">
        <v>2.9E-4</v>
      </c>
      <c r="O327" s="182">
        <v>2.9E-4</v>
      </c>
      <c r="P327" s="182">
        <v>2.9E-4</v>
      </c>
      <c r="R327" s="155" t="str">
        <f t="shared" si="13"/>
        <v>A0122:アーバンエナジー(株)メニューB</v>
      </c>
      <c r="S327" s="181">
        <f t="shared" si="14"/>
        <v>2.9E-4</v>
      </c>
    </row>
    <row r="328" spans="2:19">
      <c r="B328" s="121" t="s">
        <v>1296</v>
      </c>
      <c r="C328" s="490" t="s">
        <v>1806</v>
      </c>
      <c r="D328" s="490" t="str">
        <f t="shared" si="12"/>
        <v>A0546:(株)三郷ひまわりエナジー</v>
      </c>
      <c r="I328" s="125" t="s">
        <v>1055</v>
      </c>
      <c r="J328" s="125" t="s">
        <v>1565</v>
      </c>
      <c r="K328" s="182" t="s">
        <v>730</v>
      </c>
      <c r="L328" s="182">
        <v>3.1599999999999998E-4</v>
      </c>
      <c r="M328" s="182">
        <v>3.1599999999999998E-4</v>
      </c>
      <c r="N328" s="182">
        <v>3.1599999999999998E-4</v>
      </c>
      <c r="O328" s="182">
        <v>3.1599999999999998E-4</v>
      </c>
      <c r="P328" s="182">
        <v>3.1599999999999998E-4</v>
      </c>
      <c r="R328" s="155" t="str">
        <f t="shared" si="13"/>
        <v>A0122:アーバンエナジー(株)メニューC</v>
      </c>
      <c r="S328" s="181">
        <f t="shared" si="14"/>
        <v>3.1599999999999998E-4</v>
      </c>
    </row>
    <row r="329" spans="2:19">
      <c r="B329" s="121" t="s">
        <v>1297</v>
      </c>
      <c r="C329" s="490" t="s">
        <v>1807</v>
      </c>
      <c r="D329" s="490" t="str">
        <f t="shared" ref="D329:D392" si="15">IF(B329="","",B329&amp;":"&amp;C329)</f>
        <v>A0547:(株)球磨村森電力</v>
      </c>
      <c r="I329" s="125" t="s">
        <v>1055</v>
      </c>
      <c r="J329" s="125" t="s">
        <v>1565</v>
      </c>
      <c r="K329" s="182" t="s">
        <v>915</v>
      </c>
      <c r="L329" s="182">
        <v>2.5500000000000002E-4</v>
      </c>
      <c r="M329" s="182">
        <v>2.5500000000000002E-4</v>
      </c>
      <c r="N329" s="182">
        <v>2.5500000000000002E-4</v>
      </c>
      <c r="O329" s="182">
        <v>2.5500000000000002E-4</v>
      </c>
      <c r="P329" s="182">
        <v>2.5500000000000002E-4</v>
      </c>
      <c r="R329" s="155" t="str">
        <f t="shared" si="13"/>
        <v>A0122:アーバンエナジー(株)メニューD</v>
      </c>
      <c r="S329" s="181">
        <f t="shared" si="14"/>
        <v>2.5500000000000002E-4</v>
      </c>
    </row>
    <row r="330" spans="2:19">
      <c r="B330" s="121" t="s">
        <v>1298</v>
      </c>
      <c r="C330" s="490" t="s">
        <v>1808</v>
      </c>
      <c r="D330" s="490" t="str">
        <f t="shared" si="15"/>
        <v>A0549:くこくエネルギー(株)</v>
      </c>
      <c r="I330" s="125" t="s">
        <v>1055</v>
      </c>
      <c r="J330" s="125" t="s">
        <v>1565</v>
      </c>
      <c r="K330" s="182" t="s">
        <v>916</v>
      </c>
      <c r="L330" s="182">
        <v>3.7300000000000001E-4</v>
      </c>
      <c r="M330" s="182">
        <v>3.7300000000000001E-4</v>
      </c>
      <c r="N330" s="182">
        <v>3.7300000000000001E-4</v>
      </c>
      <c r="O330" s="182">
        <v>3.7300000000000001E-4</v>
      </c>
      <c r="P330" s="182">
        <v>3.7300000000000001E-4</v>
      </c>
      <c r="R330" s="155" t="str">
        <f t="shared" ref="R330:R393" si="16">I330&amp;":"&amp;J330&amp;K330</f>
        <v>A0122:アーバンエナジー(株)メニューE</v>
      </c>
      <c r="S330" s="181">
        <f t="shared" ref="S330:S393" si="17">HLOOKUP($S$8,$L$8:$P$2000,ROW()-7,FALSE)</f>
        <v>3.7300000000000001E-4</v>
      </c>
    </row>
    <row r="331" spans="2:19">
      <c r="B331" s="121" t="s">
        <v>1299</v>
      </c>
      <c r="C331" s="490" t="s">
        <v>1809</v>
      </c>
      <c r="D331" s="490" t="str">
        <f t="shared" si="15"/>
        <v>A0550:(株)エコログ</v>
      </c>
      <c r="I331" s="125" t="s">
        <v>1055</v>
      </c>
      <c r="J331" s="125" t="s">
        <v>1565</v>
      </c>
      <c r="K331" s="182" t="s">
        <v>1999</v>
      </c>
      <c r="L331" s="182">
        <v>3.6200000000000002E-4</v>
      </c>
      <c r="M331" s="182">
        <v>3.6200000000000002E-4</v>
      </c>
      <c r="N331" s="182">
        <v>3.6200000000000002E-4</v>
      </c>
      <c r="O331" s="182">
        <v>3.6200000000000002E-4</v>
      </c>
      <c r="P331" s="182">
        <v>3.6200000000000002E-4</v>
      </c>
      <c r="R331" s="155" t="str">
        <f t="shared" si="16"/>
        <v>A0122:アーバンエナジー(株)メニューF</v>
      </c>
      <c r="S331" s="181">
        <f t="shared" si="17"/>
        <v>3.6200000000000002E-4</v>
      </c>
    </row>
    <row r="332" spans="2:19">
      <c r="B332" s="121" t="s">
        <v>1300</v>
      </c>
      <c r="C332" s="490" t="s">
        <v>1810</v>
      </c>
      <c r="D332" s="490" t="str">
        <f t="shared" si="15"/>
        <v>A0551:飯田まちづくり電力(株)</v>
      </c>
      <c r="I332" s="125" t="s">
        <v>1055</v>
      </c>
      <c r="J332" s="125" t="s">
        <v>1565</v>
      </c>
      <c r="K332" s="182" t="s">
        <v>2000</v>
      </c>
      <c r="L332" s="182">
        <v>3.8000000000000002E-4</v>
      </c>
      <c r="M332" s="182">
        <v>3.8000000000000002E-4</v>
      </c>
      <c r="N332" s="182">
        <v>3.8000000000000002E-4</v>
      </c>
      <c r="O332" s="182">
        <v>3.8000000000000002E-4</v>
      </c>
      <c r="P332" s="182">
        <v>3.8000000000000002E-4</v>
      </c>
      <c r="R332" s="155" t="str">
        <f t="shared" si="16"/>
        <v>A0122:アーバンエナジー(株)メニューG</v>
      </c>
      <c r="S332" s="181">
        <f t="shared" si="17"/>
        <v>3.8000000000000002E-4</v>
      </c>
    </row>
    <row r="333" spans="2:19">
      <c r="B333" s="121" t="s">
        <v>1301</v>
      </c>
      <c r="C333" s="490" t="s">
        <v>1811</v>
      </c>
      <c r="D333" s="490" t="str">
        <f t="shared" si="15"/>
        <v>A0552:イワタニ長野(株)</v>
      </c>
      <c r="I333" s="125" t="s">
        <v>1055</v>
      </c>
      <c r="J333" s="125" t="s">
        <v>1565</v>
      </c>
      <c r="K333" s="182" t="s">
        <v>1998</v>
      </c>
      <c r="L333" s="182">
        <v>1.65E-4</v>
      </c>
      <c r="M333" s="182">
        <v>1.65E-4</v>
      </c>
      <c r="N333" s="182">
        <v>1.65E-4</v>
      </c>
      <c r="O333" s="182">
        <v>1.65E-4</v>
      </c>
      <c r="P333" s="182">
        <v>1.65E-4</v>
      </c>
      <c r="R333" s="155" t="str">
        <f t="shared" si="16"/>
        <v>A0122:アーバンエナジー(株)(参考値)事業者全体</v>
      </c>
      <c r="S333" s="181">
        <f t="shared" si="17"/>
        <v>1.65E-4</v>
      </c>
    </row>
    <row r="334" spans="2:19">
      <c r="B334" s="121" t="s">
        <v>1302</v>
      </c>
      <c r="C334" s="490" t="s">
        <v>1812</v>
      </c>
      <c r="D334" s="490" t="str">
        <f t="shared" si="15"/>
        <v>A0553:シェルジャパン(株)</v>
      </c>
      <c r="I334" s="125" t="s">
        <v>1056</v>
      </c>
      <c r="J334" s="125" t="s">
        <v>1566</v>
      </c>
      <c r="K334" s="182"/>
      <c r="L334" s="182">
        <v>1.2019999999999999E-3</v>
      </c>
      <c r="M334" s="182">
        <v>1.2019999999999999E-3</v>
      </c>
      <c r="N334" s="182">
        <v>1.2019999999999999E-3</v>
      </c>
      <c r="O334" s="182">
        <v>1.2019999999999999E-3</v>
      </c>
      <c r="P334" s="182">
        <v>1.2019999999999999E-3</v>
      </c>
      <c r="R334" s="155" t="str">
        <f t="shared" si="16"/>
        <v>A0123:パワーネクスト(株)</v>
      </c>
      <c r="S334" s="181">
        <f t="shared" si="17"/>
        <v>1.2019999999999999E-3</v>
      </c>
    </row>
    <row r="335" spans="2:19">
      <c r="B335" s="121" t="s">
        <v>1303</v>
      </c>
      <c r="C335" s="490" t="s">
        <v>1813</v>
      </c>
      <c r="D335" s="490" t="str">
        <f t="shared" si="15"/>
        <v>A0555:石油資源開発(株)</v>
      </c>
      <c r="I335" s="125" t="s">
        <v>1057</v>
      </c>
      <c r="J335" s="125" t="s">
        <v>1567</v>
      </c>
      <c r="K335" s="182" t="s">
        <v>652</v>
      </c>
      <c r="L335" s="182">
        <v>0</v>
      </c>
      <c r="M335" s="182">
        <v>0</v>
      </c>
      <c r="N335" s="182">
        <v>0</v>
      </c>
      <c r="O335" s="182">
        <v>0</v>
      </c>
      <c r="P335" s="182">
        <v>0</v>
      </c>
      <c r="R335" s="155" t="str">
        <f t="shared" si="16"/>
        <v>A0124:合同会社北上新電力メニューA</v>
      </c>
      <c r="S335" s="181">
        <f t="shared" si="17"/>
        <v>0</v>
      </c>
    </row>
    <row r="336" spans="2:19">
      <c r="B336" s="121" t="s">
        <v>1304</v>
      </c>
      <c r="C336" s="490" t="s">
        <v>1814</v>
      </c>
      <c r="D336" s="490" t="str">
        <f t="shared" si="15"/>
        <v>A0556:越後天然ガス(株)</v>
      </c>
      <c r="I336" s="125" t="s">
        <v>1057</v>
      </c>
      <c r="J336" s="125" t="s">
        <v>1567</v>
      </c>
      <c r="K336" s="182" t="s">
        <v>729</v>
      </c>
      <c r="L336" s="182">
        <v>6.1600000000000001E-4</v>
      </c>
      <c r="M336" s="182">
        <v>6.1600000000000001E-4</v>
      </c>
      <c r="N336" s="182">
        <v>6.1600000000000001E-4</v>
      </c>
      <c r="O336" s="182">
        <v>6.1600000000000001E-4</v>
      </c>
      <c r="P336" s="182">
        <v>6.1600000000000001E-4</v>
      </c>
      <c r="R336" s="155" t="str">
        <f t="shared" si="16"/>
        <v>A0124:合同会社北上新電力メニューB</v>
      </c>
      <c r="S336" s="181">
        <f t="shared" si="17"/>
        <v>6.1600000000000001E-4</v>
      </c>
    </row>
    <row r="337" spans="2:19">
      <c r="B337" s="121" t="s">
        <v>1305</v>
      </c>
      <c r="C337" s="490" t="s">
        <v>1815</v>
      </c>
      <c r="D337" s="490" t="str">
        <f t="shared" si="15"/>
        <v>A0558:坂戸ガス(株)</v>
      </c>
      <c r="I337" s="125" t="s">
        <v>1057</v>
      </c>
      <c r="J337" s="125" t="s">
        <v>1567</v>
      </c>
      <c r="K337" s="182" t="s">
        <v>1998</v>
      </c>
      <c r="L337" s="182">
        <v>6.1600000000000001E-4</v>
      </c>
      <c r="M337" s="182">
        <v>6.1600000000000001E-4</v>
      </c>
      <c r="N337" s="182">
        <v>6.1600000000000001E-4</v>
      </c>
      <c r="O337" s="182">
        <v>6.1600000000000001E-4</v>
      </c>
      <c r="P337" s="182">
        <v>6.1600000000000001E-4</v>
      </c>
      <c r="R337" s="155" t="str">
        <f t="shared" si="16"/>
        <v>A0124:合同会社北上新電力(参考値)事業者全体</v>
      </c>
      <c r="S337" s="181">
        <f t="shared" si="17"/>
        <v>6.1600000000000001E-4</v>
      </c>
    </row>
    <row r="338" spans="2:19">
      <c r="B338" s="121" t="s">
        <v>1306</v>
      </c>
      <c r="C338" s="490" t="s">
        <v>1816</v>
      </c>
      <c r="D338" s="490" t="str">
        <f t="shared" si="15"/>
        <v>A0559:(株)デベロップ</v>
      </c>
      <c r="I338" s="125" t="s">
        <v>1058</v>
      </c>
      <c r="J338" s="125" t="s">
        <v>1568</v>
      </c>
      <c r="K338" s="182" t="s">
        <v>652</v>
      </c>
      <c r="L338" s="182">
        <v>0</v>
      </c>
      <c r="M338" s="182">
        <v>0</v>
      </c>
      <c r="N338" s="182">
        <v>0</v>
      </c>
      <c r="O338" s="182">
        <v>0</v>
      </c>
      <c r="P338" s="182">
        <v>0</v>
      </c>
      <c r="R338" s="155" t="str">
        <f t="shared" si="16"/>
        <v>A0126:(株)タクマエナジーメニューA</v>
      </c>
      <c r="S338" s="181">
        <f t="shared" si="17"/>
        <v>0</v>
      </c>
    </row>
    <row r="339" spans="2:19">
      <c r="B339" s="121" t="s">
        <v>1307</v>
      </c>
      <c r="C339" s="490" t="s">
        <v>1817</v>
      </c>
      <c r="D339" s="490" t="str">
        <f t="shared" si="15"/>
        <v>A0560:(株)テレ・マーカー</v>
      </c>
      <c r="I339" s="125" t="s">
        <v>1058</v>
      </c>
      <c r="J339" s="125" t="s">
        <v>1568</v>
      </c>
      <c r="K339" s="182" t="s">
        <v>729</v>
      </c>
      <c r="L339" s="182">
        <v>0</v>
      </c>
      <c r="M339" s="182">
        <v>0</v>
      </c>
      <c r="N339" s="182">
        <v>0</v>
      </c>
      <c r="O339" s="182">
        <v>0</v>
      </c>
      <c r="P339" s="182">
        <v>0</v>
      </c>
      <c r="R339" s="155" t="str">
        <f t="shared" si="16"/>
        <v>A0126:(株)タクマエナジーメニューB</v>
      </c>
      <c r="S339" s="181">
        <f t="shared" si="17"/>
        <v>0</v>
      </c>
    </row>
    <row r="340" spans="2:19">
      <c r="B340" s="121" t="s">
        <v>1308</v>
      </c>
      <c r="C340" s="490" t="s">
        <v>1818</v>
      </c>
      <c r="D340" s="490" t="str">
        <f t="shared" si="15"/>
        <v>A0562:MGCエネルギー(株)</v>
      </c>
      <c r="I340" s="125" t="s">
        <v>1058</v>
      </c>
      <c r="J340" s="125" t="s">
        <v>1568</v>
      </c>
      <c r="K340" s="182" t="s">
        <v>730</v>
      </c>
      <c r="L340" s="182">
        <v>0</v>
      </c>
      <c r="M340" s="182">
        <v>0</v>
      </c>
      <c r="N340" s="182">
        <v>0</v>
      </c>
      <c r="O340" s="182">
        <v>0</v>
      </c>
      <c r="P340" s="182">
        <v>0</v>
      </c>
      <c r="R340" s="155" t="str">
        <f t="shared" si="16"/>
        <v>A0126:(株)タクマエナジーメニューC</v>
      </c>
      <c r="S340" s="181">
        <f t="shared" si="17"/>
        <v>0</v>
      </c>
    </row>
    <row r="341" spans="2:19">
      <c r="B341" s="121" t="s">
        <v>1309</v>
      </c>
      <c r="C341" s="490" t="s">
        <v>1819</v>
      </c>
      <c r="D341" s="490" t="str">
        <f t="shared" si="15"/>
        <v>A0565:福島フェニックス電力(株)</v>
      </c>
      <c r="I341" s="125" t="s">
        <v>1058</v>
      </c>
      <c r="J341" s="125" t="s">
        <v>1568</v>
      </c>
      <c r="K341" s="182" t="s">
        <v>915</v>
      </c>
      <c r="L341" s="182">
        <v>0</v>
      </c>
      <c r="M341" s="182">
        <v>0</v>
      </c>
      <c r="N341" s="182">
        <v>0</v>
      </c>
      <c r="O341" s="182">
        <v>0</v>
      </c>
      <c r="P341" s="182">
        <v>0</v>
      </c>
      <c r="R341" s="155" t="str">
        <f t="shared" si="16"/>
        <v>A0126:(株)タクマエナジーメニューD</v>
      </c>
      <c r="S341" s="181">
        <f t="shared" si="17"/>
        <v>0</v>
      </c>
    </row>
    <row r="342" spans="2:19">
      <c r="B342" s="121" t="s">
        <v>1310</v>
      </c>
      <c r="C342" s="490" t="s">
        <v>1820</v>
      </c>
      <c r="D342" s="490" t="str">
        <f t="shared" si="15"/>
        <v>A0567:(株)美作国電力</v>
      </c>
      <c r="I342" s="125" t="s">
        <v>1058</v>
      </c>
      <c r="J342" s="125" t="s">
        <v>1568</v>
      </c>
      <c r="K342" s="182" t="s">
        <v>916</v>
      </c>
      <c r="L342" s="182">
        <v>0</v>
      </c>
      <c r="M342" s="182">
        <v>0</v>
      </c>
      <c r="N342" s="182">
        <v>0</v>
      </c>
      <c r="O342" s="182">
        <v>0</v>
      </c>
      <c r="P342" s="182">
        <v>0</v>
      </c>
      <c r="R342" s="155" t="str">
        <f t="shared" si="16"/>
        <v>A0126:(株)タクマエナジーメニューE</v>
      </c>
      <c r="S342" s="181">
        <f t="shared" si="17"/>
        <v>0</v>
      </c>
    </row>
    <row r="343" spans="2:19">
      <c r="B343" s="121" t="s">
        <v>1311</v>
      </c>
      <c r="C343" s="490" t="s">
        <v>1821</v>
      </c>
      <c r="D343" s="490" t="str">
        <f t="shared" si="15"/>
        <v>A0570:八幡商事(株)</v>
      </c>
      <c r="I343" s="125" t="s">
        <v>1058</v>
      </c>
      <c r="J343" s="125" t="s">
        <v>1568</v>
      </c>
      <c r="K343" s="182" t="s">
        <v>1999</v>
      </c>
      <c r="L343" s="182">
        <v>0</v>
      </c>
      <c r="M343" s="182">
        <v>0</v>
      </c>
      <c r="N343" s="182">
        <v>0</v>
      </c>
      <c r="O343" s="182">
        <v>0</v>
      </c>
      <c r="P343" s="182">
        <v>0</v>
      </c>
      <c r="R343" s="155" t="str">
        <f t="shared" si="16"/>
        <v>A0126:(株)タクマエナジーメニューF</v>
      </c>
      <c r="S343" s="181">
        <f t="shared" si="17"/>
        <v>0</v>
      </c>
    </row>
    <row r="344" spans="2:19">
      <c r="B344" s="121" t="s">
        <v>1312</v>
      </c>
      <c r="C344" s="490" t="s">
        <v>1822</v>
      </c>
      <c r="D344" s="490" t="str">
        <f t="shared" si="15"/>
        <v>A0571:おいでんエネルギー(株)</v>
      </c>
      <c r="I344" s="125" t="s">
        <v>1058</v>
      </c>
      <c r="J344" s="125" t="s">
        <v>1568</v>
      </c>
      <c r="K344" s="182" t="s">
        <v>2000</v>
      </c>
      <c r="L344" s="182">
        <v>0</v>
      </c>
      <c r="M344" s="182">
        <v>0</v>
      </c>
      <c r="N344" s="182">
        <v>0</v>
      </c>
      <c r="O344" s="182">
        <v>0</v>
      </c>
      <c r="P344" s="182">
        <v>0</v>
      </c>
      <c r="R344" s="155" t="str">
        <f t="shared" si="16"/>
        <v>A0126:(株)タクマエナジーメニューG</v>
      </c>
      <c r="S344" s="181">
        <f t="shared" si="17"/>
        <v>0</v>
      </c>
    </row>
    <row r="345" spans="2:19">
      <c r="B345" s="121" t="s">
        <v>1313</v>
      </c>
      <c r="C345" s="490" t="s">
        <v>1823</v>
      </c>
      <c r="D345" s="490" t="str">
        <f t="shared" si="15"/>
        <v>A0572:(株)イシオ</v>
      </c>
      <c r="I345" s="125" t="s">
        <v>1058</v>
      </c>
      <c r="J345" s="125" t="s">
        <v>1568</v>
      </c>
      <c r="K345" s="182" t="s">
        <v>2001</v>
      </c>
      <c r="L345" s="182">
        <v>0</v>
      </c>
      <c r="M345" s="182">
        <v>0</v>
      </c>
      <c r="N345" s="182">
        <v>0</v>
      </c>
      <c r="O345" s="182">
        <v>0</v>
      </c>
      <c r="P345" s="182">
        <v>0</v>
      </c>
      <c r="R345" s="155" t="str">
        <f t="shared" si="16"/>
        <v>A0126:(株)タクマエナジーメニューH</v>
      </c>
      <c r="S345" s="181">
        <f t="shared" si="17"/>
        <v>0</v>
      </c>
    </row>
    <row r="346" spans="2:19">
      <c r="B346" s="121" t="s">
        <v>1314</v>
      </c>
      <c r="C346" s="490" t="s">
        <v>1824</v>
      </c>
      <c r="D346" s="490" t="str">
        <f t="shared" si="15"/>
        <v>A0573:北陸電力ビズ・エナジーソリューション(株)</v>
      </c>
      <c r="I346" s="125" t="s">
        <v>1058</v>
      </c>
      <c r="J346" s="125" t="s">
        <v>1568</v>
      </c>
      <c r="K346" s="182" t="s">
        <v>2002</v>
      </c>
      <c r="L346" s="182">
        <v>0</v>
      </c>
      <c r="M346" s="182">
        <v>0</v>
      </c>
      <c r="N346" s="182">
        <v>0</v>
      </c>
      <c r="O346" s="182">
        <v>0</v>
      </c>
      <c r="P346" s="182">
        <v>0</v>
      </c>
      <c r="R346" s="155" t="str">
        <f t="shared" si="16"/>
        <v>A0126:(株)タクマエナジーメニューI</v>
      </c>
      <c r="S346" s="181">
        <f t="shared" si="17"/>
        <v>0</v>
      </c>
    </row>
    <row r="347" spans="2:19">
      <c r="B347" s="121" t="s">
        <v>1315</v>
      </c>
      <c r="C347" s="490" t="s">
        <v>1825</v>
      </c>
      <c r="D347" s="490" t="str">
        <f t="shared" si="15"/>
        <v>A0574:リニューアブルトレード(株)</v>
      </c>
      <c r="I347" s="125" t="s">
        <v>1058</v>
      </c>
      <c r="J347" s="125" t="s">
        <v>1568</v>
      </c>
      <c r="K347" s="182" t="s">
        <v>2003</v>
      </c>
      <c r="L347" s="182">
        <v>7.7300000000000003E-4</v>
      </c>
      <c r="M347" s="182">
        <v>7.7300000000000003E-4</v>
      </c>
      <c r="N347" s="182">
        <v>7.7300000000000003E-4</v>
      </c>
      <c r="O347" s="182">
        <v>7.7300000000000003E-4</v>
      </c>
      <c r="P347" s="182">
        <v>7.7300000000000003E-4</v>
      </c>
      <c r="R347" s="155" t="str">
        <f t="shared" si="16"/>
        <v>A0126:(株)タクマエナジーメニューJ</v>
      </c>
      <c r="S347" s="181">
        <f t="shared" si="17"/>
        <v>7.7300000000000003E-4</v>
      </c>
    </row>
    <row r="348" spans="2:19">
      <c r="B348" s="121" t="s">
        <v>1316</v>
      </c>
      <c r="C348" s="490" t="s">
        <v>1826</v>
      </c>
      <c r="D348" s="490" t="str">
        <f t="shared" si="15"/>
        <v>A0577:ICT伊那みらいでんき(株)(旧:丸紅伊那みらいでんき(株))</v>
      </c>
      <c r="I348" s="125" t="s">
        <v>1058</v>
      </c>
      <c r="J348" s="125" t="s">
        <v>1568</v>
      </c>
      <c r="K348" s="182" t="s">
        <v>1998</v>
      </c>
      <c r="L348" s="182">
        <v>3.5199999999999999E-4</v>
      </c>
      <c r="M348" s="182">
        <v>3.5199999999999999E-4</v>
      </c>
      <c r="N348" s="182">
        <v>3.5199999999999999E-4</v>
      </c>
      <c r="O348" s="182">
        <v>3.5199999999999999E-4</v>
      </c>
      <c r="P348" s="182">
        <v>3.5199999999999999E-4</v>
      </c>
      <c r="R348" s="155" t="str">
        <f t="shared" si="16"/>
        <v>A0126:(株)タクマエナジー(参考値)事業者全体</v>
      </c>
      <c r="S348" s="181">
        <f t="shared" si="17"/>
        <v>3.5199999999999999E-4</v>
      </c>
    </row>
    <row r="349" spans="2:19">
      <c r="B349" s="121" t="s">
        <v>1317</v>
      </c>
      <c r="C349" s="490" t="s">
        <v>1827</v>
      </c>
      <c r="D349" s="490" t="str">
        <f t="shared" si="15"/>
        <v>A0578:富士山エナジー(株)</v>
      </c>
      <c r="I349" s="125" t="s">
        <v>1059</v>
      </c>
      <c r="J349" s="125" t="s">
        <v>1569</v>
      </c>
      <c r="K349" s="182" t="s">
        <v>652</v>
      </c>
      <c r="L349" s="182">
        <v>0</v>
      </c>
      <c r="M349" s="182">
        <v>0</v>
      </c>
      <c r="N349" s="182">
        <v>0</v>
      </c>
      <c r="O349" s="182">
        <v>0</v>
      </c>
      <c r="P349" s="182">
        <v>0</v>
      </c>
      <c r="R349" s="155" t="str">
        <f t="shared" si="16"/>
        <v>A0130:丸紅新電力(株)メニューA</v>
      </c>
      <c r="S349" s="181">
        <f t="shared" si="17"/>
        <v>0</v>
      </c>
    </row>
    <row r="350" spans="2:19">
      <c r="B350" s="121" t="s">
        <v>1318</v>
      </c>
      <c r="C350" s="490" t="s">
        <v>1828</v>
      </c>
      <c r="D350" s="490" t="str">
        <f t="shared" si="15"/>
        <v>A0581:WSエナジー(株)</v>
      </c>
      <c r="I350" s="125" t="s">
        <v>1059</v>
      </c>
      <c r="J350" s="125" t="s">
        <v>1569</v>
      </c>
      <c r="K350" s="182" t="s">
        <v>729</v>
      </c>
      <c r="L350" s="182">
        <v>1.6699999999999999E-4</v>
      </c>
      <c r="M350" s="182">
        <v>1.6699999999999999E-4</v>
      </c>
      <c r="N350" s="182">
        <v>1.6699999999999999E-4</v>
      </c>
      <c r="O350" s="182">
        <v>1.6699999999999999E-4</v>
      </c>
      <c r="P350" s="182">
        <v>1.6699999999999999E-4</v>
      </c>
      <c r="R350" s="155" t="str">
        <f t="shared" si="16"/>
        <v>A0130:丸紅新電力(株)メニューB</v>
      </c>
      <c r="S350" s="181">
        <f t="shared" si="17"/>
        <v>1.6699999999999999E-4</v>
      </c>
    </row>
    <row r="351" spans="2:19">
      <c r="B351" s="121" t="s">
        <v>1319</v>
      </c>
      <c r="C351" s="490" t="s">
        <v>1829</v>
      </c>
      <c r="D351" s="490" t="str">
        <f t="shared" si="15"/>
        <v>A0582:TERA Energy(株)</v>
      </c>
      <c r="I351" s="125" t="s">
        <v>1059</v>
      </c>
      <c r="J351" s="125" t="s">
        <v>1569</v>
      </c>
      <c r="K351" s="182" t="s">
        <v>730</v>
      </c>
      <c r="L351" s="182">
        <v>2.5300000000000002E-4</v>
      </c>
      <c r="M351" s="182">
        <v>2.5300000000000002E-4</v>
      </c>
      <c r="N351" s="182">
        <v>2.5300000000000002E-4</v>
      </c>
      <c r="O351" s="182">
        <v>2.5300000000000002E-4</v>
      </c>
      <c r="P351" s="182">
        <v>2.5300000000000002E-4</v>
      </c>
      <c r="R351" s="155" t="str">
        <f t="shared" si="16"/>
        <v>A0130:丸紅新電力(株)メニューC</v>
      </c>
      <c r="S351" s="181">
        <f t="shared" si="17"/>
        <v>2.5300000000000002E-4</v>
      </c>
    </row>
    <row r="352" spans="2:19">
      <c r="B352" s="121" t="s">
        <v>1320</v>
      </c>
      <c r="C352" s="490" t="s">
        <v>1830</v>
      </c>
      <c r="D352" s="490" t="str">
        <f t="shared" si="15"/>
        <v>A0584:MCPD(株)</v>
      </c>
      <c r="I352" s="125" t="s">
        <v>1059</v>
      </c>
      <c r="J352" s="125" t="s">
        <v>1569</v>
      </c>
      <c r="K352" s="182" t="s">
        <v>915</v>
      </c>
      <c r="L352" s="182">
        <v>2.7399999999999999E-4</v>
      </c>
      <c r="M352" s="182">
        <v>2.7399999999999999E-4</v>
      </c>
      <c r="N352" s="182">
        <v>2.7399999999999999E-4</v>
      </c>
      <c r="O352" s="182">
        <v>2.7399999999999999E-4</v>
      </c>
      <c r="P352" s="182">
        <v>2.7399999999999999E-4</v>
      </c>
      <c r="R352" s="155" t="str">
        <f t="shared" si="16"/>
        <v>A0130:丸紅新電力(株)メニューD</v>
      </c>
      <c r="S352" s="181">
        <f t="shared" si="17"/>
        <v>2.7399999999999999E-4</v>
      </c>
    </row>
    <row r="353" spans="2:19">
      <c r="B353" s="121" t="s">
        <v>1321</v>
      </c>
      <c r="C353" s="490" t="s">
        <v>1831</v>
      </c>
      <c r="D353" s="490" t="str">
        <f t="shared" si="15"/>
        <v>A0586:グリーンシティこばやし(株)</v>
      </c>
      <c r="I353" s="125" t="s">
        <v>1059</v>
      </c>
      <c r="J353" s="125" t="s">
        <v>1569</v>
      </c>
      <c r="K353" s="182" t="s">
        <v>916</v>
      </c>
      <c r="L353" s="182">
        <v>2.9500000000000001E-4</v>
      </c>
      <c r="M353" s="182">
        <v>2.9500000000000001E-4</v>
      </c>
      <c r="N353" s="182">
        <v>2.9500000000000001E-4</v>
      </c>
      <c r="O353" s="182">
        <v>2.9500000000000001E-4</v>
      </c>
      <c r="P353" s="182">
        <v>2.9500000000000001E-4</v>
      </c>
      <c r="R353" s="155" t="str">
        <f t="shared" si="16"/>
        <v>A0130:丸紅新電力(株)メニューE</v>
      </c>
      <c r="S353" s="181">
        <f t="shared" si="17"/>
        <v>2.9500000000000001E-4</v>
      </c>
    </row>
    <row r="354" spans="2:19">
      <c r="B354" s="121" t="s">
        <v>1322</v>
      </c>
      <c r="C354" s="490" t="s">
        <v>1832</v>
      </c>
      <c r="D354" s="490" t="str">
        <f t="shared" si="15"/>
        <v>A0587:(株)吉田石油店</v>
      </c>
      <c r="I354" s="125" t="s">
        <v>1059</v>
      </c>
      <c r="J354" s="125" t="s">
        <v>1569</v>
      </c>
      <c r="K354" s="182" t="s">
        <v>1999</v>
      </c>
      <c r="L354" s="182">
        <v>3.8699999999999997E-4</v>
      </c>
      <c r="M354" s="182">
        <v>3.8699999999999997E-4</v>
      </c>
      <c r="N354" s="182">
        <v>3.8699999999999997E-4</v>
      </c>
      <c r="O354" s="182">
        <v>3.8699999999999997E-4</v>
      </c>
      <c r="P354" s="182">
        <v>3.8699999999999997E-4</v>
      </c>
      <c r="R354" s="155" t="str">
        <f t="shared" si="16"/>
        <v>A0130:丸紅新電力(株)メニューF</v>
      </c>
      <c r="S354" s="181">
        <f t="shared" si="17"/>
        <v>3.8699999999999997E-4</v>
      </c>
    </row>
    <row r="355" spans="2:19">
      <c r="B355" s="121" t="s">
        <v>1323</v>
      </c>
      <c r="C355" s="490" t="s">
        <v>1833</v>
      </c>
      <c r="D355" s="490" t="str">
        <f t="shared" si="15"/>
        <v>A0589:スマートエナジー熊本(株)</v>
      </c>
      <c r="I355" s="125" t="s">
        <v>1059</v>
      </c>
      <c r="J355" s="125" t="s">
        <v>1569</v>
      </c>
      <c r="K355" s="182" t="s">
        <v>2000</v>
      </c>
      <c r="L355" s="182">
        <v>0</v>
      </c>
      <c r="M355" s="182">
        <v>0</v>
      </c>
      <c r="N355" s="182">
        <v>0</v>
      </c>
      <c r="O355" s="182">
        <v>0</v>
      </c>
      <c r="P355" s="182">
        <v>0</v>
      </c>
      <c r="R355" s="155" t="str">
        <f t="shared" si="16"/>
        <v>A0130:丸紅新電力(株)メニューG</v>
      </c>
      <c r="S355" s="181">
        <f t="shared" si="17"/>
        <v>0</v>
      </c>
    </row>
    <row r="356" spans="2:19">
      <c r="B356" s="121" t="s">
        <v>1324</v>
      </c>
      <c r="C356" s="490" t="s">
        <v>1834</v>
      </c>
      <c r="D356" s="490" t="str">
        <f t="shared" si="15"/>
        <v>A0590:福山未来エナジー(株)</v>
      </c>
      <c r="I356" s="125" t="s">
        <v>1059</v>
      </c>
      <c r="J356" s="125" t="s">
        <v>1569</v>
      </c>
      <c r="K356" s="182" t="s">
        <v>2001</v>
      </c>
      <c r="L356" s="182">
        <v>0</v>
      </c>
      <c r="M356" s="182">
        <v>0</v>
      </c>
      <c r="N356" s="182">
        <v>0</v>
      </c>
      <c r="O356" s="182">
        <v>0</v>
      </c>
      <c r="P356" s="182">
        <v>0</v>
      </c>
      <c r="R356" s="155" t="str">
        <f t="shared" si="16"/>
        <v>A0130:丸紅新電力(株)メニューH</v>
      </c>
      <c r="S356" s="181">
        <f t="shared" si="17"/>
        <v>0</v>
      </c>
    </row>
    <row r="357" spans="2:19">
      <c r="B357" s="121" t="s">
        <v>1325</v>
      </c>
      <c r="C357" s="490" t="s">
        <v>1835</v>
      </c>
      <c r="D357" s="490" t="str">
        <f t="shared" si="15"/>
        <v>A0596:五島市民電力(株)</v>
      </c>
      <c r="I357" s="125" t="s">
        <v>1059</v>
      </c>
      <c r="J357" s="125" t="s">
        <v>1569</v>
      </c>
      <c r="K357" s="182" t="s">
        <v>2002</v>
      </c>
      <c r="L357" s="182">
        <v>3.3E-4</v>
      </c>
      <c r="M357" s="182">
        <v>3.3E-4</v>
      </c>
      <c r="N357" s="182">
        <v>3.3E-4</v>
      </c>
      <c r="O357" s="182">
        <v>3.3E-4</v>
      </c>
      <c r="P357" s="182">
        <v>3.3E-4</v>
      </c>
      <c r="R357" s="155" t="str">
        <f t="shared" si="16"/>
        <v>A0130:丸紅新電力(株)メニューI</v>
      </c>
      <c r="S357" s="181">
        <f t="shared" si="17"/>
        <v>3.3E-4</v>
      </c>
    </row>
    <row r="358" spans="2:19">
      <c r="B358" s="121" t="s">
        <v>1326</v>
      </c>
      <c r="C358" s="490" t="s">
        <v>1836</v>
      </c>
      <c r="D358" s="490" t="str">
        <f t="shared" si="15"/>
        <v>A0598:リストプロパティーズ(株)</v>
      </c>
      <c r="I358" s="125" t="s">
        <v>1059</v>
      </c>
      <c r="J358" s="125" t="s">
        <v>1569</v>
      </c>
      <c r="K358" s="182" t="s">
        <v>2003</v>
      </c>
      <c r="L358" s="182">
        <v>0</v>
      </c>
      <c r="M358" s="182">
        <v>0</v>
      </c>
      <c r="N358" s="182">
        <v>0</v>
      </c>
      <c r="O358" s="182">
        <v>0</v>
      </c>
      <c r="P358" s="182">
        <v>0</v>
      </c>
      <c r="R358" s="155" t="str">
        <f t="shared" si="16"/>
        <v>A0130:丸紅新電力(株)メニューJ</v>
      </c>
      <c r="S358" s="181">
        <f t="shared" si="17"/>
        <v>0</v>
      </c>
    </row>
    <row r="359" spans="2:19">
      <c r="B359" s="121" t="s">
        <v>1327</v>
      </c>
      <c r="C359" s="490" t="s">
        <v>1837</v>
      </c>
      <c r="D359" s="490" t="str">
        <f t="shared" si="15"/>
        <v>A0602:(株)情熱電力</v>
      </c>
      <c r="I359" s="125" t="s">
        <v>1059</v>
      </c>
      <c r="J359" s="125" t="s">
        <v>1569</v>
      </c>
      <c r="K359" s="182" t="s">
        <v>2004</v>
      </c>
      <c r="L359" s="182">
        <v>6.5700000000000003E-4</v>
      </c>
      <c r="M359" s="182">
        <v>6.5700000000000003E-4</v>
      </c>
      <c r="N359" s="182">
        <v>6.5700000000000003E-4</v>
      </c>
      <c r="O359" s="182">
        <v>6.5700000000000003E-4</v>
      </c>
      <c r="P359" s="182">
        <v>6.5700000000000003E-4</v>
      </c>
      <c r="R359" s="155" t="str">
        <f t="shared" si="16"/>
        <v>A0130:丸紅新電力(株)メニューK</v>
      </c>
      <c r="S359" s="181">
        <f t="shared" si="17"/>
        <v>6.5700000000000003E-4</v>
      </c>
    </row>
    <row r="360" spans="2:19">
      <c r="B360" s="121" t="s">
        <v>1328</v>
      </c>
      <c r="C360" s="490" t="s">
        <v>1838</v>
      </c>
      <c r="D360" s="490" t="str">
        <f t="shared" si="15"/>
        <v>A0603:バンプーパワートレーディング合同会社</v>
      </c>
      <c r="I360" s="125" t="s">
        <v>1059</v>
      </c>
      <c r="J360" s="125" t="s">
        <v>1569</v>
      </c>
      <c r="K360" s="182" t="s">
        <v>1998</v>
      </c>
      <c r="L360" s="182">
        <v>4.5399999999999998E-4</v>
      </c>
      <c r="M360" s="182">
        <v>4.5399999999999998E-4</v>
      </c>
      <c r="N360" s="182">
        <v>4.5399999999999998E-4</v>
      </c>
      <c r="O360" s="182">
        <v>4.5399999999999998E-4</v>
      </c>
      <c r="P360" s="182">
        <v>4.5399999999999998E-4</v>
      </c>
      <c r="R360" s="155" t="str">
        <f t="shared" si="16"/>
        <v>A0130:丸紅新電力(株)(参考値)事業者全体</v>
      </c>
      <c r="S360" s="181">
        <f t="shared" si="17"/>
        <v>4.5399999999999998E-4</v>
      </c>
    </row>
    <row r="361" spans="2:19">
      <c r="B361" s="121" t="s">
        <v>1329</v>
      </c>
      <c r="C361" s="490" t="s">
        <v>1839</v>
      </c>
      <c r="D361" s="490" t="str">
        <f t="shared" si="15"/>
        <v>A0605:(株)センカク</v>
      </c>
      <c r="I361" s="125" t="s">
        <v>1060</v>
      </c>
      <c r="J361" s="125" t="s">
        <v>1570</v>
      </c>
      <c r="K361" s="182"/>
      <c r="L361" s="182">
        <v>6.29E-4</v>
      </c>
      <c r="M361" s="182">
        <v>6.29E-4</v>
      </c>
      <c r="N361" s="182">
        <v>6.29E-4</v>
      </c>
      <c r="O361" s="182">
        <v>6.29E-4</v>
      </c>
      <c r="P361" s="182">
        <v>6.29E-4</v>
      </c>
      <c r="R361" s="155" t="str">
        <f t="shared" si="16"/>
        <v>A0133:奈良電力(株)</v>
      </c>
      <c r="S361" s="181">
        <f t="shared" si="17"/>
        <v>6.29E-4</v>
      </c>
    </row>
    <row r="362" spans="2:19">
      <c r="B362" s="121" t="s">
        <v>1330</v>
      </c>
      <c r="C362" s="490" t="s">
        <v>1840</v>
      </c>
      <c r="D362" s="490" t="str">
        <f t="shared" si="15"/>
        <v>A0609:(株)ミナサポ</v>
      </c>
      <c r="I362" s="125" t="s">
        <v>1061</v>
      </c>
      <c r="J362" s="125" t="s">
        <v>1571</v>
      </c>
      <c r="K362" s="182" t="s">
        <v>652</v>
      </c>
      <c r="L362" s="182">
        <v>0</v>
      </c>
      <c r="M362" s="182">
        <v>0</v>
      </c>
      <c r="N362" s="182">
        <v>0</v>
      </c>
      <c r="O362" s="182">
        <v>0</v>
      </c>
      <c r="P362" s="182">
        <v>0</v>
      </c>
      <c r="R362" s="155" t="str">
        <f t="shared" si="16"/>
        <v>A0134:カナデビア(株)（旧:日立造船(株)）メニューA</v>
      </c>
      <c r="S362" s="181">
        <f t="shared" si="17"/>
        <v>0</v>
      </c>
    </row>
    <row r="363" spans="2:19">
      <c r="B363" s="121" t="s">
        <v>1331</v>
      </c>
      <c r="C363" s="490" t="s">
        <v>1841</v>
      </c>
      <c r="D363" s="490" t="str">
        <f t="shared" si="15"/>
        <v>A0610:唐津電力(株)</v>
      </c>
      <c r="I363" s="125" t="s">
        <v>1061</v>
      </c>
      <c r="J363" s="125" t="s">
        <v>1571</v>
      </c>
      <c r="K363" s="182" t="s">
        <v>729</v>
      </c>
      <c r="L363" s="182">
        <v>0</v>
      </c>
      <c r="M363" s="182">
        <v>0</v>
      </c>
      <c r="N363" s="182">
        <v>0</v>
      </c>
      <c r="O363" s="182">
        <v>0</v>
      </c>
      <c r="P363" s="182">
        <v>0</v>
      </c>
      <c r="R363" s="155" t="str">
        <f t="shared" si="16"/>
        <v>A0134:カナデビア(株)（旧:日立造船(株)）メニューB</v>
      </c>
      <c r="S363" s="181">
        <f t="shared" si="17"/>
        <v>0</v>
      </c>
    </row>
    <row r="364" spans="2:19">
      <c r="B364" s="121" t="s">
        <v>1332</v>
      </c>
      <c r="C364" s="490" t="s">
        <v>1842</v>
      </c>
      <c r="D364" s="490" t="str">
        <f t="shared" si="15"/>
        <v>A0611:RE100電力(株)</v>
      </c>
      <c r="I364" s="125" t="s">
        <v>1061</v>
      </c>
      <c r="J364" s="125" t="s">
        <v>1571</v>
      </c>
      <c r="K364" s="182" t="s">
        <v>730</v>
      </c>
      <c r="L364" s="182">
        <v>2.0000000000000001E-4</v>
      </c>
      <c r="M364" s="182">
        <v>2.0000000000000001E-4</v>
      </c>
      <c r="N364" s="182">
        <v>2.0000000000000001E-4</v>
      </c>
      <c r="O364" s="182">
        <v>2.0000000000000001E-4</v>
      </c>
      <c r="P364" s="182">
        <v>2.0000000000000001E-4</v>
      </c>
      <c r="R364" s="155" t="str">
        <f t="shared" si="16"/>
        <v>A0134:カナデビア(株)（旧:日立造船(株)）メニューC</v>
      </c>
      <c r="S364" s="181">
        <f t="shared" si="17"/>
        <v>2.0000000000000001E-4</v>
      </c>
    </row>
    <row r="365" spans="2:19">
      <c r="B365" s="121" t="s">
        <v>1333</v>
      </c>
      <c r="C365" s="490" t="s">
        <v>1843</v>
      </c>
      <c r="D365" s="490" t="str">
        <f t="shared" si="15"/>
        <v>A0612:日本エネルギーファーム(株)</v>
      </c>
      <c r="I365" s="125" t="s">
        <v>1061</v>
      </c>
      <c r="J365" s="125" t="s">
        <v>1571</v>
      </c>
      <c r="K365" s="182" t="s">
        <v>1998</v>
      </c>
      <c r="L365" s="182">
        <v>1.18E-4</v>
      </c>
      <c r="M365" s="182">
        <v>1.18E-4</v>
      </c>
      <c r="N365" s="182">
        <v>1.18E-4</v>
      </c>
      <c r="O365" s="182">
        <v>1.18E-4</v>
      </c>
      <c r="P365" s="182">
        <v>1.18E-4</v>
      </c>
      <c r="R365" s="155" t="str">
        <f t="shared" si="16"/>
        <v>A0134:カナデビア(株)（旧:日立造船(株)）(参考値)事業者全体</v>
      </c>
      <c r="S365" s="181">
        <f t="shared" si="17"/>
        <v>1.18E-4</v>
      </c>
    </row>
    <row r="366" spans="2:19">
      <c r="B366" s="121" t="s">
        <v>1334</v>
      </c>
      <c r="C366" s="490" t="s">
        <v>1844</v>
      </c>
      <c r="D366" s="490" t="str">
        <f t="shared" si="15"/>
        <v>A0615:(株)イーネットワーク</v>
      </c>
      <c r="I366" s="125" t="s">
        <v>1062</v>
      </c>
      <c r="J366" s="125" t="s">
        <v>1572</v>
      </c>
      <c r="K366" s="182" t="s">
        <v>652</v>
      </c>
      <c r="L366" s="182">
        <v>0</v>
      </c>
      <c r="M366" s="182">
        <v>0</v>
      </c>
      <c r="N366" s="182">
        <v>0</v>
      </c>
      <c r="O366" s="182">
        <v>0</v>
      </c>
      <c r="P366" s="182">
        <v>0</v>
      </c>
      <c r="R366" s="155" t="str">
        <f t="shared" si="16"/>
        <v>A0135:大東ガス(株)メニューA</v>
      </c>
      <c r="S366" s="181">
        <f t="shared" si="17"/>
        <v>0</v>
      </c>
    </row>
    <row r="367" spans="2:19">
      <c r="B367" s="121" t="s">
        <v>1335</v>
      </c>
      <c r="C367" s="490" t="s">
        <v>1845</v>
      </c>
      <c r="D367" s="490" t="str">
        <f t="shared" si="15"/>
        <v>A0617:スマートエコエナジー(株)</v>
      </c>
      <c r="I367" s="125" t="s">
        <v>1062</v>
      </c>
      <c r="J367" s="125" t="s">
        <v>1572</v>
      </c>
      <c r="K367" s="182" t="s">
        <v>729</v>
      </c>
      <c r="L367" s="182">
        <v>4.17E-4</v>
      </c>
      <c r="M367" s="182">
        <v>4.17E-4</v>
      </c>
      <c r="N367" s="182">
        <v>4.17E-4</v>
      </c>
      <c r="O367" s="182">
        <v>4.17E-4</v>
      </c>
      <c r="P367" s="182">
        <v>4.17E-4</v>
      </c>
      <c r="R367" s="155" t="str">
        <f t="shared" si="16"/>
        <v>A0135:大東ガス(株)メニューB</v>
      </c>
      <c r="S367" s="181">
        <f t="shared" si="17"/>
        <v>4.17E-4</v>
      </c>
    </row>
    <row r="368" spans="2:19">
      <c r="B368" s="121" t="s">
        <v>1336</v>
      </c>
      <c r="C368" s="490" t="s">
        <v>1846</v>
      </c>
      <c r="D368" s="490" t="str">
        <f t="shared" si="15"/>
        <v>A0620:(株)LENETS</v>
      </c>
      <c r="I368" s="125" t="s">
        <v>1062</v>
      </c>
      <c r="J368" s="125" t="s">
        <v>1572</v>
      </c>
      <c r="K368" s="182" t="s">
        <v>1998</v>
      </c>
      <c r="L368" s="182">
        <v>3.6900000000000002E-4</v>
      </c>
      <c r="M368" s="182">
        <v>3.6900000000000002E-4</v>
      </c>
      <c r="N368" s="182">
        <v>3.6900000000000002E-4</v>
      </c>
      <c r="O368" s="182">
        <v>3.6900000000000002E-4</v>
      </c>
      <c r="P368" s="182">
        <v>3.6900000000000002E-4</v>
      </c>
      <c r="R368" s="155" t="str">
        <f t="shared" si="16"/>
        <v>A0135:大東ガス(株)(参考値)事業者全体</v>
      </c>
      <c r="S368" s="181">
        <f t="shared" si="17"/>
        <v>3.6900000000000002E-4</v>
      </c>
    </row>
    <row r="369" spans="2:19">
      <c r="B369" s="121" t="s">
        <v>1337</v>
      </c>
      <c r="C369" s="490" t="s">
        <v>1847</v>
      </c>
      <c r="D369" s="490" t="str">
        <f t="shared" si="15"/>
        <v>A0622:アイエスジー(株)</v>
      </c>
      <c r="I369" s="125" t="s">
        <v>1063</v>
      </c>
      <c r="J369" s="125" t="s">
        <v>1573</v>
      </c>
      <c r="K369" s="182" t="s">
        <v>652</v>
      </c>
      <c r="L369" s="182">
        <v>0</v>
      </c>
      <c r="M369" s="182">
        <v>0</v>
      </c>
      <c r="N369" s="182">
        <v>0</v>
      </c>
      <c r="O369" s="182">
        <v>0</v>
      </c>
      <c r="P369" s="182">
        <v>0</v>
      </c>
      <c r="R369" s="155" t="str">
        <f t="shared" si="16"/>
        <v>A0136:パナソニックオペレーショナルエクセレンス(株)メニューA</v>
      </c>
      <c r="S369" s="181">
        <f t="shared" si="17"/>
        <v>0</v>
      </c>
    </row>
    <row r="370" spans="2:19">
      <c r="B370" s="121" t="s">
        <v>1338</v>
      </c>
      <c r="C370" s="490" t="s">
        <v>1848</v>
      </c>
      <c r="D370" s="490" t="str">
        <f t="shared" si="15"/>
        <v>A0624:(株)エネクル</v>
      </c>
      <c r="I370" s="125" t="s">
        <v>1063</v>
      </c>
      <c r="J370" s="125" t="s">
        <v>1573</v>
      </c>
      <c r="K370" s="182" t="s">
        <v>729</v>
      </c>
      <c r="L370" s="182">
        <v>0</v>
      </c>
      <c r="M370" s="182">
        <v>0</v>
      </c>
      <c r="N370" s="182">
        <v>0</v>
      </c>
      <c r="O370" s="182">
        <v>0</v>
      </c>
      <c r="P370" s="182">
        <v>0</v>
      </c>
      <c r="R370" s="155" t="str">
        <f t="shared" si="16"/>
        <v>A0136:パナソニックオペレーショナルエクセレンス(株)メニューB</v>
      </c>
      <c r="S370" s="181">
        <f t="shared" si="17"/>
        <v>0</v>
      </c>
    </row>
    <row r="371" spans="2:19">
      <c r="B371" s="121" t="s">
        <v>1339</v>
      </c>
      <c r="C371" s="490" t="s">
        <v>1849</v>
      </c>
      <c r="D371" s="490" t="str">
        <f t="shared" si="15"/>
        <v>A0627:フィンテックラボ協同組合</v>
      </c>
      <c r="I371" s="125" t="s">
        <v>1063</v>
      </c>
      <c r="J371" s="125" t="s">
        <v>1573</v>
      </c>
      <c r="K371" s="182" t="s">
        <v>730</v>
      </c>
      <c r="L371" s="182">
        <v>5.3899999999999998E-4</v>
      </c>
      <c r="M371" s="182">
        <v>5.3899999999999998E-4</v>
      </c>
      <c r="N371" s="182">
        <v>5.3899999999999998E-4</v>
      </c>
      <c r="O371" s="182">
        <v>5.3899999999999998E-4</v>
      </c>
      <c r="P371" s="182">
        <v>5.3899999999999998E-4</v>
      </c>
      <c r="R371" s="155" t="str">
        <f t="shared" si="16"/>
        <v>A0136:パナソニックオペレーショナルエクセレンス(株)メニューC</v>
      </c>
      <c r="S371" s="181">
        <f t="shared" si="17"/>
        <v>5.3899999999999998E-4</v>
      </c>
    </row>
    <row r="372" spans="2:19">
      <c r="B372" s="121" t="s">
        <v>1340</v>
      </c>
      <c r="C372" s="490" t="s">
        <v>1850</v>
      </c>
      <c r="D372" s="490" t="str">
        <f t="shared" si="15"/>
        <v>A0629:新電力新潟(株)</v>
      </c>
      <c r="I372" s="125" t="s">
        <v>1063</v>
      </c>
      <c r="J372" s="125" t="s">
        <v>1573</v>
      </c>
      <c r="K372" s="182" t="s">
        <v>1998</v>
      </c>
      <c r="L372" s="182">
        <v>3.9100000000000002E-4</v>
      </c>
      <c r="M372" s="182">
        <v>3.9100000000000002E-4</v>
      </c>
      <c r="N372" s="182">
        <v>3.9100000000000002E-4</v>
      </c>
      <c r="O372" s="182">
        <v>3.9100000000000002E-4</v>
      </c>
      <c r="P372" s="182">
        <v>3.9100000000000002E-4</v>
      </c>
      <c r="R372" s="155" t="str">
        <f t="shared" si="16"/>
        <v>A0136:パナソニックオペレーショナルエクセレンス(株)(参考値)事業者全体</v>
      </c>
      <c r="S372" s="181">
        <f t="shared" si="17"/>
        <v>3.9100000000000002E-4</v>
      </c>
    </row>
    <row r="373" spans="2:19">
      <c r="B373" s="121" t="s">
        <v>1341</v>
      </c>
      <c r="C373" s="490" t="s">
        <v>1851</v>
      </c>
      <c r="D373" s="490" t="str">
        <f t="shared" si="15"/>
        <v>A0630:(株)タケエイでんき</v>
      </c>
      <c r="I373" s="125" t="s">
        <v>1064</v>
      </c>
      <c r="J373" s="125" t="s">
        <v>1574</v>
      </c>
      <c r="K373" s="182"/>
      <c r="L373" s="182">
        <v>3.2299999999999999E-4</v>
      </c>
      <c r="M373" s="182">
        <v>3.2299999999999999E-4</v>
      </c>
      <c r="N373" s="182">
        <v>3.2299999999999999E-4</v>
      </c>
      <c r="O373" s="182">
        <v>3.2299999999999999E-4</v>
      </c>
      <c r="P373" s="182">
        <v>3.2299999999999999E-4</v>
      </c>
      <c r="R373" s="155" t="str">
        <f t="shared" si="16"/>
        <v>A0137:アストモスエネルギー(株)</v>
      </c>
      <c r="S373" s="181">
        <f t="shared" si="17"/>
        <v>3.2299999999999999E-4</v>
      </c>
    </row>
    <row r="374" spans="2:19">
      <c r="B374" s="121" t="s">
        <v>1342</v>
      </c>
      <c r="C374" s="490" t="s">
        <v>1852</v>
      </c>
      <c r="D374" s="490" t="str">
        <f t="shared" si="15"/>
        <v>A0631:気仙沼グリーンエナジー(株)</v>
      </c>
      <c r="I374" s="125" t="s">
        <v>1065</v>
      </c>
      <c r="J374" s="125" t="s">
        <v>1575</v>
      </c>
      <c r="K374" s="182" t="s">
        <v>652</v>
      </c>
      <c r="L374" s="182">
        <v>0</v>
      </c>
      <c r="M374" s="182">
        <v>0</v>
      </c>
      <c r="N374" s="182">
        <v>0</v>
      </c>
      <c r="O374" s="182">
        <v>0</v>
      </c>
      <c r="P374" s="182">
        <v>0</v>
      </c>
      <c r="R374" s="155" t="str">
        <f t="shared" si="16"/>
        <v>A0138:(株)関電エネルギーソリューションメニューA</v>
      </c>
      <c r="S374" s="181">
        <f t="shared" si="17"/>
        <v>0</v>
      </c>
    </row>
    <row r="375" spans="2:19">
      <c r="B375" s="121" t="s">
        <v>1343</v>
      </c>
      <c r="C375" s="490" t="s">
        <v>1853</v>
      </c>
      <c r="D375" s="490" t="str">
        <f t="shared" si="15"/>
        <v>A0632:(株)ユーラスグリーンエナジー</v>
      </c>
      <c r="I375" s="125" t="s">
        <v>1065</v>
      </c>
      <c r="J375" s="125" t="s">
        <v>1575</v>
      </c>
      <c r="K375" s="182" t="s">
        <v>729</v>
      </c>
      <c r="L375" s="182">
        <v>6.38E-4</v>
      </c>
      <c r="M375" s="182">
        <v>6.38E-4</v>
      </c>
      <c r="N375" s="182">
        <v>6.38E-4</v>
      </c>
      <c r="O375" s="182">
        <v>6.38E-4</v>
      </c>
      <c r="P375" s="182">
        <v>6.38E-4</v>
      </c>
      <c r="R375" s="155" t="str">
        <f t="shared" si="16"/>
        <v>A0138:(株)関電エネルギーソリューションメニューB</v>
      </c>
      <c r="S375" s="181">
        <f t="shared" si="17"/>
        <v>6.38E-4</v>
      </c>
    </row>
    <row r="376" spans="2:19">
      <c r="B376" s="121" t="s">
        <v>1344</v>
      </c>
      <c r="C376" s="490" t="s">
        <v>1854</v>
      </c>
      <c r="D376" s="490" t="str">
        <f t="shared" si="15"/>
        <v>A0639:酒田天然瓦斯(株)</v>
      </c>
      <c r="I376" s="125" t="s">
        <v>1065</v>
      </c>
      <c r="J376" s="125" t="s">
        <v>1575</v>
      </c>
      <c r="K376" s="182" t="s">
        <v>1998</v>
      </c>
      <c r="L376" s="182">
        <v>5.6800000000000004E-4</v>
      </c>
      <c r="M376" s="182">
        <v>5.6800000000000004E-4</v>
      </c>
      <c r="N376" s="182">
        <v>5.6800000000000004E-4</v>
      </c>
      <c r="O376" s="182">
        <v>5.6800000000000004E-4</v>
      </c>
      <c r="P376" s="182">
        <v>5.6800000000000004E-4</v>
      </c>
      <c r="R376" s="155" t="str">
        <f t="shared" si="16"/>
        <v>A0138:(株)関電エネルギーソリューション(参考値)事業者全体</v>
      </c>
      <c r="S376" s="181">
        <f t="shared" si="17"/>
        <v>5.6800000000000004E-4</v>
      </c>
    </row>
    <row r="377" spans="2:19">
      <c r="B377" s="121" t="s">
        <v>1345</v>
      </c>
      <c r="C377" s="490" t="s">
        <v>1855</v>
      </c>
      <c r="D377" s="490" t="str">
        <f t="shared" si="15"/>
        <v>A0640:東亜ガス(株)</v>
      </c>
      <c r="I377" s="125" t="s">
        <v>1066</v>
      </c>
      <c r="J377" s="125" t="s">
        <v>1576</v>
      </c>
      <c r="K377" s="182" t="s">
        <v>652</v>
      </c>
      <c r="L377" s="182">
        <v>0</v>
      </c>
      <c r="M377" s="182">
        <v>0</v>
      </c>
      <c r="N377" s="182">
        <v>0</v>
      </c>
      <c r="O377" s="182">
        <v>0</v>
      </c>
      <c r="P377" s="182">
        <v>0</v>
      </c>
      <c r="R377" s="155" t="str">
        <f t="shared" si="16"/>
        <v>A0140:MCリテールエナジー(株)メニューA</v>
      </c>
      <c r="S377" s="181">
        <f t="shared" si="17"/>
        <v>0</v>
      </c>
    </row>
    <row r="378" spans="2:19">
      <c r="B378" s="121" t="s">
        <v>1346</v>
      </c>
      <c r="C378" s="490" t="s">
        <v>1856</v>
      </c>
      <c r="D378" s="490" t="str">
        <f t="shared" si="15"/>
        <v>A0641:(株)三河の山里コミュニティパワー</v>
      </c>
      <c r="I378" s="125" t="s">
        <v>1066</v>
      </c>
      <c r="J378" s="125" t="s">
        <v>1576</v>
      </c>
      <c r="K378" s="182" t="s">
        <v>729</v>
      </c>
      <c r="L378" s="182">
        <v>0</v>
      </c>
      <c r="M378" s="182">
        <v>0</v>
      </c>
      <c r="N378" s="182">
        <v>0</v>
      </c>
      <c r="O378" s="182">
        <v>0</v>
      </c>
      <c r="P378" s="182">
        <v>0</v>
      </c>
      <c r="R378" s="155" t="str">
        <f t="shared" si="16"/>
        <v>A0140:MCリテールエナジー(株)メニューB</v>
      </c>
      <c r="S378" s="181">
        <f t="shared" si="17"/>
        <v>0</v>
      </c>
    </row>
    <row r="379" spans="2:19">
      <c r="B379" s="121" t="s">
        <v>1347</v>
      </c>
      <c r="C379" s="490" t="s">
        <v>1857</v>
      </c>
      <c r="D379" s="490" t="str">
        <f t="shared" si="15"/>
        <v>A0642:新潟スワンエナジー(株)</v>
      </c>
      <c r="I379" s="125" t="s">
        <v>1066</v>
      </c>
      <c r="J379" s="125" t="s">
        <v>1576</v>
      </c>
      <c r="K379" s="182" t="s">
        <v>730</v>
      </c>
      <c r="L379" s="182">
        <v>5.0500000000000002E-4</v>
      </c>
      <c r="M379" s="182">
        <v>5.0500000000000002E-4</v>
      </c>
      <c r="N379" s="182">
        <v>5.0500000000000002E-4</v>
      </c>
      <c r="O379" s="182">
        <v>5.0500000000000002E-4</v>
      </c>
      <c r="P379" s="182">
        <v>5.0500000000000002E-4</v>
      </c>
      <c r="R379" s="155" t="str">
        <f t="shared" si="16"/>
        <v>A0140:MCリテールエナジー(株)メニューC</v>
      </c>
      <c r="S379" s="181">
        <f t="shared" si="17"/>
        <v>5.0500000000000002E-4</v>
      </c>
    </row>
    <row r="380" spans="2:19">
      <c r="B380" s="121" t="s">
        <v>1348</v>
      </c>
      <c r="C380" s="490" t="s">
        <v>1858</v>
      </c>
      <c r="D380" s="490" t="str">
        <f t="shared" si="15"/>
        <v>A0644:グリーンピープルズパワー(株)</v>
      </c>
      <c r="I380" s="125" t="s">
        <v>1066</v>
      </c>
      <c r="J380" s="125" t="s">
        <v>1576</v>
      </c>
      <c r="K380" s="182" t="s">
        <v>1998</v>
      </c>
      <c r="L380" s="182">
        <v>4.8700000000000002E-4</v>
      </c>
      <c r="M380" s="182">
        <v>4.8700000000000002E-4</v>
      </c>
      <c r="N380" s="182">
        <v>4.8700000000000002E-4</v>
      </c>
      <c r="O380" s="182">
        <v>4.8700000000000002E-4</v>
      </c>
      <c r="P380" s="182">
        <v>4.8700000000000002E-4</v>
      </c>
      <c r="R380" s="155" t="str">
        <f t="shared" si="16"/>
        <v>A0140:MCリテールエナジー(株)(参考値)事業者全体</v>
      </c>
      <c r="S380" s="181">
        <f t="shared" si="17"/>
        <v>4.8700000000000002E-4</v>
      </c>
    </row>
    <row r="381" spans="2:19">
      <c r="B381" s="121" t="s">
        <v>1349</v>
      </c>
      <c r="C381" s="490" t="s">
        <v>1859</v>
      </c>
      <c r="D381" s="490" t="str">
        <f t="shared" si="15"/>
        <v>A0648:(株)マルイファシリティーズ</v>
      </c>
      <c r="I381" s="125" t="s">
        <v>1067</v>
      </c>
      <c r="J381" s="125" t="s">
        <v>1577</v>
      </c>
      <c r="K381" s="182" t="s">
        <v>652</v>
      </c>
      <c r="L381" s="182">
        <v>0</v>
      </c>
      <c r="M381" s="182">
        <v>0</v>
      </c>
      <c r="N381" s="182">
        <v>0</v>
      </c>
      <c r="O381" s="182">
        <v>0</v>
      </c>
      <c r="P381" s="182">
        <v>0</v>
      </c>
      <c r="R381" s="155" t="str">
        <f t="shared" si="16"/>
        <v>A0141:(株)北九州パワーメニューA</v>
      </c>
      <c r="S381" s="181">
        <f t="shared" si="17"/>
        <v>0</v>
      </c>
    </row>
    <row r="382" spans="2:19">
      <c r="B382" s="121" t="s">
        <v>1350</v>
      </c>
      <c r="C382" s="490" t="s">
        <v>1860</v>
      </c>
      <c r="D382" s="490" t="str">
        <f t="shared" si="15"/>
        <v>A0649:(株)デンケン</v>
      </c>
      <c r="I382" s="125" t="s">
        <v>1067</v>
      </c>
      <c r="J382" s="125" t="s">
        <v>1577</v>
      </c>
      <c r="K382" s="182" t="s">
        <v>729</v>
      </c>
      <c r="L382" s="182">
        <v>0</v>
      </c>
      <c r="M382" s="182">
        <v>0</v>
      </c>
      <c r="N382" s="182">
        <v>0</v>
      </c>
      <c r="O382" s="182">
        <v>0</v>
      </c>
      <c r="P382" s="182">
        <v>0</v>
      </c>
      <c r="R382" s="155" t="str">
        <f t="shared" si="16"/>
        <v>A0141:(株)北九州パワーメニューB</v>
      </c>
      <c r="S382" s="181">
        <f t="shared" si="17"/>
        <v>0</v>
      </c>
    </row>
    <row r="383" spans="2:19">
      <c r="B383" s="121" t="s">
        <v>1351</v>
      </c>
      <c r="C383" s="490" t="s">
        <v>1861</v>
      </c>
      <c r="D383" s="490" t="str">
        <f t="shared" si="15"/>
        <v>A0650:(株)東名</v>
      </c>
      <c r="I383" s="125" t="s">
        <v>1067</v>
      </c>
      <c r="J383" s="125" t="s">
        <v>1577</v>
      </c>
      <c r="K383" s="182" t="s">
        <v>730</v>
      </c>
      <c r="L383" s="182">
        <v>2.23E-4</v>
      </c>
      <c r="M383" s="182">
        <v>2.23E-4</v>
      </c>
      <c r="N383" s="182">
        <v>2.23E-4</v>
      </c>
      <c r="O383" s="182">
        <v>2.23E-4</v>
      </c>
      <c r="P383" s="182">
        <v>2.23E-4</v>
      </c>
      <c r="R383" s="155" t="str">
        <f t="shared" si="16"/>
        <v>A0141:(株)北九州パワーメニューC</v>
      </c>
      <c r="S383" s="181">
        <f t="shared" si="17"/>
        <v>2.23E-4</v>
      </c>
    </row>
    <row r="384" spans="2:19">
      <c r="B384" s="121" t="s">
        <v>1352</v>
      </c>
      <c r="C384" s="490" t="s">
        <v>1862</v>
      </c>
      <c r="D384" s="490" t="str">
        <f t="shared" si="15"/>
        <v>A0653:NTTアノードエナジー(株)</v>
      </c>
      <c r="I384" s="125" t="s">
        <v>1067</v>
      </c>
      <c r="J384" s="125" t="s">
        <v>1577</v>
      </c>
      <c r="K384" s="182" t="s">
        <v>1998</v>
      </c>
      <c r="L384" s="182">
        <v>6.0000000000000002E-5</v>
      </c>
      <c r="M384" s="182">
        <v>6.0000000000000002E-5</v>
      </c>
      <c r="N384" s="182">
        <v>6.0000000000000002E-5</v>
      </c>
      <c r="O384" s="182">
        <v>6.0000000000000002E-5</v>
      </c>
      <c r="P384" s="182">
        <v>6.0000000000000002E-5</v>
      </c>
      <c r="R384" s="155" t="str">
        <f t="shared" si="16"/>
        <v>A0141:(株)北九州パワー(参考値)事業者全体</v>
      </c>
      <c r="S384" s="181">
        <f t="shared" si="17"/>
        <v>6.0000000000000002E-5</v>
      </c>
    </row>
    <row r="385" spans="2:19">
      <c r="B385" s="121" t="s">
        <v>1353</v>
      </c>
      <c r="C385" s="490" t="s">
        <v>1863</v>
      </c>
      <c r="D385" s="490" t="str">
        <f t="shared" si="15"/>
        <v>A0654:スマート電気(株)</v>
      </c>
      <c r="I385" s="125" t="s">
        <v>1068</v>
      </c>
      <c r="J385" s="125" t="s">
        <v>1578</v>
      </c>
      <c r="K385" s="182" t="s">
        <v>652</v>
      </c>
      <c r="L385" s="182">
        <v>0</v>
      </c>
      <c r="M385" s="182">
        <v>0</v>
      </c>
      <c r="N385" s="182">
        <v>0</v>
      </c>
      <c r="O385" s="182">
        <v>0</v>
      </c>
      <c r="P385" s="182">
        <v>0</v>
      </c>
      <c r="R385" s="155" t="str">
        <f t="shared" si="16"/>
        <v>A0142:武州瓦斯(株)メニューA</v>
      </c>
      <c r="S385" s="181">
        <f t="shared" si="17"/>
        <v>0</v>
      </c>
    </row>
    <row r="386" spans="2:19">
      <c r="B386" s="121" t="s">
        <v>1354</v>
      </c>
      <c r="C386" s="490" t="s">
        <v>1864</v>
      </c>
      <c r="D386" s="490" t="str">
        <f t="shared" si="15"/>
        <v>A0655:(株)唐津パワーホールディングス</v>
      </c>
      <c r="I386" s="125" t="s">
        <v>1068</v>
      </c>
      <c r="J386" s="125" t="s">
        <v>1578</v>
      </c>
      <c r="K386" s="182" t="s">
        <v>729</v>
      </c>
      <c r="L386" s="182">
        <v>4.2000000000000002E-4</v>
      </c>
      <c r="M386" s="182">
        <v>4.2000000000000002E-4</v>
      </c>
      <c r="N386" s="182">
        <v>4.2000000000000002E-4</v>
      </c>
      <c r="O386" s="182">
        <v>4.2000000000000002E-4</v>
      </c>
      <c r="P386" s="182">
        <v>4.2000000000000002E-4</v>
      </c>
      <c r="R386" s="155" t="str">
        <f t="shared" si="16"/>
        <v>A0142:武州瓦斯(株)メニューB</v>
      </c>
      <c r="S386" s="181">
        <f t="shared" si="17"/>
        <v>4.2000000000000002E-4</v>
      </c>
    </row>
    <row r="387" spans="2:19">
      <c r="B387" s="121" t="s">
        <v>1355</v>
      </c>
      <c r="C387" s="490" t="s">
        <v>1865</v>
      </c>
      <c r="D387" s="490" t="str">
        <f t="shared" si="15"/>
        <v>A0656:(株)クリーンエネルギー総合研究所</v>
      </c>
      <c r="I387" s="125" t="s">
        <v>1068</v>
      </c>
      <c r="J387" s="125" t="s">
        <v>1578</v>
      </c>
      <c r="K387" s="182" t="s">
        <v>1998</v>
      </c>
      <c r="L387" s="182">
        <v>4.1599999999999997E-4</v>
      </c>
      <c r="M387" s="182">
        <v>4.1599999999999997E-4</v>
      </c>
      <c r="N387" s="182">
        <v>4.1599999999999997E-4</v>
      </c>
      <c r="O387" s="182">
        <v>4.1599999999999997E-4</v>
      </c>
      <c r="P387" s="182">
        <v>4.1599999999999997E-4</v>
      </c>
      <c r="R387" s="155" t="str">
        <f t="shared" si="16"/>
        <v>A0142:武州瓦斯(株)(参考値)事業者全体</v>
      </c>
      <c r="S387" s="181">
        <f t="shared" si="17"/>
        <v>4.1599999999999997E-4</v>
      </c>
    </row>
    <row r="388" spans="2:19">
      <c r="B388" s="121" t="s">
        <v>1356</v>
      </c>
      <c r="C388" s="490" t="s">
        <v>1866</v>
      </c>
      <c r="D388" s="490" t="str">
        <f t="shared" si="15"/>
        <v>A0659:(株)かづのパワー</v>
      </c>
      <c r="I388" s="125" t="s">
        <v>1069</v>
      </c>
      <c r="J388" s="125" t="s">
        <v>1579</v>
      </c>
      <c r="K388" s="182" t="s">
        <v>652</v>
      </c>
      <c r="L388" s="182">
        <v>0</v>
      </c>
      <c r="M388" s="182">
        <v>0</v>
      </c>
      <c r="N388" s="182">
        <v>0</v>
      </c>
      <c r="O388" s="182">
        <v>0</v>
      </c>
      <c r="P388" s="182">
        <v>0</v>
      </c>
      <c r="R388" s="155" t="str">
        <f t="shared" si="16"/>
        <v>A0143:リニューアブル・ジャパン(株)メニューA</v>
      </c>
      <c r="S388" s="181">
        <f t="shared" si="17"/>
        <v>0</v>
      </c>
    </row>
    <row r="389" spans="2:19">
      <c r="B389" s="121" t="s">
        <v>1357</v>
      </c>
      <c r="C389" s="490" t="s">
        <v>1867</v>
      </c>
      <c r="D389" s="490" t="str">
        <f t="shared" si="15"/>
        <v>A0660:UNIVERGY(株)</v>
      </c>
      <c r="I389" s="125" t="s">
        <v>1069</v>
      </c>
      <c r="J389" s="125" t="s">
        <v>1579</v>
      </c>
      <c r="K389" s="182" t="s">
        <v>1998</v>
      </c>
      <c r="L389" s="182">
        <v>0</v>
      </c>
      <c r="M389" s="182">
        <v>0</v>
      </c>
      <c r="N389" s="182">
        <v>0</v>
      </c>
      <c r="O389" s="182">
        <v>0</v>
      </c>
      <c r="P389" s="182">
        <v>0</v>
      </c>
      <c r="R389" s="155" t="str">
        <f t="shared" si="16"/>
        <v>A0143:リニューアブル・ジャパン(株)(参考値)事業者全体</v>
      </c>
      <c r="S389" s="181">
        <f t="shared" si="17"/>
        <v>0</v>
      </c>
    </row>
    <row r="390" spans="2:19">
      <c r="B390" s="121" t="s">
        <v>1358</v>
      </c>
      <c r="C390" s="490" t="s">
        <v>1868</v>
      </c>
      <c r="D390" s="490" t="str">
        <f t="shared" si="15"/>
        <v>A0664:デジタルグリッド(株)</v>
      </c>
      <c r="I390" s="125" t="s">
        <v>1070</v>
      </c>
      <c r="J390" s="125" t="s">
        <v>1580</v>
      </c>
      <c r="K390" s="182"/>
      <c r="L390" s="182">
        <v>4.1899999999999999E-4</v>
      </c>
      <c r="M390" s="182">
        <v>4.1899999999999999E-4</v>
      </c>
      <c r="N390" s="182">
        <v>4.1899999999999999E-4</v>
      </c>
      <c r="O390" s="182">
        <v>4.1899999999999999E-4</v>
      </c>
      <c r="P390" s="182">
        <v>4.1899999999999999E-4</v>
      </c>
      <c r="R390" s="155" t="str">
        <f t="shared" si="16"/>
        <v>A0144:大垣ガス(株)</v>
      </c>
      <c r="S390" s="181">
        <f t="shared" si="17"/>
        <v>4.1899999999999999E-4</v>
      </c>
    </row>
    <row r="391" spans="2:19">
      <c r="B391" s="121" t="s">
        <v>1359</v>
      </c>
      <c r="C391" s="490" t="s">
        <v>1869</v>
      </c>
      <c r="D391" s="490" t="str">
        <f t="shared" si="15"/>
        <v>A0666:(株)西九州させぼパワーズ</v>
      </c>
      <c r="I391" s="125" t="s">
        <v>1071</v>
      </c>
      <c r="J391" s="125" t="s">
        <v>1581</v>
      </c>
      <c r="K391" s="182" t="s">
        <v>652</v>
      </c>
      <c r="L391" s="182">
        <v>2.0599999999999999E-4</v>
      </c>
      <c r="M391" s="182">
        <v>2.0599999999999999E-4</v>
      </c>
      <c r="N391" s="182">
        <v>2.0599999999999999E-4</v>
      </c>
      <c r="O391" s="182">
        <v>2.0599999999999999E-4</v>
      </c>
      <c r="P391" s="182">
        <v>2.0599999999999999E-4</v>
      </c>
      <c r="R391" s="155" t="str">
        <f t="shared" si="16"/>
        <v>A0145:(株)藤田商店メニューA</v>
      </c>
      <c r="S391" s="181">
        <f t="shared" si="17"/>
        <v>2.0599999999999999E-4</v>
      </c>
    </row>
    <row r="392" spans="2:19">
      <c r="B392" s="121" t="s">
        <v>1360</v>
      </c>
      <c r="C392" s="490" t="s">
        <v>1870</v>
      </c>
      <c r="D392" s="490" t="str">
        <f t="shared" si="15"/>
        <v>A0667:たんたんエナジー(株)</v>
      </c>
      <c r="I392" s="125" t="s">
        <v>1071</v>
      </c>
      <c r="J392" s="125" t="s">
        <v>1581</v>
      </c>
      <c r="K392" s="182" t="s">
        <v>729</v>
      </c>
      <c r="L392" s="182">
        <v>3.2499999999999999E-4</v>
      </c>
      <c r="M392" s="182">
        <v>3.2499999999999999E-4</v>
      </c>
      <c r="N392" s="182">
        <v>3.2499999999999999E-4</v>
      </c>
      <c r="O392" s="182">
        <v>3.2499999999999999E-4</v>
      </c>
      <c r="P392" s="182">
        <v>3.2499999999999999E-4</v>
      </c>
      <c r="R392" s="155" t="str">
        <f t="shared" si="16"/>
        <v>A0145:(株)藤田商店メニューB</v>
      </c>
      <c r="S392" s="181">
        <f t="shared" si="17"/>
        <v>3.2499999999999999E-4</v>
      </c>
    </row>
    <row r="393" spans="2:19">
      <c r="B393" s="121" t="s">
        <v>1361</v>
      </c>
      <c r="C393" s="490" t="s">
        <v>1871</v>
      </c>
      <c r="D393" s="490" t="str">
        <f t="shared" ref="D393:D456" si="18">IF(B393="","",B393&amp;":"&amp;C393)</f>
        <v>A0668:(株)能勢・豊能まちづくり</v>
      </c>
      <c r="I393" s="125" t="s">
        <v>1071</v>
      </c>
      <c r="J393" s="125" t="s">
        <v>1581</v>
      </c>
      <c r="K393" s="182" t="s">
        <v>730</v>
      </c>
      <c r="L393" s="182">
        <v>5.2999999999999998E-4</v>
      </c>
      <c r="M393" s="182">
        <v>5.2999999999999998E-4</v>
      </c>
      <c r="N393" s="182">
        <v>5.2999999999999998E-4</v>
      </c>
      <c r="O393" s="182">
        <v>5.2999999999999998E-4</v>
      </c>
      <c r="P393" s="182">
        <v>5.2999999999999998E-4</v>
      </c>
      <c r="R393" s="155" t="str">
        <f t="shared" si="16"/>
        <v>A0145:(株)藤田商店メニューC</v>
      </c>
      <c r="S393" s="181">
        <f t="shared" si="17"/>
        <v>5.2999999999999998E-4</v>
      </c>
    </row>
    <row r="394" spans="2:19">
      <c r="B394" s="121" t="s">
        <v>1362</v>
      </c>
      <c r="C394" s="490" t="s">
        <v>1872</v>
      </c>
      <c r="D394" s="490" t="str">
        <f t="shared" si="18"/>
        <v>A0670:(株)再エネ思考電力</v>
      </c>
      <c r="I394" s="125" t="s">
        <v>1071</v>
      </c>
      <c r="J394" s="125" t="s">
        <v>1581</v>
      </c>
      <c r="K394" s="182" t="s">
        <v>1998</v>
      </c>
      <c r="L394" s="182">
        <v>4.8999999999999998E-4</v>
      </c>
      <c r="M394" s="182">
        <v>4.8999999999999998E-4</v>
      </c>
      <c r="N394" s="182">
        <v>4.8999999999999998E-4</v>
      </c>
      <c r="O394" s="182">
        <v>4.8999999999999998E-4</v>
      </c>
      <c r="P394" s="182">
        <v>4.8999999999999998E-4</v>
      </c>
      <c r="R394" s="155" t="str">
        <f t="shared" ref="R394:R457" si="19">I394&amp;":"&amp;J394&amp;K394</f>
        <v>A0145:(株)藤田商店(参考値)事業者全体</v>
      </c>
      <c r="S394" s="181">
        <f t="shared" ref="S394:S457" si="20">HLOOKUP($S$8,$L$8:$P$2000,ROW()-7,FALSE)</f>
        <v>4.8999999999999998E-4</v>
      </c>
    </row>
    <row r="395" spans="2:19">
      <c r="B395" s="121" t="s">
        <v>1363</v>
      </c>
      <c r="C395" s="490" t="s">
        <v>1873</v>
      </c>
      <c r="D395" s="490" t="str">
        <f t="shared" si="18"/>
        <v>A0671:(株)スマート</v>
      </c>
      <c r="I395" s="125" t="s">
        <v>1072</v>
      </c>
      <c r="J395" s="125" t="s">
        <v>1582</v>
      </c>
      <c r="K395" s="182" t="s">
        <v>652</v>
      </c>
      <c r="L395" s="182">
        <v>0</v>
      </c>
      <c r="M395" s="182">
        <v>0</v>
      </c>
      <c r="N395" s="182">
        <v>0</v>
      </c>
      <c r="O395" s="182">
        <v>0</v>
      </c>
      <c r="P395" s="182">
        <v>0</v>
      </c>
      <c r="R395" s="155" t="str">
        <f t="shared" si="19"/>
        <v>A0149:(株)グローバルエンジニアリングメニューA</v>
      </c>
      <c r="S395" s="181">
        <f t="shared" si="20"/>
        <v>0</v>
      </c>
    </row>
    <row r="396" spans="2:19">
      <c r="B396" s="121" t="s">
        <v>1364</v>
      </c>
      <c r="C396" s="490" t="s">
        <v>1874</v>
      </c>
      <c r="D396" s="490" t="str">
        <f t="shared" si="18"/>
        <v>A0673:(株)ジャパネットサービスイノベーション</v>
      </c>
      <c r="I396" s="125" t="s">
        <v>1072</v>
      </c>
      <c r="J396" s="125" t="s">
        <v>1582</v>
      </c>
      <c r="K396" s="182" t="s">
        <v>729</v>
      </c>
      <c r="L396" s="182">
        <v>0</v>
      </c>
      <c r="M396" s="182">
        <v>0</v>
      </c>
      <c r="N396" s="182">
        <v>0</v>
      </c>
      <c r="O396" s="182">
        <v>0</v>
      </c>
      <c r="P396" s="182">
        <v>0</v>
      </c>
      <c r="R396" s="155" t="str">
        <f t="shared" si="19"/>
        <v>A0149:(株)グローバルエンジニアリングメニューB</v>
      </c>
      <c r="S396" s="181">
        <f t="shared" si="20"/>
        <v>0</v>
      </c>
    </row>
    <row r="397" spans="2:19">
      <c r="B397" s="121" t="s">
        <v>1365</v>
      </c>
      <c r="C397" s="490" t="s">
        <v>1875</v>
      </c>
      <c r="D397" s="490" t="str">
        <f t="shared" si="18"/>
        <v>A0676:KBN(株)</v>
      </c>
      <c r="I397" s="125" t="s">
        <v>1072</v>
      </c>
      <c r="J397" s="125" t="s">
        <v>1582</v>
      </c>
      <c r="K397" s="182" t="s">
        <v>730</v>
      </c>
      <c r="L397" s="182">
        <v>4.5199999999999998E-4</v>
      </c>
      <c r="M397" s="182">
        <v>4.5199999999999998E-4</v>
      </c>
      <c r="N397" s="182">
        <v>4.5199999999999998E-4</v>
      </c>
      <c r="O397" s="182">
        <v>4.5199999999999998E-4</v>
      </c>
      <c r="P397" s="182">
        <v>4.5199999999999998E-4</v>
      </c>
      <c r="R397" s="155" t="str">
        <f t="shared" si="19"/>
        <v>A0149:(株)グローバルエンジニアリングメニューC</v>
      </c>
      <c r="S397" s="181">
        <f t="shared" si="20"/>
        <v>4.5199999999999998E-4</v>
      </c>
    </row>
    <row r="398" spans="2:19">
      <c r="B398" s="121" t="s">
        <v>1366</v>
      </c>
      <c r="C398" s="490" t="s">
        <v>1876</v>
      </c>
      <c r="D398" s="490" t="str">
        <f t="shared" si="18"/>
        <v>A0677:(株)しおさい電力</v>
      </c>
      <c r="I398" s="125" t="s">
        <v>1072</v>
      </c>
      <c r="J398" s="125" t="s">
        <v>1582</v>
      </c>
      <c r="K398" s="182" t="s">
        <v>1998</v>
      </c>
      <c r="L398" s="182">
        <v>4.1899999999999999E-4</v>
      </c>
      <c r="M398" s="182">
        <v>4.1899999999999999E-4</v>
      </c>
      <c r="N398" s="182">
        <v>4.1899999999999999E-4</v>
      </c>
      <c r="O398" s="182">
        <v>4.1899999999999999E-4</v>
      </c>
      <c r="P398" s="182">
        <v>4.1899999999999999E-4</v>
      </c>
      <c r="R398" s="155" t="str">
        <f t="shared" si="19"/>
        <v>A0149:(株)グローバルエンジニアリング(参考値)事業者全体</v>
      </c>
      <c r="S398" s="181">
        <f t="shared" si="20"/>
        <v>4.1899999999999999E-4</v>
      </c>
    </row>
    <row r="399" spans="2:19">
      <c r="B399" s="121" t="s">
        <v>1367</v>
      </c>
      <c r="C399" s="490" t="s">
        <v>1877</v>
      </c>
      <c r="D399" s="490" t="str">
        <f t="shared" si="18"/>
        <v>A0680:会津エナジー(株)</v>
      </c>
      <c r="I399" s="125" t="s">
        <v>1073</v>
      </c>
      <c r="J399" s="125" t="s">
        <v>1583</v>
      </c>
      <c r="K399" s="182" t="s">
        <v>652</v>
      </c>
      <c r="L399" s="182">
        <v>0</v>
      </c>
      <c r="M399" s="182">
        <v>0</v>
      </c>
      <c r="N399" s="182">
        <v>0</v>
      </c>
      <c r="O399" s="182">
        <v>0</v>
      </c>
      <c r="P399" s="182">
        <v>0</v>
      </c>
      <c r="R399" s="155" t="str">
        <f t="shared" si="19"/>
        <v>A0150:九州エナジー(株)メニューA</v>
      </c>
      <c r="S399" s="181">
        <f t="shared" si="20"/>
        <v>0</v>
      </c>
    </row>
    <row r="400" spans="2:19">
      <c r="B400" s="121" t="s">
        <v>1368</v>
      </c>
      <c r="C400" s="490" t="s">
        <v>1878</v>
      </c>
      <c r="D400" s="490" t="str">
        <f t="shared" si="18"/>
        <v>A0681:うべ未来エネルギー(株)</v>
      </c>
      <c r="I400" s="125" t="s">
        <v>1073</v>
      </c>
      <c r="J400" s="125" t="s">
        <v>1583</v>
      </c>
      <c r="K400" s="182" t="s">
        <v>729</v>
      </c>
      <c r="L400" s="182">
        <v>2.1800000000000001E-4</v>
      </c>
      <c r="M400" s="182">
        <v>2.1800000000000001E-4</v>
      </c>
      <c r="N400" s="182">
        <v>2.1800000000000001E-4</v>
      </c>
      <c r="O400" s="182">
        <v>2.1800000000000001E-4</v>
      </c>
      <c r="P400" s="182">
        <v>2.1800000000000001E-4</v>
      </c>
      <c r="R400" s="155" t="str">
        <f t="shared" si="19"/>
        <v>A0150:九州エナジー(株)メニューB</v>
      </c>
      <c r="S400" s="181">
        <f t="shared" si="20"/>
        <v>2.1800000000000001E-4</v>
      </c>
    </row>
    <row r="401" spans="2:19">
      <c r="B401" s="121" t="s">
        <v>1369</v>
      </c>
      <c r="C401" s="490" t="s">
        <v>1879</v>
      </c>
      <c r="D401" s="490" t="str">
        <f t="shared" si="18"/>
        <v>A0683:永井自動車工業(株)</v>
      </c>
      <c r="I401" s="125" t="s">
        <v>1073</v>
      </c>
      <c r="J401" s="125" t="s">
        <v>1583</v>
      </c>
      <c r="K401" s="182" t="s">
        <v>1998</v>
      </c>
      <c r="L401" s="182">
        <v>2.13E-4</v>
      </c>
      <c r="M401" s="182">
        <v>2.13E-4</v>
      </c>
      <c r="N401" s="182">
        <v>2.13E-4</v>
      </c>
      <c r="O401" s="182">
        <v>2.13E-4</v>
      </c>
      <c r="P401" s="182">
        <v>2.13E-4</v>
      </c>
      <c r="R401" s="155" t="str">
        <f t="shared" si="19"/>
        <v>A0150:九州エナジー(株)(参考値)事業者全体</v>
      </c>
      <c r="S401" s="181">
        <f t="shared" si="20"/>
        <v>2.13E-4</v>
      </c>
    </row>
    <row r="402" spans="2:19">
      <c r="B402" s="121" t="s">
        <v>1370</v>
      </c>
      <c r="C402" s="490" t="s">
        <v>1880</v>
      </c>
      <c r="D402" s="490" t="str">
        <f t="shared" si="18"/>
        <v>A0685:陸前高田しみんエネルギー(株)</v>
      </c>
      <c r="I402" s="125" t="s">
        <v>1074</v>
      </c>
      <c r="J402" s="125" t="s">
        <v>1584</v>
      </c>
      <c r="K402" s="182" t="s">
        <v>652</v>
      </c>
      <c r="L402" s="182">
        <v>0</v>
      </c>
      <c r="M402" s="182">
        <v>0</v>
      </c>
      <c r="N402" s="182">
        <v>0</v>
      </c>
      <c r="O402" s="182">
        <v>0</v>
      </c>
      <c r="P402" s="182">
        <v>0</v>
      </c>
      <c r="R402" s="155" t="str">
        <f t="shared" si="19"/>
        <v>A0151:(株)トヨタエナジーソリューションズメニューA</v>
      </c>
      <c r="S402" s="181">
        <f t="shared" si="20"/>
        <v>0</v>
      </c>
    </row>
    <row r="403" spans="2:19">
      <c r="B403" s="121" t="s">
        <v>1371</v>
      </c>
      <c r="C403" s="490" t="s">
        <v>1881</v>
      </c>
      <c r="D403" s="490" t="str">
        <f t="shared" si="18"/>
        <v>A0687:(株)チャームドライフ</v>
      </c>
      <c r="I403" s="125" t="s">
        <v>1074</v>
      </c>
      <c r="J403" s="125" t="s">
        <v>1584</v>
      </c>
      <c r="K403" s="182" t="s">
        <v>729</v>
      </c>
      <c r="L403" s="182">
        <v>4.8999999999999998E-4</v>
      </c>
      <c r="M403" s="182">
        <v>4.8999999999999998E-4</v>
      </c>
      <c r="N403" s="182">
        <v>4.8999999999999998E-4</v>
      </c>
      <c r="O403" s="182">
        <v>4.8999999999999998E-4</v>
      </c>
      <c r="P403" s="182">
        <v>4.8999999999999998E-4</v>
      </c>
      <c r="R403" s="155" t="str">
        <f t="shared" si="19"/>
        <v>A0151:(株)トヨタエナジーソリューションズメニューB</v>
      </c>
      <c r="S403" s="181">
        <f t="shared" si="20"/>
        <v>4.8999999999999998E-4</v>
      </c>
    </row>
    <row r="404" spans="2:19">
      <c r="B404" s="121" t="s">
        <v>1372</v>
      </c>
      <c r="C404" s="490" t="s">
        <v>1882</v>
      </c>
      <c r="D404" s="490" t="str">
        <f t="shared" si="18"/>
        <v>A0689:スターティア(株)</v>
      </c>
      <c r="I404" s="125" t="s">
        <v>1074</v>
      </c>
      <c r="J404" s="125" t="s">
        <v>1584</v>
      </c>
      <c r="K404" s="182" t="s">
        <v>1998</v>
      </c>
      <c r="L404" s="182">
        <v>4.8299999999999998E-4</v>
      </c>
      <c r="M404" s="182">
        <v>4.8299999999999998E-4</v>
      </c>
      <c r="N404" s="182">
        <v>4.8299999999999998E-4</v>
      </c>
      <c r="O404" s="182">
        <v>4.8299999999999998E-4</v>
      </c>
      <c r="P404" s="182">
        <v>4.8299999999999998E-4</v>
      </c>
      <c r="R404" s="155" t="str">
        <f t="shared" si="19"/>
        <v>A0151:(株)トヨタエナジーソリューションズ(参考値)事業者全体</v>
      </c>
      <c r="S404" s="181">
        <f t="shared" si="20"/>
        <v>4.8299999999999998E-4</v>
      </c>
    </row>
    <row r="405" spans="2:19">
      <c r="B405" s="121" t="s">
        <v>1373</v>
      </c>
      <c r="C405" s="490" t="s">
        <v>1883</v>
      </c>
      <c r="D405" s="490" t="str">
        <f t="shared" si="18"/>
        <v>A0690:東広島スマートエネルギー(株)</v>
      </c>
      <c r="I405" s="125" t="s">
        <v>1075</v>
      </c>
      <c r="J405" s="125" t="s">
        <v>1585</v>
      </c>
      <c r="K405" s="182" t="s">
        <v>652</v>
      </c>
      <c r="L405" s="182">
        <v>0</v>
      </c>
      <c r="M405" s="182">
        <v>0</v>
      </c>
      <c r="N405" s="182">
        <v>0</v>
      </c>
      <c r="O405" s="182">
        <v>0</v>
      </c>
      <c r="P405" s="182">
        <v>0</v>
      </c>
      <c r="R405" s="155" t="str">
        <f t="shared" si="19"/>
        <v>A0153:(株)エナリス・パワー・マーケティングメニューA</v>
      </c>
      <c r="S405" s="181">
        <f t="shared" si="20"/>
        <v>0</v>
      </c>
    </row>
    <row r="406" spans="2:19">
      <c r="B406" s="121" t="s">
        <v>1374</v>
      </c>
      <c r="C406" s="490" t="s">
        <v>1884</v>
      </c>
      <c r="D406" s="490" t="str">
        <f t="shared" si="18"/>
        <v>A0692:旭化成(株)</v>
      </c>
      <c r="I406" s="125" t="s">
        <v>1075</v>
      </c>
      <c r="J406" s="125" t="s">
        <v>1585</v>
      </c>
      <c r="K406" s="182" t="s">
        <v>729</v>
      </c>
      <c r="L406" s="182">
        <v>0</v>
      </c>
      <c r="M406" s="182">
        <v>0</v>
      </c>
      <c r="N406" s="182">
        <v>0</v>
      </c>
      <c r="O406" s="182">
        <v>0</v>
      </c>
      <c r="P406" s="182">
        <v>0</v>
      </c>
      <c r="R406" s="155" t="str">
        <f t="shared" si="19"/>
        <v>A0153:(株)エナリス・パワー・マーケティングメニューB</v>
      </c>
      <c r="S406" s="181">
        <f t="shared" si="20"/>
        <v>0</v>
      </c>
    </row>
    <row r="407" spans="2:19">
      <c r="B407" s="121" t="s">
        <v>1375</v>
      </c>
      <c r="C407" s="490" t="s">
        <v>1885</v>
      </c>
      <c r="D407" s="490" t="str">
        <f t="shared" si="18"/>
        <v>A0693:京和ガス(株)</v>
      </c>
      <c r="I407" s="125" t="s">
        <v>1075</v>
      </c>
      <c r="J407" s="125" t="s">
        <v>1585</v>
      </c>
      <c r="K407" s="182" t="s">
        <v>730</v>
      </c>
      <c r="L407" s="182">
        <v>4.0000000000000002E-4</v>
      </c>
      <c r="M407" s="182">
        <v>4.0000000000000002E-4</v>
      </c>
      <c r="N407" s="182">
        <v>4.0000000000000002E-4</v>
      </c>
      <c r="O407" s="182">
        <v>4.0000000000000002E-4</v>
      </c>
      <c r="P407" s="182">
        <v>4.0000000000000002E-4</v>
      </c>
      <c r="R407" s="155" t="str">
        <f t="shared" si="19"/>
        <v>A0153:(株)エナリス・パワー・マーケティングメニューC</v>
      </c>
      <c r="S407" s="181">
        <f t="shared" si="20"/>
        <v>4.0000000000000002E-4</v>
      </c>
    </row>
    <row r="408" spans="2:19">
      <c r="B408" s="121" t="s">
        <v>1376</v>
      </c>
      <c r="C408" s="490" t="s">
        <v>1886</v>
      </c>
      <c r="D408" s="490" t="str">
        <f t="shared" si="18"/>
        <v>A0695:KMパワー(株)</v>
      </c>
      <c r="I408" s="125" t="s">
        <v>1075</v>
      </c>
      <c r="J408" s="125" t="s">
        <v>1585</v>
      </c>
      <c r="K408" s="182" t="s">
        <v>915</v>
      </c>
      <c r="L408" s="182">
        <v>0</v>
      </c>
      <c r="M408" s="182">
        <v>0</v>
      </c>
      <c r="N408" s="182">
        <v>0</v>
      </c>
      <c r="O408" s="182">
        <v>0</v>
      </c>
      <c r="P408" s="182">
        <v>0</v>
      </c>
      <c r="R408" s="155" t="str">
        <f t="shared" si="19"/>
        <v>A0153:(株)エナリス・パワー・マーケティングメニューD</v>
      </c>
      <c r="S408" s="181">
        <f t="shared" si="20"/>
        <v>0</v>
      </c>
    </row>
    <row r="409" spans="2:19">
      <c r="B409" s="121" t="s">
        <v>1377</v>
      </c>
      <c r="C409" s="490" t="s">
        <v>1887</v>
      </c>
      <c r="D409" s="490" t="str">
        <f t="shared" si="18"/>
        <v>A0696:(株)Okazaki</v>
      </c>
      <c r="I409" s="125" t="s">
        <v>1075</v>
      </c>
      <c r="J409" s="125" t="s">
        <v>1585</v>
      </c>
      <c r="K409" s="182" t="s">
        <v>916</v>
      </c>
      <c r="L409" s="182">
        <v>4.2200000000000001E-4</v>
      </c>
      <c r="M409" s="182">
        <v>4.2200000000000001E-4</v>
      </c>
      <c r="N409" s="182">
        <v>4.2200000000000001E-4</v>
      </c>
      <c r="O409" s="182">
        <v>4.2200000000000001E-4</v>
      </c>
      <c r="P409" s="182">
        <v>4.2200000000000001E-4</v>
      </c>
      <c r="R409" s="155" t="str">
        <f t="shared" si="19"/>
        <v>A0153:(株)エナリス・パワー・マーケティングメニューE</v>
      </c>
      <c r="S409" s="181">
        <f t="shared" si="20"/>
        <v>4.2200000000000001E-4</v>
      </c>
    </row>
    <row r="410" spans="2:19">
      <c r="B410" s="121" t="s">
        <v>1378</v>
      </c>
      <c r="C410" s="490" t="s">
        <v>1888</v>
      </c>
      <c r="D410" s="490" t="str">
        <f t="shared" si="18"/>
        <v>A0698:(株)エフオン</v>
      </c>
      <c r="I410" s="125" t="s">
        <v>1075</v>
      </c>
      <c r="J410" s="125" t="s">
        <v>1585</v>
      </c>
      <c r="K410" s="182" t="s">
        <v>1998</v>
      </c>
      <c r="L410" s="182">
        <v>4.57E-4</v>
      </c>
      <c r="M410" s="182">
        <v>4.57E-4</v>
      </c>
      <c r="N410" s="182">
        <v>4.57E-4</v>
      </c>
      <c r="O410" s="182">
        <v>4.57E-4</v>
      </c>
      <c r="P410" s="182">
        <v>4.57E-4</v>
      </c>
      <c r="R410" s="155" t="str">
        <f t="shared" si="19"/>
        <v>A0153:(株)エナリス・パワー・マーケティング(参考値)事業者全体</v>
      </c>
      <c r="S410" s="181">
        <f t="shared" si="20"/>
        <v>4.57E-4</v>
      </c>
    </row>
    <row r="411" spans="2:19">
      <c r="B411" s="121" t="s">
        <v>1379</v>
      </c>
      <c r="C411" s="490" t="s">
        <v>1889</v>
      </c>
      <c r="D411" s="490" t="str">
        <f t="shared" si="18"/>
        <v>A0699:(株)岡崎さくら電力</v>
      </c>
      <c r="I411" s="125" t="s">
        <v>1076</v>
      </c>
      <c r="J411" s="125" t="s">
        <v>1586</v>
      </c>
      <c r="K411" s="182"/>
      <c r="L411" s="182">
        <v>5.7700000000000004E-4</v>
      </c>
      <c r="M411" s="182">
        <v>5.7700000000000004E-4</v>
      </c>
      <c r="N411" s="182">
        <v>5.7700000000000004E-4</v>
      </c>
      <c r="O411" s="182">
        <v>5.7700000000000004E-4</v>
      </c>
      <c r="P411" s="182">
        <v>5.7700000000000004E-4</v>
      </c>
      <c r="R411" s="155" t="str">
        <f t="shared" si="19"/>
        <v>A0154:歌舞伎エナジー(株)</v>
      </c>
      <c r="S411" s="181">
        <f t="shared" si="20"/>
        <v>5.7700000000000004E-4</v>
      </c>
    </row>
    <row r="412" spans="2:19">
      <c r="B412" s="121" t="s">
        <v>1380</v>
      </c>
      <c r="C412" s="490" t="s">
        <v>1890</v>
      </c>
      <c r="D412" s="490" t="str">
        <f t="shared" si="18"/>
        <v>A0702:旭マルヰ(株)(旧：旭マルヰガス(株))</v>
      </c>
      <c r="I412" s="125" t="s">
        <v>1077</v>
      </c>
      <c r="J412" s="125" t="s">
        <v>1587</v>
      </c>
      <c r="K412" s="182" t="s">
        <v>652</v>
      </c>
      <c r="L412" s="182">
        <v>0</v>
      </c>
      <c r="M412" s="182">
        <v>0</v>
      </c>
      <c r="N412" s="182">
        <v>0</v>
      </c>
      <c r="O412" s="182">
        <v>0</v>
      </c>
      <c r="P412" s="182">
        <v>0</v>
      </c>
      <c r="R412" s="155" t="str">
        <f t="shared" si="19"/>
        <v>A0155:みやまスマートエネルギー(株)メニューA</v>
      </c>
      <c r="S412" s="181">
        <f t="shared" si="20"/>
        <v>0</v>
      </c>
    </row>
    <row r="413" spans="2:19">
      <c r="B413" s="121" t="s">
        <v>1381</v>
      </c>
      <c r="C413" s="490" t="s">
        <v>1891</v>
      </c>
      <c r="D413" s="490" t="str">
        <f t="shared" si="18"/>
        <v>A0703:ENEOSリニューアブル・エナジー・ソリューションズ(株)(旧：JREトレーディング(株))</v>
      </c>
      <c r="I413" s="125" t="s">
        <v>1077</v>
      </c>
      <c r="J413" s="125" t="s">
        <v>1587</v>
      </c>
      <c r="K413" s="182" t="s">
        <v>729</v>
      </c>
      <c r="L413" s="182">
        <v>4.4499999999999997E-4</v>
      </c>
      <c r="M413" s="182">
        <v>4.4499999999999997E-4</v>
      </c>
      <c r="N413" s="182">
        <v>4.4499999999999997E-4</v>
      </c>
      <c r="O413" s="182">
        <v>4.4499999999999997E-4</v>
      </c>
      <c r="P413" s="182">
        <v>4.4499999999999997E-4</v>
      </c>
      <c r="R413" s="155" t="str">
        <f t="shared" si="19"/>
        <v>A0155:みやまスマートエネルギー(株)メニューB</v>
      </c>
      <c r="S413" s="181">
        <f t="shared" si="20"/>
        <v>4.4499999999999997E-4</v>
      </c>
    </row>
    <row r="414" spans="2:19">
      <c r="B414" s="121" t="s">
        <v>1382</v>
      </c>
      <c r="C414" s="490" t="s">
        <v>1892</v>
      </c>
      <c r="D414" s="490" t="str">
        <f t="shared" si="18"/>
        <v>A0704:Castleton Commodities Japan合同会社</v>
      </c>
      <c r="I414" s="125" t="s">
        <v>1077</v>
      </c>
      <c r="J414" s="125" t="s">
        <v>1587</v>
      </c>
      <c r="K414" s="182" t="s">
        <v>1998</v>
      </c>
      <c r="L414" s="182">
        <v>4.37E-4</v>
      </c>
      <c r="M414" s="182">
        <v>4.37E-4</v>
      </c>
      <c r="N414" s="182">
        <v>4.37E-4</v>
      </c>
      <c r="O414" s="182">
        <v>4.37E-4</v>
      </c>
      <c r="P414" s="182">
        <v>4.37E-4</v>
      </c>
      <c r="R414" s="155" t="str">
        <f t="shared" si="19"/>
        <v>A0155:みやまスマートエネルギー(株)(参考値)事業者全体</v>
      </c>
      <c r="S414" s="181">
        <f t="shared" si="20"/>
        <v>4.37E-4</v>
      </c>
    </row>
    <row r="415" spans="2:19">
      <c r="B415" s="121" t="s">
        <v>1383</v>
      </c>
      <c r="C415" s="490" t="s">
        <v>1893</v>
      </c>
      <c r="D415" s="490" t="str">
        <f t="shared" si="18"/>
        <v>A0705:神戸電力(株)</v>
      </c>
      <c r="I415" s="125" t="s">
        <v>1078</v>
      </c>
      <c r="J415" s="125" t="s">
        <v>1588</v>
      </c>
      <c r="K415" s="182"/>
      <c r="L415" s="182">
        <v>4.2200000000000001E-4</v>
      </c>
      <c r="M415" s="182">
        <v>4.2200000000000001E-4</v>
      </c>
      <c r="N415" s="182">
        <v>4.2200000000000001E-4</v>
      </c>
      <c r="O415" s="182">
        <v>4.2200000000000001E-4</v>
      </c>
      <c r="P415" s="182">
        <v>4.2200000000000001E-4</v>
      </c>
      <c r="R415" s="155" t="str">
        <f t="shared" si="19"/>
        <v>A0156:エフィシエント(株)</v>
      </c>
      <c r="S415" s="181">
        <f t="shared" si="20"/>
        <v>4.2200000000000001E-4</v>
      </c>
    </row>
    <row r="416" spans="2:19">
      <c r="B416" s="121" t="s">
        <v>1384</v>
      </c>
      <c r="C416" s="490" t="s">
        <v>1894</v>
      </c>
      <c r="D416" s="490" t="str">
        <f t="shared" si="18"/>
        <v>A0707:Valhall合同会社</v>
      </c>
      <c r="I416" s="125" t="s">
        <v>1079</v>
      </c>
      <c r="J416" s="125" t="s">
        <v>1589</v>
      </c>
      <c r="K416" s="182" t="s">
        <v>652</v>
      </c>
      <c r="L416" s="182">
        <v>2.8299999999999999E-4</v>
      </c>
      <c r="M416" s="182">
        <v>2.8299999999999999E-4</v>
      </c>
      <c r="N416" s="182">
        <v>2.8299999999999999E-4</v>
      </c>
      <c r="O416" s="182">
        <v>2.8299999999999999E-4</v>
      </c>
      <c r="P416" s="182">
        <v>2.8299999999999999E-4</v>
      </c>
      <c r="R416" s="155" t="str">
        <f t="shared" si="19"/>
        <v>A0157:(株)生活クラブエナジーメニューA</v>
      </c>
      <c r="S416" s="181">
        <f t="shared" si="20"/>
        <v>2.8299999999999999E-4</v>
      </c>
    </row>
    <row r="417" spans="2:19">
      <c r="B417" s="121" t="s">
        <v>1385</v>
      </c>
      <c r="C417" s="490" t="s">
        <v>1895</v>
      </c>
      <c r="D417" s="490" t="str">
        <f t="shared" si="18"/>
        <v>A0708:エア・ウォーター・ライフソリューション(株)</v>
      </c>
      <c r="I417" s="125" t="s">
        <v>1079</v>
      </c>
      <c r="J417" s="125" t="s">
        <v>1589</v>
      </c>
      <c r="K417" s="182" t="s">
        <v>729</v>
      </c>
      <c r="L417" s="182">
        <v>0</v>
      </c>
      <c r="M417" s="182">
        <v>0</v>
      </c>
      <c r="N417" s="182">
        <v>0</v>
      </c>
      <c r="O417" s="182">
        <v>0</v>
      </c>
      <c r="P417" s="182">
        <v>0</v>
      </c>
      <c r="R417" s="155" t="str">
        <f t="shared" si="19"/>
        <v>A0157:(株)生活クラブエナジーメニューB</v>
      </c>
      <c r="S417" s="181">
        <f t="shared" si="20"/>
        <v>0</v>
      </c>
    </row>
    <row r="418" spans="2:19">
      <c r="B418" s="121" t="s">
        <v>1386</v>
      </c>
      <c r="C418" s="490" t="s">
        <v>1896</v>
      </c>
      <c r="D418" s="490" t="str">
        <f t="shared" si="18"/>
        <v>A0709:生活協同組合ひろしま</v>
      </c>
      <c r="I418" s="125" t="s">
        <v>1079</v>
      </c>
      <c r="J418" s="125" t="s">
        <v>1589</v>
      </c>
      <c r="K418" s="182" t="s">
        <v>730</v>
      </c>
      <c r="L418" s="182">
        <v>5.5500000000000005E-4</v>
      </c>
      <c r="M418" s="182">
        <v>5.5500000000000005E-4</v>
      </c>
      <c r="N418" s="182">
        <v>5.5500000000000005E-4</v>
      </c>
      <c r="O418" s="182">
        <v>5.5500000000000005E-4</v>
      </c>
      <c r="P418" s="182">
        <v>5.5500000000000005E-4</v>
      </c>
      <c r="R418" s="155" t="str">
        <f t="shared" si="19"/>
        <v>A0157:(株)生活クラブエナジーメニューC</v>
      </c>
      <c r="S418" s="181">
        <f t="shared" si="20"/>
        <v>5.5500000000000005E-4</v>
      </c>
    </row>
    <row r="419" spans="2:19">
      <c r="B419" s="121" t="s">
        <v>1387</v>
      </c>
      <c r="C419" s="490" t="s">
        <v>1897</v>
      </c>
      <c r="D419" s="490" t="str">
        <f t="shared" si="18"/>
        <v>A0711:(株)RenoLabo</v>
      </c>
      <c r="I419" s="125" t="s">
        <v>1079</v>
      </c>
      <c r="J419" s="125" t="s">
        <v>1589</v>
      </c>
      <c r="K419" s="182" t="s">
        <v>1998</v>
      </c>
      <c r="L419" s="182">
        <v>5.2099999999999998E-4</v>
      </c>
      <c r="M419" s="182">
        <v>5.2099999999999998E-4</v>
      </c>
      <c r="N419" s="182">
        <v>5.2099999999999998E-4</v>
      </c>
      <c r="O419" s="182">
        <v>5.2099999999999998E-4</v>
      </c>
      <c r="P419" s="182">
        <v>5.2099999999999998E-4</v>
      </c>
      <c r="R419" s="155" t="str">
        <f t="shared" si="19"/>
        <v>A0157:(株)生活クラブエナジー(参考値)事業者全体</v>
      </c>
      <c r="S419" s="181">
        <f t="shared" si="20"/>
        <v>5.2099999999999998E-4</v>
      </c>
    </row>
    <row r="420" spans="2:19">
      <c r="B420" s="121" t="s">
        <v>1388</v>
      </c>
      <c r="C420" s="490" t="s">
        <v>1898</v>
      </c>
      <c r="D420" s="490" t="str">
        <f t="shared" si="18"/>
        <v>A0712:アークエルテクノロジーズ(株)</v>
      </c>
      <c r="I420" s="125" t="s">
        <v>1080</v>
      </c>
      <c r="J420" s="125" t="s">
        <v>1590</v>
      </c>
      <c r="K420" s="182" t="s">
        <v>652</v>
      </c>
      <c r="L420" s="182">
        <v>3.8699999999999997E-4</v>
      </c>
      <c r="M420" s="182">
        <v>3.8699999999999997E-4</v>
      </c>
      <c r="N420" s="182">
        <v>3.8699999999999997E-4</v>
      </c>
      <c r="O420" s="182">
        <v>3.8699999999999997E-4</v>
      </c>
      <c r="P420" s="182">
        <v>3.8699999999999997E-4</v>
      </c>
      <c r="R420" s="155" t="str">
        <f t="shared" si="19"/>
        <v>A0158:生活協同組合コープこうべメニューA</v>
      </c>
      <c r="S420" s="181">
        <f t="shared" si="20"/>
        <v>3.8699999999999997E-4</v>
      </c>
    </row>
    <row r="421" spans="2:19">
      <c r="B421" s="121" t="s">
        <v>1389</v>
      </c>
      <c r="C421" s="490" t="s">
        <v>1899</v>
      </c>
      <c r="D421" s="490" t="str">
        <f t="shared" si="18"/>
        <v>A0714:エルメック(株)</v>
      </c>
      <c r="I421" s="125" t="s">
        <v>1080</v>
      </c>
      <c r="J421" s="125" t="s">
        <v>1590</v>
      </c>
      <c r="K421" s="182" t="s">
        <v>729</v>
      </c>
      <c r="L421" s="182">
        <v>3.6299999999999999E-4</v>
      </c>
      <c r="M421" s="182">
        <v>3.6299999999999999E-4</v>
      </c>
      <c r="N421" s="182">
        <v>3.6299999999999999E-4</v>
      </c>
      <c r="O421" s="182">
        <v>3.6299999999999999E-4</v>
      </c>
      <c r="P421" s="182">
        <v>3.6299999999999999E-4</v>
      </c>
      <c r="R421" s="155" t="str">
        <f t="shared" si="19"/>
        <v>A0158:生活協同組合コープこうべメニューB</v>
      </c>
      <c r="S421" s="181">
        <f t="shared" si="20"/>
        <v>3.6299999999999999E-4</v>
      </c>
    </row>
    <row r="422" spans="2:19">
      <c r="B422" s="121" t="s">
        <v>1390</v>
      </c>
      <c r="C422" s="490" t="s">
        <v>1900</v>
      </c>
      <c r="D422" s="490" t="str">
        <f t="shared" si="18"/>
        <v>A0715:(株)オズエナジー</v>
      </c>
      <c r="I422" s="125" t="s">
        <v>1080</v>
      </c>
      <c r="J422" s="125" t="s">
        <v>1590</v>
      </c>
      <c r="K422" s="182" t="s">
        <v>730</v>
      </c>
      <c r="L422" s="182">
        <v>3.9500000000000001E-4</v>
      </c>
      <c r="M422" s="182">
        <v>3.9500000000000001E-4</v>
      </c>
      <c r="N422" s="182">
        <v>3.9500000000000001E-4</v>
      </c>
      <c r="O422" s="182">
        <v>3.9500000000000001E-4</v>
      </c>
      <c r="P422" s="182">
        <v>3.9500000000000001E-4</v>
      </c>
      <c r="R422" s="155" t="str">
        <f t="shared" si="19"/>
        <v>A0158:生活協同組合コープこうべメニューC</v>
      </c>
      <c r="S422" s="181">
        <f t="shared" si="20"/>
        <v>3.9500000000000001E-4</v>
      </c>
    </row>
    <row r="423" spans="2:19">
      <c r="B423" s="121" t="s">
        <v>1391</v>
      </c>
      <c r="C423" s="490" t="s">
        <v>1901</v>
      </c>
      <c r="D423" s="490" t="str">
        <f t="shared" si="18"/>
        <v>A0716:レモンガス(株)</v>
      </c>
      <c r="I423" s="125" t="s">
        <v>1080</v>
      </c>
      <c r="J423" s="125" t="s">
        <v>1590</v>
      </c>
      <c r="K423" s="182" t="s">
        <v>1998</v>
      </c>
      <c r="L423" s="182">
        <v>3.8699999999999997E-4</v>
      </c>
      <c r="M423" s="182">
        <v>3.8699999999999997E-4</v>
      </c>
      <c r="N423" s="182">
        <v>3.8699999999999997E-4</v>
      </c>
      <c r="O423" s="182">
        <v>3.8699999999999997E-4</v>
      </c>
      <c r="P423" s="182">
        <v>3.8699999999999997E-4</v>
      </c>
      <c r="R423" s="155" t="str">
        <f t="shared" si="19"/>
        <v>A0158:生活協同組合コープこうべ(参考値)事業者全体</v>
      </c>
      <c r="S423" s="181">
        <f t="shared" si="20"/>
        <v>3.8699999999999997E-4</v>
      </c>
    </row>
    <row r="424" spans="2:19">
      <c r="B424" s="121" t="s">
        <v>1392</v>
      </c>
      <c r="C424" s="490" t="s">
        <v>1902</v>
      </c>
      <c r="D424" s="490" t="str">
        <f t="shared" si="18"/>
        <v>A0718:(株)日本海水</v>
      </c>
      <c r="I424" s="125" t="s">
        <v>1081</v>
      </c>
      <c r="J424" s="125" t="s">
        <v>1591</v>
      </c>
      <c r="K424" s="182"/>
      <c r="L424" s="182">
        <v>4.1899999999999999E-4</v>
      </c>
      <c r="M424" s="182">
        <v>4.1899999999999999E-4</v>
      </c>
      <c r="N424" s="182">
        <v>4.1899999999999999E-4</v>
      </c>
      <c r="O424" s="182">
        <v>4.1899999999999999E-4</v>
      </c>
      <c r="P424" s="182">
        <v>4.1899999999999999E-4</v>
      </c>
      <c r="R424" s="155" t="str">
        <f t="shared" si="19"/>
        <v>A0159:(株)シーエナジー</v>
      </c>
      <c r="S424" s="181">
        <f t="shared" si="20"/>
        <v>4.1899999999999999E-4</v>
      </c>
    </row>
    <row r="425" spans="2:19">
      <c r="B425" s="121" t="s">
        <v>1393</v>
      </c>
      <c r="C425" s="490" t="s">
        <v>1903</v>
      </c>
      <c r="D425" s="490" t="str">
        <f t="shared" si="18"/>
        <v>A0720:しろくま電力(株)</v>
      </c>
      <c r="I425" s="125" t="s">
        <v>1082</v>
      </c>
      <c r="J425" s="125" t="s">
        <v>1592</v>
      </c>
      <c r="K425" s="182"/>
      <c r="L425" s="182">
        <v>4.1899999999999999E-4</v>
      </c>
      <c r="M425" s="182">
        <v>4.1899999999999999E-4</v>
      </c>
      <c r="N425" s="182">
        <v>4.1899999999999999E-4</v>
      </c>
      <c r="O425" s="182">
        <v>4.1899999999999999E-4</v>
      </c>
      <c r="P425" s="182">
        <v>4.1899999999999999E-4</v>
      </c>
      <c r="R425" s="155" t="str">
        <f t="shared" si="19"/>
        <v>A0160:角栄ガス(株)</v>
      </c>
      <c r="S425" s="181">
        <f t="shared" si="20"/>
        <v>4.1899999999999999E-4</v>
      </c>
    </row>
    <row r="426" spans="2:19">
      <c r="B426" s="121" t="s">
        <v>1394</v>
      </c>
      <c r="C426" s="490" t="s">
        <v>1904</v>
      </c>
      <c r="D426" s="490" t="str">
        <f t="shared" si="18"/>
        <v>A0721:中小企業支援(株)</v>
      </c>
      <c r="I426" s="125" t="s">
        <v>1083</v>
      </c>
      <c r="J426" s="125" t="s">
        <v>1593</v>
      </c>
      <c r="K426" s="182" t="s">
        <v>652</v>
      </c>
      <c r="L426" s="182">
        <v>0</v>
      </c>
      <c r="M426" s="182">
        <v>0</v>
      </c>
      <c r="N426" s="182">
        <v>0</v>
      </c>
      <c r="O426" s="182">
        <v>0</v>
      </c>
      <c r="P426" s="182">
        <v>0</v>
      </c>
      <c r="R426" s="155" t="str">
        <f t="shared" si="19"/>
        <v>A0161:京葉瓦斯(株)メニューA</v>
      </c>
      <c r="S426" s="181">
        <f t="shared" si="20"/>
        <v>0</v>
      </c>
    </row>
    <row r="427" spans="2:19">
      <c r="B427" s="121" t="s">
        <v>1395</v>
      </c>
      <c r="C427" s="490" t="s">
        <v>1905</v>
      </c>
      <c r="D427" s="490" t="str">
        <f t="shared" si="18"/>
        <v>A0722:サントラベラーズサービス有限会社</v>
      </c>
      <c r="I427" s="125" t="s">
        <v>1083</v>
      </c>
      <c r="J427" s="125" t="s">
        <v>1593</v>
      </c>
      <c r="K427" s="182" t="s">
        <v>729</v>
      </c>
      <c r="L427" s="182">
        <v>5.4600000000000004E-4</v>
      </c>
      <c r="M427" s="182">
        <v>5.4600000000000004E-4</v>
      </c>
      <c r="N427" s="182">
        <v>5.4600000000000004E-4</v>
      </c>
      <c r="O427" s="182">
        <v>5.4600000000000004E-4</v>
      </c>
      <c r="P427" s="182">
        <v>5.4600000000000004E-4</v>
      </c>
      <c r="R427" s="155" t="str">
        <f t="shared" si="19"/>
        <v>A0161:京葉瓦斯(株)メニューB</v>
      </c>
      <c r="S427" s="181">
        <f t="shared" si="20"/>
        <v>5.4600000000000004E-4</v>
      </c>
    </row>
    <row r="428" spans="2:19">
      <c r="B428" s="121" t="s">
        <v>1396</v>
      </c>
      <c r="C428" s="490" t="s">
        <v>1906</v>
      </c>
      <c r="D428" s="490" t="str">
        <f t="shared" si="18"/>
        <v>A0726:八千代エンジニヤリング(株)</v>
      </c>
      <c r="I428" s="125" t="s">
        <v>1083</v>
      </c>
      <c r="J428" s="125" t="s">
        <v>1593</v>
      </c>
      <c r="K428" s="182" t="s">
        <v>1998</v>
      </c>
      <c r="L428" s="182">
        <v>5.4100000000000003E-4</v>
      </c>
      <c r="M428" s="182">
        <v>5.4100000000000003E-4</v>
      </c>
      <c r="N428" s="182">
        <v>5.4100000000000003E-4</v>
      </c>
      <c r="O428" s="182">
        <v>5.4100000000000003E-4</v>
      </c>
      <c r="P428" s="182">
        <v>5.4100000000000003E-4</v>
      </c>
      <c r="R428" s="155" t="str">
        <f t="shared" si="19"/>
        <v>A0161:京葉瓦斯(株)(参考値)事業者全体</v>
      </c>
      <c r="S428" s="181">
        <f t="shared" si="20"/>
        <v>5.4100000000000003E-4</v>
      </c>
    </row>
    <row r="429" spans="2:19">
      <c r="B429" s="121" t="s">
        <v>1397</v>
      </c>
      <c r="C429" s="490" t="s">
        <v>1907</v>
      </c>
      <c r="D429" s="490" t="str">
        <f t="shared" si="18"/>
        <v>A0729:神楽電力(株)</v>
      </c>
      <c r="I429" s="125" t="s">
        <v>1084</v>
      </c>
      <c r="J429" s="125" t="s">
        <v>1594</v>
      </c>
      <c r="K429" s="182" t="s">
        <v>652</v>
      </c>
      <c r="L429" s="182">
        <v>8.3999999999999995E-5</v>
      </c>
      <c r="M429" s="182">
        <v>8.3999999999999995E-5</v>
      </c>
      <c r="N429" s="182">
        <v>8.3999999999999995E-5</v>
      </c>
      <c r="O429" s="182">
        <v>8.3999999999999995E-5</v>
      </c>
      <c r="P429" s="182">
        <v>8.3999999999999995E-5</v>
      </c>
      <c r="R429" s="155" t="str">
        <f t="shared" si="19"/>
        <v>A0162:TOPPANホールディングス(株)メニューA</v>
      </c>
      <c r="S429" s="181">
        <f t="shared" si="20"/>
        <v>8.3999999999999995E-5</v>
      </c>
    </row>
    <row r="430" spans="2:19">
      <c r="B430" s="121" t="s">
        <v>1398</v>
      </c>
      <c r="C430" s="490" t="s">
        <v>1908</v>
      </c>
      <c r="D430" s="490" t="str">
        <f t="shared" si="18"/>
        <v>A0730:ゆきぐに新電力(株)</v>
      </c>
      <c r="I430" s="125" t="s">
        <v>1084</v>
      </c>
      <c r="J430" s="125" t="s">
        <v>1594</v>
      </c>
      <c r="K430" s="182" t="s">
        <v>729</v>
      </c>
      <c r="L430" s="182">
        <v>1.7200000000000001E-4</v>
      </c>
      <c r="M430" s="182">
        <v>1.7200000000000001E-4</v>
      </c>
      <c r="N430" s="182">
        <v>1.7200000000000001E-4</v>
      </c>
      <c r="O430" s="182">
        <v>1.7200000000000001E-4</v>
      </c>
      <c r="P430" s="182">
        <v>1.7200000000000001E-4</v>
      </c>
      <c r="R430" s="155" t="str">
        <f t="shared" si="19"/>
        <v>A0162:TOPPANホールディングス(株)メニューB</v>
      </c>
      <c r="S430" s="181">
        <f t="shared" si="20"/>
        <v>1.7200000000000001E-4</v>
      </c>
    </row>
    <row r="431" spans="2:19">
      <c r="B431" s="121" t="s">
        <v>1399</v>
      </c>
      <c r="C431" s="490" t="s">
        <v>1909</v>
      </c>
      <c r="D431" s="490" t="str">
        <f t="shared" si="18"/>
        <v>A0732:(株)ながさきサステナエナジー</v>
      </c>
      <c r="I431" s="125" t="s">
        <v>1084</v>
      </c>
      <c r="J431" s="125" t="s">
        <v>1594</v>
      </c>
      <c r="K431" s="182" t="s">
        <v>730</v>
      </c>
      <c r="L431" s="182">
        <v>1.8000000000000001E-4</v>
      </c>
      <c r="M431" s="182">
        <v>1.8000000000000001E-4</v>
      </c>
      <c r="N431" s="182">
        <v>1.8000000000000001E-4</v>
      </c>
      <c r="O431" s="182">
        <v>1.8000000000000001E-4</v>
      </c>
      <c r="P431" s="182">
        <v>1.8000000000000001E-4</v>
      </c>
      <c r="R431" s="155" t="str">
        <f t="shared" si="19"/>
        <v>A0162:TOPPANホールディングス(株)メニューC</v>
      </c>
      <c r="S431" s="181">
        <f t="shared" si="20"/>
        <v>1.8000000000000001E-4</v>
      </c>
    </row>
    <row r="432" spans="2:19">
      <c r="B432" s="121" t="s">
        <v>1400</v>
      </c>
      <c r="C432" s="490" t="s">
        <v>1910</v>
      </c>
      <c r="D432" s="490" t="str">
        <f t="shared" si="18"/>
        <v>A0733:葛尾創生電力(株)</v>
      </c>
      <c r="I432" s="125" t="s">
        <v>1084</v>
      </c>
      <c r="J432" s="125" t="s">
        <v>1594</v>
      </c>
      <c r="K432" s="182" t="s">
        <v>915</v>
      </c>
      <c r="L432" s="182">
        <v>5.04E-4</v>
      </c>
      <c r="M432" s="182">
        <v>5.04E-4</v>
      </c>
      <c r="N432" s="182">
        <v>5.04E-4</v>
      </c>
      <c r="O432" s="182">
        <v>5.04E-4</v>
      </c>
      <c r="P432" s="182">
        <v>5.04E-4</v>
      </c>
      <c r="R432" s="155" t="str">
        <f t="shared" si="19"/>
        <v>A0162:TOPPANホールディングス(株)メニューD</v>
      </c>
      <c r="S432" s="181">
        <f t="shared" si="20"/>
        <v>5.04E-4</v>
      </c>
    </row>
    <row r="433" spans="2:19">
      <c r="B433" s="121" t="s">
        <v>1401</v>
      </c>
      <c r="C433" s="490" t="s">
        <v>1911</v>
      </c>
      <c r="D433" s="490" t="str">
        <f t="shared" si="18"/>
        <v>A0737:(株)EFでんき(旧：(株)ライフエナジー)</v>
      </c>
      <c r="I433" s="125" t="s">
        <v>1084</v>
      </c>
      <c r="J433" s="125" t="s">
        <v>1594</v>
      </c>
      <c r="K433" s="182" t="s">
        <v>1998</v>
      </c>
      <c r="L433" s="182">
        <v>4.5399999999999998E-4</v>
      </c>
      <c r="M433" s="182">
        <v>4.5399999999999998E-4</v>
      </c>
      <c r="N433" s="182">
        <v>4.5399999999999998E-4</v>
      </c>
      <c r="O433" s="182">
        <v>4.5399999999999998E-4</v>
      </c>
      <c r="P433" s="182">
        <v>4.5399999999999998E-4</v>
      </c>
      <c r="R433" s="155" t="str">
        <f t="shared" si="19"/>
        <v>A0162:TOPPANホールディングス(株)(参考値)事業者全体</v>
      </c>
      <c r="S433" s="181">
        <f t="shared" si="20"/>
        <v>4.5399999999999998E-4</v>
      </c>
    </row>
    <row r="434" spans="2:19">
      <c r="B434" s="121" t="s">
        <v>1402</v>
      </c>
      <c r="C434" s="490" t="s">
        <v>1912</v>
      </c>
      <c r="D434" s="490" t="str">
        <f t="shared" si="18"/>
        <v>A0738:(株)グルーヴエナジー</v>
      </c>
      <c r="I434" s="125" t="s">
        <v>1085</v>
      </c>
      <c r="J434" s="125" t="s">
        <v>1595</v>
      </c>
      <c r="K434" s="182" t="s">
        <v>652</v>
      </c>
      <c r="L434" s="182">
        <v>0</v>
      </c>
      <c r="M434" s="182">
        <v>0</v>
      </c>
      <c r="N434" s="182">
        <v>0</v>
      </c>
      <c r="O434" s="182">
        <v>0</v>
      </c>
      <c r="P434" s="182">
        <v>0</v>
      </c>
      <c r="R434" s="155" t="str">
        <f t="shared" si="19"/>
        <v>A0163:伊勢崎ガス(株)メニューA</v>
      </c>
      <c r="S434" s="181">
        <f t="shared" si="20"/>
        <v>0</v>
      </c>
    </row>
    <row r="435" spans="2:19">
      <c r="B435" s="121" t="s">
        <v>1403</v>
      </c>
      <c r="C435" s="490" t="s">
        <v>1913</v>
      </c>
      <c r="D435" s="490" t="str">
        <f t="shared" si="18"/>
        <v>A0739:高知ニューエナジー(株)</v>
      </c>
      <c r="I435" s="125" t="s">
        <v>1085</v>
      </c>
      <c r="J435" s="125" t="s">
        <v>1595</v>
      </c>
      <c r="K435" s="182" t="s">
        <v>729</v>
      </c>
      <c r="L435" s="182">
        <v>4.2000000000000002E-4</v>
      </c>
      <c r="M435" s="182">
        <v>4.2000000000000002E-4</v>
      </c>
      <c r="N435" s="182">
        <v>4.2000000000000002E-4</v>
      </c>
      <c r="O435" s="182">
        <v>4.2000000000000002E-4</v>
      </c>
      <c r="P435" s="182">
        <v>4.2000000000000002E-4</v>
      </c>
      <c r="R435" s="155" t="str">
        <f t="shared" si="19"/>
        <v>A0163:伊勢崎ガス(株)メニューB</v>
      </c>
      <c r="S435" s="181">
        <f t="shared" si="20"/>
        <v>4.2000000000000002E-4</v>
      </c>
    </row>
    <row r="436" spans="2:19">
      <c r="B436" s="121" t="s">
        <v>1404</v>
      </c>
      <c r="C436" s="490" t="s">
        <v>1914</v>
      </c>
      <c r="D436" s="490" t="str">
        <f t="shared" si="18"/>
        <v>A0740:もみじ電力(株)</v>
      </c>
      <c r="I436" s="125" t="s">
        <v>1085</v>
      </c>
      <c r="J436" s="125" t="s">
        <v>1595</v>
      </c>
      <c r="K436" s="182" t="s">
        <v>1998</v>
      </c>
      <c r="L436" s="182">
        <v>4.1300000000000001E-4</v>
      </c>
      <c r="M436" s="182">
        <v>4.1300000000000001E-4</v>
      </c>
      <c r="N436" s="182">
        <v>4.1300000000000001E-4</v>
      </c>
      <c r="O436" s="182">
        <v>4.1300000000000001E-4</v>
      </c>
      <c r="P436" s="182">
        <v>4.1300000000000001E-4</v>
      </c>
      <c r="R436" s="155" t="str">
        <f t="shared" si="19"/>
        <v>A0163:伊勢崎ガス(株)(参考値)事業者全体</v>
      </c>
      <c r="S436" s="181">
        <f t="shared" si="20"/>
        <v>4.1300000000000001E-4</v>
      </c>
    </row>
    <row r="437" spans="2:19">
      <c r="B437" s="121" t="s">
        <v>1405</v>
      </c>
      <c r="C437" s="490" t="s">
        <v>1915</v>
      </c>
      <c r="D437" s="490" t="str">
        <f t="shared" si="18"/>
        <v>A0742:(株)縁人</v>
      </c>
      <c r="I437" s="125" t="s">
        <v>1086</v>
      </c>
      <c r="J437" s="125" t="s">
        <v>1596</v>
      </c>
      <c r="K437" s="182"/>
      <c r="L437" s="182">
        <v>4.1899999999999999E-4</v>
      </c>
      <c r="M437" s="182">
        <v>4.1899999999999999E-4</v>
      </c>
      <c r="N437" s="182">
        <v>4.1899999999999999E-4</v>
      </c>
      <c r="O437" s="182">
        <v>4.1899999999999999E-4</v>
      </c>
      <c r="P437" s="182">
        <v>4.1899999999999999E-4</v>
      </c>
      <c r="R437" s="155" t="str">
        <f t="shared" si="19"/>
        <v>A0164:キヤノンマーケティングジャパン(株)</v>
      </c>
      <c r="S437" s="181">
        <f t="shared" si="20"/>
        <v>4.1899999999999999E-4</v>
      </c>
    </row>
    <row r="438" spans="2:19">
      <c r="B438" s="121" t="s">
        <v>1406</v>
      </c>
      <c r="C438" s="490" t="s">
        <v>1916</v>
      </c>
      <c r="D438" s="490" t="str">
        <f t="shared" si="18"/>
        <v>A0743:T＆Tエナジー(株)</v>
      </c>
      <c r="I438" s="125" t="s">
        <v>1087</v>
      </c>
      <c r="J438" s="125" t="s">
        <v>1597</v>
      </c>
      <c r="K438" s="182" t="s">
        <v>652</v>
      </c>
      <c r="L438" s="182">
        <v>0</v>
      </c>
      <c r="M438" s="182">
        <v>0</v>
      </c>
      <c r="N438" s="182">
        <v>0</v>
      </c>
      <c r="O438" s="182">
        <v>0</v>
      </c>
      <c r="P438" s="182">
        <v>0</v>
      </c>
      <c r="R438" s="155" t="str">
        <f t="shared" si="19"/>
        <v>A0165:(株)とっとり市民電力メニューA</v>
      </c>
      <c r="S438" s="181">
        <f t="shared" si="20"/>
        <v>0</v>
      </c>
    </row>
    <row r="439" spans="2:19">
      <c r="B439" s="121" t="s">
        <v>1407</v>
      </c>
      <c r="C439" s="490" t="s">
        <v>1917</v>
      </c>
      <c r="D439" s="490" t="str">
        <f t="shared" si="18"/>
        <v>A0744:(株)ルーク</v>
      </c>
      <c r="I439" s="125" t="s">
        <v>1087</v>
      </c>
      <c r="J439" s="125" t="s">
        <v>1597</v>
      </c>
      <c r="K439" s="182" t="s">
        <v>729</v>
      </c>
      <c r="L439" s="182">
        <v>2.9599999999999998E-4</v>
      </c>
      <c r="M439" s="182">
        <v>2.9599999999999998E-4</v>
      </c>
      <c r="N439" s="182">
        <v>2.9599999999999998E-4</v>
      </c>
      <c r="O439" s="182">
        <v>2.9599999999999998E-4</v>
      </c>
      <c r="P439" s="182">
        <v>2.9599999999999998E-4</v>
      </c>
      <c r="R439" s="155" t="str">
        <f t="shared" si="19"/>
        <v>A0165:(株)とっとり市民電力メニューB</v>
      </c>
      <c r="S439" s="181">
        <f t="shared" si="20"/>
        <v>2.9599999999999998E-4</v>
      </c>
    </row>
    <row r="440" spans="2:19">
      <c r="B440" s="121" t="s">
        <v>1408</v>
      </c>
      <c r="C440" s="490" t="s">
        <v>1918</v>
      </c>
      <c r="D440" s="490" t="str">
        <f t="shared" si="18"/>
        <v>A0746:かけがわ報徳パワー(株)</v>
      </c>
      <c r="I440" s="125" t="s">
        <v>1087</v>
      </c>
      <c r="J440" s="125" t="s">
        <v>1597</v>
      </c>
      <c r="K440" s="182" t="s">
        <v>1998</v>
      </c>
      <c r="L440" s="182">
        <v>2.9100000000000003E-4</v>
      </c>
      <c r="M440" s="182">
        <v>2.9100000000000003E-4</v>
      </c>
      <c r="N440" s="182">
        <v>2.9100000000000003E-4</v>
      </c>
      <c r="O440" s="182">
        <v>2.9100000000000003E-4</v>
      </c>
      <c r="P440" s="182">
        <v>2.9100000000000003E-4</v>
      </c>
      <c r="R440" s="155" t="str">
        <f t="shared" si="19"/>
        <v>A0165:(株)とっとり市民電力(参考値)事業者全体</v>
      </c>
      <c r="S440" s="181">
        <f t="shared" si="20"/>
        <v>2.9100000000000003E-4</v>
      </c>
    </row>
    <row r="441" spans="2:19">
      <c r="B441" s="121" t="s">
        <v>1409</v>
      </c>
      <c r="C441" s="490" t="s">
        <v>1919</v>
      </c>
      <c r="D441" s="490" t="str">
        <f t="shared" si="18"/>
        <v>A0747:SustainableEnergy(株)</v>
      </c>
      <c r="I441" s="125" t="s">
        <v>1088</v>
      </c>
      <c r="J441" s="125" t="s">
        <v>1598</v>
      </c>
      <c r="K441" s="182"/>
      <c r="L441" s="182">
        <v>7.1599999999999995E-4</v>
      </c>
      <c r="M441" s="182">
        <v>7.1599999999999995E-4</v>
      </c>
      <c r="N441" s="182">
        <v>7.1599999999999995E-4</v>
      </c>
      <c r="O441" s="182">
        <v>7.1599999999999995E-4</v>
      </c>
      <c r="P441" s="182">
        <v>7.1599999999999995E-4</v>
      </c>
      <c r="R441" s="155" t="str">
        <f t="shared" si="19"/>
        <v>A0166:(株)エクスゲート(旧：(株)イーエムアイ)</v>
      </c>
      <c r="S441" s="181">
        <f t="shared" si="20"/>
        <v>7.1599999999999995E-4</v>
      </c>
    </row>
    <row r="442" spans="2:19">
      <c r="B442" s="121" t="s">
        <v>1410</v>
      </c>
      <c r="C442" s="490" t="s">
        <v>1920</v>
      </c>
      <c r="D442" s="490" t="str">
        <f t="shared" si="18"/>
        <v>A0748:穂の国とよはし電力(株)</v>
      </c>
      <c r="I442" s="125" t="s">
        <v>1089</v>
      </c>
      <c r="J442" s="125" t="s">
        <v>1599</v>
      </c>
      <c r="K442" s="182" t="s">
        <v>652</v>
      </c>
      <c r="L442" s="182">
        <v>0</v>
      </c>
      <c r="M442" s="182">
        <v>0</v>
      </c>
      <c r="N442" s="182">
        <v>0</v>
      </c>
      <c r="O442" s="182">
        <v>0</v>
      </c>
      <c r="P442" s="182">
        <v>0</v>
      </c>
      <c r="R442" s="155" t="str">
        <f t="shared" si="19"/>
        <v>A0167:佐野瓦斯(株)メニューA</v>
      </c>
      <c r="S442" s="181">
        <f t="shared" si="20"/>
        <v>0</v>
      </c>
    </row>
    <row r="443" spans="2:19">
      <c r="B443" s="121" t="s">
        <v>1411</v>
      </c>
      <c r="C443" s="490" t="s">
        <v>1921</v>
      </c>
      <c r="D443" s="490" t="str">
        <f t="shared" si="18"/>
        <v>A0752:イワタニセントラル北海道(株)</v>
      </c>
      <c r="I443" s="125" t="s">
        <v>1089</v>
      </c>
      <c r="J443" s="125" t="s">
        <v>1599</v>
      </c>
      <c r="K443" s="182" t="s">
        <v>729</v>
      </c>
      <c r="L443" s="182">
        <v>4.0999999999999999E-4</v>
      </c>
      <c r="M443" s="182">
        <v>4.0999999999999999E-4</v>
      </c>
      <c r="N443" s="182">
        <v>4.0999999999999999E-4</v>
      </c>
      <c r="O443" s="182">
        <v>4.0999999999999999E-4</v>
      </c>
      <c r="P443" s="182">
        <v>4.0999999999999999E-4</v>
      </c>
      <c r="R443" s="155" t="str">
        <f t="shared" si="19"/>
        <v>A0167:佐野瓦斯(株)メニューB</v>
      </c>
      <c r="S443" s="181">
        <f t="shared" si="20"/>
        <v>4.0999999999999999E-4</v>
      </c>
    </row>
    <row r="444" spans="2:19">
      <c r="B444" s="121" t="s">
        <v>1412</v>
      </c>
      <c r="C444" s="490" t="s">
        <v>1922</v>
      </c>
      <c r="D444" s="490" t="str">
        <f t="shared" si="18"/>
        <v>A0753:ホームタウンエナジー(株)</v>
      </c>
      <c r="I444" s="125" t="s">
        <v>1089</v>
      </c>
      <c r="J444" s="125" t="s">
        <v>1599</v>
      </c>
      <c r="K444" s="182" t="s">
        <v>1998</v>
      </c>
      <c r="L444" s="182">
        <v>3.8299999999999999E-4</v>
      </c>
      <c r="M444" s="182">
        <v>3.8299999999999999E-4</v>
      </c>
      <c r="N444" s="182">
        <v>3.8299999999999999E-4</v>
      </c>
      <c r="O444" s="182">
        <v>3.8299999999999999E-4</v>
      </c>
      <c r="P444" s="182">
        <v>3.8299999999999999E-4</v>
      </c>
      <c r="R444" s="155" t="str">
        <f t="shared" si="19"/>
        <v>A0167:佐野瓦斯(株)(参考値)事業者全体</v>
      </c>
      <c r="S444" s="181">
        <f t="shared" si="20"/>
        <v>3.8299999999999999E-4</v>
      </c>
    </row>
    <row r="445" spans="2:19">
      <c r="B445" s="121" t="s">
        <v>1413</v>
      </c>
      <c r="C445" s="490" t="s">
        <v>1923</v>
      </c>
      <c r="D445" s="490" t="str">
        <f t="shared" si="18"/>
        <v>A0754:(株)彩の国でんき</v>
      </c>
      <c r="I445" s="125" t="s">
        <v>1090</v>
      </c>
      <c r="J445" s="125" t="s">
        <v>1600</v>
      </c>
      <c r="K445" s="182"/>
      <c r="L445" s="182">
        <v>4.1899999999999999E-4</v>
      </c>
      <c r="M445" s="182">
        <v>4.1899999999999999E-4</v>
      </c>
      <c r="N445" s="182">
        <v>4.1899999999999999E-4</v>
      </c>
      <c r="O445" s="182">
        <v>4.1899999999999999E-4</v>
      </c>
      <c r="P445" s="182">
        <v>4.1899999999999999E-4</v>
      </c>
      <c r="R445" s="155" t="str">
        <f t="shared" si="19"/>
        <v>A0168:桐生瓦斯(株)</v>
      </c>
      <c r="S445" s="181">
        <f t="shared" si="20"/>
        <v>4.1899999999999999E-4</v>
      </c>
    </row>
    <row r="446" spans="2:19">
      <c r="B446" s="121" t="s">
        <v>1414</v>
      </c>
      <c r="C446" s="490" t="s">
        <v>1924</v>
      </c>
      <c r="D446" s="490" t="str">
        <f t="shared" si="18"/>
        <v>A0758:(株)みやきエネルギー</v>
      </c>
      <c r="I446" s="125" t="s">
        <v>1091</v>
      </c>
      <c r="J446" s="125" t="s">
        <v>1601</v>
      </c>
      <c r="K446" s="182" t="s">
        <v>652</v>
      </c>
      <c r="L446" s="182">
        <v>0</v>
      </c>
      <c r="M446" s="182">
        <v>0</v>
      </c>
      <c r="N446" s="182">
        <v>0</v>
      </c>
      <c r="O446" s="182">
        <v>0</v>
      </c>
      <c r="P446" s="182">
        <v>0</v>
      </c>
      <c r="R446" s="155" t="str">
        <f t="shared" si="19"/>
        <v>A0169:森の電力(株)メニューA</v>
      </c>
      <c r="S446" s="181">
        <f t="shared" si="20"/>
        <v>0</v>
      </c>
    </row>
    <row r="447" spans="2:19">
      <c r="B447" s="121" t="s">
        <v>1415</v>
      </c>
      <c r="C447" s="490" t="s">
        <v>1925</v>
      </c>
      <c r="D447" s="490" t="str">
        <f t="shared" si="18"/>
        <v>A0759:(株)クリーンベンチャー21</v>
      </c>
      <c r="I447" s="125" t="s">
        <v>1091</v>
      </c>
      <c r="J447" s="125" t="s">
        <v>1601</v>
      </c>
      <c r="K447" s="182" t="s">
        <v>729</v>
      </c>
      <c r="L447" s="182">
        <v>5.8399999999999999E-4</v>
      </c>
      <c r="M447" s="182">
        <v>5.8399999999999999E-4</v>
      </c>
      <c r="N447" s="182">
        <v>5.8399999999999999E-4</v>
      </c>
      <c r="O447" s="182">
        <v>5.8399999999999999E-4</v>
      </c>
      <c r="P447" s="182">
        <v>5.8399999999999999E-4</v>
      </c>
      <c r="R447" s="155" t="str">
        <f t="shared" si="19"/>
        <v>A0169:森の電力(株)メニューB</v>
      </c>
      <c r="S447" s="181">
        <f t="shared" si="20"/>
        <v>5.8399999999999999E-4</v>
      </c>
    </row>
    <row r="448" spans="2:19">
      <c r="B448" s="121" t="s">
        <v>1416</v>
      </c>
      <c r="C448" s="490" t="s">
        <v>1926</v>
      </c>
      <c r="D448" s="490" t="str">
        <f t="shared" si="18"/>
        <v>A0760:三河商事(株)</v>
      </c>
      <c r="I448" s="125" t="s">
        <v>1091</v>
      </c>
      <c r="J448" s="125" t="s">
        <v>1601</v>
      </c>
      <c r="K448" s="182" t="s">
        <v>1998</v>
      </c>
      <c r="L448" s="182">
        <v>0</v>
      </c>
      <c r="M448" s="182">
        <v>0</v>
      </c>
      <c r="N448" s="182">
        <v>0</v>
      </c>
      <c r="O448" s="182">
        <v>0</v>
      </c>
      <c r="P448" s="182">
        <v>0</v>
      </c>
      <c r="R448" s="155" t="str">
        <f t="shared" si="19"/>
        <v>A0169:森の電力(株)(参考値)事業者全体</v>
      </c>
      <c r="S448" s="181">
        <f t="shared" si="20"/>
        <v>0</v>
      </c>
    </row>
    <row r="449" spans="2:19">
      <c r="B449" s="121" t="s">
        <v>1417</v>
      </c>
      <c r="C449" s="490" t="s">
        <v>1927</v>
      </c>
      <c r="D449" s="490" t="str">
        <f t="shared" si="18"/>
        <v>A0764:沖縄新エネ開発(株)</v>
      </c>
      <c r="I449" s="125" t="s">
        <v>1092</v>
      </c>
      <c r="J449" s="125" t="s">
        <v>1602</v>
      </c>
      <c r="K449" s="182" t="s">
        <v>652</v>
      </c>
      <c r="L449" s="182">
        <v>0</v>
      </c>
      <c r="M449" s="182">
        <v>0</v>
      </c>
      <c r="N449" s="182">
        <v>0</v>
      </c>
      <c r="O449" s="182">
        <v>0</v>
      </c>
      <c r="P449" s="182">
        <v>0</v>
      </c>
      <c r="R449" s="155" t="str">
        <f t="shared" si="19"/>
        <v>A0170:大和ハウス工業(株)メニューA</v>
      </c>
      <c r="S449" s="181">
        <f t="shared" si="20"/>
        <v>0</v>
      </c>
    </row>
    <row r="450" spans="2:19">
      <c r="B450" s="121" t="s">
        <v>1418</v>
      </c>
      <c r="C450" s="490" t="s">
        <v>1928</v>
      </c>
      <c r="D450" s="490" t="str">
        <f t="shared" si="18"/>
        <v>A0770:(株)ほくだん</v>
      </c>
      <c r="I450" s="125" t="s">
        <v>1092</v>
      </c>
      <c r="J450" s="125" t="s">
        <v>1602</v>
      </c>
      <c r="K450" s="182" t="s">
        <v>729</v>
      </c>
      <c r="L450" s="182">
        <v>0</v>
      </c>
      <c r="M450" s="182">
        <v>0</v>
      </c>
      <c r="N450" s="182">
        <v>0</v>
      </c>
      <c r="O450" s="182">
        <v>0</v>
      </c>
      <c r="P450" s="182">
        <v>0</v>
      </c>
      <c r="R450" s="155" t="str">
        <f t="shared" si="19"/>
        <v>A0170:大和ハウス工業(株)メニューB</v>
      </c>
      <c r="S450" s="181">
        <f t="shared" si="20"/>
        <v>0</v>
      </c>
    </row>
    <row r="451" spans="2:19">
      <c r="B451" s="121" t="s">
        <v>1419</v>
      </c>
      <c r="C451" s="490" t="s">
        <v>1929</v>
      </c>
      <c r="D451" s="490" t="str">
        <f t="shared" si="18"/>
        <v>A0772:(株)エスコ</v>
      </c>
      <c r="I451" s="125" t="s">
        <v>1092</v>
      </c>
      <c r="J451" s="125" t="s">
        <v>1602</v>
      </c>
      <c r="K451" s="182" t="s">
        <v>730</v>
      </c>
      <c r="L451" s="182">
        <v>7.8999999999999996E-5</v>
      </c>
      <c r="M451" s="182">
        <v>7.8999999999999996E-5</v>
      </c>
      <c r="N451" s="182">
        <v>7.8999999999999996E-5</v>
      </c>
      <c r="O451" s="182">
        <v>7.8999999999999996E-5</v>
      </c>
      <c r="P451" s="182">
        <v>7.8999999999999996E-5</v>
      </c>
      <c r="R451" s="155" t="str">
        <f t="shared" si="19"/>
        <v>A0170:大和ハウス工業(株)メニューC</v>
      </c>
      <c r="S451" s="181">
        <f t="shared" si="20"/>
        <v>7.8999999999999996E-5</v>
      </c>
    </row>
    <row r="452" spans="2:19">
      <c r="B452" s="121" t="s">
        <v>1420</v>
      </c>
      <c r="C452" s="490" t="s">
        <v>1930</v>
      </c>
      <c r="D452" s="490" t="str">
        <f t="shared" si="18"/>
        <v>A0773:(株)Qvou</v>
      </c>
      <c r="I452" s="125" t="s">
        <v>1092</v>
      </c>
      <c r="J452" s="125" t="s">
        <v>1602</v>
      </c>
      <c r="K452" s="182" t="s">
        <v>915</v>
      </c>
      <c r="L452" s="182">
        <v>2.5500000000000002E-4</v>
      </c>
      <c r="M452" s="182">
        <v>2.5500000000000002E-4</v>
      </c>
      <c r="N452" s="182">
        <v>2.5500000000000002E-4</v>
      </c>
      <c r="O452" s="182">
        <v>2.5500000000000002E-4</v>
      </c>
      <c r="P452" s="182">
        <v>2.5500000000000002E-4</v>
      </c>
      <c r="R452" s="155" t="str">
        <f t="shared" si="19"/>
        <v>A0170:大和ハウス工業(株)メニューD</v>
      </c>
      <c r="S452" s="181">
        <f t="shared" si="20"/>
        <v>2.5500000000000002E-4</v>
      </c>
    </row>
    <row r="453" spans="2:19">
      <c r="B453" s="121" t="s">
        <v>1421</v>
      </c>
      <c r="C453" s="490" t="s">
        <v>1931</v>
      </c>
      <c r="D453" s="490" t="str">
        <f t="shared" si="18"/>
        <v>A0777:住友商事(株)</v>
      </c>
      <c r="I453" s="125" t="s">
        <v>1092</v>
      </c>
      <c r="J453" s="125" t="s">
        <v>1602</v>
      </c>
      <c r="K453" s="182" t="s">
        <v>916</v>
      </c>
      <c r="L453" s="182">
        <v>2.7500000000000002E-4</v>
      </c>
      <c r="M453" s="182">
        <v>2.7500000000000002E-4</v>
      </c>
      <c r="N453" s="182">
        <v>2.7500000000000002E-4</v>
      </c>
      <c r="O453" s="182">
        <v>2.7500000000000002E-4</v>
      </c>
      <c r="P453" s="182">
        <v>2.7500000000000002E-4</v>
      </c>
      <c r="R453" s="155" t="str">
        <f t="shared" si="19"/>
        <v>A0170:大和ハウス工業(株)メニューE</v>
      </c>
      <c r="S453" s="181">
        <f t="shared" si="20"/>
        <v>2.7500000000000002E-4</v>
      </c>
    </row>
    <row r="454" spans="2:19">
      <c r="B454" s="121" t="s">
        <v>1422</v>
      </c>
      <c r="C454" s="490" t="s">
        <v>1932</v>
      </c>
      <c r="D454" s="490" t="str">
        <f t="shared" si="18"/>
        <v>A0781:(株)丸の内電力</v>
      </c>
      <c r="I454" s="125" t="s">
        <v>1092</v>
      </c>
      <c r="J454" s="125" t="s">
        <v>1602</v>
      </c>
      <c r="K454" s="182" t="s">
        <v>1999</v>
      </c>
      <c r="L454" s="182">
        <v>3.7800000000000003E-4</v>
      </c>
      <c r="M454" s="182">
        <v>3.7800000000000003E-4</v>
      </c>
      <c r="N454" s="182">
        <v>3.7800000000000003E-4</v>
      </c>
      <c r="O454" s="182">
        <v>3.7800000000000003E-4</v>
      </c>
      <c r="P454" s="182">
        <v>3.7800000000000003E-4</v>
      </c>
      <c r="R454" s="155" t="str">
        <f t="shared" si="19"/>
        <v>A0170:大和ハウス工業(株)メニューF</v>
      </c>
      <c r="S454" s="181">
        <f t="shared" si="20"/>
        <v>3.7800000000000003E-4</v>
      </c>
    </row>
    <row r="455" spans="2:19">
      <c r="B455" s="121" t="s">
        <v>1423</v>
      </c>
      <c r="C455" s="490" t="s">
        <v>1933</v>
      </c>
      <c r="D455" s="490" t="str">
        <f t="shared" si="18"/>
        <v>A0783:(株)中京電力</v>
      </c>
      <c r="I455" s="125" t="s">
        <v>1092</v>
      </c>
      <c r="J455" s="125" t="s">
        <v>1602</v>
      </c>
      <c r="K455" s="182" t="s">
        <v>1998</v>
      </c>
      <c r="L455" s="182">
        <v>3.2499999999999999E-4</v>
      </c>
      <c r="M455" s="182">
        <v>3.2499999999999999E-4</v>
      </c>
      <c r="N455" s="182">
        <v>3.2499999999999999E-4</v>
      </c>
      <c r="O455" s="182">
        <v>3.2499999999999999E-4</v>
      </c>
      <c r="P455" s="182">
        <v>3.2499999999999999E-4</v>
      </c>
      <c r="R455" s="155" t="str">
        <f t="shared" si="19"/>
        <v>A0170:大和ハウス工業(株)(参考値)事業者全体</v>
      </c>
      <c r="S455" s="181">
        <f t="shared" si="20"/>
        <v>3.2499999999999999E-4</v>
      </c>
    </row>
    <row r="456" spans="2:19">
      <c r="B456" s="121" t="s">
        <v>1424</v>
      </c>
      <c r="C456" s="490" t="s">
        <v>1934</v>
      </c>
      <c r="D456" s="490" t="str">
        <f t="shared" si="18"/>
        <v>A0785:(株)クオリティプラス</v>
      </c>
      <c r="I456" s="125" t="s">
        <v>1093</v>
      </c>
      <c r="J456" s="125" t="s">
        <v>1603</v>
      </c>
      <c r="K456" s="182" t="s">
        <v>652</v>
      </c>
      <c r="L456" s="182">
        <v>0</v>
      </c>
      <c r="M456" s="182">
        <v>0</v>
      </c>
      <c r="N456" s="182">
        <v>0</v>
      </c>
      <c r="O456" s="182">
        <v>0</v>
      </c>
      <c r="P456" s="182">
        <v>0</v>
      </c>
      <c r="R456" s="155" t="str">
        <f t="shared" si="19"/>
        <v>A0172:HTBエナジー(株)メニューA</v>
      </c>
      <c r="S456" s="181">
        <f t="shared" si="20"/>
        <v>0</v>
      </c>
    </row>
    <row r="457" spans="2:19">
      <c r="B457" s="121" t="s">
        <v>1425</v>
      </c>
      <c r="C457" s="490" t="s">
        <v>1935</v>
      </c>
      <c r="D457" s="490" t="str">
        <f t="shared" ref="D457:D520" si="21">IF(B457="","",B457&amp;":"&amp;C457)</f>
        <v>A0786:Y.W.C.(株)</v>
      </c>
      <c r="I457" s="125" t="s">
        <v>1093</v>
      </c>
      <c r="J457" s="125" t="s">
        <v>1603</v>
      </c>
      <c r="K457" s="182" t="s">
        <v>729</v>
      </c>
      <c r="L457" s="182">
        <v>3.9599999999999998E-4</v>
      </c>
      <c r="M457" s="182">
        <v>3.9599999999999998E-4</v>
      </c>
      <c r="N457" s="182">
        <v>3.9599999999999998E-4</v>
      </c>
      <c r="O457" s="182">
        <v>3.9599999999999998E-4</v>
      </c>
      <c r="P457" s="182">
        <v>3.9599999999999998E-4</v>
      </c>
      <c r="R457" s="155" t="str">
        <f t="shared" si="19"/>
        <v>A0172:HTBエナジー(株)メニューB</v>
      </c>
      <c r="S457" s="181">
        <f t="shared" si="20"/>
        <v>3.9599999999999998E-4</v>
      </c>
    </row>
    <row r="458" spans="2:19">
      <c r="B458" s="121" t="s">
        <v>1426</v>
      </c>
      <c r="C458" s="490" t="s">
        <v>1936</v>
      </c>
      <c r="D458" s="490" t="str">
        <f t="shared" si="21"/>
        <v>A0792:(株)MTエナジー</v>
      </c>
      <c r="I458" s="125" t="s">
        <v>1093</v>
      </c>
      <c r="J458" s="125" t="s">
        <v>1603</v>
      </c>
      <c r="K458" s="182" t="s">
        <v>1998</v>
      </c>
      <c r="L458" s="182">
        <v>3.6299999999999999E-4</v>
      </c>
      <c r="M458" s="182">
        <v>3.6299999999999999E-4</v>
      </c>
      <c r="N458" s="182">
        <v>3.6299999999999999E-4</v>
      </c>
      <c r="O458" s="182">
        <v>3.6299999999999999E-4</v>
      </c>
      <c r="P458" s="182">
        <v>3.6299999999999999E-4</v>
      </c>
      <c r="R458" s="155" t="str">
        <f t="shared" ref="R458:R521" si="22">I458&amp;":"&amp;J458&amp;K458</f>
        <v>A0172:HTBエナジー(株)(参考値)事業者全体</v>
      </c>
      <c r="S458" s="181">
        <f t="shared" ref="S458:S521" si="23">HLOOKUP($S$8,$L$8:$P$2000,ROW()-7,FALSE)</f>
        <v>3.6299999999999999E-4</v>
      </c>
    </row>
    <row r="459" spans="2:19">
      <c r="B459" s="121" t="s">
        <v>1427</v>
      </c>
      <c r="C459" s="490" t="s">
        <v>1937</v>
      </c>
      <c r="D459" s="490" t="str">
        <f t="shared" si="21"/>
        <v>A0793:TGオクトパスエナジー(株)</v>
      </c>
      <c r="I459" s="125" t="s">
        <v>1094</v>
      </c>
      <c r="J459" s="125" t="s">
        <v>1604</v>
      </c>
      <c r="K459" s="182"/>
      <c r="L459" s="182">
        <v>6.1600000000000001E-4</v>
      </c>
      <c r="M459" s="182">
        <v>6.1600000000000001E-4</v>
      </c>
      <c r="N459" s="182">
        <v>6.1600000000000001E-4</v>
      </c>
      <c r="O459" s="182">
        <v>6.1600000000000001E-4</v>
      </c>
      <c r="P459" s="182">
        <v>6.1600000000000001E-4</v>
      </c>
      <c r="R459" s="155" t="str">
        <f t="shared" si="22"/>
        <v>A0173:(株)アシストワンエナジー</v>
      </c>
      <c r="S459" s="181">
        <f t="shared" si="23"/>
        <v>6.1600000000000001E-4</v>
      </c>
    </row>
    <row r="460" spans="2:19">
      <c r="B460" s="121" t="s">
        <v>1428</v>
      </c>
      <c r="C460" s="490" t="s">
        <v>1938</v>
      </c>
      <c r="D460" s="490" t="str">
        <f t="shared" si="21"/>
        <v>A0796:東北電力フロンティア(株)</v>
      </c>
      <c r="I460" s="125" t="s">
        <v>1095</v>
      </c>
      <c r="J460" s="125" t="s">
        <v>1605</v>
      </c>
      <c r="K460" s="182"/>
      <c r="L460" s="182">
        <v>6.4800000000000003E-4</v>
      </c>
      <c r="M460" s="182">
        <v>6.4800000000000003E-4</v>
      </c>
      <c r="N460" s="182">
        <v>6.4800000000000003E-4</v>
      </c>
      <c r="O460" s="182">
        <v>6.4800000000000003E-4</v>
      </c>
      <c r="P460" s="182">
        <v>6.4800000000000003E-4</v>
      </c>
      <c r="R460" s="155" t="str">
        <f t="shared" si="22"/>
        <v>A0175:(株)フソウ・エナジー</v>
      </c>
      <c r="S460" s="181">
        <f t="shared" si="23"/>
        <v>6.4800000000000003E-4</v>
      </c>
    </row>
    <row r="461" spans="2:19">
      <c r="B461" s="121" t="s">
        <v>1429</v>
      </c>
      <c r="C461" s="490" t="s">
        <v>1939</v>
      </c>
      <c r="D461" s="490" t="str">
        <f t="shared" si="21"/>
        <v>A0798:(株)ファラデー</v>
      </c>
      <c r="I461" s="125" t="s">
        <v>1096</v>
      </c>
      <c r="J461" s="125" t="s">
        <v>1606</v>
      </c>
      <c r="K461" s="182" t="s">
        <v>652</v>
      </c>
      <c r="L461" s="182">
        <v>0</v>
      </c>
      <c r="M461" s="182">
        <v>0</v>
      </c>
      <c r="N461" s="182">
        <v>0</v>
      </c>
      <c r="O461" s="182">
        <v>0</v>
      </c>
      <c r="P461" s="182">
        <v>0</v>
      </c>
      <c r="R461" s="155" t="str">
        <f t="shared" si="22"/>
        <v>A0177:湘南電力(株)メニューA</v>
      </c>
      <c r="S461" s="181">
        <f t="shared" si="23"/>
        <v>0</v>
      </c>
    </row>
    <row r="462" spans="2:19">
      <c r="B462" s="121" t="s">
        <v>1430</v>
      </c>
      <c r="C462" s="490" t="s">
        <v>1940</v>
      </c>
      <c r="D462" s="490" t="str">
        <f t="shared" si="21"/>
        <v>A0799:三菱HCキャピタルエナジー(株)</v>
      </c>
      <c r="I462" s="125" t="s">
        <v>1096</v>
      </c>
      <c r="J462" s="125" t="s">
        <v>1606</v>
      </c>
      <c r="K462" s="182" t="s">
        <v>729</v>
      </c>
      <c r="L462" s="182">
        <v>5.4699999999999996E-4</v>
      </c>
      <c r="M462" s="182">
        <v>5.4699999999999996E-4</v>
      </c>
      <c r="N462" s="182">
        <v>5.4699999999999996E-4</v>
      </c>
      <c r="O462" s="182">
        <v>5.4699999999999996E-4</v>
      </c>
      <c r="P462" s="182">
        <v>5.4699999999999996E-4</v>
      </c>
      <c r="R462" s="155" t="str">
        <f t="shared" si="22"/>
        <v>A0177:湘南電力(株)メニューB</v>
      </c>
      <c r="S462" s="181">
        <f t="shared" si="23"/>
        <v>5.4699999999999996E-4</v>
      </c>
    </row>
    <row r="463" spans="2:19">
      <c r="B463" s="121" t="s">
        <v>1431</v>
      </c>
      <c r="C463" s="490" t="s">
        <v>1941</v>
      </c>
      <c r="D463" s="490" t="str">
        <f t="shared" si="21"/>
        <v>A0800:(株)Meisin</v>
      </c>
      <c r="I463" s="125" t="s">
        <v>1096</v>
      </c>
      <c r="J463" s="125" t="s">
        <v>1606</v>
      </c>
      <c r="K463" s="182" t="s">
        <v>1998</v>
      </c>
      <c r="L463" s="182">
        <v>5.0600000000000005E-4</v>
      </c>
      <c r="M463" s="182">
        <v>5.0600000000000005E-4</v>
      </c>
      <c r="N463" s="182">
        <v>5.0600000000000005E-4</v>
      </c>
      <c r="O463" s="182">
        <v>5.0600000000000005E-4</v>
      </c>
      <c r="P463" s="182">
        <v>5.0600000000000005E-4</v>
      </c>
      <c r="R463" s="155" t="str">
        <f t="shared" si="22"/>
        <v>A0177:湘南電力(株)(参考値)事業者全体</v>
      </c>
      <c r="S463" s="181">
        <f t="shared" si="23"/>
        <v>5.0600000000000005E-4</v>
      </c>
    </row>
    <row r="464" spans="2:19">
      <c r="B464" s="121" t="s">
        <v>1432</v>
      </c>
      <c r="C464" s="490" t="s">
        <v>1942</v>
      </c>
      <c r="D464" s="490" t="str">
        <f t="shared" si="21"/>
        <v>A0802:大塚ビジネスサポート(株)</v>
      </c>
      <c r="I464" s="125" t="s">
        <v>1097</v>
      </c>
      <c r="J464" s="125" t="s">
        <v>1607</v>
      </c>
      <c r="K464" s="182"/>
      <c r="L464" s="182">
        <v>5.7600000000000001E-4</v>
      </c>
      <c r="M464" s="182">
        <v>5.7600000000000001E-4</v>
      </c>
      <c r="N464" s="182">
        <v>5.7600000000000001E-4</v>
      </c>
      <c r="O464" s="182">
        <v>5.7600000000000001E-4</v>
      </c>
      <c r="P464" s="182">
        <v>5.7600000000000001E-4</v>
      </c>
      <c r="R464" s="155" t="str">
        <f t="shared" si="22"/>
        <v>A0178:大東建託パートナーズ(株)</v>
      </c>
      <c r="S464" s="181">
        <f t="shared" si="23"/>
        <v>5.7600000000000001E-4</v>
      </c>
    </row>
    <row r="465" spans="2:19">
      <c r="B465" s="121" t="s">
        <v>1433</v>
      </c>
      <c r="C465" s="490" t="s">
        <v>1943</v>
      </c>
      <c r="D465" s="490" t="str">
        <f t="shared" si="21"/>
        <v>A0803:出雲ケーブルビジョン(株)</v>
      </c>
      <c r="I465" s="125" t="s">
        <v>1098</v>
      </c>
      <c r="J465" s="125" t="s">
        <v>1608</v>
      </c>
      <c r="K465" s="182" t="s">
        <v>652</v>
      </c>
      <c r="L465" s="182">
        <v>0</v>
      </c>
      <c r="M465" s="182">
        <v>0</v>
      </c>
      <c r="N465" s="182">
        <v>0</v>
      </c>
      <c r="O465" s="182">
        <v>0</v>
      </c>
      <c r="P465" s="182">
        <v>0</v>
      </c>
      <c r="R465" s="155" t="str">
        <f t="shared" si="22"/>
        <v>A0179:Japan電力(株)メニューA</v>
      </c>
      <c r="S465" s="181">
        <f t="shared" si="23"/>
        <v>0</v>
      </c>
    </row>
    <row r="466" spans="2:19">
      <c r="B466" s="121" t="s">
        <v>1434</v>
      </c>
      <c r="C466" s="490" t="s">
        <v>1944</v>
      </c>
      <c r="D466" s="490" t="str">
        <f t="shared" si="21"/>
        <v>A0806:いずも縁結び電力(株)</v>
      </c>
      <c r="I466" s="125" t="s">
        <v>1098</v>
      </c>
      <c r="J466" s="125" t="s">
        <v>1608</v>
      </c>
      <c r="K466" s="182" t="s">
        <v>729</v>
      </c>
      <c r="L466" s="182">
        <v>4.2099999999999999E-4</v>
      </c>
      <c r="M466" s="182">
        <v>4.2099999999999999E-4</v>
      </c>
      <c r="N466" s="182">
        <v>4.2099999999999999E-4</v>
      </c>
      <c r="O466" s="182">
        <v>4.2099999999999999E-4</v>
      </c>
      <c r="P466" s="182">
        <v>4.2099999999999999E-4</v>
      </c>
      <c r="R466" s="155" t="str">
        <f t="shared" si="22"/>
        <v>A0179:Japan電力(株)メニューB</v>
      </c>
      <c r="S466" s="181">
        <f t="shared" si="23"/>
        <v>4.2099999999999999E-4</v>
      </c>
    </row>
    <row r="467" spans="2:19">
      <c r="B467" s="121" t="s">
        <v>1435</v>
      </c>
      <c r="C467" s="490" t="s">
        <v>1945</v>
      </c>
      <c r="D467" s="490" t="str">
        <f t="shared" si="21"/>
        <v>A0807:恵那電力(株)</v>
      </c>
      <c r="I467" s="125" t="s">
        <v>1098</v>
      </c>
      <c r="J467" s="125" t="s">
        <v>1608</v>
      </c>
      <c r="K467" s="182" t="s">
        <v>1998</v>
      </c>
      <c r="L467" s="182">
        <v>3.9199999999999999E-4</v>
      </c>
      <c r="M467" s="182">
        <v>3.9199999999999999E-4</v>
      </c>
      <c r="N467" s="182">
        <v>3.9199999999999999E-4</v>
      </c>
      <c r="O467" s="182">
        <v>3.9199999999999999E-4</v>
      </c>
      <c r="P467" s="182">
        <v>3.9199999999999999E-4</v>
      </c>
      <c r="R467" s="155" t="str">
        <f t="shared" si="22"/>
        <v>A0179:Japan電力(株)(参考値)事業者全体</v>
      </c>
      <c r="S467" s="181">
        <f t="shared" si="23"/>
        <v>3.9199999999999999E-4</v>
      </c>
    </row>
    <row r="468" spans="2:19">
      <c r="B468" s="121" t="s">
        <v>1436</v>
      </c>
      <c r="C468" s="490" t="s">
        <v>1946</v>
      </c>
      <c r="D468" s="490" t="str">
        <f t="shared" si="21"/>
        <v>A0808:宇都宮ライトパワー(株)</v>
      </c>
      <c r="I468" s="125" t="s">
        <v>1099</v>
      </c>
      <c r="J468" s="125" t="s">
        <v>1609</v>
      </c>
      <c r="K468" s="182" t="s">
        <v>652</v>
      </c>
      <c r="L468" s="182">
        <v>4.2499999999999998E-4</v>
      </c>
      <c r="M468" s="182">
        <v>4.2499999999999998E-4</v>
      </c>
      <c r="N468" s="182">
        <v>4.2499999999999998E-4</v>
      </c>
      <c r="O468" s="182">
        <v>4.2499999999999998E-4</v>
      </c>
      <c r="P468" s="182">
        <v>4.2499999999999998E-4</v>
      </c>
      <c r="R468" s="155" t="str">
        <f t="shared" si="22"/>
        <v>A0180:電源開発(株)メニューA</v>
      </c>
      <c r="S468" s="181">
        <f t="shared" si="23"/>
        <v>4.2499999999999998E-4</v>
      </c>
    </row>
    <row r="469" spans="2:19">
      <c r="B469" s="121" t="s">
        <v>1437</v>
      </c>
      <c r="C469" s="490" t="s">
        <v>1947</v>
      </c>
      <c r="D469" s="490" t="str">
        <f t="shared" si="21"/>
        <v>A0809:帯広電力(株)</v>
      </c>
      <c r="I469" s="125" t="s">
        <v>1099</v>
      </c>
      <c r="J469" s="125" t="s">
        <v>1609</v>
      </c>
      <c r="K469" s="182" t="s">
        <v>729</v>
      </c>
      <c r="L469" s="182">
        <v>4.2200000000000001E-4</v>
      </c>
      <c r="M469" s="182">
        <v>4.2200000000000001E-4</v>
      </c>
      <c r="N469" s="182">
        <v>4.2200000000000001E-4</v>
      </c>
      <c r="O469" s="182">
        <v>4.2200000000000001E-4</v>
      </c>
      <c r="P469" s="182">
        <v>4.2200000000000001E-4</v>
      </c>
      <c r="R469" s="155" t="str">
        <f t="shared" si="22"/>
        <v>A0180:電源開発(株)メニューB</v>
      </c>
      <c r="S469" s="181">
        <f t="shared" si="23"/>
        <v>4.2200000000000001E-4</v>
      </c>
    </row>
    <row r="470" spans="2:19">
      <c r="B470" s="121" t="s">
        <v>1438</v>
      </c>
      <c r="C470" s="490" t="s">
        <v>1948</v>
      </c>
      <c r="D470" s="490" t="str">
        <f t="shared" si="21"/>
        <v>A0810:フジ物産(株)</v>
      </c>
      <c r="I470" s="125" t="s">
        <v>1099</v>
      </c>
      <c r="J470" s="125" t="s">
        <v>1609</v>
      </c>
      <c r="K470" s="182" t="s">
        <v>1998</v>
      </c>
      <c r="L470" s="182">
        <v>4.2200000000000001E-4</v>
      </c>
      <c r="M470" s="182">
        <v>4.2200000000000001E-4</v>
      </c>
      <c r="N470" s="182">
        <v>4.2200000000000001E-4</v>
      </c>
      <c r="O470" s="182">
        <v>4.2200000000000001E-4</v>
      </c>
      <c r="P470" s="182">
        <v>4.2200000000000001E-4</v>
      </c>
      <c r="R470" s="155" t="str">
        <f t="shared" si="22"/>
        <v>A0180:電源開発(株)(参考値)事業者全体</v>
      </c>
      <c r="S470" s="181">
        <f t="shared" si="23"/>
        <v>4.2200000000000001E-4</v>
      </c>
    </row>
    <row r="471" spans="2:19">
      <c r="B471" s="121" t="s">
        <v>1439</v>
      </c>
      <c r="C471" s="490" t="s">
        <v>1949</v>
      </c>
      <c r="D471" s="490" t="str">
        <f t="shared" si="21"/>
        <v>A0812:金沢エナジー(株)</v>
      </c>
      <c r="I471" s="125" t="s">
        <v>1100</v>
      </c>
      <c r="J471" s="125" t="s">
        <v>1610</v>
      </c>
      <c r="K471" s="182" t="s">
        <v>652</v>
      </c>
      <c r="L471" s="182">
        <v>2.9599999999999998E-4</v>
      </c>
      <c r="M471" s="182">
        <v>2.9599999999999998E-4</v>
      </c>
      <c r="N471" s="182">
        <v>2.9599999999999998E-4</v>
      </c>
      <c r="O471" s="182">
        <v>2.9599999999999998E-4</v>
      </c>
      <c r="P471" s="182">
        <v>2.9599999999999998E-4</v>
      </c>
      <c r="R471" s="155" t="str">
        <f t="shared" si="22"/>
        <v>A0181:鈴与商事(株)メニューA</v>
      </c>
      <c r="S471" s="181">
        <f t="shared" si="23"/>
        <v>2.9599999999999998E-4</v>
      </c>
    </row>
    <row r="472" spans="2:19">
      <c r="B472" s="121" t="s">
        <v>1440</v>
      </c>
      <c r="C472" s="490" t="s">
        <v>1950</v>
      </c>
      <c r="D472" s="490" t="str">
        <f t="shared" si="21"/>
        <v>A0817:(株)なんとエナジー</v>
      </c>
      <c r="I472" s="125" t="s">
        <v>1100</v>
      </c>
      <c r="J472" s="125" t="s">
        <v>1610</v>
      </c>
      <c r="K472" s="182" t="s">
        <v>729</v>
      </c>
      <c r="L472" s="182">
        <v>0</v>
      </c>
      <c r="M472" s="182">
        <v>0</v>
      </c>
      <c r="N472" s="182">
        <v>0</v>
      </c>
      <c r="O472" s="182">
        <v>0</v>
      </c>
      <c r="P472" s="182">
        <v>0</v>
      </c>
      <c r="R472" s="155" t="str">
        <f t="shared" si="22"/>
        <v>A0181:鈴与商事(株)メニューB</v>
      </c>
      <c r="S472" s="181">
        <f t="shared" si="23"/>
        <v>0</v>
      </c>
    </row>
    <row r="473" spans="2:19">
      <c r="B473" s="121" t="s">
        <v>1441</v>
      </c>
      <c r="C473" s="490" t="s">
        <v>1951</v>
      </c>
      <c r="D473" s="490" t="str">
        <f t="shared" si="21"/>
        <v>A0819:(株)ボーダレス・ジャパン</v>
      </c>
      <c r="I473" s="125" t="s">
        <v>1100</v>
      </c>
      <c r="J473" s="125" t="s">
        <v>1610</v>
      </c>
      <c r="K473" s="182" t="s">
        <v>730</v>
      </c>
      <c r="L473" s="182">
        <v>0</v>
      </c>
      <c r="M473" s="182">
        <v>0</v>
      </c>
      <c r="N473" s="182">
        <v>0</v>
      </c>
      <c r="O473" s="182">
        <v>0</v>
      </c>
      <c r="P473" s="182">
        <v>0</v>
      </c>
      <c r="R473" s="155" t="str">
        <f t="shared" si="22"/>
        <v>A0181:鈴与商事(株)メニューC</v>
      </c>
      <c r="S473" s="181">
        <f t="shared" si="23"/>
        <v>0</v>
      </c>
    </row>
    <row r="474" spans="2:19">
      <c r="B474" s="121" t="s">
        <v>1442</v>
      </c>
      <c r="C474" s="490" t="s">
        <v>1952</v>
      </c>
      <c r="D474" s="490" t="str">
        <f t="shared" si="21"/>
        <v>A0820:(株)ワット</v>
      </c>
      <c r="I474" s="125" t="s">
        <v>1100</v>
      </c>
      <c r="J474" s="125" t="s">
        <v>1610</v>
      </c>
      <c r="K474" s="182" t="s">
        <v>915</v>
      </c>
      <c r="L474" s="182">
        <v>5.2999999999999998E-4</v>
      </c>
      <c r="M474" s="182">
        <v>5.2999999999999998E-4</v>
      </c>
      <c r="N474" s="182">
        <v>5.2999999999999998E-4</v>
      </c>
      <c r="O474" s="182">
        <v>5.2999999999999998E-4</v>
      </c>
      <c r="P474" s="182">
        <v>5.2999999999999998E-4</v>
      </c>
      <c r="R474" s="155" t="str">
        <f t="shared" si="22"/>
        <v>A0181:鈴与商事(株)メニューD</v>
      </c>
      <c r="S474" s="181">
        <f t="shared" si="23"/>
        <v>5.2999999999999998E-4</v>
      </c>
    </row>
    <row r="475" spans="2:19">
      <c r="B475" s="121" t="s">
        <v>1443</v>
      </c>
      <c r="C475" s="490" t="s">
        <v>1953</v>
      </c>
      <c r="D475" s="490" t="str">
        <f t="shared" si="21"/>
        <v>A0821:ジケイ・スペース(株)</v>
      </c>
      <c r="I475" s="125" t="s">
        <v>1100</v>
      </c>
      <c r="J475" s="125" t="s">
        <v>1610</v>
      </c>
      <c r="K475" s="182" t="s">
        <v>916</v>
      </c>
      <c r="L475" s="182">
        <v>5.1999999999999995E-4</v>
      </c>
      <c r="M475" s="182">
        <v>5.1999999999999995E-4</v>
      </c>
      <c r="N475" s="182">
        <v>5.1999999999999995E-4</v>
      </c>
      <c r="O475" s="182">
        <v>5.1999999999999995E-4</v>
      </c>
      <c r="P475" s="182">
        <v>5.1999999999999995E-4</v>
      </c>
      <c r="R475" s="155" t="str">
        <f t="shared" si="22"/>
        <v>A0181:鈴与商事(株)メニューE</v>
      </c>
      <c r="S475" s="181">
        <f t="shared" si="23"/>
        <v>5.1999999999999995E-4</v>
      </c>
    </row>
    <row r="476" spans="2:19">
      <c r="B476" s="121" t="s">
        <v>1444</v>
      </c>
      <c r="C476" s="490" t="s">
        <v>1954</v>
      </c>
      <c r="D476" s="490" t="str">
        <f t="shared" si="21"/>
        <v>A0822:広島ガス(株)</v>
      </c>
      <c r="I476" s="125" t="s">
        <v>1100</v>
      </c>
      <c r="J476" s="125" t="s">
        <v>1610</v>
      </c>
      <c r="K476" s="182" t="s">
        <v>1999</v>
      </c>
      <c r="L476" s="182">
        <v>4.6999999999999999E-4</v>
      </c>
      <c r="M476" s="182">
        <v>4.6999999999999999E-4</v>
      </c>
      <c r="N476" s="182">
        <v>4.6999999999999999E-4</v>
      </c>
      <c r="O476" s="182">
        <v>4.6999999999999999E-4</v>
      </c>
      <c r="P476" s="182">
        <v>4.6999999999999999E-4</v>
      </c>
      <c r="R476" s="155" t="str">
        <f t="shared" si="22"/>
        <v>A0181:鈴与商事(株)メニューF</v>
      </c>
      <c r="S476" s="181">
        <f t="shared" si="23"/>
        <v>4.6999999999999999E-4</v>
      </c>
    </row>
    <row r="477" spans="2:19">
      <c r="B477" s="121" t="s">
        <v>1445</v>
      </c>
      <c r="C477" s="490" t="s">
        <v>1955</v>
      </c>
      <c r="D477" s="490" t="str">
        <f t="shared" si="21"/>
        <v>A0824:(株)IQg</v>
      </c>
      <c r="I477" s="125" t="s">
        <v>1100</v>
      </c>
      <c r="J477" s="125" t="s">
        <v>1610</v>
      </c>
      <c r="K477" s="182" t="s">
        <v>2000</v>
      </c>
      <c r="L477" s="182">
        <v>0</v>
      </c>
      <c r="M477" s="182">
        <v>0</v>
      </c>
      <c r="N477" s="182">
        <v>0</v>
      </c>
      <c r="O477" s="182">
        <v>0</v>
      </c>
      <c r="P477" s="182">
        <v>0</v>
      </c>
      <c r="R477" s="155" t="str">
        <f t="shared" si="22"/>
        <v>A0181:鈴与商事(株)メニューG</v>
      </c>
      <c r="S477" s="181">
        <f t="shared" si="23"/>
        <v>0</v>
      </c>
    </row>
    <row r="478" spans="2:19">
      <c r="B478" s="121" t="s">
        <v>1446</v>
      </c>
      <c r="C478" s="490" t="s">
        <v>1956</v>
      </c>
      <c r="D478" s="490" t="str">
        <f t="shared" si="21"/>
        <v>A0825:最適でんき(株)（旧：エナジーサプライ(株)）</v>
      </c>
      <c r="I478" s="125" t="s">
        <v>1100</v>
      </c>
      <c r="J478" s="125" t="s">
        <v>1610</v>
      </c>
      <c r="K478" s="182" t="s">
        <v>2001</v>
      </c>
      <c r="L478" s="182">
        <v>6.3900000000000003E-4</v>
      </c>
      <c r="M478" s="182">
        <v>6.3900000000000003E-4</v>
      </c>
      <c r="N478" s="182">
        <v>6.3900000000000003E-4</v>
      </c>
      <c r="O478" s="182">
        <v>6.3900000000000003E-4</v>
      </c>
      <c r="P478" s="182">
        <v>6.3900000000000003E-4</v>
      </c>
      <c r="R478" s="155" t="str">
        <f t="shared" si="22"/>
        <v>A0181:鈴与商事(株)メニューH</v>
      </c>
      <c r="S478" s="181">
        <f t="shared" si="23"/>
        <v>6.3900000000000003E-4</v>
      </c>
    </row>
    <row r="479" spans="2:19">
      <c r="B479" s="121" t="s">
        <v>1447</v>
      </c>
      <c r="C479" s="490" t="s">
        <v>1957</v>
      </c>
      <c r="D479" s="490" t="str">
        <f t="shared" si="21"/>
        <v>A0826:(株)FPS</v>
      </c>
      <c r="I479" s="125" t="s">
        <v>1100</v>
      </c>
      <c r="J479" s="125" t="s">
        <v>1610</v>
      </c>
      <c r="K479" s="182" t="s">
        <v>1998</v>
      </c>
      <c r="L479" s="182">
        <v>4.73E-4</v>
      </c>
      <c r="M479" s="182">
        <v>4.73E-4</v>
      </c>
      <c r="N479" s="182">
        <v>4.73E-4</v>
      </c>
      <c r="O479" s="182">
        <v>4.73E-4</v>
      </c>
      <c r="P479" s="182">
        <v>4.73E-4</v>
      </c>
      <c r="R479" s="155" t="str">
        <f t="shared" si="22"/>
        <v>A0181:鈴与商事(株)(参考値)事業者全体</v>
      </c>
      <c r="S479" s="181">
        <f t="shared" si="23"/>
        <v>4.73E-4</v>
      </c>
    </row>
    <row r="480" spans="2:19">
      <c r="B480" s="121" t="s">
        <v>1448</v>
      </c>
      <c r="C480" s="490" t="s">
        <v>1958</v>
      </c>
      <c r="D480" s="490" t="str">
        <f t="shared" si="21"/>
        <v>A0827:大熊るるるん電力(株)</v>
      </c>
      <c r="I480" s="125" t="s">
        <v>1101</v>
      </c>
      <c r="J480" s="125" t="s">
        <v>1611</v>
      </c>
      <c r="K480" s="182" t="s">
        <v>652</v>
      </c>
      <c r="L480" s="182">
        <v>0</v>
      </c>
      <c r="M480" s="182">
        <v>0</v>
      </c>
      <c r="N480" s="182">
        <v>0</v>
      </c>
      <c r="O480" s="182">
        <v>0</v>
      </c>
      <c r="P480" s="182">
        <v>0</v>
      </c>
      <c r="R480" s="155" t="str">
        <f t="shared" si="22"/>
        <v>A0184:ワタミエナジー(株)メニューA</v>
      </c>
      <c r="S480" s="181">
        <f t="shared" si="23"/>
        <v>0</v>
      </c>
    </row>
    <row r="481" spans="2:19">
      <c r="B481" s="121" t="s">
        <v>1449</v>
      </c>
      <c r="C481" s="490" t="s">
        <v>1959</v>
      </c>
      <c r="D481" s="490" t="str">
        <f t="shared" si="21"/>
        <v>A0829:(株)レックス</v>
      </c>
      <c r="I481" s="125" t="s">
        <v>1101</v>
      </c>
      <c r="J481" s="125" t="s">
        <v>1611</v>
      </c>
      <c r="K481" s="182" t="s">
        <v>729</v>
      </c>
      <c r="L481" s="182">
        <v>6.2799999999999998E-4</v>
      </c>
      <c r="M481" s="182">
        <v>6.2799999999999998E-4</v>
      </c>
      <c r="N481" s="182">
        <v>6.2799999999999998E-4</v>
      </c>
      <c r="O481" s="182">
        <v>6.2799999999999998E-4</v>
      </c>
      <c r="P481" s="182">
        <v>6.2799999999999998E-4</v>
      </c>
      <c r="R481" s="155" t="str">
        <f t="shared" si="22"/>
        <v>A0184:ワタミエナジー(株)メニューB</v>
      </c>
      <c r="S481" s="181">
        <f t="shared" si="23"/>
        <v>6.2799999999999998E-4</v>
      </c>
    </row>
    <row r="482" spans="2:19">
      <c r="B482" s="121" t="s">
        <v>1450</v>
      </c>
      <c r="C482" s="490" t="s">
        <v>1960</v>
      </c>
      <c r="D482" s="490" t="str">
        <f t="shared" si="21"/>
        <v>A0831:おきたま新電力(株)</v>
      </c>
      <c r="I482" s="125" t="s">
        <v>1101</v>
      </c>
      <c r="J482" s="125" t="s">
        <v>1611</v>
      </c>
      <c r="K482" s="182" t="s">
        <v>1998</v>
      </c>
      <c r="L482" s="182">
        <v>4.95E-4</v>
      </c>
      <c r="M482" s="182">
        <v>4.95E-4</v>
      </c>
      <c r="N482" s="182">
        <v>4.95E-4</v>
      </c>
      <c r="O482" s="182">
        <v>4.95E-4</v>
      </c>
      <c r="P482" s="182">
        <v>4.95E-4</v>
      </c>
      <c r="R482" s="155" t="str">
        <f t="shared" si="22"/>
        <v>A0184:ワタミエナジー(株)(参考値)事業者全体</v>
      </c>
      <c r="S482" s="181">
        <f t="shared" si="23"/>
        <v>4.95E-4</v>
      </c>
    </row>
    <row r="483" spans="2:19">
      <c r="B483" s="121" t="s">
        <v>1451</v>
      </c>
      <c r="C483" s="490" t="s">
        <v>1961</v>
      </c>
      <c r="D483" s="490" t="str">
        <f t="shared" si="21"/>
        <v>A0835:河原実業(株)</v>
      </c>
      <c r="I483" s="125" t="s">
        <v>1102</v>
      </c>
      <c r="J483" s="125" t="s">
        <v>1612</v>
      </c>
      <c r="K483" s="182"/>
      <c r="L483" s="182">
        <v>3.7100000000000002E-4</v>
      </c>
      <c r="M483" s="182">
        <v>3.7100000000000002E-4</v>
      </c>
      <c r="N483" s="182">
        <v>3.7100000000000002E-4</v>
      </c>
      <c r="O483" s="182">
        <v>3.7100000000000002E-4</v>
      </c>
      <c r="P483" s="182">
        <v>3.7100000000000002E-4</v>
      </c>
      <c r="R483" s="155" t="str">
        <f t="shared" si="22"/>
        <v>A0185:(株)パルシステム電力</v>
      </c>
      <c r="S483" s="181">
        <f t="shared" si="23"/>
        <v>3.7100000000000002E-4</v>
      </c>
    </row>
    <row r="484" spans="2:19">
      <c r="B484" s="121" t="s">
        <v>1452</v>
      </c>
      <c r="C484" s="490" t="s">
        <v>1962</v>
      </c>
      <c r="D484" s="490" t="str">
        <f t="shared" si="21"/>
        <v>A0838:(株)stc</v>
      </c>
      <c r="I484" s="125" t="s">
        <v>1103</v>
      </c>
      <c r="J484" s="125" t="s">
        <v>1613</v>
      </c>
      <c r="K484" s="182" t="s">
        <v>652</v>
      </c>
      <c r="L484" s="182">
        <v>0</v>
      </c>
      <c r="M484" s="182">
        <v>0</v>
      </c>
      <c r="N484" s="182">
        <v>0</v>
      </c>
      <c r="O484" s="182">
        <v>0</v>
      </c>
      <c r="P484" s="182">
        <v>0</v>
      </c>
      <c r="R484" s="155" t="str">
        <f t="shared" si="22"/>
        <v>A0186:SBパワー(株)メニューA</v>
      </c>
      <c r="S484" s="181">
        <f t="shared" si="23"/>
        <v>0</v>
      </c>
    </row>
    <row r="485" spans="2:19">
      <c r="B485" s="121" t="s">
        <v>1453</v>
      </c>
      <c r="C485" s="490" t="s">
        <v>1963</v>
      </c>
      <c r="D485" s="490" t="str">
        <f t="shared" si="21"/>
        <v>A0839:(株)工営エナジー</v>
      </c>
      <c r="I485" s="125" t="s">
        <v>1103</v>
      </c>
      <c r="J485" s="125" t="s">
        <v>1613</v>
      </c>
      <c r="K485" s="182" t="s">
        <v>729</v>
      </c>
      <c r="L485" s="182">
        <v>0</v>
      </c>
      <c r="M485" s="182">
        <v>0</v>
      </c>
      <c r="N485" s="182">
        <v>0</v>
      </c>
      <c r="O485" s="182">
        <v>0</v>
      </c>
      <c r="P485" s="182">
        <v>0</v>
      </c>
      <c r="R485" s="155" t="str">
        <f t="shared" si="22"/>
        <v>A0186:SBパワー(株)メニューB</v>
      </c>
      <c r="S485" s="181">
        <f t="shared" si="23"/>
        <v>0</v>
      </c>
    </row>
    <row r="486" spans="2:19">
      <c r="B486" s="121" t="s">
        <v>1454</v>
      </c>
      <c r="C486" s="490" t="s">
        <v>1964</v>
      </c>
      <c r="D486" s="490" t="str">
        <f t="shared" si="21"/>
        <v>A0840:アースシグナルソリューションズ(株)</v>
      </c>
      <c r="I486" s="125" t="s">
        <v>1103</v>
      </c>
      <c r="J486" s="125" t="s">
        <v>1613</v>
      </c>
      <c r="K486" s="182" t="s">
        <v>730</v>
      </c>
      <c r="L486" s="182">
        <v>1.66E-4</v>
      </c>
      <c r="M486" s="182">
        <v>1.66E-4</v>
      </c>
      <c r="N486" s="182">
        <v>1.66E-4</v>
      </c>
      <c r="O486" s="182">
        <v>1.66E-4</v>
      </c>
      <c r="P486" s="182">
        <v>1.66E-4</v>
      </c>
      <c r="R486" s="155" t="str">
        <f t="shared" si="22"/>
        <v>A0186:SBパワー(株)メニューC</v>
      </c>
      <c r="S486" s="181">
        <f t="shared" si="23"/>
        <v>1.66E-4</v>
      </c>
    </row>
    <row r="487" spans="2:19">
      <c r="B487" s="121" t="s">
        <v>1455</v>
      </c>
      <c r="C487" s="490" t="s">
        <v>1965</v>
      </c>
      <c r="D487" s="490" t="str">
        <f t="shared" si="21"/>
        <v>A0843:シントウエナジー(株)</v>
      </c>
      <c r="I487" s="125" t="s">
        <v>1103</v>
      </c>
      <c r="J487" s="125" t="s">
        <v>1613</v>
      </c>
      <c r="K487" s="182" t="s">
        <v>915</v>
      </c>
      <c r="L487" s="182">
        <v>3.8999999999999999E-4</v>
      </c>
      <c r="M487" s="182">
        <v>3.8999999999999999E-4</v>
      </c>
      <c r="N487" s="182">
        <v>3.8999999999999999E-4</v>
      </c>
      <c r="O487" s="182">
        <v>3.8999999999999999E-4</v>
      </c>
      <c r="P487" s="182">
        <v>3.8999999999999999E-4</v>
      </c>
      <c r="R487" s="155" t="str">
        <f t="shared" si="22"/>
        <v>A0186:SBパワー(株)メニューD</v>
      </c>
      <c r="S487" s="181">
        <f t="shared" si="23"/>
        <v>3.8999999999999999E-4</v>
      </c>
    </row>
    <row r="488" spans="2:19">
      <c r="B488" s="121" t="s">
        <v>1456</v>
      </c>
      <c r="C488" s="490" t="s">
        <v>1966</v>
      </c>
      <c r="D488" s="490" t="str">
        <f t="shared" si="21"/>
        <v>A0844:那須野ヶ原みらい電力(株)</v>
      </c>
      <c r="I488" s="125" t="s">
        <v>1103</v>
      </c>
      <c r="J488" s="125" t="s">
        <v>1613</v>
      </c>
      <c r="K488" s="182" t="s">
        <v>916</v>
      </c>
      <c r="L488" s="182">
        <v>6.5899999999999997E-4</v>
      </c>
      <c r="M488" s="182">
        <v>6.5899999999999997E-4</v>
      </c>
      <c r="N488" s="182">
        <v>6.5899999999999997E-4</v>
      </c>
      <c r="O488" s="182">
        <v>6.5899999999999997E-4</v>
      </c>
      <c r="P488" s="182">
        <v>6.5899999999999997E-4</v>
      </c>
      <c r="R488" s="155" t="str">
        <f t="shared" si="22"/>
        <v>A0186:SBパワー(株)メニューE</v>
      </c>
      <c r="S488" s="181">
        <f t="shared" si="23"/>
        <v>6.5899999999999997E-4</v>
      </c>
    </row>
    <row r="489" spans="2:19">
      <c r="B489" s="121" t="s">
        <v>1457</v>
      </c>
      <c r="C489" s="490" t="s">
        <v>1967</v>
      </c>
      <c r="D489" s="490" t="str">
        <f t="shared" si="21"/>
        <v>A0847:柏崎あい・あーるエナジー(株)</v>
      </c>
      <c r="I489" s="125" t="s">
        <v>1103</v>
      </c>
      <c r="J489" s="125" t="s">
        <v>1613</v>
      </c>
      <c r="K489" s="182" t="s">
        <v>1998</v>
      </c>
      <c r="L489" s="182">
        <v>6.2E-4</v>
      </c>
      <c r="M489" s="182">
        <v>6.2E-4</v>
      </c>
      <c r="N489" s="182">
        <v>6.2E-4</v>
      </c>
      <c r="O489" s="182">
        <v>6.2E-4</v>
      </c>
      <c r="P489" s="182">
        <v>6.2E-4</v>
      </c>
      <c r="R489" s="155" t="str">
        <f t="shared" si="22"/>
        <v>A0186:SBパワー(株)(参考値)事業者全体</v>
      </c>
      <c r="S489" s="181">
        <f t="shared" si="23"/>
        <v>6.2E-4</v>
      </c>
    </row>
    <row r="490" spans="2:19">
      <c r="B490" s="121" t="s">
        <v>1458</v>
      </c>
      <c r="C490" s="490" t="s">
        <v>1968</v>
      </c>
      <c r="D490" s="490" t="str">
        <f t="shared" si="21"/>
        <v>A0849:京セラ(株)</v>
      </c>
      <c r="I490" s="125" t="s">
        <v>1104</v>
      </c>
      <c r="J490" s="125" t="s">
        <v>1614</v>
      </c>
      <c r="K490" s="182" t="s">
        <v>652</v>
      </c>
      <c r="L490" s="182">
        <v>0</v>
      </c>
      <c r="M490" s="182">
        <v>0</v>
      </c>
      <c r="N490" s="182">
        <v>0</v>
      </c>
      <c r="O490" s="182">
        <v>0</v>
      </c>
      <c r="P490" s="182">
        <v>0</v>
      </c>
      <c r="R490" s="155" t="str">
        <f t="shared" si="22"/>
        <v>A0187:NFパワーサービス(株)メニューA</v>
      </c>
      <c r="S490" s="181">
        <f t="shared" si="23"/>
        <v>0</v>
      </c>
    </row>
    <row r="491" spans="2:19">
      <c r="B491" s="121" t="s">
        <v>1459</v>
      </c>
      <c r="C491" s="490" t="s">
        <v>1969</v>
      </c>
      <c r="D491" s="490" t="str">
        <f t="shared" si="21"/>
        <v>A0851:(株)鳥取みらい電力</v>
      </c>
      <c r="I491" s="125" t="s">
        <v>1104</v>
      </c>
      <c r="J491" s="125" t="s">
        <v>1614</v>
      </c>
      <c r="K491" s="182" t="s">
        <v>729</v>
      </c>
      <c r="L491" s="182">
        <v>3.8699999999999997E-4</v>
      </c>
      <c r="M491" s="182">
        <v>3.8699999999999997E-4</v>
      </c>
      <c r="N491" s="182">
        <v>3.8699999999999997E-4</v>
      </c>
      <c r="O491" s="182">
        <v>3.8699999999999997E-4</v>
      </c>
      <c r="P491" s="182">
        <v>3.8699999999999997E-4</v>
      </c>
      <c r="R491" s="155" t="str">
        <f t="shared" si="22"/>
        <v>A0187:NFパワーサービス(株)メニューB</v>
      </c>
      <c r="S491" s="181">
        <f t="shared" si="23"/>
        <v>3.8699999999999997E-4</v>
      </c>
    </row>
    <row r="492" spans="2:19">
      <c r="B492" s="121" t="s">
        <v>1460</v>
      </c>
      <c r="C492" s="490" t="s">
        <v>1970</v>
      </c>
      <c r="D492" s="490" t="str">
        <f t="shared" si="21"/>
        <v>A0852:鈴鹿グリーンエナジー(株)</v>
      </c>
      <c r="I492" s="125" t="s">
        <v>1104</v>
      </c>
      <c r="J492" s="125" t="s">
        <v>1614</v>
      </c>
      <c r="K492" s="182" t="s">
        <v>1998</v>
      </c>
      <c r="L492" s="182">
        <v>2.9300000000000002E-4</v>
      </c>
      <c r="M492" s="182">
        <v>2.9300000000000002E-4</v>
      </c>
      <c r="N492" s="182">
        <v>2.9300000000000002E-4</v>
      </c>
      <c r="O492" s="182">
        <v>2.9300000000000002E-4</v>
      </c>
      <c r="P492" s="182">
        <v>2.9300000000000002E-4</v>
      </c>
      <c r="R492" s="155" t="str">
        <f t="shared" si="22"/>
        <v>A0187:NFパワーサービス(株)(参考値)事業者全体</v>
      </c>
      <c r="S492" s="181">
        <f t="shared" si="23"/>
        <v>2.9300000000000002E-4</v>
      </c>
    </row>
    <row r="493" spans="2:19">
      <c r="B493" s="121" t="s">
        <v>1461</v>
      </c>
      <c r="C493" s="490" t="s">
        <v>1971</v>
      </c>
      <c r="D493" s="490" t="str">
        <f t="shared" si="21"/>
        <v>A0853:一般社団法人東北自動車産業グリーンエネルギー普及協会</v>
      </c>
      <c r="I493" s="125" t="s">
        <v>1105</v>
      </c>
      <c r="J493" s="125" t="s">
        <v>1615</v>
      </c>
      <c r="K493" s="182" t="s">
        <v>652</v>
      </c>
      <c r="L493" s="182">
        <v>2.9300000000000002E-4</v>
      </c>
      <c r="M493" s="182">
        <v>2.9300000000000002E-4</v>
      </c>
      <c r="N493" s="182">
        <v>2.9300000000000002E-4</v>
      </c>
      <c r="O493" s="182">
        <v>2.9300000000000002E-4</v>
      </c>
      <c r="P493" s="182">
        <v>2.9300000000000002E-4</v>
      </c>
      <c r="R493" s="155" t="str">
        <f t="shared" si="22"/>
        <v>A0188:ひおき地域エネルギー(株)メニューA</v>
      </c>
      <c r="S493" s="181">
        <f t="shared" si="23"/>
        <v>2.9300000000000002E-4</v>
      </c>
    </row>
    <row r="494" spans="2:19">
      <c r="B494" s="121" t="s">
        <v>1462</v>
      </c>
      <c r="C494" s="490" t="s">
        <v>1972</v>
      </c>
      <c r="D494" s="490" t="str">
        <f t="shared" si="21"/>
        <v>A0854:刈谷知立みらい電力(株)</v>
      </c>
      <c r="I494" s="125" t="s">
        <v>1105</v>
      </c>
      <c r="J494" s="125" t="s">
        <v>1615</v>
      </c>
      <c r="K494" s="182" t="s">
        <v>729</v>
      </c>
      <c r="L494" s="182">
        <v>3.4000000000000002E-4</v>
      </c>
      <c r="M494" s="182">
        <v>3.4000000000000002E-4</v>
      </c>
      <c r="N494" s="182">
        <v>3.4000000000000002E-4</v>
      </c>
      <c r="O494" s="182">
        <v>3.4000000000000002E-4</v>
      </c>
      <c r="P494" s="182">
        <v>3.4000000000000002E-4</v>
      </c>
      <c r="R494" s="155" t="str">
        <f t="shared" si="22"/>
        <v>A0188:ひおき地域エネルギー(株)メニューB</v>
      </c>
      <c r="S494" s="181">
        <f t="shared" si="23"/>
        <v>3.4000000000000002E-4</v>
      </c>
    </row>
    <row r="495" spans="2:19">
      <c r="B495" s="121" t="s">
        <v>1463</v>
      </c>
      <c r="C495" s="490" t="s">
        <v>1973</v>
      </c>
      <c r="D495" s="490" t="str">
        <f t="shared" si="21"/>
        <v>A0857:(株)パワーエックス</v>
      </c>
      <c r="I495" s="125" t="s">
        <v>1105</v>
      </c>
      <c r="J495" s="125" t="s">
        <v>1615</v>
      </c>
      <c r="K495" s="182" t="s">
        <v>730</v>
      </c>
      <c r="L495" s="182">
        <v>2.0599999999999999E-4</v>
      </c>
      <c r="M495" s="182">
        <v>2.0599999999999999E-4</v>
      </c>
      <c r="N495" s="182">
        <v>2.0599999999999999E-4</v>
      </c>
      <c r="O495" s="182">
        <v>2.0599999999999999E-4</v>
      </c>
      <c r="P495" s="182">
        <v>2.0599999999999999E-4</v>
      </c>
      <c r="R495" s="155" t="str">
        <f t="shared" si="22"/>
        <v>A0188:ひおき地域エネルギー(株)メニューC</v>
      </c>
      <c r="S495" s="181">
        <f t="shared" si="23"/>
        <v>2.0599999999999999E-4</v>
      </c>
    </row>
    <row r="496" spans="2:19">
      <c r="B496" s="121" t="s">
        <v>1464</v>
      </c>
      <c r="C496" s="490" t="s">
        <v>1974</v>
      </c>
      <c r="D496" s="490" t="str">
        <f t="shared" si="21"/>
        <v>A0859:いちのみや未来エネルギー(株)</v>
      </c>
      <c r="I496" s="125" t="s">
        <v>1105</v>
      </c>
      <c r="J496" s="125" t="s">
        <v>1615</v>
      </c>
      <c r="K496" s="182" t="s">
        <v>915</v>
      </c>
      <c r="L496" s="182">
        <v>0</v>
      </c>
      <c r="M496" s="182">
        <v>0</v>
      </c>
      <c r="N496" s="182">
        <v>0</v>
      </c>
      <c r="O496" s="182">
        <v>0</v>
      </c>
      <c r="P496" s="182">
        <v>0</v>
      </c>
      <c r="R496" s="155" t="str">
        <f t="shared" si="22"/>
        <v>A0188:ひおき地域エネルギー(株)メニューD</v>
      </c>
      <c r="S496" s="181">
        <f t="shared" si="23"/>
        <v>0</v>
      </c>
    </row>
    <row r="497" spans="2:19">
      <c r="B497" s="121" t="s">
        <v>1465</v>
      </c>
      <c r="C497" s="490" t="s">
        <v>1975</v>
      </c>
      <c r="D497" s="490" t="str">
        <f t="shared" si="21"/>
        <v>A0860:岡谷酸素(株)</v>
      </c>
      <c r="I497" s="125" t="s">
        <v>1105</v>
      </c>
      <c r="J497" s="125" t="s">
        <v>1615</v>
      </c>
      <c r="K497" s="182" t="s">
        <v>916</v>
      </c>
      <c r="L497" s="182">
        <v>4.1399999999999998E-4</v>
      </c>
      <c r="M497" s="182">
        <v>4.1399999999999998E-4</v>
      </c>
      <c r="N497" s="182">
        <v>4.1399999999999998E-4</v>
      </c>
      <c r="O497" s="182">
        <v>4.1399999999999998E-4</v>
      </c>
      <c r="P497" s="182">
        <v>4.1399999999999998E-4</v>
      </c>
      <c r="R497" s="155" t="str">
        <f t="shared" si="22"/>
        <v>A0188:ひおき地域エネルギー(株)メニューE</v>
      </c>
      <c r="S497" s="181">
        <f t="shared" si="23"/>
        <v>4.1399999999999998E-4</v>
      </c>
    </row>
    <row r="498" spans="2:19">
      <c r="B498" s="121" t="s">
        <v>1466</v>
      </c>
      <c r="C498" s="490" t="s">
        <v>1976</v>
      </c>
      <c r="D498" s="490" t="str">
        <f t="shared" si="21"/>
        <v>A0863:(株)絆</v>
      </c>
      <c r="I498" s="125" t="s">
        <v>1105</v>
      </c>
      <c r="J498" s="125" t="s">
        <v>1615</v>
      </c>
      <c r="K498" s="182" t="s">
        <v>1998</v>
      </c>
      <c r="L498" s="182">
        <v>3.7300000000000001E-4</v>
      </c>
      <c r="M498" s="182">
        <v>3.7300000000000001E-4</v>
      </c>
      <c r="N498" s="182">
        <v>3.7300000000000001E-4</v>
      </c>
      <c r="O498" s="182">
        <v>3.7300000000000001E-4</v>
      </c>
      <c r="P498" s="182">
        <v>3.7300000000000001E-4</v>
      </c>
      <c r="R498" s="155" t="str">
        <f t="shared" si="22"/>
        <v>A0188:ひおき地域エネルギー(株)(参考値)事業者全体</v>
      </c>
      <c r="S498" s="181">
        <f t="shared" si="23"/>
        <v>3.7300000000000001E-4</v>
      </c>
    </row>
    <row r="499" spans="2:19">
      <c r="B499" s="121" t="s">
        <v>1467</v>
      </c>
      <c r="C499" s="490" t="s">
        <v>1977</v>
      </c>
      <c r="D499" s="490" t="str">
        <f t="shared" si="21"/>
        <v>A0865:東北エネルギーサービス(株)</v>
      </c>
      <c r="I499" s="125" t="s">
        <v>1106</v>
      </c>
      <c r="J499" s="125" t="s">
        <v>1616</v>
      </c>
      <c r="K499" s="182"/>
      <c r="L499" s="182">
        <v>6.2200000000000005E-4</v>
      </c>
      <c r="M499" s="182">
        <v>6.2200000000000005E-4</v>
      </c>
      <c r="N499" s="182">
        <v>6.2200000000000005E-4</v>
      </c>
      <c r="O499" s="182">
        <v>6.2200000000000005E-4</v>
      </c>
      <c r="P499" s="182">
        <v>6.2200000000000005E-4</v>
      </c>
      <c r="R499" s="155" t="str">
        <f t="shared" si="22"/>
        <v>A0189:和歌山電力(株)</v>
      </c>
      <c r="S499" s="181">
        <f t="shared" si="23"/>
        <v>6.2200000000000005E-4</v>
      </c>
    </row>
    <row r="500" spans="2:19">
      <c r="B500" s="121" t="s">
        <v>1468</v>
      </c>
      <c r="C500" s="490" t="s">
        <v>1978</v>
      </c>
      <c r="D500" s="490" t="str">
        <f t="shared" si="21"/>
        <v>A0866:(株)いなしきエナジー</v>
      </c>
      <c r="I500" s="125" t="s">
        <v>1107</v>
      </c>
      <c r="J500" s="125" t="s">
        <v>1617</v>
      </c>
      <c r="K500" s="182"/>
      <c r="L500" s="182">
        <v>3.7199999999999999E-4</v>
      </c>
      <c r="M500" s="182">
        <v>3.7199999999999999E-4</v>
      </c>
      <c r="N500" s="182">
        <v>3.7199999999999999E-4</v>
      </c>
      <c r="O500" s="182">
        <v>3.7199999999999999E-4</v>
      </c>
      <c r="P500" s="182">
        <v>3.7199999999999999E-4</v>
      </c>
      <c r="R500" s="155" t="str">
        <f t="shared" si="22"/>
        <v>A0190:日本瓦斯(株)(日本ガス(株))</v>
      </c>
      <c r="S500" s="181">
        <f t="shared" si="23"/>
        <v>3.7199999999999999E-4</v>
      </c>
    </row>
    <row r="501" spans="2:19">
      <c r="B501" s="121" t="s">
        <v>1469</v>
      </c>
      <c r="C501" s="490" t="s">
        <v>1979</v>
      </c>
      <c r="D501" s="490" t="str">
        <f t="shared" si="21"/>
        <v>A0867:ながのスマートパワー(株)</v>
      </c>
      <c r="I501" s="125" t="s">
        <v>1108</v>
      </c>
      <c r="J501" s="125" t="s">
        <v>1618</v>
      </c>
      <c r="K501" s="182" t="s">
        <v>652</v>
      </c>
      <c r="L501" s="182">
        <v>0</v>
      </c>
      <c r="M501" s="182">
        <v>0</v>
      </c>
      <c r="N501" s="182">
        <v>0</v>
      </c>
      <c r="O501" s="182">
        <v>0</v>
      </c>
      <c r="P501" s="182">
        <v>0</v>
      </c>
      <c r="R501" s="155" t="str">
        <f t="shared" si="22"/>
        <v>A0193:九電みらいエナジー(株)メニューA</v>
      </c>
      <c r="S501" s="181">
        <f t="shared" si="23"/>
        <v>0</v>
      </c>
    </row>
    <row r="502" spans="2:19">
      <c r="B502" s="121" t="s">
        <v>1470</v>
      </c>
      <c r="C502" s="490" t="s">
        <v>1980</v>
      </c>
      <c r="D502" s="490" t="str">
        <f t="shared" si="21"/>
        <v>A0868:(株)ホクレン油機サービス</v>
      </c>
      <c r="I502" s="125" t="s">
        <v>1108</v>
      </c>
      <c r="J502" s="125" t="s">
        <v>1618</v>
      </c>
      <c r="K502" s="182" t="s">
        <v>729</v>
      </c>
      <c r="L502" s="182">
        <v>4.5100000000000001E-4</v>
      </c>
      <c r="M502" s="182">
        <v>4.5100000000000001E-4</v>
      </c>
      <c r="N502" s="182">
        <v>4.5100000000000001E-4</v>
      </c>
      <c r="O502" s="182">
        <v>4.5100000000000001E-4</v>
      </c>
      <c r="P502" s="182">
        <v>4.5100000000000001E-4</v>
      </c>
      <c r="R502" s="155" t="str">
        <f t="shared" si="22"/>
        <v>A0193:九電みらいエナジー(株)メニューB</v>
      </c>
      <c r="S502" s="181">
        <f t="shared" si="23"/>
        <v>4.5100000000000001E-4</v>
      </c>
    </row>
    <row r="503" spans="2:19">
      <c r="B503" s="121" t="s">
        <v>1471</v>
      </c>
      <c r="C503" s="490" t="s">
        <v>1981</v>
      </c>
      <c r="D503" s="490" t="str">
        <f t="shared" si="21"/>
        <v>A0869:(株)JR東日本商事</v>
      </c>
      <c r="I503" s="125" t="s">
        <v>1108</v>
      </c>
      <c r="J503" s="125" t="s">
        <v>1618</v>
      </c>
      <c r="K503" s="182" t="s">
        <v>1998</v>
      </c>
      <c r="L503" s="182">
        <v>4.3600000000000003E-4</v>
      </c>
      <c r="M503" s="182">
        <v>4.3600000000000003E-4</v>
      </c>
      <c r="N503" s="182">
        <v>4.3600000000000003E-4</v>
      </c>
      <c r="O503" s="182">
        <v>4.3600000000000003E-4</v>
      </c>
      <c r="P503" s="182">
        <v>4.3600000000000003E-4</v>
      </c>
      <c r="R503" s="155" t="str">
        <f t="shared" si="22"/>
        <v>A0193:九電みらいエナジー(株)(参考値)事業者全体</v>
      </c>
      <c r="S503" s="181">
        <f t="shared" si="23"/>
        <v>4.3600000000000003E-4</v>
      </c>
    </row>
    <row r="504" spans="2:19">
      <c r="B504" s="121" t="s">
        <v>1472</v>
      </c>
      <c r="C504" s="490" t="s">
        <v>1982</v>
      </c>
      <c r="D504" s="490" t="str">
        <f t="shared" si="21"/>
        <v>A0870:岡山ガス(株)</v>
      </c>
      <c r="I504" s="125" t="s">
        <v>1109</v>
      </c>
      <c r="J504" s="125" t="s">
        <v>1619</v>
      </c>
      <c r="K504" s="182"/>
      <c r="L504" s="182">
        <v>4.46E-4</v>
      </c>
      <c r="M504" s="182">
        <v>4.46E-4</v>
      </c>
      <c r="N504" s="182">
        <v>4.46E-4</v>
      </c>
      <c r="O504" s="182">
        <v>4.46E-4</v>
      </c>
      <c r="P504" s="182">
        <v>4.46E-4</v>
      </c>
      <c r="R504" s="155" t="str">
        <f t="shared" si="22"/>
        <v>A0195:(株)フォレストパワー</v>
      </c>
      <c r="S504" s="181">
        <f t="shared" si="23"/>
        <v>4.46E-4</v>
      </c>
    </row>
    <row r="505" spans="2:19">
      <c r="B505" s="121" t="s">
        <v>1473</v>
      </c>
      <c r="C505" s="490" t="s">
        <v>1983</v>
      </c>
      <c r="D505" s="490" t="str">
        <f t="shared" si="21"/>
        <v>A0871:合同会社グリーンパワーリテイリング</v>
      </c>
      <c r="I505" s="125" t="s">
        <v>1110</v>
      </c>
      <c r="J505" s="125" t="s">
        <v>1620</v>
      </c>
      <c r="K505" s="182"/>
      <c r="L505" s="182">
        <v>4.1899999999999999E-4</v>
      </c>
      <c r="M505" s="182">
        <v>4.1899999999999999E-4</v>
      </c>
      <c r="N505" s="182">
        <v>4.1899999999999999E-4</v>
      </c>
      <c r="O505" s="182">
        <v>4.1899999999999999E-4</v>
      </c>
      <c r="P505" s="182">
        <v>4.1899999999999999E-4</v>
      </c>
      <c r="R505" s="155" t="str">
        <f t="shared" si="22"/>
        <v>A0196:日高都市ガス(株)</v>
      </c>
      <c r="S505" s="181">
        <f t="shared" si="23"/>
        <v>4.1899999999999999E-4</v>
      </c>
    </row>
    <row r="506" spans="2:19">
      <c r="B506" s="121" t="s">
        <v>1474</v>
      </c>
      <c r="C506" s="490" t="s">
        <v>1984</v>
      </c>
      <c r="D506" s="490" t="str">
        <f t="shared" si="21"/>
        <v>A0873:川崎未来エナジー(株)</v>
      </c>
      <c r="I506" s="125" t="s">
        <v>1111</v>
      </c>
      <c r="J506" s="125" t="s">
        <v>1621</v>
      </c>
      <c r="K506" s="182" t="s">
        <v>652</v>
      </c>
      <c r="L506" s="182">
        <v>0</v>
      </c>
      <c r="M506" s="182">
        <v>0</v>
      </c>
      <c r="N506" s="182">
        <v>0</v>
      </c>
      <c r="O506" s="182">
        <v>0</v>
      </c>
      <c r="P506" s="182">
        <v>0</v>
      </c>
      <c r="R506" s="155" t="str">
        <f t="shared" si="22"/>
        <v>A0197:(株)アドバンテックメニューA</v>
      </c>
      <c r="S506" s="181">
        <f t="shared" si="23"/>
        <v>0</v>
      </c>
    </row>
    <row r="507" spans="2:19">
      <c r="B507" s="121" t="s">
        <v>1475</v>
      </c>
      <c r="C507" s="490" t="s">
        <v>1985</v>
      </c>
      <c r="D507" s="490" t="str">
        <f t="shared" si="21"/>
        <v>A0874:(株)いずみみらい</v>
      </c>
      <c r="I507" s="125" t="s">
        <v>1111</v>
      </c>
      <c r="J507" s="125" t="s">
        <v>1621</v>
      </c>
      <c r="K507" s="182" t="s">
        <v>1998</v>
      </c>
      <c r="L507" s="182">
        <v>1.07E-4</v>
      </c>
      <c r="M507" s="182">
        <v>1.07E-4</v>
      </c>
      <c r="N507" s="182">
        <v>1.07E-4</v>
      </c>
      <c r="O507" s="182">
        <v>1.07E-4</v>
      </c>
      <c r="P507" s="182">
        <v>1.07E-4</v>
      </c>
      <c r="R507" s="155" t="str">
        <f t="shared" si="22"/>
        <v>A0197:(株)アドバンテック(参考値)事業者全体</v>
      </c>
      <c r="S507" s="181">
        <f t="shared" si="23"/>
        <v>1.07E-4</v>
      </c>
    </row>
    <row r="508" spans="2:19">
      <c r="B508" s="121" t="s">
        <v>1476</v>
      </c>
      <c r="C508" s="490" t="s">
        <v>1986</v>
      </c>
      <c r="D508" s="490" t="str">
        <f t="shared" si="21"/>
        <v>A0877:(株)アット東京</v>
      </c>
      <c r="I508" s="125" t="s">
        <v>1112</v>
      </c>
      <c r="J508" s="125" t="s">
        <v>1622</v>
      </c>
      <c r="K508" s="182" t="s">
        <v>652</v>
      </c>
      <c r="L508" s="182">
        <v>0</v>
      </c>
      <c r="M508" s="182">
        <v>0</v>
      </c>
      <c r="N508" s="182">
        <v>0</v>
      </c>
      <c r="O508" s="182">
        <v>0</v>
      </c>
      <c r="P508" s="182">
        <v>0</v>
      </c>
      <c r="R508" s="155" t="str">
        <f t="shared" si="22"/>
        <v>A0199:ローカルエナジー(株)メニューA</v>
      </c>
      <c r="S508" s="181">
        <f t="shared" si="23"/>
        <v>0</v>
      </c>
    </row>
    <row r="509" spans="2:19">
      <c r="B509" s="121" t="s">
        <v>1477</v>
      </c>
      <c r="C509" s="490" t="s">
        <v>1987</v>
      </c>
      <c r="D509" s="490" t="str">
        <f t="shared" si="21"/>
        <v>A0880:(株)つるエネルギー</v>
      </c>
      <c r="I509" s="125" t="s">
        <v>1112</v>
      </c>
      <c r="J509" s="125" t="s">
        <v>1622</v>
      </c>
      <c r="K509" s="182" t="s">
        <v>729</v>
      </c>
      <c r="L509" s="182">
        <v>3.9300000000000001E-4</v>
      </c>
      <c r="M509" s="182">
        <v>3.9300000000000001E-4</v>
      </c>
      <c r="N509" s="182">
        <v>3.9300000000000001E-4</v>
      </c>
      <c r="O509" s="182">
        <v>3.9300000000000001E-4</v>
      </c>
      <c r="P509" s="182">
        <v>3.9300000000000001E-4</v>
      </c>
      <c r="R509" s="155" t="str">
        <f t="shared" si="22"/>
        <v>A0199:ローカルエナジー(株)メニューB</v>
      </c>
      <c r="S509" s="181">
        <f t="shared" si="23"/>
        <v>3.9300000000000001E-4</v>
      </c>
    </row>
    <row r="510" spans="2:19">
      <c r="B510" s="121" t="s">
        <v>1478</v>
      </c>
      <c r="C510" s="490" t="s">
        <v>1988</v>
      </c>
      <c r="D510" s="490" t="str">
        <f t="shared" si="21"/>
        <v>A0881:川重商事(株)</v>
      </c>
      <c r="I510" s="125" t="s">
        <v>1112</v>
      </c>
      <c r="J510" s="125" t="s">
        <v>1622</v>
      </c>
      <c r="K510" s="182" t="s">
        <v>1998</v>
      </c>
      <c r="L510" s="182">
        <v>3.88E-4</v>
      </c>
      <c r="M510" s="182">
        <v>3.88E-4</v>
      </c>
      <c r="N510" s="182">
        <v>3.88E-4</v>
      </c>
      <c r="O510" s="182">
        <v>3.88E-4</v>
      </c>
      <c r="P510" s="182">
        <v>3.88E-4</v>
      </c>
      <c r="R510" s="155" t="str">
        <f t="shared" si="22"/>
        <v>A0199:ローカルエナジー(株)(参考値)事業者全体</v>
      </c>
      <c r="S510" s="181">
        <f t="shared" si="23"/>
        <v>3.88E-4</v>
      </c>
    </row>
    <row r="511" spans="2:19">
      <c r="B511" s="121" t="s">
        <v>1479</v>
      </c>
      <c r="C511" s="490" t="s">
        <v>1989</v>
      </c>
      <c r="D511" s="490" t="str">
        <f t="shared" si="21"/>
        <v>A0882:(株)JERA Cross</v>
      </c>
      <c r="I511" s="125" t="s">
        <v>1113</v>
      </c>
      <c r="J511" s="125" t="s">
        <v>1623</v>
      </c>
      <c r="K511" s="182" t="s">
        <v>652</v>
      </c>
      <c r="L511" s="182">
        <v>0</v>
      </c>
      <c r="M511" s="182">
        <v>0</v>
      </c>
      <c r="N511" s="182">
        <v>0</v>
      </c>
      <c r="O511" s="182">
        <v>0</v>
      </c>
      <c r="P511" s="182">
        <v>0</v>
      </c>
      <c r="R511" s="155" t="str">
        <f t="shared" si="22"/>
        <v>A0200:エネックス(株)メニューA</v>
      </c>
      <c r="S511" s="181">
        <f t="shared" si="23"/>
        <v>0</v>
      </c>
    </row>
    <row r="512" spans="2:19">
      <c r="B512" s="121" t="s">
        <v>1480</v>
      </c>
      <c r="C512" s="490" t="s">
        <v>1990</v>
      </c>
      <c r="D512" s="490" t="str">
        <f t="shared" si="21"/>
        <v>A0883:飛騨高山電力(株)</v>
      </c>
      <c r="I512" s="125" t="s">
        <v>1113</v>
      </c>
      <c r="J512" s="125" t="s">
        <v>1623</v>
      </c>
      <c r="K512" s="182" t="s">
        <v>729</v>
      </c>
      <c r="L512" s="182">
        <v>4.3800000000000002E-4</v>
      </c>
      <c r="M512" s="182">
        <v>4.3800000000000002E-4</v>
      </c>
      <c r="N512" s="182">
        <v>4.3800000000000002E-4</v>
      </c>
      <c r="O512" s="182">
        <v>4.3800000000000002E-4</v>
      </c>
      <c r="P512" s="182">
        <v>4.3800000000000002E-4</v>
      </c>
      <c r="R512" s="155" t="str">
        <f t="shared" si="22"/>
        <v>A0200:エネックス(株)メニューB</v>
      </c>
      <c r="S512" s="181">
        <f t="shared" si="23"/>
        <v>4.3800000000000002E-4</v>
      </c>
    </row>
    <row r="513" spans="2:19">
      <c r="B513" s="121" t="s">
        <v>1481</v>
      </c>
      <c r="C513" s="490" t="s">
        <v>1991</v>
      </c>
      <c r="D513" s="490" t="str">
        <f t="shared" si="21"/>
        <v>A0886:(株)リボンエナジー</v>
      </c>
      <c r="I513" s="125" t="s">
        <v>1113</v>
      </c>
      <c r="J513" s="125" t="s">
        <v>1623</v>
      </c>
      <c r="K513" s="182" t="s">
        <v>1998</v>
      </c>
      <c r="L513" s="182">
        <v>3.97E-4</v>
      </c>
      <c r="M513" s="182">
        <v>3.97E-4</v>
      </c>
      <c r="N513" s="182">
        <v>3.97E-4</v>
      </c>
      <c r="O513" s="182">
        <v>3.97E-4</v>
      </c>
      <c r="P513" s="182">
        <v>3.97E-4</v>
      </c>
      <c r="R513" s="155" t="str">
        <f t="shared" si="22"/>
        <v>A0200:エネックス(株)(参考値)事業者全体</v>
      </c>
      <c r="S513" s="181">
        <f t="shared" si="23"/>
        <v>3.97E-4</v>
      </c>
    </row>
    <row r="514" spans="2:19">
      <c r="B514" s="121" t="s">
        <v>1482</v>
      </c>
      <c r="C514" s="490" t="s">
        <v>1992</v>
      </c>
      <c r="D514" s="490" t="str">
        <f t="shared" si="21"/>
        <v>A0888:(株)大崎クリエーション</v>
      </c>
      <c r="I514" s="125" t="s">
        <v>1114</v>
      </c>
      <c r="J514" s="125" t="s">
        <v>1624</v>
      </c>
      <c r="K514" s="182"/>
      <c r="L514" s="182">
        <v>4.4900000000000002E-4</v>
      </c>
      <c r="M514" s="182">
        <v>4.4900000000000002E-4</v>
      </c>
      <c r="N514" s="182">
        <v>4.4900000000000002E-4</v>
      </c>
      <c r="O514" s="182">
        <v>4.4900000000000002E-4</v>
      </c>
      <c r="P514" s="182">
        <v>4.4900000000000002E-4</v>
      </c>
      <c r="R514" s="155" t="str">
        <f t="shared" si="22"/>
        <v>A0203:(株)レクスポート</v>
      </c>
      <c r="S514" s="181">
        <f t="shared" si="23"/>
        <v>4.4900000000000002E-4</v>
      </c>
    </row>
    <row r="515" spans="2:19">
      <c r="B515" s="121" t="s">
        <v>1483</v>
      </c>
      <c r="C515" s="490" t="s">
        <v>1993</v>
      </c>
      <c r="D515" s="490" t="str">
        <f t="shared" si="21"/>
        <v>A0890:(株)UPX</v>
      </c>
      <c r="I515" s="125" t="s">
        <v>1115</v>
      </c>
      <c r="J515" s="125" t="s">
        <v>1625</v>
      </c>
      <c r="K515" s="182" t="s">
        <v>652</v>
      </c>
      <c r="L515" s="182">
        <v>0</v>
      </c>
      <c r="M515" s="182">
        <v>0</v>
      </c>
      <c r="N515" s="182">
        <v>0</v>
      </c>
      <c r="O515" s="182">
        <v>0</v>
      </c>
      <c r="P515" s="182">
        <v>0</v>
      </c>
      <c r="R515" s="155" t="str">
        <f t="shared" si="22"/>
        <v>A0204:なでしこ電力(株)メニューA</v>
      </c>
      <c r="S515" s="181">
        <f t="shared" si="23"/>
        <v>0</v>
      </c>
    </row>
    <row r="516" spans="2:19">
      <c r="B516" s="121" t="s">
        <v>1484</v>
      </c>
      <c r="C516" s="490" t="s">
        <v>1994</v>
      </c>
      <c r="D516" s="490" t="str">
        <f t="shared" si="21"/>
        <v>A0893:Miraiつのエナジー(株)</v>
      </c>
      <c r="I516" s="125" t="s">
        <v>1115</v>
      </c>
      <c r="J516" s="125" t="s">
        <v>1625</v>
      </c>
      <c r="K516" s="182" t="s">
        <v>729</v>
      </c>
      <c r="L516" s="182">
        <v>5.0199999999999995E-4</v>
      </c>
      <c r="M516" s="182">
        <v>5.0199999999999995E-4</v>
      </c>
      <c r="N516" s="182">
        <v>5.0199999999999995E-4</v>
      </c>
      <c r="O516" s="182">
        <v>5.0199999999999995E-4</v>
      </c>
      <c r="P516" s="182">
        <v>5.0199999999999995E-4</v>
      </c>
      <c r="R516" s="155" t="str">
        <f t="shared" si="22"/>
        <v>A0204:なでしこ電力(株)メニューB</v>
      </c>
      <c r="S516" s="181">
        <f t="shared" si="23"/>
        <v>5.0199999999999995E-4</v>
      </c>
    </row>
    <row r="517" spans="2:19">
      <c r="B517" s="121" t="s">
        <v>1485</v>
      </c>
      <c r="C517" s="490" t="s">
        <v>1995</v>
      </c>
      <c r="D517" s="490" t="str">
        <f t="shared" si="21"/>
        <v>A0903:山口グリーンエネルギー(株)</v>
      </c>
      <c r="I517" s="125" t="s">
        <v>1115</v>
      </c>
      <c r="J517" s="125" t="s">
        <v>1625</v>
      </c>
      <c r="K517" s="182" t="s">
        <v>1998</v>
      </c>
      <c r="L517" s="182">
        <v>1.1E-4</v>
      </c>
      <c r="M517" s="182">
        <v>1.1E-4</v>
      </c>
      <c r="N517" s="182">
        <v>1.1E-4</v>
      </c>
      <c r="O517" s="182">
        <v>1.1E-4</v>
      </c>
      <c r="P517" s="182">
        <v>1.1E-4</v>
      </c>
      <c r="R517" s="155" t="str">
        <f t="shared" si="22"/>
        <v>A0204:なでしこ電力(株)(参考値)事業者全体</v>
      </c>
      <c r="S517" s="181">
        <f t="shared" si="23"/>
        <v>1.1E-4</v>
      </c>
    </row>
    <row r="518" spans="2:19">
      <c r="B518" s="121" t="s">
        <v>1486</v>
      </c>
      <c r="C518" s="490" t="s">
        <v>1996</v>
      </c>
      <c r="D518" s="490" t="str">
        <f t="shared" si="21"/>
        <v>A0905:(株)はちまんたいジオパワー</v>
      </c>
      <c r="I518" s="125" t="s">
        <v>1116</v>
      </c>
      <c r="J518" s="125" t="s">
        <v>1626</v>
      </c>
      <c r="K518" s="182" t="s">
        <v>652</v>
      </c>
      <c r="L518" s="182">
        <v>0</v>
      </c>
      <c r="M518" s="182">
        <v>0</v>
      </c>
      <c r="N518" s="182">
        <v>0</v>
      </c>
      <c r="O518" s="182">
        <v>0</v>
      </c>
      <c r="P518" s="182">
        <v>0</v>
      </c>
      <c r="R518" s="155" t="str">
        <f t="shared" si="22"/>
        <v>A0206:日田グリーン電力(株)メニューA</v>
      </c>
      <c r="S518" s="181">
        <f t="shared" si="23"/>
        <v>0</v>
      </c>
    </row>
    <row r="519" spans="2:19">
      <c r="B519" s="121" t="s">
        <v>1487</v>
      </c>
      <c r="C519" s="490" t="s">
        <v>1997</v>
      </c>
      <c r="D519" s="490" t="str">
        <f t="shared" si="21"/>
        <v>A0906:(株)アイモバイル</v>
      </c>
      <c r="I519" s="125" t="s">
        <v>1116</v>
      </c>
      <c r="J519" s="125" t="s">
        <v>1626</v>
      </c>
      <c r="K519" s="182" t="s">
        <v>729</v>
      </c>
      <c r="L519" s="182">
        <v>4.2900000000000002E-4</v>
      </c>
      <c r="M519" s="182">
        <v>4.2900000000000002E-4</v>
      </c>
      <c r="N519" s="182">
        <v>4.2900000000000002E-4</v>
      </c>
      <c r="O519" s="182">
        <v>4.2900000000000002E-4</v>
      </c>
      <c r="P519" s="182">
        <v>4.2900000000000002E-4</v>
      </c>
      <c r="R519" s="155" t="str">
        <f t="shared" si="22"/>
        <v>A0206:日田グリーン電力(株)メニューB</v>
      </c>
      <c r="S519" s="181">
        <f t="shared" si="23"/>
        <v>4.2900000000000002E-4</v>
      </c>
    </row>
    <row r="520" spans="2:19">
      <c r="B520" s="121"/>
      <c r="C520" s="490"/>
      <c r="D520" s="490" t="str">
        <f t="shared" si="21"/>
        <v/>
      </c>
      <c r="I520" s="125" t="s">
        <v>1116</v>
      </c>
      <c r="J520" s="125" t="s">
        <v>1626</v>
      </c>
      <c r="K520" s="182" t="s">
        <v>1998</v>
      </c>
      <c r="L520" s="182">
        <v>4.2700000000000002E-4</v>
      </c>
      <c r="M520" s="182">
        <v>4.2700000000000002E-4</v>
      </c>
      <c r="N520" s="182">
        <v>4.2700000000000002E-4</v>
      </c>
      <c r="O520" s="182">
        <v>4.2700000000000002E-4</v>
      </c>
      <c r="P520" s="182">
        <v>4.2700000000000002E-4</v>
      </c>
      <c r="R520" s="155" t="str">
        <f t="shared" si="22"/>
        <v>A0206:日田グリーン電力(株)(参考値)事業者全体</v>
      </c>
      <c r="S520" s="181">
        <f t="shared" si="23"/>
        <v>4.2700000000000002E-4</v>
      </c>
    </row>
    <row r="521" spans="2:19">
      <c r="B521" s="121"/>
      <c r="C521" s="490"/>
      <c r="D521" s="490" t="str">
        <f t="shared" ref="D521:D556" si="24">IF(B521="","",B521&amp;":"&amp;C521)</f>
        <v/>
      </c>
      <c r="I521" s="125" t="s">
        <v>1117</v>
      </c>
      <c r="J521" s="125" t="s">
        <v>1627</v>
      </c>
      <c r="K521" s="182"/>
      <c r="L521" s="182">
        <v>4.1899999999999999E-4</v>
      </c>
      <c r="M521" s="182">
        <v>4.1899999999999999E-4</v>
      </c>
      <c r="N521" s="182">
        <v>4.1899999999999999E-4</v>
      </c>
      <c r="O521" s="182">
        <v>4.1899999999999999E-4</v>
      </c>
      <c r="P521" s="182">
        <v>4.1899999999999999E-4</v>
      </c>
      <c r="R521" s="155" t="str">
        <f t="shared" si="22"/>
        <v>A0209:埼玉ガス(株)</v>
      </c>
      <c r="S521" s="181">
        <f t="shared" si="23"/>
        <v>4.1899999999999999E-4</v>
      </c>
    </row>
    <row r="522" spans="2:19">
      <c r="B522" s="121"/>
      <c r="C522" s="490"/>
      <c r="D522" s="490" t="str">
        <f t="shared" si="24"/>
        <v/>
      </c>
      <c r="I522" s="125" t="s">
        <v>1118</v>
      </c>
      <c r="J522" s="125" t="s">
        <v>1628</v>
      </c>
      <c r="K522" s="182"/>
      <c r="L522" s="182">
        <v>4.08E-4</v>
      </c>
      <c r="M522" s="182">
        <v>4.08E-4</v>
      </c>
      <c r="N522" s="182">
        <v>4.08E-4</v>
      </c>
      <c r="O522" s="182">
        <v>4.08E-4</v>
      </c>
      <c r="P522" s="182">
        <v>4.08E-4</v>
      </c>
      <c r="R522" s="155" t="str">
        <f t="shared" ref="R522:R585" si="25">I522&amp;":"&amp;J522&amp;K522</f>
        <v>A0210:宮崎パワーライン(株)</v>
      </c>
      <c r="S522" s="181">
        <f t="shared" ref="S522:S585" si="26">HLOOKUP($S$8,$L$8:$P$2000,ROW()-7,FALSE)</f>
        <v>4.08E-4</v>
      </c>
    </row>
    <row r="523" spans="2:19">
      <c r="B523" s="121"/>
      <c r="C523" s="490"/>
      <c r="D523" s="490" t="str">
        <f t="shared" si="24"/>
        <v/>
      </c>
      <c r="I523" s="125" t="s">
        <v>1119</v>
      </c>
      <c r="J523" s="125" t="s">
        <v>1629</v>
      </c>
      <c r="K523" s="182"/>
      <c r="L523" s="182">
        <v>4.7199999999999998E-4</v>
      </c>
      <c r="M523" s="182">
        <v>4.7199999999999998E-4</v>
      </c>
      <c r="N523" s="182">
        <v>4.7199999999999998E-4</v>
      </c>
      <c r="O523" s="182">
        <v>4.7199999999999998E-4</v>
      </c>
      <c r="P523" s="182">
        <v>4.7199999999999998E-4</v>
      </c>
      <c r="R523" s="155" t="str">
        <f t="shared" si="25"/>
        <v>A0211:(株)パワー・オプティマイザー</v>
      </c>
      <c r="S523" s="181">
        <f t="shared" si="26"/>
        <v>4.7199999999999998E-4</v>
      </c>
    </row>
    <row r="524" spans="2:19">
      <c r="B524" s="121"/>
      <c r="C524" s="490"/>
      <c r="D524" s="490" t="str">
        <f t="shared" si="24"/>
        <v/>
      </c>
      <c r="I524" s="125" t="s">
        <v>1120</v>
      </c>
      <c r="J524" s="125" t="s">
        <v>1630</v>
      </c>
      <c r="K524" s="182" t="s">
        <v>652</v>
      </c>
      <c r="L524" s="182">
        <v>0</v>
      </c>
      <c r="M524" s="182">
        <v>0</v>
      </c>
      <c r="N524" s="182">
        <v>0</v>
      </c>
      <c r="O524" s="182">
        <v>0</v>
      </c>
      <c r="P524" s="182">
        <v>0</v>
      </c>
      <c r="R524" s="155" t="str">
        <f t="shared" si="25"/>
        <v>A0213:(株)UーPOWERメニューA</v>
      </c>
      <c r="S524" s="181">
        <f t="shared" si="26"/>
        <v>0</v>
      </c>
    </row>
    <row r="525" spans="2:19">
      <c r="B525" s="121"/>
      <c r="C525" s="490"/>
      <c r="D525" s="490" t="str">
        <f t="shared" si="24"/>
        <v/>
      </c>
      <c r="I525" s="125" t="s">
        <v>1120</v>
      </c>
      <c r="J525" s="125" t="s">
        <v>1630</v>
      </c>
      <c r="K525" s="182" t="s">
        <v>729</v>
      </c>
      <c r="L525" s="182">
        <v>4.9600000000000002E-4</v>
      </c>
      <c r="M525" s="182">
        <v>4.9600000000000002E-4</v>
      </c>
      <c r="N525" s="182">
        <v>4.9600000000000002E-4</v>
      </c>
      <c r="O525" s="182">
        <v>4.9600000000000002E-4</v>
      </c>
      <c r="P525" s="182">
        <v>4.9600000000000002E-4</v>
      </c>
      <c r="R525" s="155" t="str">
        <f t="shared" si="25"/>
        <v>A0213:(株)UーPOWERメニューB</v>
      </c>
      <c r="S525" s="181">
        <f t="shared" si="26"/>
        <v>4.9600000000000002E-4</v>
      </c>
    </row>
    <row r="526" spans="2:19">
      <c r="B526" s="121"/>
      <c r="C526" s="490"/>
      <c r="D526" s="490" t="str">
        <f t="shared" si="24"/>
        <v/>
      </c>
      <c r="I526" s="125" t="s">
        <v>1120</v>
      </c>
      <c r="J526" s="125" t="s">
        <v>1630</v>
      </c>
      <c r="K526" s="182" t="s">
        <v>730</v>
      </c>
      <c r="L526" s="182">
        <v>5.4100000000000003E-4</v>
      </c>
      <c r="M526" s="182">
        <v>5.4100000000000003E-4</v>
      </c>
      <c r="N526" s="182">
        <v>5.4100000000000003E-4</v>
      </c>
      <c r="O526" s="182">
        <v>5.4100000000000003E-4</v>
      </c>
      <c r="P526" s="182">
        <v>5.4100000000000003E-4</v>
      </c>
      <c r="R526" s="155" t="str">
        <f t="shared" si="25"/>
        <v>A0213:(株)UーPOWERメニューC</v>
      </c>
      <c r="S526" s="181">
        <f t="shared" si="26"/>
        <v>5.4100000000000003E-4</v>
      </c>
    </row>
    <row r="527" spans="2:19">
      <c r="B527" s="121"/>
      <c r="C527" s="490"/>
      <c r="D527" s="490" t="str">
        <f t="shared" si="24"/>
        <v/>
      </c>
      <c r="I527" s="125" t="s">
        <v>1120</v>
      </c>
      <c r="J527" s="125" t="s">
        <v>1630</v>
      </c>
      <c r="K527" s="182" t="s">
        <v>915</v>
      </c>
      <c r="L527" s="182">
        <v>0</v>
      </c>
      <c r="M527" s="182">
        <v>0</v>
      </c>
      <c r="N527" s="182">
        <v>0</v>
      </c>
      <c r="O527" s="182">
        <v>0</v>
      </c>
      <c r="P527" s="182">
        <v>0</v>
      </c>
      <c r="R527" s="155" t="str">
        <f t="shared" si="25"/>
        <v>A0213:(株)UーPOWERメニューD</v>
      </c>
      <c r="S527" s="181">
        <f t="shared" si="26"/>
        <v>0</v>
      </c>
    </row>
    <row r="528" spans="2:19">
      <c r="B528" s="121"/>
      <c r="C528" s="490"/>
      <c r="D528" s="490" t="str">
        <f t="shared" si="24"/>
        <v/>
      </c>
      <c r="I528" s="125" t="s">
        <v>1120</v>
      </c>
      <c r="J528" s="125" t="s">
        <v>1630</v>
      </c>
      <c r="K528" s="182" t="s">
        <v>916</v>
      </c>
      <c r="L528" s="182">
        <v>4.8299999999999998E-4</v>
      </c>
      <c r="M528" s="182">
        <v>4.8299999999999998E-4</v>
      </c>
      <c r="N528" s="182">
        <v>4.8299999999999998E-4</v>
      </c>
      <c r="O528" s="182">
        <v>4.8299999999999998E-4</v>
      </c>
      <c r="P528" s="182">
        <v>4.8299999999999998E-4</v>
      </c>
      <c r="R528" s="155" t="str">
        <f t="shared" si="25"/>
        <v>A0213:(株)UーPOWERメニューE</v>
      </c>
      <c r="S528" s="181">
        <f t="shared" si="26"/>
        <v>4.8299999999999998E-4</v>
      </c>
    </row>
    <row r="529" spans="2:19">
      <c r="B529" s="121"/>
      <c r="C529" s="490"/>
      <c r="D529" s="490" t="str">
        <f t="shared" si="24"/>
        <v/>
      </c>
      <c r="I529" s="125" t="s">
        <v>1120</v>
      </c>
      <c r="J529" s="125" t="s">
        <v>1630</v>
      </c>
      <c r="K529" s="182" t="s">
        <v>1998</v>
      </c>
      <c r="L529" s="182">
        <v>4.6799999999999999E-4</v>
      </c>
      <c r="M529" s="182">
        <v>4.6799999999999999E-4</v>
      </c>
      <c r="N529" s="182">
        <v>4.6799999999999999E-4</v>
      </c>
      <c r="O529" s="182">
        <v>4.6799999999999999E-4</v>
      </c>
      <c r="P529" s="182">
        <v>4.6799999999999999E-4</v>
      </c>
      <c r="R529" s="155" t="str">
        <f t="shared" si="25"/>
        <v>A0213:(株)UーPOWER(参考値)事業者全体</v>
      </c>
      <c r="S529" s="181">
        <f t="shared" si="26"/>
        <v>4.6799999999999999E-4</v>
      </c>
    </row>
    <row r="530" spans="2:19">
      <c r="B530" s="121"/>
      <c r="C530" s="490"/>
      <c r="D530" s="490" t="str">
        <f t="shared" si="24"/>
        <v/>
      </c>
      <c r="I530" s="125" t="s">
        <v>1121</v>
      </c>
      <c r="J530" s="125" t="s">
        <v>1631</v>
      </c>
      <c r="K530" s="182"/>
      <c r="L530" s="182">
        <v>4.5100000000000001E-4</v>
      </c>
      <c r="M530" s="182">
        <v>4.5100000000000001E-4</v>
      </c>
      <c r="N530" s="182">
        <v>4.5100000000000001E-4</v>
      </c>
      <c r="O530" s="182">
        <v>4.5100000000000001E-4</v>
      </c>
      <c r="P530" s="182">
        <v>4.5100000000000001E-4</v>
      </c>
      <c r="R530" s="155" t="str">
        <f t="shared" si="25"/>
        <v>A0214:(株)TTSパワー</v>
      </c>
      <c r="S530" s="181">
        <f t="shared" si="26"/>
        <v>4.5100000000000001E-4</v>
      </c>
    </row>
    <row r="531" spans="2:19">
      <c r="B531" s="121"/>
      <c r="C531" s="490"/>
      <c r="D531" s="490" t="str">
        <f t="shared" si="24"/>
        <v/>
      </c>
      <c r="I531" s="125" t="s">
        <v>1122</v>
      </c>
      <c r="J531" s="125" t="s">
        <v>1632</v>
      </c>
      <c r="K531" s="182" t="s">
        <v>652</v>
      </c>
      <c r="L531" s="182">
        <v>0</v>
      </c>
      <c r="M531" s="182">
        <v>0</v>
      </c>
      <c r="N531" s="182">
        <v>0</v>
      </c>
      <c r="O531" s="182">
        <v>0</v>
      </c>
      <c r="P531" s="182">
        <v>0</v>
      </c>
      <c r="R531" s="155" t="str">
        <f t="shared" si="25"/>
        <v>A0216:(株)岩手ウッドパワーメニューA</v>
      </c>
      <c r="S531" s="181">
        <f t="shared" si="26"/>
        <v>0</v>
      </c>
    </row>
    <row r="532" spans="2:19">
      <c r="B532" s="121"/>
      <c r="C532" s="490"/>
      <c r="D532" s="490" t="str">
        <f t="shared" si="24"/>
        <v/>
      </c>
      <c r="I532" s="125" t="s">
        <v>1122</v>
      </c>
      <c r="J532" s="125" t="s">
        <v>1632</v>
      </c>
      <c r="K532" s="182" t="s">
        <v>729</v>
      </c>
      <c r="L532" s="182">
        <v>5.6999999999999998E-4</v>
      </c>
      <c r="M532" s="182">
        <v>5.6999999999999998E-4</v>
      </c>
      <c r="N532" s="182">
        <v>5.6999999999999998E-4</v>
      </c>
      <c r="O532" s="182">
        <v>5.6999999999999998E-4</v>
      </c>
      <c r="P532" s="182">
        <v>5.6999999999999998E-4</v>
      </c>
      <c r="R532" s="155" t="str">
        <f t="shared" si="25"/>
        <v>A0216:(株)岩手ウッドパワーメニューB</v>
      </c>
      <c r="S532" s="181">
        <f t="shared" si="26"/>
        <v>5.6999999999999998E-4</v>
      </c>
    </row>
    <row r="533" spans="2:19">
      <c r="B533" s="121"/>
      <c r="C533" s="490"/>
      <c r="D533" s="490" t="str">
        <f t="shared" si="24"/>
        <v/>
      </c>
      <c r="I533" s="125" t="s">
        <v>1122</v>
      </c>
      <c r="J533" s="125" t="s">
        <v>1632</v>
      </c>
      <c r="K533" s="182" t="s">
        <v>1998</v>
      </c>
      <c r="L533" s="182">
        <v>2.43E-4</v>
      </c>
      <c r="M533" s="182">
        <v>2.43E-4</v>
      </c>
      <c r="N533" s="182">
        <v>2.43E-4</v>
      </c>
      <c r="O533" s="182">
        <v>2.43E-4</v>
      </c>
      <c r="P533" s="182">
        <v>2.43E-4</v>
      </c>
      <c r="R533" s="155" t="str">
        <f t="shared" si="25"/>
        <v>A0216:(株)岩手ウッドパワー(参考値)事業者全体</v>
      </c>
      <c r="S533" s="181">
        <f t="shared" si="26"/>
        <v>2.43E-4</v>
      </c>
    </row>
    <row r="534" spans="2:19">
      <c r="B534" s="121"/>
      <c r="C534" s="490"/>
      <c r="D534" s="490" t="str">
        <f t="shared" si="24"/>
        <v/>
      </c>
      <c r="I534" s="125" t="s">
        <v>1123</v>
      </c>
      <c r="J534" s="125" t="s">
        <v>1633</v>
      </c>
      <c r="K534" s="182" t="s">
        <v>652</v>
      </c>
      <c r="L534" s="182">
        <v>0</v>
      </c>
      <c r="M534" s="182">
        <v>0</v>
      </c>
      <c r="N534" s="182">
        <v>0</v>
      </c>
      <c r="O534" s="182">
        <v>0</v>
      </c>
      <c r="P534" s="182">
        <v>0</v>
      </c>
      <c r="R534" s="155" t="str">
        <f t="shared" si="25"/>
        <v>A0217:里山パワーワークス(株)メニューA</v>
      </c>
      <c r="S534" s="181">
        <f t="shared" si="26"/>
        <v>0</v>
      </c>
    </row>
    <row r="535" spans="2:19">
      <c r="B535" s="121"/>
      <c r="C535" s="490"/>
      <c r="D535" s="490" t="str">
        <f t="shared" si="24"/>
        <v/>
      </c>
      <c r="I535" s="125" t="s">
        <v>1123</v>
      </c>
      <c r="J535" s="125" t="s">
        <v>1633</v>
      </c>
      <c r="K535" s="182" t="s">
        <v>729</v>
      </c>
      <c r="L535" s="182">
        <v>5.3700000000000004E-4</v>
      </c>
      <c r="M535" s="182">
        <v>5.3700000000000004E-4</v>
      </c>
      <c r="N535" s="182">
        <v>5.3700000000000004E-4</v>
      </c>
      <c r="O535" s="182">
        <v>5.3700000000000004E-4</v>
      </c>
      <c r="P535" s="182">
        <v>5.3700000000000004E-4</v>
      </c>
      <c r="R535" s="155" t="str">
        <f t="shared" si="25"/>
        <v>A0217:里山パワーワークス(株)メニューB</v>
      </c>
      <c r="S535" s="181">
        <f t="shared" si="26"/>
        <v>5.3700000000000004E-4</v>
      </c>
    </row>
    <row r="536" spans="2:19">
      <c r="B536" s="121"/>
      <c r="C536" s="490"/>
      <c r="D536" s="490" t="str">
        <f t="shared" si="24"/>
        <v/>
      </c>
      <c r="I536" s="125" t="s">
        <v>1123</v>
      </c>
      <c r="J536" s="125" t="s">
        <v>1633</v>
      </c>
      <c r="K536" s="182" t="s">
        <v>1998</v>
      </c>
      <c r="L536" s="182">
        <v>4.0400000000000001E-4</v>
      </c>
      <c r="M536" s="182">
        <v>4.0400000000000001E-4</v>
      </c>
      <c r="N536" s="182">
        <v>4.0400000000000001E-4</v>
      </c>
      <c r="O536" s="182">
        <v>4.0400000000000001E-4</v>
      </c>
      <c r="P536" s="182">
        <v>4.0400000000000001E-4</v>
      </c>
      <c r="R536" s="155" t="str">
        <f t="shared" si="25"/>
        <v>A0217:里山パワーワークス(株)(参考値)事業者全体</v>
      </c>
      <c r="S536" s="181">
        <f t="shared" si="26"/>
        <v>4.0400000000000001E-4</v>
      </c>
    </row>
    <row r="537" spans="2:19">
      <c r="B537" s="121"/>
      <c r="C537" s="490"/>
      <c r="D537" s="490" t="str">
        <f t="shared" si="24"/>
        <v/>
      </c>
      <c r="I537" s="125" t="s">
        <v>1124</v>
      </c>
      <c r="J537" s="125" t="s">
        <v>1634</v>
      </c>
      <c r="K537" s="182" t="s">
        <v>652</v>
      </c>
      <c r="L537" s="182">
        <v>0</v>
      </c>
      <c r="M537" s="182">
        <v>0</v>
      </c>
      <c r="N537" s="182">
        <v>0</v>
      </c>
      <c r="O537" s="182">
        <v>0</v>
      </c>
      <c r="P537" s="182">
        <v>0</v>
      </c>
      <c r="R537" s="155" t="str">
        <f t="shared" si="25"/>
        <v>A0218:(株)中之条パワーメニューA</v>
      </c>
      <c r="S537" s="181">
        <f t="shared" si="26"/>
        <v>0</v>
      </c>
    </row>
    <row r="538" spans="2:19">
      <c r="B538" s="121"/>
      <c r="C538" s="490"/>
      <c r="D538" s="490" t="str">
        <f t="shared" si="24"/>
        <v/>
      </c>
      <c r="I538" s="125" t="s">
        <v>1124</v>
      </c>
      <c r="J538" s="125" t="s">
        <v>1634</v>
      </c>
      <c r="K538" s="182" t="s">
        <v>729</v>
      </c>
      <c r="L538" s="182">
        <v>1.6200000000000001E-4</v>
      </c>
      <c r="M538" s="182">
        <v>1.6200000000000001E-4</v>
      </c>
      <c r="N538" s="182">
        <v>1.6200000000000001E-4</v>
      </c>
      <c r="O538" s="182">
        <v>1.6200000000000001E-4</v>
      </c>
      <c r="P538" s="182">
        <v>1.6200000000000001E-4</v>
      </c>
      <c r="R538" s="155" t="str">
        <f t="shared" si="25"/>
        <v>A0218:(株)中之条パワーメニューB</v>
      </c>
      <c r="S538" s="181">
        <f t="shared" si="26"/>
        <v>1.6200000000000001E-4</v>
      </c>
    </row>
    <row r="539" spans="2:19">
      <c r="B539" s="121"/>
      <c r="C539" s="490"/>
      <c r="D539" s="490" t="str">
        <f t="shared" si="24"/>
        <v/>
      </c>
      <c r="I539" s="125" t="s">
        <v>1124</v>
      </c>
      <c r="J539" s="125" t="s">
        <v>1634</v>
      </c>
      <c r="K539" s="182" t="s">
        <v>1998</v>
      </c>
      <c r="L539" s="182">
        <v>1.4899999999999999E-4</v>
      </c>
      <c r="M539" s="182">
        <v>1.4899999999999999E-4</v>
      </c>
      <c r="N539" s="182">
        <v>1.4899999999999999E-4</v>
      </c>
      <c r="O539" s="182">
        <v>1.4899999999999999E-4</v>
      </c>
      <c r="P539" s="182">
        <v>1.4899999999999999E-4</v>
      </c>
      <c r="R539" s="155" t="str">
        <f t="shared" si="25"/>
        <v>A0218:(株)中之条パワー(参考値)事業者全体</v>
      </c>
      <c r="S539" s="181">
        <f t="shared" si="26"/>
        <v>1.4899999999999999E-4</v>
      </c>
    </row>
    <row r="540" spans="2:19">
      <c r="B540" s="121"/>
      <c r="C540" s="490"/>
      <c r="D540" s="490" t="str">
        <f t="shared" si="24"/>
        <v/>
      </c>
      <c r="I540" s="125" t="s">
        <v>1125</v>
      </c>
      <c r="J540" s="125" t="s">
        <v>1635</v>
      </c>
      <c r="K540" s="182" t="s">
        <v>652</v>
      </c>
      <c r="L540" s="182">
        <v>0</v>
      </c>
      <c r="M540" s="182">
        <v>0</v>
      </c>
      <c r="N540" s="182">
        <v>0</v>
      </c>
      <c r="O540" s="182">
        <v>0</v>
      </c>
      <c r="P540" s="182">
        <v>0</v>
      </c>
      <c r="R540" s="155" t="str">
        <f t="shared" si="25"/>
        <v>A0220:日産トレーデイング(株)メニューA</v>
      </c>
      <c r="S540" s="181">
        <f t="shared" si="26"/>
        <v>0</v>
      </c>
    </row>
    <row r="541" spans="2:19">
      <c r="B541" s="121"/>
      <c r="C541" s="490"/>
      <c r="D541" s="490" t="str">
        <f t="shared" si="24"/>
        <v/>
      </c>
      <c r="I541" s="125" t="s">
        <v>1125</v>
      </c>
      <c r="J541" s="125" t="s">
        <v>1635</v>
      </c>
      <c r="K541" s="182" t="s">
        <v>729</v>
      </c>
      <c r="L541" s="182">
        <v>0</v>
      </c>
      <c r="M541" s="182">
        <v>0</v>
      </c>
      <c r="N541" s="182">
        <v>0</v>
      </c>
      <c r="O541" s="182">
        <v>0</v>
      </c>
      <c r="P541" s="182">
        <v>0</v>
      </c>
      <c r="R541" s="155" t="str">
        <f t="shared" si="25"/>
        <v>A0220:日産トレーデイング(株)メニューB</v>
      </c>
      <c r="S541" s="181">
        <f t="shared" si="26"/>
        <v>0</v>
      </c>
    </row>
    <row r="542" spans="2:19">
      <c r="B542" s="121"/>
      <c r="C542" s="490"/>
      <c r="D542" s="490" t="str">
        <f t="shared" si="24"/>
        <v/>
      </c>
      <c r="I542" s="125" t="s">
        <v>1125</v>
      </c>
      <c r="J542" s="125" t="s">
        <v>1635</v>
      </c>
      <c r="K542" s="182" t="s">
        <v>1998</v>
      </c>
      <c r="L542" s="182">
        <v>0</v>
      </c>
      <c r="M542" s="182">
        <v>0</v>
      </c>
      <c r="N542" s="182">
        <v>0</v>
      </c>
      <c r="O542" s="182">
        <v>0</v>
      </c>
      <c r="P542" s="182">
        <v>0</v>
      </c>
      <c r="R542" s="155" t="str">
        <f t="shared" si="25"/>
        <v>A0220:日産トレーデイング(株)(参考値)事業者全体</v>
      </c>
      <c r="S542" s="181">
        <f t="shared" si="26"/>
        <v>0</v>
      </c>
    </row>
    <row r="543" spans="2:19">
      <c r="B543" s="121"/>
      <c r="C543" s="490"/>
      <c r="D543" s="490" t="str">
        <f t="shared" si="24"/>
        <v/>
      </c>
      <c r="I543" s="125" t="s">
        <v>1126</v>
      </c>
      <c r="J543" s="125" t="s">
        <v>1636</v>
      </c>
      <c r="K543" s="182" t="s">
        <v>652</v>
      </c>
      <c r="L543" s="182">
        <v>0</v>
      </c>
      <c r="M543" s="182">
        <v>0</v>
      </c>
      <c r="N543" s="182">
        <v>0</v>
      </c>
      <c r="O543" s="182">
        <v>0</v>
      </c>
      <c r="P543" s="182">
        <v>0</v>
      </c>
      <c r="R543" s="155" t="str">
        <f t="shared" si="25"/>
        <v>A0221:(株)エネウィルメニューA</v>
      </c>
      <c r="S543" s="181">
        <f t="shared" si="26"/>
        <v>0</v>
      </c>
    </row>
    <row r="544" spans="2:19">
      <c r="B544" s="121"/>
      <c r="C544" s="490"/>
      <c r="D544" s="490" t="str">
        <f t="shared" si="24"/>
        <v/>
      </c>
      <c r="I544" s="125" t="s">
        <v>1126</v>
      </c>
      <c r="J544" s="125" t="s">
        <v>1636</v>
      </c>
      <c r="K544" s="182" t="s">
        <v>729</v>
      </c>
      <c r="L544" s="182">
        <v>4.2200000000000001E-4</v>
      </c>
      <c r="M544" s="182">
        <v>4.2200000000000001E-4</v>
      </c>
      <c r="N544" s="182">
        <v>4.2200000000000001E-4</v>
      </c>
      <c r="O544" s="182">
        <v>4.2200000000000001E-4</v>
      </c>
      <c r="P544" s="182">
        <v>4.2200000000000001E-4</v>
      </c>
      <c r="R544" s="155" t="str">
        <f t="shared" si="25"/>
        <v>A0221:(株)エネウィルメニューB</v>
      </c>
      <c r="S544" s="181">
        <f t="shared" si="26"/>
        <v>4.2200000000000001E-4</v>
      </c>
    </row>
    <row r="545" spans="2:19">
      <c r="B545" s="121"/>
      <c r="C545" s="490"/>
      <c r="D545" s="490" t="str">
        <f t="shared" si="24"/>
        <v/>
      </c>
      <c r="I545" s="125" t="s">
        <v>1126</v>
      </c>
      <c r="J545" s="125" t="s">
        <v>1636</v>
      </c>
      <c r="K545" s="182" t="s">
        <v>1998</v>
      </c>
      <c r="L545" s="182">
        <v>1.3749999999999999E-3</v>
      </c>
      <c r="M545" s="182">
        <v>1.3749999999999999E-3</v>
      </c>
      <c r="N545" s="182">
        <v>1.3749999999999999E-3</v>
      </c>
      <c r="O545" s="182">
        <v>1.3749999999999999E-3</v>
      </c>
      <c r="P545" s="182">
        <v>1.3749999999999999E-3</v>
      </c>
      <c r="R545" s="155" t="str">
        <f t="shared" si="25"/>
        <v>A0221:(株)エネウィル(参考値)事業者全体</v>
      </c>
      <c r="S545" s="181">
        <f t="shared" si="26"/>
        <v>1.3749999999999999E-3</v>
      </c>
    </row>
    <row r="546" spans="2:19">
      <c r="B546" s="121"/>
      <c r="C546" s="490"/>
      <c r="D546" s="490" t="str">
        <f t="shared" si="24"/>
        <v/>
      </c>
      <c r="I546" s="125" t="s">
        <v>1127</v>
      </c>
      <c r="J546" s="125" t="s">
        <v>1637</v>
      </c>
      <c r="K546" s="182"/>
      <c r="L546" s="182">
        <v>6.0499999999999996E-4</v>
      </c>
      <c r="M546" s="182">
        <v>6.0499999999999996E-4</v>
      </c>
      <c r="N546" s="182">
        <v>6.0499999999999996E-4</v>
      </c>
      <c r="O546" s="182">
        <v>6.0499999999999996E-4</v>
      </c>
      <c r="P546" s="182">
        <v>6.0499999999999996E-4</v>
      </c>
      <c r="R546" s="155" t="str">
        <f t="shared" si="25"/>
        <v>A0222:Next Power(株)</v>
      </c>
      <c r="S546" s="181">
        <f t="shared" si="26"/>
        <v>6.0499999999999996E-4</v>
      </c>
    </row>
    <row r="547" spans="2:19">
      <c r="B547" s="121"/>
      <c r="C547" s="490"/>
      <c r="D547" s="490" t="str">
        <f t="shared" si="24"/>
        <v/>
      </c>
      <c r="I547" s="125" t="s">
        <v>1128</v>
      </c>
      <c r="J547" s="125" t="s">
        <v>1638</v>
      </c>
      <c r="K547" s="182" t="s">
        <v>652</v>
      </c>
      <c r="L547" s="182">
        <v>0</v>
      </c>
      <c r="M547" s="182">
        <v>0</v>
      </c>
      <c r="N547" s="182">
        <v>0</v>
      </c>
      <c r="O547" s="182">
        <v>0</v>
      </c>
      <c r="P547" s="182">
        <v>0</v>
      </c>
      <c r="R547" s="155" t="str">
        <f t="shared" si="25"/>
        <v>A0227:はりま電力(株)メニューA</v>
      </c>
      <c r="S547" s="181">
        <f t="shared" si="26"/>
        <v>0</v>
      </c>
    </row>
    <row r="548" spans="2:19">
      <c r="B548" s="121"/>
      <c r="C548" s="490"/>
      <c r="D548" s="490" t="str">
        <f t="shared" si="24"/>
        <v/>
      </c>
      <c r="I548" s="125" t="s">
        <v>1128</v>
      </c>
      <c r="J548" s="125" t="s">
        <v>1638</v>
      </c>
      <c r="K548" s="182" t="s">
        <v>729</v>
      </c>
      <c r="L548" s="182">
        <v>5.9400000000000002E-4</v>
      </c>
      <c r="M548" s="182">
        <v>5.9400000000000002E-4</v>
      </c>
      <c r="N548" s="182">
        <v>5.9400000000000002E-4</v>
      </c>
      <c r="O548" s="182">
        <v>5.9400000000000002E-4</v>
      </c>
      <c r="P548" s="182">
        <v>5.9400000000000002E-4</v>
      </c>
      <c r="R548" s="155" t="str">
        <f t="shared" si="25"/>
        <v>A0227:はりま電力(株)メニューB</v>
      </c>
      <c r="S548" s="181">
        <f t="shared" si="26"/>
        <v>5.9400000000000002E-4</v>
      </c>
    </row>
    <row r="549" spans="2:19">
      <c r="B549" s="121"/>
      <c r="C549" s="490"/>
      <c r="D549" s="490" t="str">
        <f t="shared" si="24"/>
        <v/>
      </c>
      <c r="I549" s="125" t="s">
        <v>1128</v>
      </c>
      <c r="J549" s="125" t="s">
        <v>1638</v>
      </c>
      <c r="K549" s="182" t="s">
        <v>1998</v>
      </c>
      <c r="L549" s="182">
        <v>5.7899999999999998E-4</v>
      </c>
      <c r="M549" s="182">
        <v>5.7899999999999998E-4</v>
      </c>
      <c r="N549" s="182">
        <v>5.7899999999999998E-4</v>
      </c>
      <c r="O549" s="182">
        <v>5.7899999999999998E-4</v>
      </c>
      <c r="P549" s="182">
        <v>5.7899999999999998E-4</v>
      </c>
      <c r="R549" s="155" t="str">
        <f t="shared" si="25"/>
        <v>A0227:はりま電力(株)(参考値)事業者全体</v>
      </c>
      <c r="S549" s="181">
        <f t="shared" si="26"/>
        <v>5.7899999999999998E-4</v>
      </c>
    </row>
    <row r="550" spans="2:19">
      <c r="B550" s="121"/>
      <c r="C550" s="490"/>
      <c r="D550" s="490" t="str">
        <f t="shared" si="24"/>
        <v/>
      </c>
      <c r="I550" s="125" t="s">
        <v>1129</v>
      </c>
      <c r="J550" s="125" t="s">
        <v>1639</v>
      </c>
      <c r="K550" s="182" t="s">
        <v>652</v>
      </c>
      <c r="L550" s="182">
        <v>0</v>
      </c>
      <c r="M550" s="182">
        <v>0</v>
      </c>
      <c r="N550" s="182">
        <v>0</v>
      </c>
      <c r="O550" s="182">
        <v>0</v>
      </c>
      <c r="P550" s="182">
        <v>0</v>
      </c>
      <c r="R550" s="155" t="str">
        <f t="shared" si="25"/>
        <v>A0228:(株)浜松新電力メニューA</v>
      </c>
      <c r="S550" s="181">
        <f t="shared" si="26"/>
        <v>0</v>
      </c>
    </row>
    <row r="551" spans="2:19">
      <c r="B551" s="121"/>
      <c r="C551" s="490"/>
      <c r="D551" s="490" t="str">
        <f t="shared" si="24"/>
        <v/>
      </c>
      <c r="I551" s="125" t="s">
        <v>1129</v>
      </c>
      <c r="J551" s="125" t="s">
        <v>1639</v>
      </c>
      <c r="K551" s="182" t="s">
        <v>1998</v>
      </c>
      <c r="L551" s="182">
        <v>1.2400000000000001E-4</v>
      </c>
      <c r="M551" s="182">
        <v>1.2400000000000001E-4</v>
      </c>
      <c r="N551" s="182">
        <v>1.2400000000000001E-4</v>
      </c>
      <c r="O551" s="182">
        <v>1.2400000000000001E-4</v>
      </c>
      <c r="P551" s="182">
        <v>1.2400000000000001E-4</v>
      </c>
      <c r="R551" s="155" t="str">
        <f t="shared" si="25"/>
        <v>A0228:(株)浜松新電力(参考値)事業者全体</v>
      </c>
      <c r="S551" s="181">
        <f t="shared" si="26"/>
        <v>1.2400000000000001E-4</v>
      </c>
    </row>
    <row r="552" spans="2:19">
      <c r="B552" s="121"/>
      <c r="C552" s="490"/>
      <c r="D552" s="490" t="str">
        <f t="shared" si="24"/>
        <v/>
      </c>
      <c r="I552" s="125" t="s">
        <v>1130</v>
      </c>
      <c r="J552" s="125" t="s">
        <v>1640</v>
      </c>
      <c r="K552" s="182" t="s">
        <v>652</v>
      </c>
      <c r="L552" s="182">
        <v>0</v>
      </c>
      <c r="M552" s="182">
        <v>0</v>
      </c>
      <c r="N552" s="182">
        <v>0</v>
      </c>
      <c r="O552" s="182">
        <v>0</v>
      </c>
      <c r="P552" s="182">
        <v>0</v>
      </c>
      <c r="R552" s="155" t="str">
        <f t="shared" si="25"/>
        <v>A0229:ゼロワットパワー(株)メニューA</v>
      </c>
      <c r="S552" s="181">
        <f t="shared" si="26"/>
        <v>0</v>
      </c>
    </row>
    <row r="553" spans="2:19">
      <c r="B553" s="121"/>
      <c r="C553" s="490"/>
      <c r="D553" s="490" t="str">
        <f t="shared" si="24"/>
        <v/>
      </c>
      <c r="I553" s="125" t="s">
        <v>1130</v>
      </c>
      <c r="J553" s="125" t="s">
        <v>1640</v>
      </c>
      <c r="K553" s="182" t="s">
        <v>729</v>
      </c>
      <c r="L553" s="182">
        <v>0</v>
      </c>
      <c r="M553" s="182">
        <v>0</v>
      </c>
      <c r="N553" s="182">
        <v>0</v>
      </c>
      <c r="O553" s="182">
        <v>0</v>
      </c>
      <c r="P553" s="182">
        <v>0</v>
      </c>
      <c r="R553" s="155" t="str">
        <f t="shared" si="25"/>
        <v>A0229:ゼロワットパワー(株)メニューB</v>
      </c>
      <c r="S553" s="181">
        <f t="shared" si="26"/>
        <v>0</v>
      </c>
    </row>
    <row r="554" spans="2:19">
      <c r="B554" s="121"/>
      <c r="C554" s="490"/>
      <c r="D554" s="490" t="str">
        <f t="shared" si="24"/>
        <v/>
      </c>
      <c r="I554" s="125" t="s">
        <v>1130</v>
      </c>
      <c r="J554" s="125" t="s">
        <v>1640</v>
      </c>
      <c r="K554" s="182" t="s">
        <v>730</v>
      </c>
      <c r="L554" s="182">
        <v>0</v>
      </c>
      <c r="M554" s="182">
        <v>0</v>
      </c>
      <c r="N554" s="182">
        <v>0</v>
      </c>
      <c r="O554" s="182">
        <v>0</v>
      </c>
      <c r="P554" s="182">
        <v>0</v>
      </c>
      <c r="R554" s="155" t="str">
        <f t="shared" si="25"/>
        <v>A0229:ゼロワットパワー(株)メニューC</v>
      </c>
      <c r="S554" s="181">
        <f t="shared" si="26"/>
        <v>0</v>
      </c>
    </row>
    <row r="555" spans="2:19">
      <c r="B555" s="121"/>
      <c r="C555" s="490"/>
      <c r="D555" s="490" t="str">
        <f t="shared" si="24"/>
        <v/>
      </c>
      <c r="I555" s="125" t="s">
        <v>1130</v>
      </c>
      <c r="J555" s="125" t="s">
        <v>1640</v>
      </c>
      <c r="K555" s="182" t="s">
        <v>915</v>
      </c>
      <c r="L555" s="182">
        <v>0</v>
      </c>
      <c r="M555" s="182">
        <v>0</v>
      </c>
      <c r="N555" s="182">
        <v>0</v>
      </c>
      <c r="O555" s="182">
        <v>0</v>
      </c>
      <c r="P555" s="182">
        <v>0</v>
      </c>
      <c r="R555" s="155" t="str">
        <f t="shared" si="25"/>
        <v>A0229:ゼロワットパワー(株)メニューD</v>
      </c>
      <c r="S555" s="181">
        <f t="shared" si="26"/>
        <v>0</v>
      </c>
    </row>
    <row r="556" spans="2:19">
      <c r="B556" s="121"/>
      <c r="C556" s="490"/>
      <c r="D556" s="490" t="str">
        <f t="shared" si="24"/>
        <v/>
      </c>
      <c r="I556" s="125" t="s">
        <v>1130</v>
      </c>
      <c r="J556" s="125" t="s">
        <v>1640</v>
      </c>
      <c r="K556" s="182" t="s">
        <v>916</v>
      </c>
      <c r="L556" s="182">
        <v>0</v>
      </c>
      <c r="M556" s="182">
        <v>0</v>
      </c>
      <c r="N556" s="182">
        <v>0</v>
      </c>
      <c r="O556" s="182">
        <v>0</v>
      </c>
      <c r="P556" s="182">
        <v>0</v>
      </c>
      <c r="R556" s="155" t="str">
        <f t="shared" si="25"/>
        <v>A0229:ゼロワットパワー(株)メニューE</v>
      </c>
      <c r="S556" s="181">
        <f t="shared" si="26"/>
        <v>0</v>
      </c>
    </row>
    <row r="557" spans="2:19">
      <c r="B557" s="121"/>
      <c r="C557" s="490"/>
      <c r="D557" s="490" t="str">
        <f>IF(B557="","",B557&amp;":"&amp;C557)</f>
        <v/>
      </c>
      <c r="I557" s="125" t="s">
        <v>1130</v>
      </c>
      <c r="J557" s="125" t="s">
        <v>1640</v>
      </c>
      <c r="K557" s="182" t="s">
        <v>1999</v>
      </c>
      <c r="L557" s="182">
        <v>0</v>
      </c>
      <c r="M557" s="182">
        <v>0</v>
      </c>
      <c r="N557" s="182">
        <v>0</v>
      </c>
      <c r="O557" s="182">
        <v>0</v>
      </c>
      <c r="P557" s="182">
        <v>0</v>
      </c>
      <c r="R557" s="155" t="str">
        <f t="shared" si="25"/>
        <v>A0229:ゼロワットパワー(株)メニューF</v>
      </c>
      <c r="S557" s="181">
        <f t="shared" si="26"/>
        <v>0</v>
      </c>
    </row>
    <row r="558" spans="2:19">
      <c r="B558" s="121"/>
      <c r="C558" s="490"/>
      <c r="D558" s="490" t="str">
        <f t="shared" ref="D558:D621" si="27">IF(B558="","",B558&amp;":"&amp;C558)</f>
        <v/>
      </c>
      <c r="I558" s="125" t="s">
        <v>1130</v>
      </c>
      <c r="J558" s="125" t="s">
        <v>1640</v>
      </c>
      <c r="K558" s="182" t="s">
        <v>2000</v>
      </c>
      <c r="L558" s="182">
        <v>0</v>
      </c>
      <c r="M558" s="182">
        <v>0</v>
      </c>
      <c r="N558" s="182">
        <v>0</v>
      </c>
      <c r="O558" s="182">
        <v>0</v>
      </c>
      <c r="P558" s="182">
        <v>0</v>
      </c>
      <c r="R558" s="155" t="str">
        <f t="shared" si="25"/>
        <v>A0229:ゼロワットパワー(株)メニューG</v>
      </c>
      <c r="S558" s="181">
        <f t="shared" si="26"/>
        <v>0</v>
      </c>
    </row>
    <row r="559" spans="2:19">
      <c r="B559" s="121"/>
      <c r="C559" s="490"/>
      <c r="D559" s="490" t="str">
        <f t="shared" si="27"/>
        <v/>
      </c>
      <c r="I559" s="125" t="s">
        <v>1130</v>
      </c>
      <c r="J559" s="125" t="s">
        <v>1640</v>
      </c>
      <c r="K559" s="182" t="s">
        <v>2001</v>
      </c>
      <c r="L559" s="182">
        <v>0</v>
      </c>
      <c r="M559" s="182">
        <v>0</v>
      </c>
      <c r="N559" s="182">
        <v>0</v>
      </c>
      <c r="O559" s="182">
        <v>0</v>
      </c>
      <c r="P559" s="182">
        <v>0</v>
      </c>
      <c r="R559" s="155" t="str">
        <f t="shared" si="25"/>
        <v>A0229:ゼロワットパワー(株)メニューH</v>
      </c>
      <c r="S559" s="181">
        <f t="shared" si="26"/>
        <v>0</v>
      </c>
    </row>
    <row r="560" spans="2:19">
      <c r="B560" s="121"/>
      <c r="C560" s="490"/>
      <c r="D560" s="490" t="str">
        <f t="shared" si="27"/>
        <v/>
      </c>
      <c r="I560" s="125" t="s">
        <v>1130</v>
      </c>
      <c r="J560" s="125" t="s">
        <v>1640</v>
      </c>
      <c r="K560" s="182" t="s">
        <v>2002</v>
      </c>
      <c r="L560" s="182">
        <v>6.3E-5</v>
      </c>
      <c r="M560" s="182">
        <v>6.3E-5</v>
      </c>
      <c r="N560" s="182">
        <v>6.3E-5</v>
      </c>
      <c r="O560" s="182">
        <v>6.3E-5</v>
      </c>
      <c r="P560" s="182">
        <v>6.3E-5</v>
      </c>
      <c r="R560" s="155" t="str">
        <f t="shared" si="25"/>
        <v>A0229:ゼロワットパワー(株)メニューI</v>
      </c>
      <c r="S560" s="181">
        <f t="shared" si="26"/>
        <v>6.3E-5</v>
      </c>
    </row>
    <row r="561" spans="2:19">
      <c r="B561" s="121"/>
      <c r="C561" s="490"/>
      <c r="D561" s="490" t="str">
        <f t="shared" si="27"/>
        <v/>
      </c>
      <c r="I561" s="125" t="s">
        <v>1130</v>
      </c>
      <c r="J561" s="125" t="s">
        <v>1640</v>
      </c>
      <c r="K561" s="182" t="s">
        <v>1998</v>
      </c>
      <c r="L561" s="182">
        <v>7.9999999999999996E-6</v>
      </c>
      <c r="M561" s="182">
        <v>7.9999999999999996E-6</v>
      </c>
      <c r="N561" s="182">
        <v>7.9999999999999996E-6</v>
      </c>
      <c r="O561" s="182">
        <v>7.9999999999999996E-6</v>
      </c>
      <c r="P561" s="182">
        <v>7.9999999999999996E-6</v>
      </c>
      <c r="R561" s="155" t="str">
        <f t="shared" si="25"/>
        <v>A0229:ゼロワットパワー(株)(参考値)事業者全体</v>
      </c>
      <c r="S561" s="181">
        <f t="shared" si="26"/>
        <v>7.9999999999999996E-6</v>
      </c>
    </row>
    <row r="562" spans="2:19">
      <c r="B562" s="121"/>
      <c r="C562" s="490"/>
      <c r="D562" s="490" t="str">
        <f t="shared" si="27"/>
        <v/>
      </c>
      <c r="I562" s="125" t="s">
        <v>1131</v>
      </c>
      <c r="J562" s="125" t="s">
        <v>1641</v>
      </c>
      <c r="K562" s="182" t="s">
        <v>652</v>
      </c>
      <c r="L562" s="182">
        <v>0</v>
      </c>
      <c r="M562" s="182">
        <v>0</v>
      </c>
      <c r="N562" s="182">
        <v>0</v>
      </c>
      <c r="O562" s="182">
        <v>0</v>
      </c>
      <c r="P562" s="182">
        <v>0</v>
      </c>
      <c r="R562" s="155" t="str">
        <f t="shared" si="25"/>
        <v>A0230:アストマックス(株)メニューA</v>
      </c>
      <c r="S562" s="181">
        <f t="shared" si="26"/>
        <v>0</v>
      </c>
    </row>
    <row r="563" spans="2:19">
      <c r="B563" s="121"/>
      <c r="C563" s="490"/>
      <c r="D563" s="490" t="str">
        <f t="shared" si="27"/>
        <v/>
      </c>
      <c r="I563" s="125" t="s">
        <v>1131</v>
      </c>
      <c r="J563" s="125" t="s">
        <v>1641</v>
      </c>
      <c r="K563" s="182" t="s">
        <v>729</v>
      </c>
      <c r="L563" s="182">
        <v>0</v>
      </c>
      <c r="M563" s="182">
        <v>0</v>
      </c>
      <c r="N563" s="182">
        <v>0</v>
      </c>
      <c r="O563" s="182">
        <v>0</v>
      </c>
      <c r="P563" s="182">
        <v>0</v>
      </c>
      <c r="R563" s="155" t="str">
        <f t="shared" si="25"/>
        <v>A0230:アストマックス(株)メニューB</v>
      </c>
      <c r="S563" s="181">
        <f t="shared" si="26"/>
        <v>0</v>
      </c>
    </row>
    <row r="564" spans="2:19">
      <c r="B564" s="121"/>
      <c r="C564" s="490"/>
      <c r="D564" s="490" t="str">
        <f t="shared" si="27"/>
        <v/>
      </c>
      <c r="I564" s="125" t="s">
        <v>1131</v>
      </c>
      <c r="J564" s="125" t="s">
        <v>1641</v>
      </c>
      <c r="K564" s="182" t="s">
        <v>730</v>
      </c>
      <c r="L564" s="182">
        <v>4.1399999999999998E-4</v>
      </c>
      <c r="M564" s="182">
        <v>4.1399999999999998E-4</v>
      </c>
      <c r="N564" s="182">
        <v>4.1399999999999998E-4</v>
      </c>
      <c r="O564" s="182">
        <v>4.1399999999999998E-4</v>
      </c>
      <c r="P564" s="182">
        <v>4.1399999999999998E-4</v>
      </c>
      <c r="R564" s="155" t="str">
        <f t="shared" si="25"/>
        <v>A0230:アストマックス(株)メニューC</v>
      </c>
      <c r="S564" s="181">
        <f t="shared" si="26"/>
        <v>4.1399999999999998E-4</v>
      </c>
    </row>
    <row r="565" spans="2:19">
      <c r="B565" s="121"/>
      <c r="C565" s="490"/>
      <c r="D565" s="490" t="str">
        <f t="shared" si="27"/>
        <v/>
      </c>
      <c r="I565" s="125" t="s">
        <v>1131</v>
      </c>
      <c r="J565" s="125" t="s">
        <v>1641</v>
      </c>
      <c r="K565" s="182" t="s">
        <v>915</v>
      </c>
      <c r="L565" s="182">
        <v>7.7700000000000002E-4</v>
      </c>
      <c r="M565" s="182">
        <v>7.7700000000000002E-4</v>
      </c>
      <c r="N565" s="182">
        <v>7.7700000000000002E-4</v>
      </c>
      <c r="O565" s="182">
        <v>7.7700000000000002E-4</v>
      </c>
      <c r="P565" s="182">
        <v>7.7700000000000002E-4</v>
      </c>
      <c r="R565" s="155" t="str">
        <f t="shared" si="25"/>
        <v>A0230:アストマックス(株)メニューD</v>
      </c>
      <c r="S565" s="181">
        <f t="shared" si="26"/>
        <v>7.7700000000000002E-4</v>
      </c>
    </row>
    <row r="566" spans="2:19">
      <c r="B566" s="121"/>
      <c r="C566" s="490"/>
      <c r="D566" s="490" t="str">
        <f t="shared" si="27"/>
        <v/>
      </c>
      <c r="I566" s="125" t="s">
        <v>1131</v>
      </c>
      <c r="J566" s="125" t="s">
        <v>1641</v>
      </c>
      <c r="K566" s="182" t="s">
        <v>1998</v>
      </c>
      <c r="L566" s="182">
        <v>7.5299999999999998E-4</v>
      </c>
      <c r="M566" s="182">
        <v>7.5299999999999998E-4</v>
      </c>
      <c r="N566" s="182">
        <v>7.5299999999999998E-4</v>
      </c>
      <c r="O566" s="182">
        <v>7.5299999999999998E-4</v>
      </c>
      <c r="P566" s="182">
        <v>7.5299999999999998E-4</v>
      </c>
      <c r="R566" s="155" t="str">
        <f t="shared" si="25"/>
        <v>A0230:アストマックス(株)(参考値)事業者全体</v>
      </c>
      <c r="S566" s="181">
        <f t="shared" si="26"/>
        <v>7.5299999999999998E-4</v>
      </c>
    </row>
    <row r="567" spans="2:19">
      <c r="B567" s="121"/>
      <c r="C567" s="490"/>
      <c r="D567" s="490" t="str">
        <f t="shared" si="27"/>
        <v/>
      </c>
      <c r="I567" s="125" t="s">
        <v>1132</v>
      </c>
      <c r="J567" s="125" t="s">
        <v>1642</v>
      </c>
      <c r="K567" s="182" t="s">
        <v>652</v>
      </c>
      <c r="L567" s="182">
        <v>0</v>
      </c>
      <c r="M567" s="182">
        <v>0</v>
      </c>
      <c r="N567" s="182">
        <v>0</v>
      </c>
      <c r="O567" s="182">
        <v>0</v>
      </c>
      <c r="P567" s="182">
        <v>0</v>
      </c>
      <c r="R567" s="155" t="str">
        <f t="shared" si="25"/>
        <v>A0231:(株)やまがた新電力メニューA</v>
      </c>
      <c r="S567" s="181">
        <f t="shared" si="26"/>
        <v>0</v>
      </c>
    </row>
    <row r="568" spans="2:19">
      <c r="B568" s="121"/>
      <c r="C568" s="490"/>
      <c r="D568" s="490" t="str">
        <f t="shared" si="27"/>
        <v/>
      </c>
      <c r="I568" s="125" t="s">
        <v>1132</v>
      </c>
      <c r="J568" s="125" t="s">
        <v>1642</v>
      </c>
      <c r="K568" s="182" t="s">
        <v>729</v>
      </c>
      <c r="L568" s="182">
        <v>5.0000000000000004E-6</v>
      </c>
      <c r="M568" s="182">
        <v>5.0000000000000004E-6</v>
      </c>
      <c r="N568" s="182">
        <v>5.0000000000000004E-6</v>
      </c>
      <c r="O568" s="182">
        <v>5.0000000000000004E-6</v>
      </c>
      <c r="P568" s="182">
        <v>5.0000000000000004E-6</v>
      </c>
      <c r="R568" s="155" t="str">
        <f t="shared" si="25"/>
        <v>A0231:(株)やまがた新電力メニューB</v>
      </c>
      <c r="S568" s="181">
        <f t="shared" si="26"/>
        <v>5.0000000000000004E-6</v>
      </c>
    </row>
    <row r="569" spans="2:19">
      <c r="B569" s="121"/>
      <c r="C569" s="490"/>
      <c r="D569" s="490" t="str">
        <f t="shared" si="27"/>
        <v/>
      </c>
      <c r="I569" s="125" t="s">
        <v>1132</v>
      </c>
      <c r="J569" s="125" t="s">
        <v>1642</v>
      </c>
      <c r="K569" s="182" t="s">
        <v>730</v>
      </c>
      <c r="L569" s="182">
        <v>1.17E-4</v>
      </c>
      <c r="M569" s="182">
        <v>1.17E-4</v>
      </c>
      <c r="N569" s="182">
        <v>1.17E-4</v>
      </c>
      <c r="O569" s="182">
        <v>1.17E-4</v>
      </c>
      <c r="P569" s="182">
        <v>1.17E-4</v>
      </c>
      <c r="R569" s="155" t="str">
        <f t="shared" si="25"/>
        <v>A0231:(株)やまがた新電力メニューC</v>
      </c>
      <c r="S569" s="181">
        <f t="shared" si="26"/>
        <v>1.17E-4</v>
      </c>
    </row>
    <row r="570" spans="2:19">
      <c r="B570" s="121"/>
      <c r="C570" s="490"/>
      <c r="D570" s="490" t="str">
        <f t="shared" si="27"/>
        <v/>
      </c>
      <c r="I570" s="125" t="s">
        <v>1132</v>
      </c>
      <c r="J570" s="125" t="s">
        <v>1642</v>
      </c>
      <c r="K570" s="182" t="s">
        <v>915</v>
      </c>
      <c r="L570" s="182">
        <v>4.2200000000000001E-4</v>
      </c>
      <c r="M570" s="182">
        <v>4.2200000000000001E-4</v>
      </c>
      <c r="N570" s="182">
        <v>4.2200000000000001E-4</v>
      </c>
      <c r="O570" s="182">
        <v>4.2200000000000001E-4</v>
      </c>
      <c r="P570" s="182">
        <v>4.2200000000000001E-4</v>
      </c>
      <c r="R570" s="155" t="str">
        <f t="shared" si="25"/>
        <v>A0231:(株)やまがた新電力メニューD</v>
      </c>
      <c r="S570" s="181">
        <f t="shared" si="26"/>
        <v>4.2200000000000001E-4</v>
      </c>
    </row>
    <row r="571" spans="2:19">
      <c r="B571" s="121"/>
      <c r="C571" s="490"/>
      <c r="D571" s="490" t="str">
        <f t="shared" si="27"/>
        <v/>
      </c>
      <c r="I571" s="125" t="s">
        <v>1132</v>
      </c>
      <c r="J571" s="125" t="s">
        <v>1642</v>
      </c>
      <c r="K571" s="182" t="s">
        <v>1998</v>
      </c>
      <c r="L571" s="182">
        <v>1.2999999999999999E-4</v>
      </c>
      <c r="M571" s="182">
        <v>1.2999999999999999E-4</v>
      </c>
      <c r="N571" s="182">
        <v>1.2999999999999999E-4</v>
      </c>
      <c r="O571" s="182">
        <v>1.2999999999999999E-4</v>
      </c>
      <c r="P571" s="182">
        <v>1.2999999999999999E-4</v>
      </c>
      <c r="R571" s="155" t="str">
        <f t="shared" si="25"/>
        <v>A0231:(株)やまがた新電力(参考値)事業者全体</v>
      </c>
      <c r="S571" s="181">
        <f t="shared" si="26"/>
        <v>1.2999999999999999E-4</v>
      </c>
    </row>
    <row r="572" spans="2:19">
      <c r="B572" s="121"/>
      <c r="C572" s="490"/>
      <c r="D572" s="490" t="str">
        <f t="shared" si="27"/>
        <v/>
      </c>
      <c r="I572" s="125" t="s">
        <v>1133</v>
      </c>
      <c r="J572" s="125" t="s">
        <v>1643</v>
      </c>
      <c r="K572" s="182" t="s">
        <v>652</v>
      </c>
      <c r="L572" s="182">
        <v>9.0000000000000002E-6</v>
      </c>
      <c r="M572" s="182">
        <v>9.0000000000000002E-6</v>
      </c>
      <c r="N572" s="182">
        <v>9.0000000000000002E-6</v>
      </c>
      <c r="O572" s="182">
        <v>9.0000000000000002E-6</v>
      </c>
      <c r="P572" s="182">
        <v>9.0000000000000002E-6</v>
      </c>
      <c r="R572" s="155" t="str">
        <f t="shared" si="25"/>
        <v>A0232:一般社団法人東松島みらいとし機構メニューA</v>
      </c>
      <c r="S572" s="181">
        <f t="shared" si="26"/>
        <v>9.0000000000000002E-6</v>
      </c>
    </row>
    <row r="573" spans="2:19">
      <c r="B573" s="121"/>
      <c r="C573" s="490"/>
      <c r="D573" s="490" t="str">
        <f t="shared" si="27"/>
        <v/>
      </c>
      <c r="I573" s="125" t="s">
        <v>1133</v>
      </c>
      <c r="J573" s="125" t="s">
        <v>1643</v>
      </c>
      <c r="K573" s="182" t="s">
        <v>729</v>
      </c>
      <c r="L573" s="182">
        <v>4.75E-4</v>
      </c>
      <c r="M573" s="182">
        <v>4.75E-4</v>
      </c>
      <c r="N573" s="182">
        <v>4.75E-4</v>
      </c>
      <c r="O573" s="182">
        <v>4.75E-4</v>
      </c>
      <c r="P573" s="182">
        <v>4.75E-4</v>
      </c>
      <c r="R573" s="155" t="str">
        <f t="shared" si="25"/>
        <v>A0232:一般社団法人東松島みらいとし機構メニューB</v>
      </c>
      <c r="S573" s="181">
        <f t="shared" si="26"/>
        <v>4.75E-4</v>
      </c>
    </row>
    <row r="574" spans="2:19">
      <c r="B574" s="121"/>
      <c r="C574" s="490"/>
      <c r="D574" s="490" t="str">
        <f t="shared" si="27"/>
        <v/>
      </c>
      <c r="I574" s="125" t="s">
        <v>1133</v>
      </c>
      <c r="J574" s="125" t="s">
        <v>1643</v>
      </c>
      <c r="K574" s="182" t="s">
        <v>1998</v>
      </c>
      <c r="L574" s="182">
        <v>4.6500000000000003E-4</v>
      </c>
      <c r="M574" s="182">
        <v>4.6500000000000003E-4</v>
      </c>
      <c r="N574" s="182">
        <v>4.6500000000000003E-4</v>
      </c>
      <c r="O574" s="182">
        <v>4.6500000000000003E-4</v>
      </c>
      <c r="P574" s="182">
        <v>4.6500000000000003E-4</v>
      </c>
      <c r="R574" s="155" t="str">
        <f t="shared" si="25"/>
        <v>A0232:一般社団法人東松島みらいとし機構(参考値)事業者全体</v>
      </c>
      <c r="S574" s="181">
        <f t="shared" si="26"/>
        <v>4.6500000000000003E-4</v>
      </c>
    </row>
    <row r="575" spans="2:19">
      <c r="B575" s="121"/>
      <c r="C575" s="490"/>
      <c r="D575" s="490" t="str">
        <f t="shared" si="27"/>
        <v/>
      </c>
      <c r="I575" s="125" t="s">
        <v>1134</v>
      </c>
      <c r="J575" s="125" t="s">
        <v>1644</v>
      </c>
      <c r="K575" s="182" t="s">
        <v>652</v>
      </c>
      <c r="L575" s="182">
        <v>0</v>
      </c>
      <c r="M575" s="182">
        <v>0</v>
      </c>
      <c r="N575" s="182">
        <v>0</v>
      </c>
      <c r="O575" s="182">
        <v>0</v>
      </c>
      <c r="P575" s="182">
        <v>0</v>
      </c>
      <c r="R575" s="155" t="str">
        <f t="shared" si="25"/>
        <v>A0234:(株)グリーンパワー大東メニューA</v>
      </c>
      <c r="S575" s="181">
        <f t="shared" si="26"/>
        <v>0</v>
      </c>
    </row>
    <row r="576" spans="2:19">
      <c r="B576" s="121"/>
      <c r="C576" s="490"/>
      <c r="D576" s="490" t="str">
        <f t="shared" si="27"/>
        <v/>
      </c>
      <c r="I576" s="125" t="s">
        <v>1134</v>
      </c>
      <c r="J576" s="125" t="s">
        <v>1644</v>
      </c>
      <c r="K576" s="182" t="s">
        <v>729</v>
      </c>
      <c r="L576" s="182">
        <v>1.2E-4</v>
      </c>
      <c r="M576" s="182">
        <v>1.2E-4</v>
      </c>
      <c r="N576" s="182">
        <v>1.2E-4</v>
      </c>
      <c r="O576" s="182">
        <v>1.2E-4</v>
      </c>
      <c r="P576" s="182">
        <v>1.2E-4</v>
      </c>
      <c r="R576" s="155" t="str">
        <f t="shared" si="25"/>
        <v>A0234:(株)グリーンパワー大東メニューB</v>
      </c>
      <c r="S576" s="181">
        <f t="shared" si="26"/>
        <v>1.2E-4</v>
      </c>
    </row>
    <row r="577" spans="2:19">
      <c r="B577" s="121"/>
      <c r="C577" s="490"/>
      <c r="D577" s="490" t="str">
        <f t="shared" si="27"/>
        <v/>
      </c>
      <c r="I577" s="125" t="s">
        <v>1134</v>
      </c>
      <c r="J577" s="125" t="s">
        <v>1644</v>
      </c>
      <c r="K577" s="182" t="s">
        <v>730</v>
      </c>
      <c r="L577" s="182">
        <v>2.1800000000000001E-4</v>
      </c>
      <c r="M577" s="182">
        <v>2.1800000000000001E-4</v>
      </c>
      <c r="N577" s="182">
        <v>2.1800000000000001E-4</v>
      </c>
      <c r="O577" s="182">
        <v>2.1800000000000001E-4</v>
      </c>
      <c r="P577" s="182">
        <v>2.1800000000000001E-4</v>
      </c>
      <c r="R577" s="155" t="str">
        <f t="shared" si="25"/>
        <v>A0234:(株)グリーンパワー大東メニューC</v>
      </c>
      <c r="S577" s="181">
        <f t="shared" si="26"/>
        <v>2.1800000000000001E-4</v>
      </c>
    </row>
    <row r="578" spans="2:19">
      <c r="B578" s="121"/>
      <c r="C578" s="490"/>
      <c r="D578" s="490" t="str">
        <f t="shared" si="27"/>
        <v/>
      </c>
      <c r="I578" s="125" t="s">
        <v>1134</v>
      </c>
      <c r="J578" s="125" t="s">
        <v>1644</v>
      </c>
      <c r="K578" s="182" t="s">
        <v>1998</v>
      </c>
      <c r="L578" s="182">
        <v>1.17E-4</v>
      </c>
      <c r="M578" s="182">
        <v>1.17E-4</v>
      </c>
      <c r="N578" s="182">
        <v>1.17E-4</v>
      </c>
      <c r="O578" s="182">
        <v>1.17E-4</v>
      </c>
      <c r="P578" s="182">
        <v>1.17E-4</v>
      </c>
      <c r="R578" s="155" t="str">
        <f t="shared" si="25"/>
        <v>A0234:(株)グリーンパワー大東(参考値)事業者全体</v>
      </c>
      <c r="S578" s="181">
        <f t="shared" si="26"/>
        <v>1.17E-4</v>
      </c>
    </row>
    <row r="579" spans="2:19">
      <c r="B579" s="121"/>
      <c r="C579" s="490"/>
      <c r="D579" s="490" t="str">
        <f t="shared" si="27"/>
        <v/>
      </c>
      <c r="I579" s="125" t="s">
        <v>1135</v>
      </c>
      <c r="J579" s="125" t="s">
        <v>1645</v>
      </c>
      <c r="K579" s="182"/>
      <c r="L579" s="182">
        <v>5.6800000000000004E-4</v>
      </c>
      <c r="M579" s="182">
        <v>5.6800000000000004E-4</v>
      </c>
      <c r="N579" s="182">
        <v>5.6800000000000004E-4</v>
      </c>
      <c r="O579" s="182">
        <v>5.6800000000000004E-4</v>
      </c>
      <c r="P579" s="182">
        <v>5.6800000000000004E-4</v>
      </c>
      <c r="R579" s="155" t="str">
        <f t="shared" si="25"/>
        <v>A0236:(株)シーラソーラー</v>
      </c>
      <c r="S579" s="181">
        <f t="shared" si="26"/>
        <v>5.6800000000000004E-4</v>
      </c>
    </row>
    <row r="580" spans="2:19">
      <c r="B580" s="121"/>
      <c r="C580" s="490"/>
      <c r="D580" s="490" t="str">
        <f t="shared" si="27"/>
        <v/>
      </c>
      <c r="I580" s="125" t="s">
        <v>1136</v>
      </c>
      <c r="J580" s="125" t="s">
        <v>1646</v>
      </c>
      <c r="K580" s="182"/>
      <c r="L580" s="182">
        <v>4.8000000000000001E-4</v>
      </c>
      <c r="M580" s="182">
        <v>4.8000000000000001E-4</v>
      </c>
      <c r="N580" s="182">
        <v>4.8000000000000001E-4</v>
      </c>
      <c r="O580" s="182">
        <v>4.8000000000000001E-4</v>
      </c>
      <c r="P580" s="182">
        <v>4.8000000000000001E-4</v>
      </c>
      <c r="R580" s="155" t="str">
        <f t="shared" si="25"/>
        <v>A0237:御所野縄文電力(株)</v>
      </c>
      <c r="S580" s="181">
        <f t="shared" si="26"/>
        <v>4.8000000000000001E-4</v>
      </c>
    </row>
    <row r="581" spans="2:19">
      <c r="B581" s="121"/>
      <c r="C581" s="490"/>
      <c r="D581" s="490" t="str">
        <f t="shared" si="27"/>
        <v/>
      </c>
      <c r="I581" s="125" t="s">
        <v>1137</v>
      </c>
      <c r="J581" s="125" t="s">
        <v>1647</v>
      </c>
      <c r="K581" s="182" t="s">
        <v>652</v>
      </c>
      <c r="L581" s="182">
        <v>0</v>
      </c>
      <c r="M581" s="182">
        <v>0</v>
      </c>
      <c r="N581" s="182">
        <v>0</v>
      </c>
      <c r="O581" s="182">
        <v>0</v>
      </c>
      <c r="P581" s="182">
        <v>0</v>
      </c>
      <c r="R581" s="155" t="str">
        <f t="shared" si="25"/>
        <v>A0238:(株)カーボンニュートラルメニューA</v>
      </c>
      <c r="S581" s="181">
        <f t="shared" si="26"/>
        <v>0</v>
      </c>
    </row>
    <row r="582" spans="2:19">
      <c r="B582" s="121"/>
      <c r="C582" s="490"/>
      <c r="D582" s="490" t="str">
        <f t="shared" si="27"/>
        <v/>
      </c>
      <c r="I582" s="125" t="s">
        <v>1137</v>
      </c>
      <c r="J582" s="125" t="s">
        <v>1647</v>
      </c>
      <c r="K582" s="182" t="s">
        <v>729</v>
      </c>
      <c r="L582" s="182">
        <v>3.8299999999999999E-4</v>
      </c>
      <c r="M582" s="182">
        <v>3.8299999999999999E-4</v>
      </c>
      <c r="N582" s="182">
        <v>3.8299999999999999E-4</v>
      </c>
      <c r="O582" s="182">
        <v>3.8299999999999999E-4</v>
      </c>
      <c r="P582" s="182">
        <v>3.8299999999999999E-4</v>
      </c>
      <c r="R582" s="155" t="str">
        <f t="shared" si="25"/>
        <v>A0238:(株)カーボンニュートラルメニューB</v>
      </c>
      <c r="S582" s="181">
        <f t="shared" si="26"/>
        <v>3.8299999999999999E-4</v>
      </c>
    </row>
    <row r="583" spans="2:19">
      <c r="B583" s="121"/>
      <c r="C583" s="490"/>
      <c r="D583" s="490" t="str">
        <f t="shared" si="27"/>
        <v/>
      </c>
      <c r="I583" s="125" t="s">
        <v>1137</v>
      </c>
      <c r="J583" s="125" t="s">
        <v>1647</v>
      </c>
      <c r="K583" s="182" t="s">
        <v>1998</v>
      </c>
      <c r="L583" s="182">
        <v>2.5799999999999998E-4</v>
      </c>
      <c r="M583" s="182">
        <v>2.5799999999999998E-4</v>
      </c>
      <c r="N583" s="182">
        <v>2.5799999999999998E-4</v>
      </c>
      <c r="O583" s="182">
        <v>2.5799999999999998E-4</v>
      </c>
      <c r="P583" s="182">
        <v>2.5799999999999998E-4</v>
      </c>
      <c r="R583" s="155" t="str">
        <f t="shared" si="25"/>
        <v>A0238:(株)カーボンニュートラル(参考値)事業者全体</v>
      </c>
      <c r="S583" s="181">
        <f t="shared" si="26"/>
        <v>2.5799999999999998E-4</v>
      </c>
    </row>
    <row r="584" spans="2:19">
      <c r="B584" s="121"/>
      <c r="C584" s="490"/>
      <c r="D584" s="490" t="str">
        <f t="shared" si="27"/>
        <v/>
      </c>
      <c r="I584" s="125" t="s">
        <v>1138</v>
      </c>
      <c r="J584" s="125" t="s">
        <v>1648</v>
      </c>
      <c r="K584" s="182" t="s">
        <v>652</v>
      </c>
      <c r="L584" s="182">
        <v>0</v>
      </c>
      <c r="M584" s="182">
        <v>0</v>
      </c>
      <c r="N584" s="182">
        <v>0</v>
      </c>
      <c r="O584" s="182">
        <v>0</v>
      </c>
      <c r="P584" s="182">
        <v>0</v>
      </c>
      <c r="R584" s="155" t="str">
        <f t="shared" si="25"/>
        <v>A0239:宮古新電力(株)メニューA</v>
      </c>
      <c r="S584" s="181">
        <f t="shared" si="26"/>
        <v>0</v>
      </c>
    </row>
    <row r="585" spans="2:19">
      <c r="B585" s="121"/>
      <c r="C585" s="490"/>
      <c r="D585" s="490" t="str">
        <f t="shared" si="27"/>
        <v/>
      </c>
      <c r="I585" s="125" t="s">
        <v>1138</v>
      </c>
      <c r="J585" s="125" t="s">
        <v>1648</v>
      </c>
      <c r="K585" s="182" t="s">
        <v>729</v>
      </c>
      <c r="L585" s="182">
        <v>4.5899999999999999E-4</v>
      </c>
      <c r="M585" s="182">
        <v>4.5899999999999999E-4</v>
      </c>
      <c r="N585" s="182">
        <v>4.5899999999999999E-4</v>
      </c>
      <c r="O585" s="182">
        <v>4.5899999999999999E-4</v>
      </c>
      <c r="P585" s="182">
        <v>4.5899999999999999E-4</v>
      </c>
      <c r="R585" s="155" t="str">
        <f t="shared" si="25"/>
        <v>A0239:宮古新電力(株)メニューB</v>
      </c>
      <c r="S585" s="181">
        <f t="shared" si="26"/>
        <v>4.5899999999999999E-4</v>
      </c>
    </row>
    <row r="586" spans="2:19">
      <c r="B586" s="121"/>
      <c r="C586" s="490"/>
      <c r="D586" s="490" t="str">
        <f t="shared" si="27"/>
        <v/>
      </c>
      <c r="I586" s="125" t="s">
        <v>1138</v>
      </c>
      <c r="J586" s="125" t="s">
        <v>1648</v>
      </c>
      <c r="K586" s="182" t="s">
        <v>1998</v>
      </c>
      <c r="L586" s="182">
        <v>4.5899999999999999E-4</v>
      </c>
      <c r="M586" s="182">
        <v>4.5899999999999999E-4</v>
      </c>
      <c r="N586" s="182">
        <v>4.5899999999999999E-4</v>
      </c>
      <c r="O586" s="182">
        <v>4.5899999999999999E-4</v>
      </c>
      <c r="P586" s="182">
        <v>4.5899999999999999E-4</v>
      </c>
      <c r="R586" s="155" t="str">
        <f t="shared" ref="R586:R649" si="28">I586&amp;":"&amp;J586&amp;K586</f>
        <v>A0239:宮古新電力(株)(参考値)事業者全体</v>
      </c>
      <c r="S586" s="181">
        <f t="shared" ref="S586:S649" si="29">HLOOKUP($S$8,$L$8:$P$2000,ROW()-7,FALSE)</f>
        <v>4.5899999999999999E-4</v>
      </c>
    </row>
    <row r="587" spans="2:19">
      <c r="B587" s="121"/>
      <c r="C587" s="490"/>
      <c r="D587" s="490" t="str">
        <f t="shared" si="27"/>
        <v/>
      </c>
      <c r="I587" s="125" t="s">
        <v>1139</v>
      </c>
      <c r="J587" s="125" t="s">
        <v>1649</v>
      </c>
      <c r="K587" s="182"/>
      <c r="L587" s="182">
        <v>5.8699999999999996E-4</v>
      </c>
      <c r="M587" s="182">
        <v>5.8699999999999996E-4</v>
      </c>
      <c r="N587" s="182">
        <v>5.8699999999999996E-4</v>
      </c>
      <c r="O587" s="182">
        <v>5.8699999999999996E-4</v>
      </c>
      <c r="P587" s="182">
        <v>5.8699999999999996E-4</v>
      </c>
      <c r="R587" s="155" t="str">
        <f t="shared" si="28"/>
        <v>A0240:長崎地域電力(株)</v>
      </c>
      <c r="S587" s="181">
        <f t="shared" si="29"/>
        <v>5.8699999999999996E-4</v>
      </c>
    </row>
    <row r="588" spans="2:19">
      <c r="B588" s="121"/>
      <c r="C588" s="490"/>
      <c r="D588" s="490" t="str">
        <f t="shared" si="27"/>
        <v/>
      </c>
      <c r="I588" s="125" t="s">
        <v>1140</v>
      </c>
      <c r="J588" s="125" t="s">
        <v>1650</v>
      </c>
      <c r="K588" s="182"/>
      <c r="L588" s="182">
        <v>3.7800000000000003E-4</v>
      </c>
      <c r="M588" s="182">
        <v>3.7800000000000003E-4</v>
      </c>
      <c r="N588" s="182">
        <v>3.7800000000000003E-4</v>
      </c>
      <c r="O588" s="182">
        <v>3.7800000000000003E-4</v>
      </c>
      <c r="P588" s="182">
        <v>3.7800000000000003E-4</v>
      </c>
      <c r="R588" s="155" t="str">
        <f t="shared" si="28"/>
        <v>A0241:(株)エネアーク関西</v>
      </c>
      <c r="S588" s="181">
        <f t="shared" si="29"/>
        <v>3.7800000000000003E-4</v>
      </c>
    </row>
    <row r="589" spans="2:19">
      <c r="B589" s="121"/>
      <c r="C589" s="490"/>
      <c r="D589" s="490" t="str">
        <f t="shared" si="27"/>
        <v/>
      </c>
      <c r="I589" s="125" t="s">
        <v>1141</v>
      </c>
      <c r="J589" s="125" t="s">
        <v>1651</v>
      </c>
      <c r="K589" s="182"/>
      <c r="L589" s="182">
        <v>3.8299999999999999E-4</v>
      </c>
      <c r="M589" s="182">
        <v>3.8299999999999999E-4</v>
      </c>
      <c r="N589" s="182">
        <v>3.8299999999999999E-4</v>
      </c>
      <c r="O589" s="182">
        <v>3.8299999999999999E-4</v>
      </c>
      <c r="P589" s="182">
        <v>3.8299999999999999E-4</v>
      </c>
      <c r="R589" s="155" t="str">
        <f t="shared" si="28"/>
        <v>A0243:近畿電力(株)</v>
      </c>
      <c r="S589" s="181">
        <f t="shared" si="29"/>
        <v>3.8299999999999999E-4</v>
      </c>
    </row>
    <row r="590" spans="2:19">
      <c r="B590" s="121"/>
      <c r="C590" s="490"/>
      <c r="D590" s="490" t="str">
        <f t="shared" si="27"/>
        <v/>
      </c>
      <c r="I590" s="125" t="s">
        <v>1142</v>
      </c>
      <c r="J590" s="125" t="s">
        <v>1652</v>
      </c>
      <c r="K590" s="182" t="s">
        <v>652</v>
      </c>
      <c r="L590" s="182">
        <v>0</v>
      </c>
      <c r="M590" s="182">
        <v>0</v>
      </c>
      <c r="N590" s="182">
        <v>0</v>
      </c>
      <c r="O590" s="182">
        <v>0</v>
      </c>
      <c r="P590" s="182">
        <v>0</v>
      </c>
      <c r="R590" s="155" t="str">
        <f t="shared" si="28"/>
        <v>A0245:新電力おおいた(株)メニューA</v>
      </c>
      <c r="S590" s="181">
        <f t="shared" si="29"/>
        <v>0</v>
      </c>
    </row>
    <row r="591" spans="2:19">
      <c r="B591" s="121"/>
      <c r="C591" s="490"/>
      <c r="D591" s="490" t="str">
        <f t="shared" si="27"/>
        <v/>
      </c>
      <c r="I591" s="125" t="s">
        <v>1142</v>
      </c>
      <c r="J591" s="125" t="s">
        <v>1652</v>
      </c>
      <c r="K591" s="182" t="s">
        <v>729</v>
      </c>
      <c r="L591" s="182">
        <v>3.7500000000000001E-4</v>
      </c>
      <c r="M591" s="182">
        <v>3.7500000000000001E-4</v>
      </c>
      <c r="N591" s="182">
        <v>3.7500000000000001E-4</v>
      </c>
      <c r="O591" s="182">
        <v>3.7500000000000001E-4</v>
      </c>
      <c r="P591" s="182">
        <v>3.7500000000000001E-4</v>
      </c>
      <c r="R591" s="155" t="str">
        <f t="shared" si="28"/>
        <v>A0245:新電力おおいた(株)メニューB</v>
      </c>
      <c r="S591" s="181">
        <f t="shared" si="29"/>
        <v>3.7500000000000001E-4</v>
      </c>
    </row>
    <row r="592" spans="2:19">
      <c r="B592" s="121"/>
      <c r="C592" s="490"/>
      <c r="D592" s="490" t="str">
        <f t="shared" si="27"/>
        <v/>
      </c>
      <c r="I592" s="125" t="s">
        <v>1142</v>
      </c>
      <c r="J592" s="125" t="s">
        <v>1652</v>
      </c>
      <c r="K592" s="182" t="s">
        <v>1998</v>
      </c>
      <c r="L592" s="182">
        <v>3.5100000000000002E-4</v>
      </c>
      <c r="M592" s="182">
        <v>3.5100000000000002E-4</v>
      </c>
      <c r="N592" s="182">
        <v>3.5100000000000002E-4</v>
      </c>
      <c r="O592" s="182">
        <v>3.5100000000000002E-4</v>
      </c>
      <c r="P592" s="182">
        <v>3.5100000000000002E-4</v>
      </c>
      <c r="R592" s="155" t="str">
        <f t="shared" si="28"/>
        <v>A0245:新電力おおいた(株)(参考値)事業者全体</v>
      </c>
      <c r="S592" s="181">
        <f t="shared" si="29"/>
        <v>3.5100000000000002E-4</v>
      </c>
    </row>
    <row r="593" spans="2:19">
      <c r="B593" s="121"/>
      <c r="C593" s="490"/>
      <c r="D593" s="490" t="str">
        <f t="shared" si="27"/>
        <v/>
      </c>
      <c r="I593" s="125" t="s">
        <v>1143</v>
      </c>
      <c r="J593" s="125" t="s">
        <v>1653</v>
      </c>
      <c r="K593" s="182"/>
      <c r="L593" s="182">
        <v>5.6700000000000001E-4</v>
      </c>
      <c r="M593" s="182">
        <v>5.6700000000000001E-4</v>
      </c>
      <c r="N593" s="182">
        <v>5.6700000000000001E-4</v>
      </c>
      <c r="O593" s="182">
        <v>5.6700000000000001E-4</v>
      </c>
      <c r="P593" s="182">
        <v>5.6700000000000001E-4</v>
      </c>
      <c r="R593" s="155" t="str">
        <f t="shared" si="28"/>
        <v>A0246:(株)日本セレモニー</v>
      </c>
      <c r="S593" s="181">
        <f t="shared" si="29"/>
        <v>5.6700000000000001E-4</v>
      </c>
    </row>
    <row r="594" spans="2:19">
      <c r="B594" s="121"/>
      <c r="C594" s="490"/>
      <c r="D594" s="490" t="str">
        <f t="shared" si="27"/>
        <v/>
      </c>
      <c r="I594" s="125" t="s">
        <v>1144</v>
      </c>
      <c r="J594" s="125" t="s">
        <v>1654</v>
      </c>
      <c r="K594" s="182"/>
      <c r="L594" s="182">
        <v>6.4700000000000001E-4</v>
      </c>
      <c r="M594" s="182">
        <v>6.4700000000000001E-4</v>
      </c>
      <c r="N594" s="182">
        <v>6.4700000000000001E-4</v>
      </c>
      <c r="O594" s="182">
        <v>6.4700000000000001E-4</v>
      </c>
      <c r="P594" s="182">
        <v>6.4700000000000001E-4</v>
      </c>
      <c r="R594" s="155" t="str">
        <f t="shared" si="28"/>
        <v>A0248:(株)池見石油店</v>
      </c>
      <c r="S594" s="181">
        <f t="shared" si="29"/>
        <v>6.4700000000000001E-4</v>
      </c>
    </row>
    <row r="595" spans="2:19">
      <c r="B595" s="121"/>
      <c r="C595" s="490"/>
      <c r="D595" s="490" t="str">
        <f t="shared" si="27"/>
        <v/>
      </c>
      <c r="I595" s="125" t="s">
        <v>1145</v>
      </c>
      <c r="J595" s="125" t="s">
        <v>1655</v>
      </c>
      <c r="K595" s="182" t="s">
        <v>652</v>
      </c>
      <c r="L595" s="182">
        <v>0</v>
      </c>
      <c r="M595" s="182">
        <v>0</v>
      </c>
      <c r="N595" s="182">
        <v>0</v>
      </c>
      <c r="O595" s="182">
        <v>0</v>
      </c>
      <c r="P595" s="182">
        <v>0</v>
      </c>
      <c r="R595" s="155" t="str">
        <f t="shared" si="28"/>
        <v>A0250:芝浦電力(株)メニューA</v>
      </c>
      <c r="S595" s="181">
        <f t="shared" si="29"/>
        <v>0</v>
      </c>
    </row>
    <row r="596" spans="2:19">
      <c r="B596" s="121"/>
      <c r="C596" s="490"/>
      <c r="D596" s="490" t="str">
        <f t="shared" si="27"/>
        <v/>
      </c>
      <c r="I596" s="125" t="s">
        <v>1145</v>
      </c>
      <c r="J596" s="125" t="s">
        <v>1655</v>
      </c>
      <c r="K596" s="182" t="s">
        <v>729</v>
      </c>
      <c r="L596" s="182">
        <v>5.4299999999999997E-4</v>
      </c>
      <c r="M596" s="182">
        <v>5.4299999999999997E-4</v>
      </c>
      <c r="N596" s="182">
        <v>5.4299999999999997E-4</v>
      </c>
      <c r="O596" s="182">
        <v>5.4299999999999997E-4</v>
      </c>
      <c r="P596" s="182">
        <v>5.4299999999999997E-4</v>
      </c>
      <c r="R596" s="155" t="str">
        <f t="shared" si="28"/>
        <v>A0250:芝浦電力(株)メニューB</v>
      </c>
      <c r="S596" s="181">
        <f t="shared" si="29"/>
        <v>5.4299999999999997E-4</v>
      </c>
    </row>
    <row r="597" spans="2:19">
      <c r="B597" s="121"/>
      <c r="C597" s="490"/>
      <c r="D597" s="490" t="str">
        <f t="shared" si="27"/>
        <v/>
      </c>
      <c r="I597" s="125" t="s">
        <v>1145</v>
      </c>
      <c r="J597" s="125" t="s">
        <v>1655</v>
      </c>
      <c r="K597" s="182" t="s">
        <v>1998</v>
      </c>
      <c r="L597" s="182">
        <v>4.9399999999999997E-4</v>
      </c>
      <c r="M597" s="182">
        <v>4.9399999999999997E-4</v>
      </c>
      <c r="N597" s="182">
        <v>4.9399999999999997E-4</v>
      </c>
      <c r="O597" s="182">
        <v>4.9399999999999997E-4</v>
      </c>
      <c r="P597" s="182">
        <v>4.9399999999999997E-4</v>
      </c>
      <c r="R597" s="155" t="str">
        <f t="shared" si="28"/>
        <v>A0250:芝浦電力(株)(参考値)事業者全体</v>
      </c>
      <c r="S597" s="181">
        <f t="shared" si="29"/>
        <v>4.9399999999999997E-4</v>
      </c>
    </row>
    <row r="598" spans="2:19">
      <c r="B598" s="121"/>
      <c r="C598" s="490"/>
      <c r="D598" s="490" t="str">
        <f t="shared" si="27"/>
        <v/>
      </c>
      <c r="I598" s="125" t="s">
        <v>1146</v>
      </c>
      <c r="J598" s="125" t="s">
        <v>1656</v>
      </c>
      <c r="K598" s="182"/>
      <c r="L598" s="182">
        <v>4.2299999999999998E-4</v>
      </c>
      <c r="M598" s="182">
        <v>4.2299999999999998E-4</v>
      </c>
      <c r="N598" s="182">
        <v>4.2299999999999998E-4</v>
      </c>
      <c r="O598" s="182">
        <v>4.2299999999999998E-4</v>
      </c>
      <c r="P598" s="182">
        <v>4.2299999999999998E-4</v>
      </c>
      <c r="R598" s="155" t="str">
        <f t="shared" si="28"/>
        <v>A0253:(株)地域創生ホールディングス</v>
      </c>
      <c r="S598" s="181">
        <f t="shared" si="29"/>
        <v>4.2299999999999998E-4</v>
      </c>
    </row>
    <row r="599" spans="2:19">
      <c r="B599" s="121"/>
      <c r="C599" s="490"/>
      <c r="D599" s="490" t="str">
        <f t="shared" si="27"/>
        <v/>
      </c>
      <c r="I599" s="125" t="s">
        <v>1147</v>
      </c>
      <c r="J599" s="125" t="s">
        <v>1657</v>
      </c>
      <c r="K599" s="182"/>
      <c r="L599" s="182">
        <v>4.06E-4</v>
      </c>
      <c r="M599" s="182">
        <v>4.06E-4</v>
      </c>
      <c r="N599" s="182">
        <v>4.06E-4</v>
      </c>
      <c r="O599" s="182">
        <v>4.06E-4</v>
      </c>
      <c r="P599" s="182">
        <v>4.06E-4</v>
      </c>
      <c r="R599" s="155" t="str">
        <f t="shared" si="28"/>
        <v>A0256:(株)エーコープサービス</v>
      </c>
      <c r="S599" s="181">
        <f t="shared" si="29"/>
        <v>4.06E-4</v>
      </c>
    </row>
    <row r="600" spans="2:19">
      <c r="B600" s="121"/>
      <c r="C600" s="490"/>
      <c r="D600" s="490" t="str">
        <f t="shared" si="27"/>
        <v/>
      </c>
      <c r="I600" s="125" t="s">
        <v>1148</v>
      </c>
      <c r="J600" s="125" t="s">
        <v>1658</v>
      </c>
      <c r="K600" s="182"/>
      <c r="L600" s="182">
        <v>4.5600000000000003E-4</v>
      </c>
      <c r="M600" s="182">
        <v>4.5600000000000003E-4</v>
      </c>
      <c r="N600" s="182">
        <v>4.5600000000000003E-4</v>
      </c>
      <c r="O600" s="182">
        <v>4.5600000000000003E-4</v>
      </c>
      <c r="P600" s="182">
        <v>4.5600000000000003E-4</v>
      </c>
      <c r="R600" s="155" t="str">
        <f t="shared" si="28"/>
        <v>A0258:宮崎瓦斯(株)(旧：(株)宮崎ガスリビング)</v>
      </c>
      <c r="S600" s="181">
        <f t="shared" si="29"/>
        <v>4.5600000000000003E-4</v>
      </c>
    </row>
    <row r="601" spans="2:19">
      <c r="B601" s="121"/>
      <c r="C601" s="490"/>
      <c r="D601" s="490" t="str">
        <f t="shared" si="27"/>
        <v/>
      </c>
      <c r="I601" s="125" t="s">
        <v>1149</v>
      </c>
      <c r="J601" s="125" t="s">
        <v>1659</v>
      </c>
      <c r="K601" s="182"/>
      <c r="L601" s="182">
        <v>4.3800000000000002E-4</v>
      </c>
      <c r="M601" s="182">
        <v>4.3800000000000002E-4</v>
      </c>
      <c r="N601" s="182">
        <v>4.3800000000000002E-4</v>
      </c>
      <c r="O601" s="182">
        <v>4.3800000000000002E-4</v>
      </c>
      <c r="P601" s="182">
        <v>4.3800000000000002E-4</v>
      </c>
      <c r="R601" s="155" t="str">
        <f t="shared" si="28"/>
        <v>A0259:山陰エレキ・アライアンス(株)</v>
      </c>
      <c r="S601" s="181">
        <f t="shared" si="29"/>
        <v>4.3800000000000002E-4</v>
      </c>
    </row>
    <row r="602" spans="2:19">
      <c r="B602" s="121"/>
      <c r="C602" s="490"/>
      <c r="D602" s="490" t="str">
        <f t="shared" si="27"/>
        <v/>
      </c>
      <c r="I602" s="125" t="s">
        <v>1150</v>
      </c>
      <c r="J602" s="125" t="s">
        <v>1660</v>
      </c>
      <c r="K602" s="182"/>
      <c r="L602" s="182">
        <v>4.5399999999999998E-4</v>
      </c>
      <c r="M602" s="182">
        <v>4.5399999999999998E-4</v>
      </c>
      <c r="N602" s="182">
        <v>4.5399999999999998E-4</v>
      </c>
      <c r="O602" s="182">
        <v>4.5399999999999998E-4</v>
      </c>
      <c r="P602" s="182">
        <v>4.5399999999999998E-4</v>
      </c>
      <c r="R602" s="155" t="str">
        <f t="shared" si="28"/>
        <v>A0260:(株)ジョヴィ</v>
      </c>
      <c r="S602" s="181">
        <f t="shared" si="29"/>
        <v>4.5399999999999998E-4</v>
      </c>
    </row>
    <row r="603" spans="2:19">
      <c r="B603" s="121"/>
      <c r="C603" s="490"/>
      <c r="D603" s="490" t="str">
        <f t="shared" si="27"/>
        <v/>
      </c>
      <c r="I603" s="125" t="s">
        <v>1151</v>
      </c>
      <c r="J603" s="125" t="s">
        <v>1661</v>
      </c>
      <c r="K603" s="182" t="s">
        <v>652</v>
      </c>
      <c r="L603" s="182">
        <v>0</v>
      </c>
      <c r="M603" s="182">
        <v>0</v>
      </c>
      <c r="N603" s="182">
        <v>0</v>
      </c>
      <c r="O603" s="182">
        <v>0</v>
      </c>
      <c r="P603" s="182">
        <v>0</v>
      </c>
      <c r="R603" s="155" t="str">
        <f t="shared" si="28"/>
        <v>A0261:ミライフ東日本(株) メニューA</v>
      </c>
      <c r="S603" s="181">
        <f t="shared" si="29"/>
        <v>0</v>
      </c>
    </row>
    <row r="604" spans="2:19">
      <c r="B604" s="121"/>
      <c r="C604" s="490"/>
      <c r="D604" s="490" t="str">
        <f t="shared" si="27"/>
        <v/>
      </c>
      <c r="I604" s="125" t="s">
        <v>1151</v>
      </c>
      <c r="J604" s="125" t="s">
        <v>1661</v>
      </c>
      <c r="K604" s="182" t="s">
        <v>729</v>
      </c>
      <c r="L604" s="182">
        <v>4.1899999999999999E-4</v>
      </c>
      <c r="M604" s="182">
        <v>4.1899999999999999E-4</v>
      </c>
      <c r="N604" s="182">
        <v>4.1899999999999999E-4</v>
      </c>
      <c r="O604" s="182">
        <v>4.1899999999999999E-4</v>
      </c>
      <c r="P604" s="182">
        <v>4.1899999999999999E-4</v>
      </c>
      <c r="R604" s="155" t="str">
        <f t="shared" si="28"/>
        <v>A0261:ミライフ東日本(株) メニューB</v>
      </c>
      <c r="S604" s="181">
        <f t="shared" si="29"/>
        <v>4.1899999999999999E-4</v>
      </c>
    </row>
    <row r="605" spans="2:19">
      <c r="B605" s="121"/>
      <c r="C605" s="490"/>
      <c r="D605" s="490" t="str">
        <f t="shared" si="27"/>
        <v/>
      </c>
      <c r="I605" s="125" t="s">
        <v>1151</v>
      </c>
      <c r="J605" s="125" t="s">
        <v>1661</v>
      </c>
      <c r="K605" s="182" t="s">
        <v>1998</v>
      </c>
      <c r="L605" s="182">
        <v>4.1899999999999999E-4</v>
      </c>
      <c r="M605" s="182">
        <v>4.1899999999999999E-4</v>
      </c>
      <c r="N605" s="182">
        <v>4.1899999999999999E-4</v>
      </c>
      <c r="O605" s="182">
        <v>4.1899999999999999E-4</v>
      </c>
      <c r="P605" s="182">
        <v>4.1899999999999999E-4</v>
      </c>
      <c r="R605" s="155" t="str">
        <f t="shared" si="28"/>
        <v>A0261:ミライフ東日本(株) (参考値)事業者全体</v>
      </c>
      <c r="S605" s="181">
        <f t="shared" si="29"/>
        <v>4.1899999999999999E-4</v>
      </c>
    </row>
    <row r="606" spans="2:19">
      <c r="B606" s="121"/>
      <c r="C606" s="490"/>
      <c r="D606" s="490" t="str">
        <f t="shared" si="27"/>
        <v/>
      </c>
      <c r="I606" s="125" t="s">
        <v>1152</v>
      </c>
      <c r="J606" s="125" t="s">
        <v>1662</v>
      </c>
      <c r="K606" s="182"/>
      <c r="L606" s="182">
        <v>4.3800000000000002E-4</v>
      </c>
      <c r="M606" s="182">
        <v>4.3800000000000002E-4</v>
      </c>
      <c r="N606" s="182">
        <v>4.3800000000000002E-4</v>
      </c>
      <c r="O606" s="182">
        <v>4.3800000000000002E-4</v>
      </c>
      <c r="P606" s="182">
        <v>4.3800000000000002E-4</v>
      </c>
      <c r="R606" s="155" t="str">
        <f t="shared" si="28"/>
        <v>A0264:山陰酸素工業(株)</v>
      </c>
      <c r="S606" s="181">
        <f t="shared" si="29"/>
        <v>4.3800000000000002E-4</v>
      </c>
    </row>
    <row r="607" spans="2:19">
      <c r="B607" s="121"/>
      <c r="C607" s="490"/>
      <c r="D607" s="490" t="str">
        <f t="shared" si="27"/>
        <v/>
      </c>
      <c r="I607" s="125" t="s">
        <v>1153</v>
      </c>
      <c r="J607" s="125" t="s">
        <v>1663</v>
      </c>
      <c r="K607" s="182" t="s">
        <v>652</v>
      </c>
      <c r="L607" s="182">
        <v>0</v>
      </c>
      <c r="M607" s="182">
        <v>0</v>
      </c>
      <c r="N607" s="182">
        <v>0</v>
      </c>
      <c r="O607" s="182">
        <v>0</v>
      </c>
      <c r="P607" s="182">
        <v>0</v>
      </c>
      <c r="R607" s="155" t="str">
        <f t="shared" si="28"/>
        <v>A0265:武陽ガス(株)メニューA</v>
      </c>
      <c r="S607" s="181">
        <f t="shared" si="29"/>
        <v>0</v>
      </c>
    </row>
    <row r="608" spans="2:19">
      <c r="B608" s="121"/>
      <c r="C608" s="490"/>
      <c r="D608" s="490" t="str">
        <f t="shared" si="27"/>
        <v/>
      </c>
      <c r="I608" s="125" t="s">
        <v>1153</v>
      </c>
      <c r="J608" s="125" t="s">
        <v>1663</v>
      </c>
      <c r="K608" s="182" t="s">
        <v>729</v>
      </c>
      <c r="L608" s="182">
        <v>2.05E-4</v>
      </c>
      <c r="M608" s="182">
        <v>2.05E-4</v>
      </c>
      <c r="N608" s="182">
        <v>2.05E-4</v>
      </c>
      <c r="O608" s="182">
        <v>2.05E-4</v>
      </c>
      <c r="P608" s="182">
        <v>2.05E-4</v>
      </c>
      <c r="R608" s="155" t="str">
        <f t="shared" si="28"/>
        <v>A0265:武陽ガス(株)メニューB</v>
      </c>
      <c r="S608" s="181">
        <f t="shared" si="29"/>
        <v>2.05E-4</v>
      </c>
    </row>
    <row r="609" spans="2:19">
      <c r="B609" s="121"/>
      <c r="C609" s="490"/>
      <c r="D609" s="490" t="str">
        <f t="shared" si="27"/>
        <v/>
      </c>
      <c r="I609" s="125" t="s">
        <v>1153</v>
      </c>
      <c r="J609" s="125" t="s">
        <v>1663</v>
      </c>
      <c r="K609" s="182" t="s">
        <v>730</v>
      </c>
      <c r="L609" s="182">
        <v>4.2099999999999999E-4</v>
      </c>
      <c r="M609" s="182">
        <v>4.2099999999999999E-4</v>
      </c>
      <c r="N609" s="182">
        <v>4.2099999999999999E-4</v>
      </c>
      <c r="O609" s="182">
        <v>4.2099999999999999E-4</v>
      </c>
      <c r="P609" s="182">
        <v>4.2099999999999999E-4</v>
      </c>
      <c r="R609" s="155" t="str">
        <f t="shared" si="28"/>
        <v>A0265:武陽ガス(株)メニューC</v>
      </c>
      <c r="S609" s="181">
        <f t="shared" si="29"/>
        <v>4.2099999999999999E-4</v>
      </c>
    </row>
    <row r="610" spans="2:19">
      <c r="B610" s="121"/>
      <c r="C610" s="490"/>
      <c r="D610" s="490" t="str">
        <f t="shared" si="27"/>
        <v/>
      </c>
      <c r="I610" s="125" t="s">
        <v>1153</v>
      </c>
      <c r="J610" s="125" t="s">
        <v>1663</v>
      </c>
      <c r="K610" s="182" t="s">
        <v>1998</v>
      </c>
      <c r="L610" s="182">
        <v>4.1199999999999999E-4</v>
      </c>
      <c r="M610" s="182">
        <v>4.1199999999999999E-4</v>
      </c>
      <c r="N610" s="182">
        <v>4.1199999999999999E-4</v>
      </c>
      <c r="O610" s="182">
        <v>4.1199999999999999E-4</v>
      </c>
      <c r="P610" s="182">
        <v>4.1199999999999999E-4</v>
      </c>
      <c r="R610" s="155" t="str">
        <f t="shared" si="28"/>
        <v>A0265:武陽ガス(株)(参考値)事業者全体</v>
      </c>
      <c r="S610" s="181">
        <f t="shared" si="29"/>
        <v>4.1199999999999999E-4</v>
      </c>
    </row>
    <row r="611" spans="2:19">
      <c r="B611" s="121"/>
      <c r="C611" s="490"/>
      <c r="D611" s="490" t="str">
        <f t="shared" si="27"/>
        <v/>
      </c>
      <c r="I611" s="125" t="s">
        <v>1154</v>
      </c>
      <c r="J611" s="125" t="s">
        <v>1664</v>
      </c>
      <c r="K611" s="182"/>
      <c r="L611" s="182">
        <v>5.5800000000000001E-4</v>
      </c>
      <c r="M611" s="182">
        <v>5.5800000000000001E-4</v>
      </c>
      <c r="N611" s="182">
        <v>5.5800000000000001E-4</v>
      </c>
      <c r="O611" s="182">
        <v>5.5800000000000001E-4</v>
      </c>
      <c r="P611" s="182">
        <v>5.5800000000000001E-4</v>
      </c>
      <c r="R611" s="155" t="str">
        <f t="shared" si="28"/>
        <v>A0266:常石商事(株)</v>
      </c>
      <c r="S611" s="181">
        <f t="shared" si="29"/>
        <v>5.5800000000000001E-4</v>
      </c>
    </row>
    <row r="612" spans="2:19">
      <c r="B612" s="121"/>
      <c r="C612" s="490"/>
      <c r="D612" s="490" t="str">
        <f t="shared" si="27"/>
        <v/>
      </c>
      <c r="I612" s="125" t="s">
        <v>1155</v>
      </c>
      <c r="J612" s="125" t="s">
        <v>1665</v>
      </c>
      <c r="K612" s="182" t="s">
        <v>652</v>
      </c>
      <c r="L612" s="182">
        <v>0</v>
      </c>
      <c r="M612" s="182">
        <v>0</v>
      </c>
      <c r="N612" s="182">
        <v>0</v>
      </c>
      <c r="O612" s="182">
        <v>0</v>
      </c>
      <c r="P612" s="182">
        <v>0</v>
      </c>
      <c r="R612" s="155" t="str">
        <f t="shared" si="28"/>
        <v>A0267:北海道電力(株)メニューA</v>
      </c>
      <c r="S612" s="181">
        <f t="shared" si="29"/>
        <v>0</v>
      </c>
    </row>
    <row r="613" spans="2:19">
      <c r="B613" s="121"/>
      <c r="C613" s="490"/>
      <c r="D613" s="490" t="str">
        <f t="shared" si="27"/>
        <v/>
      </c>
      <c r="I613" s="125" t="s">
        <v>1155</v>
      </c>
      <c r="J613" s="125" t="s">
        <v>1665</v>
      </c>
      <c r="K613" s="182" t="s">
        <v>729</v>
      </c>
      <c r="L613" s="182">
        <v>0</v>
      </c>
      <c r="M613" s="182">
        <v>0</v>
      </c>
      <c r="N613" s="182">
        <v>0</v>
      </c>
      <c r="O613" s="182">
        <v>0</v>
      </c>
      <c r="P613" s="182">
        <v>0</v>
      </c>
      <c r="R613" s="155" t="str">
        <f t="shared" si="28"/>
        <v>A0267:北海道電力(株)メニューB</v>
      </c>
      <c r="S613" s="181">
        <f t="shared" si="29"/>
        <v>0</v>
      </c>
    </row>
    <row r="614" spans="2:19">
      <c r="B614" s="121"/>
      <c r="C614" s="490"/>
      <c r="D614" s="490" t="str">
        <f t="shared" si="27"/>
        <v/>
      </c>
      <c r="I614" s="125" t="s">
        <v>1155</v>
      </c>
      <c r="J614" s="125" t="s">
        <v>1665</v>
      </c>
      <c r="K614" s="182" t="s">
        <v>730</v>
      </c>
      <c r="L614" s="182">
        <v>0</v>
      </c>
      <c r="M614" s="182">
        <v>0</v>
      </c>
      <c r="N614" s="182">
        <v>0</v>
      </c>
      <c r="O614" s="182">
        <v>0</v>
      </c>
      <c r="P614" s="182">
        <v>0</v>
      </c>
      <c r="R614" s="155" t="str">
        <f t="shared" si="28"/>
        <v>A0267:北海道電力(株)メニューC</v>
      </c>
      <c r="S614" s="181">
        <f t="shared" si="29"/>
        <v>0</v>
      </c>
    </row>
    <row r="615" spans="2:19">
      <c r="B615" s="121"/>
      <c r="C615" s="490"/>
      <c r="D615" s="490" t="str">
        <f t="shared" si="27"/>
        <v/>
      </c>
      <c r="I615" s="125" t="s">
        <v>1155</v>
      </c>
      <c r="J615" s="125" t="s">
        <v>1665</v>
      </c>
      <c r="K615" s="182" t="s">
        <v>915</v>
      </c>
      <c r="L615" s="182">
        <v>0</v>
      </c>
      <c r="M615" s="182">
        <v>0</v>
      </c>
      <c r="N615" s="182">
        <v>0</v>
      </c>
      <c r="O615" s="182">
        <v>0</v>
      </c>
      <c r="P615" s="182">
        <v>0</v>
      </c>
      <c r="R615" s="155" t="str">
        <f t="shared" si="28"/>
        <v>A0267:北海道電力(株)メニューD</v>
      </c>
      <c r="S615" s="181">
        <f t="shared" si="29"/>
        <v>0</v>
      </c>
    </row>
    <row r="616" spans="2:19">
      <c r="B616" s="121"/>
      <c r="C616" s="490"/>
      <c r="D616" s="490" t="str">
        <f t="shared" si="27"/>
        <v/>
      </c>
      <c r="I616" s="125" t="s">
        <v>1155</v>
      </c>
      <c r="J616" s="125" t="s">
        <v>1665</v>
      </c>
      <c r="K616" s="182" t="s">
        <v>916</v>
      </c>
      <c r="L616" s="182">
        <v>0</v>
      </c>
      <c r="M616" s="182">
        <v>0</v>
      </c>
      <c r="N616" s="182">
        <v>0</v>
      </c>
      <c r="O616" s="182">
        <v>0</v>
      </c>
      <c r="P616" s="182">
        <v>0</v>
      </c>
      <c r="R616" s="155" t="str">
        <f t="shared" si="28"/>
        <v>A0267:北海道電力(株)メニューE</v>
      </c>
      <c r="S616" s="181">
        <f t="shared" si="29"/>
        <v>0</v>
      </c>
    </row>
    <row r="617" spans="2:19">
      <c r="B617" s="121"/>
      <c r="C617" s="490"/>
      <c r="D617" s="490" t="str">
        <f t="shared" si="27"/>
        <v/>
      </c>
      <c r="I617" s="125" t="s">
        <v>1155</v>
      </c>
      <c r="J617" s="125" t="s">
        <v>1665</v>
      </c>
      <c r="K617" s="182" t="s">
        <v>1999</v>
      </c>
      <c r="L617" s="182">
        <v>5.2599999999999999E-4</v>
      </c>
      <c r="M617" s="182">
        <v>5.2599999999999999E-4</v>
      </c>
      <c r="N617" s="182">
        <v>5.2599999999999999E-4</v>
      </c>
      <c r="O617" s="182">
        <v>5.2599999999999999E-4</v>
      </c>
      <c r="P617" s="182">
        <v>5.2599999999999999E-4</v>
      </c>
      <c r="R617" s="155" t="str">
        <f t="shared" si="28"/>
        <v>A0267:北海道電力(株)メニューF</v>
      </c>
      <c r="S617" s="181">
        <f t="shared" si="29"/>
        <v>5.2599999999999999E-4</v>
      </c>
    </row>
    <row r="618" spans="2:19">
      <c r="B618" s="121"/>
      <c r="C618" s="490"/>
      <c r="D618" s="490" t="str">
        <f t="shared" si="27"/>
        <v/>
      </c>
      <c r="I618" s="125" t="s">
        <v>1155</v>
      </c>
      <c r="J618" s="125" t="s">
        <v>1665</v>
      </c>
      <c r="K618" s="182" t="s">
        <v>1998</v>
      </c>
      <c r="L618" s="182">
        <v>5.1800000000000001E-4</v>
      </c>
      <c r="M618" s="182">
        <v>5.1800000000000001E-4</v>
      </c>
      <c r="N618" s="182">
        <v>5.1800000000000001E-4</v>
      </c>
      <c r="O618" s="182">
        <v>5.1800000000000001E-4</v>
      </c>
      <c r="P618" s="182">
        <v>5.1800000000000001E-4</v>
      </c>
      <c r="R618" s="155" t="str">
        <f t="shared" si="28"/>
        <v>A0267:北海道電力(株)(参考値)事業者全体</v>
      </c>
      <c r="S618" s="181">
        <f t="shared" si="29"/>
        <v>5.1800000000000001E-4</v>
      </c>
    </row>
    <row r="619" spans="2:19">
      <c r="B619" s="121"/>
      <c r="C619" s="490"/>
      <c r="D619" s="490" t="str">
        <f t="shared" si="27"/>
        <v/>
      </c>
      <c r="I619" s="125" t="s">
        <v>1156</v>
      </c>
      <c r="J619" s="125" t="s">
        <v>1666</v>
      </c>
      <c r="K619" s="182" t="s">
        <v>652</v>
      </c>
      <c r="L619" s="182">
        <v>0</v>
      </c>
      <c r="M619" s="182">
        <v>0</v>
      </c>
      <c r="N619" s="182">
        <v>0</v>
      </c>
      <c r="O619" s="182">
        <v>0</v>
      </c>
      <c r="P619" s="182">
        <v>0</v>
      </c>
      <c r="R619" s="155" t="str">
        <f t="shared" si="28"/>
        <v>A0268:東北電力(株)メニューA</v>
      </c>
      <c r="S619" s="181">
        <f t="shared" si="29"/>
        <v>0</v>
      </c>
    </row>
    <row r="620" spans="2:19">
      <c r="B620" s="121"/>
      <c r="C620" s="490"/>
      <c r="D620" s="490" t="str">
        <f t="shared" si="27"/>
        <v/>
      </c>
      <c r="I620" s="125" t="s">
        <v>1156</v>
      </c>
      <c r="J620" s="125" t="s">
        <v>1666</v>
      </c>
      <c r="K620" s="182" t="s">
        <v>729</v>
      </c>
      <c r="L620" s="182">
        <v>0</v>
      </c>
      <c r="M620" s="182">
        <v>0</v>
      </c>
      <c r="N620" s="182">
        <v>0</v>
      </c>
      <c r="O620" s="182">
        <v>0</v>
      </c>
      <c r="P620" s="182">
        <v>0</v>
      </c>
      <c r="R620" s="155" t="str">
        <f t="shared" si="28"/>
        <v>A0268:東北電力(株)メニューB</v>
      </c>
      <c r="S620" s="181">
        <f t="shared" si="29"/>
        <v>0</v>
      </c>
    </row>
    <row r="621" spans="2:19">
      <c r="B621" s="121"/>
      <c r="C621" s="490"/>
      <c r="D621" s="490" t="str">
        <f t="shared" si="27"/>
        <v/>
      </c>
      <c r="I621" s="125" t="s">
        <v>1156</v>
      </c>
      <c r="J621" s="125" t="s">
        <v>1666</v>
      </c>
      <c r="K621" s="182" t="s">
        <v>730</v>
      </c>
      <c r="L621" s="182">
        <v>0</v>
      </c>
      <c r="M621" s="182">
        <v>0</v>
      </c>
      <c r="N621" s="182">
        <v>0</v>
      </c>
      <c r="O621" s="182">
        <v>0</v>
      </c>
      <c r="P621" s="182">
        <v>0</v>
      </c>
      <c r="R621" s="155" t="str">
        <f t="shared" si="28"/>
        <v>A0268:東北電力(株)メニューC</v>
      </c>
      <c r="S621" s="181">
        <f t="shared" si="29"/>
        <v>0</v>
      </c>
    </row>
    <row r="622" spans="2:19">
      <c r="B622" s="121"/>
      <c r="C622" s="490"/>
      <c r="D622" s="490" t="str">
        <f t="shared" ref="D622:D685" si="30">IF(B622="","",B622&amp;":"&amp;C622)</f>
        <v/>
      </c>
      <c r="I622" s="125" t="s">
        <v>1156</v>
      </c>
      <c r="J622" s="125" t="s">
        <v>1666</v>
      </c>
      <c r="K622" s="182" t="s">
        <v>915</v>
      </c>
      <c r="L622" s="182">
        <v>4.2099999999999999E-4</v>
      </c>
      <c r="M622" s="182">
        <v>4.2099999999999999E-4</v>
      </c>
      <c r="N622" s="182">
        <v>4.2099999999999999E-4</v>
      </c>
      <c r="O622" s="182">
        <v>4.2099999999999999E-4</v>
      </c>
      <c r="P622" s="182">
        <v>4.2099999999999999E-4</v>
      </c>
      <c r="R622" s="155" t="str">
        <f t="shared" si="28"/>
        <v>A0268:東北電力(株)メニューD</v>
      </c>
      <c r="S622" s="181">
        <f t="shared" si="29"/>
        <v>4.2099999999999999E-4</v>
      </c>
    </row>
    <row r="623" spans="2:19">
      <c r="B623" s="121"/>
      <c r="C623" s="490"/>
      <c r="D623" s="490" t="str">
        <f t="shared" si="30"/>
        <v/>
      </c>
      <c r="I623" s="125" t="s">
        <v>1156</v>
      </c>
      <c r="J623" s="125" t="s">
        <v>1666</v>
      </c>
      <c r="K623" s="182" t="s">
        <v>1998</v>
      </c>
      <c r="L623" s="182">
        <v>4.0000000000000002E-4</v>
      </c>
      <c r="M623" s="182">
        <v>4.0000000000000002E-4</v>
      </c>
      <c r="N623" s="182">
        <v>4.0000000000000002E-4</v>
      </c>
      <c r="O623" s="182">
        <v>4.0000000000000002E-4</v>
      </c>
      <c r="P623" s="182">
        <v>4.0000000000000002E-4</v>
      </c>
      <c r="R623" s="155" t="str">
        <f t="shared" si="28"/>
        <v>A0268:東北電力(株)(参考値)事業者全体</v>
      </c>
      <c r="S623" s="181">
        <f t="shared" si="29"/>
        <v>4.0000000000000002E-4</v>
      </c>
    </row>
    <row r="624" spans="2:19">
      <c r="B624" s="121"/>
      <c r="C624" s="490"/>
      <c r="D624" s="490" t="str">
        <f t="shared" si="30"/>
        <v/>
      </c>
      <c r="I624" s="125" t="s">
        <v>979</v>
      </c>
      <c r="J624" s="125" t="s">
        <v>908</v>
      </c>
      <c r="K624" s="182" t="s">
        <v>652</v>
      </c>
      <c r="L624" s="182">
        <v>0</v>
      </c>
      <c r="M624" s="182">
        <v>0</v>
      </c>
      <c r="N624" s="182">
        <v>0</v>
      </c>
      <c r="O624" s="182">
        <v>0</v>
      </c>
      <c r="P624" s="182">
        <v>0</v>
      </c>
      <c r="R624" s="155" t="str">
        <f t="shared" si="28"/>
        <v>A0269:東京電力エナジーパートナー(株)メニューA</v>
      </c>
      <c r="S624" s="181">
        <f t="shared" si="29"/>
        <v>0</v>
      </c>
    </row>
    <row r="625" spans="2:19">
      <c r="B625" s="121"/>
      <c r="C625" s="490"/>
      <c r="D625" s="490" t="str">
        <f t="shared" si="30"/>
        <v/>
      </c>
      <c r="I625" s="125" t="s">
        <v>979</v>
      </c>
      <c r="J625" s="125" t="s">
        <v>908</v>
      </c>
      <c r="K625" s="182" t="s">
        <v>729</v>
      </c>
      <c r="L625" s="182">
        <v>0</v>
      </c>
      <c r="M625" s="182">
        <v>0</v>
      </c>
      <c r="N625" s="182">
        <v>0</v>
      </c>
      <c r="O625" s="182">
        <v>0</v>
      </c>
      <c r="P625" s="182">
        <v>0</v>
      </c>
      <c r="R625" s="155" t="str">
        <f t="shared" si="28"/>
        <v>A0269:東京電力エナジーパートナー(株)メニューB</v>
      </c>
      <c r="S625" s="181">
        <f t="shared" si="29"/>
        <v>0</v>
      </c>
    </row>
    <row r="626" spans="2:19">
      <c r="B626" s="121"/>
      <c r="C626" s="490"/>
      <c r="D626" s="490" t="str">
        <f t="shared" si="30"/>
        <v/>
      </c>
      <c r="I626" s="125" t="s">
        <v>979</v>
      </c>
      <c r="J626" s="125" t="s">
        <v>908</v>
      </c>
      <c r="K626" s="182" t="s">
        <v>730</v>
      </c>
      <c r="L626" s="182">
        <v>0</v>
      </c>
      <c r="M626" s="182">
        <v>0</v>
      </c>
      <c r="N626" s="182">
        <v>0</v>
      </c>
      <c r="O626" s="182">
        <v>0</v>
      </c>
      <c r="P626" s="182">
        <v>0</v>
      </c>
      <c r="R626" s="155" t="str">
        <f t="shared" si="28"/>
        <v>A0269:東京電力エナジーパートナー(株)メニューC</v>
      </c>
      <c r="S626" s="181">
        <f t="shared" si="29"/>
        <v>0</v>
      </c>
    </row>
    <row r="627" spans="2:19">
      <c r="B627" s="121"/>
      <c r="C627" s="490"/>
      <c r="D627" s="490" t="str">
        <f t="shared" si="30"/>
        <v/>
      </c>
      <c r="I627" s="125" t="s">
        <v>979</v>
      </c>
      <c r="J627" s="125" t="s">
        <v>908</v>
      </c>
      <c r="K627" s="182" t="s">
        <v>915</v>
      </c>
      <c r="L627" s="182">
        <v>0</v>
      </c>
      <c r="M627" s="182">
        <v>0</v>
      </c>
      <c r="N627" s="182">
        <v>0</v>
      </c>
      <c r="O627" s="182">
        <v>0</v>
      </c>
      <c r="P627" s="182">
        <v>0</v>
      </c>
      <c r="R627" s="155" t="str">
        <f t="shared" si="28"/>
        <v>A0269:東京電力エナジーパートナー(株)メニューD</v>
      </c>
      <c r="S627" s="181">
        <f t="shared" si="29"/>
        <v>0</v>
      </c>
    </row>
    <row r="628" spans="2:19">
      <c r="B628" s="121"/>
      <c r="C628" s="490"/>
      <c r="D628" s="490" t="str">
        <f t="shared" si="30"/>
        <v/>
      </c>
      <c r="I628" s="125" t="s">
        <v>979</v>
      </c>
      <c r="J628" s="125" t="s">
        <v>908</v>
      </c>
      <c r="K628" s="182" t="s">
        <v>916</v>
      </c>
      <c r="L628" s="182">
        <v>0</v>
      </c>
      <c r="M628" s="182">
        <v>0</v>
      </c>
      <c r="N628" s="182">
        <v>0</v>
      </c>
      <c r="O628" s="182">
        <v>0</v>
      </c>
      <c r="P628" s="182">
        <v>0</v>
      </c>
      <c r="R628" s="155" t="str">
        <f t="shared" si="28"/>
        <v>A0269:東京電力エナジーパートナー(株)メニューE</v>
      </c>
      <c r="S628" s="181">
        <f t="shared" si="29"/>
        <v>0</v>
      </c>
    </row>
    <row r="629" spans="2:19">
      <c r="B629" s="121"/>
      <c r="C629" s="490"/>
      <c r="D629" s="490" t="str">
        <f t="shared" si="30"/>
        <v/>
      </c>
      <c r="I629" s="125" t="s">
        <v>979</v>
      </c>
      <c r="J629" s="125" t="s">
        <v>908</v>
      </c>
      <c r="K629" s="182" t="s">
        <v>1999</v>
      </c>
      <c r="L629" s="182">
        <v>0</v>
      </c>
      <c r="M629" s="182">
        <v>0</v>
      </c>
      <c r="N629" s="182">
        <v>0</v>
      </c>
      <c r="O629" s="182">
        <v>0</v>
      </c>
      <c r="P629" s="182">
        <v>0</v>
      </c>
      <c r="R629" s="155" t="str">
        <f t="shared" si="28"/>
        <v>A0269:東京電力エナジーパートナー(株)メニューF</v>
      </c>
      <c r="S629" s="181">
        <f t="shared" si="29"/>
        <v>0</v>
      </c>
    </row>
    <row r="630" spans="2:19">
      <c r="B630" s="121"/>
      <c r="C630" s="490"/>
      <c r="D630" s="490" t="str">
        <f t="shared" si="30"/>
        <v/>
      </c>
      <c r="I630" s="125" t="s">
        <v>979</v>
      </c>
      <c r="J630" s="125" t="s">
        <v>908</v>
      </c>
      <c r="K630" s="182" t="s">
        <v>2000</v>
      </c>
      <c r="L630" s="182">
        <v>0</v>
      </c>
      <c r="M630" s="182">
        <v>0</v>
      </c>
      <c r="N630" s="182">
        <v>0</v>
      </c>
      <c r="O630" s="182">
        <v>0</v>
      </c>
      <c r="P630" s="182">
        <v>0</v>
      </c>
      <c r="R630" s="155" t="str">
        <f t="shared" si="28"/>
        <v>A0269:東京電力エナジーパートナー(株)メニューG</v>
      </c>
      <c r="S630" s="181">
        <f t="shared" si="29"/>
        <v>0</v>
      </c>
    </row>
    <row r="631" spans="2:19">
      <c r="B631" s="121"/>
      <c r="C631" s="490"/>
      <c r="D631" s="490" t="str">
        <f t="shared" si="30"/>
        <v/>
      </c>
      <c r="I631" s="125" t="s">
        <v>979</v>
      </c>
      <c r="J631" s="125" t="s">
        <v>908</v>
      </c>
      <c r="K631" s="182" t="s">
        <v>2001</v>
      </c>
      <c r="L631" s="182">
        <v>0</v>
      </c>
      <c r="M631" s="182">
        <v>0</v>
      </c>
      <c r="N631" s="182">
        <v>0</v>
      </c>
      <c r="O631" s="182">
        <v>0</v>
      </c>
      <c r="P631" s="182">
        <v>0</v>
      </c>
      <c r="R631" s="155" t="str">
        <f t="shared" si="28"/>
        <v>A0269:東京電力エナジーパートナー(株)メニューH</v>
      </c>
      <c r="S631" s="181">
        <f t="shared" si="29"/>
        <v>0</v>
      </c>
    </row>
    <row r="632" spans="2:19">
      <c r="B632" s="121"/>
      <c r="C632" s="490"/>
      <c r="D632" s="490" t="str">
        <f t="shared" si="30"/>
        <v/>
      </c>
      <c r="I632" s="125" t="s">
        <v>979</v>
      </c>
      <c r="J632" s="125" t="s">
        <v>908</v>
      </c>
      <c r="K632" s="182" t="s">
        <v>2002</v>
      </c>
      <c r="L632" s="182">
        <v>0</v>
      </c>
      <c r="M632" s="182">
        <v>0</v>
      </c>
      <c r="N632" s="182">
        <v>0</v>
      </c>
      <c r="O632" s="182">
        <v>0</v>
      </c>
      <c r="P632" s="182">
        <v>0</v>
      </c>
      <c r="R632" s="155" t="str">
        <f t="shared" si="28"/>
        <v>A0269:東京電力エナジーパートナー(株)メニューI</v>
      </c>
      <c r="S632" s="181">
        <f t="shared" si="29"/>
        <v>0</v>
      </c>
    </row>
    <row r="633" spans="2:19">
      <c r="B633" s="121"/>
      <c r="C633" s="490"/>
      <c r="D633" s="490" t="str">
        <f t="shared" si="30"/>
        <v/>
      </c>
      <c r="I633" s="125" t="s">
        <v>979</v>
      </c>
      <c r="J633" s="125" t="s">
        <v>908</v>
      </c>
      <c r="K633" s="182" t="s">
        <v>2003</v>
      </c>
      <c r="L633" s="182">
        <v>0</v>
      </c>
      <c r="M633" s="182">
        <v>0</v>
      </c>
      <c r="N633" s="182">
        <v>0</v>
      </c>
      <c r="O633" s="182">
        <v>0</v>
      </c>
      <c r="P633" s="182">
        <v>0</v>
      </c>
      <c r="R633" s="155" t="str">
        <f t="shared" si="28"/>
        <v>A0269:東京電力エナジーパートナー(株)メニューJ</v>
      </c>
      <c r="S633" s="181">
        <f t="shared" si="29"/>
        <v>0</v>
      </c>
    </row>
    <row r="634" spans="2:19">
      <c r="B634" s="121"/>
      <c r="C634" s="490"/>
      <c r="D634" s="490" t="str">
        <f t="shared" si="30"/>
        <v/>
      </c>
      <c r="I634" s="125" t="s">
        <v>979</v>
      </c>
      <c r="J634" s="125" t="s">
        <v>908</v>
      </c>
      <c r="K634" s="182" t="s">
        <v>2004</v>
      </c>
      <c r="L634" s="182">
        <v>0</v>
      </c>
      <c r="M634" s="182">
        <v>0</v>
      </c>
      <c r="N634" s="182">
        <v>0</v>
      </c>
      <c r="O634" s="182">
        <v>0</v>
      </c>
      <c r="P634" s="182">
        <v>0</v>
      </c>
      <c r="R634" s="155" t="str">
        <f t="shared" si="28"/>
        <v>A0269:東京電力エナジーパートナー(株)メニューK</v>
      </c>
      <c r="S634" s="181">
        <f t="shared" si="29"/>
        <v>0</v>
      </c>
    </row>
    <row r="635" spans="2:19">
      <c r="B635" s="121"/>
      <c r="C635" s="490"/>
      <c r="D635" s="490" t="str">
        <f t="shared" si="30"/>
        <v/>
      </c>
      <c r="I635" s="125" t="s">
        <v>979</v>
      </c>
      <c r="J635" s="125" t="s">
        <v>908</v>
      </c>
      <c r="K635" s="182" t="s">
        <v>2005</v>
      </c>
      <c r="L635" s="182">
        <v>0</v>
      </c>
      <c r="M635" s="182">
        <v>0</v>
      </c>
      <c r="N635" s="182">
        <v>0</v>
      </c>
      <c r="O635" s="182">
        <v>0</v>
      </c>
      <c r="P635" s="182">
        <v>0</v>
      </c>
      <c r="R635" s="155" t="str">
        <f t="shared" si="28"/>
        <v>A0269:東京電力エナジーパートナー(株)メニューL</v>
      </c>
      <c r="S635" s="181">
        <f t="shared" si="29"/>
        <v>0</v>
      </c>
    </row>
    <row r="636" spans="2:19">
      <c r="B636" s="121"/>
      <c r="C636" s="490"/>
      <c r="D636" s="490" t="str">
        <f t="shared" si="30"/>
        <v/>
      </c>
      <c r="I636" s="125" t="s">
        <v>979</v>
      </c>
      <c r="J636" s="125" t="s">
        <v>908</v>
      </c>
      <c r="K636" s="182" t="s">
        <v>2006</v>
      </c>
      <c r="L636" s="182">
        <v>4.5199999999999998E-4</v>
      </c>
      <c r="M636" s="182">
        <v>4.5199999999999998E-4</v>
      </c>
      <c r="N636" s="182">
        <v>4.5199999999999998E-4</v>
      </c>
      <c r="O636" s="182">
        <v>4.5199999999999998E-4</v>
      </c>
      <c r="P636" s="182">
        <v>4.5199999999999998E-4</v>
      </c>
      <c r="R636" s="155" t="str">
        <f t="shared" si="28"/>
        <v>A0269:東京電力エナジーパートナー(株)メニューM</v>
      </c>
      <c r="S636" s="181">
        <f t="shared" si="29"/>
        <v>4.5199999999999998E-4</v>
      </c>
    </row>
    <row r="637" spans="2:19">
      <c r="B637" s="121"/>
      <c r="C637" s="490"/>
      <c r="D637" s="490" t="str">
        <f t="shared" si="30"/>
        <v/>
      </c>
      <c r="I637" s="125" t="s">
        <v>979</v>
      </c>
      <c r="J637" s="125" t="s">
        <v>908</v>
      </c>
      <c r="K637" s="182" t="s">
        <v>1998</v>
      </c>
      <c r="L637" s="182">
        <v>4.2099999999999999E-4</v>
      </c>
      <c r="M637" s="182">
        <v>4.2099999999999999E-4</v>
      </c>
      <c r="N637" s="182">
        <v>4.2099999999999999E-4</v>
      </c>
      <c r="O637" s="182">
        <v>4.2099999999999999E-4</v>
      </c>
      <c r="P637" s="182">
        <v>4.2099999999999999E-4</v>
      </c>
      <c r="R637" s="155" t="str">
        <f t="shared" si="28"/>
        <v>A0269:東京電力エナジーパートナー(株)(参考値)事業者全体</v>
      </c>
      <c r="S637" s="181">
        <f t="shared" si="29"/>
        <v>4.2099999999999999E-4</v>
      </c>
    </row>
    <row r="638" spans="2:19">
      <c r="B638" s="121"/>
      <c r="C638" s="490"/>
      <c r="D638" s="490" t="str">
        <f t="shared" si="30"/>
        <v/>
      </c>
      <c r="I638" s="125" t="s">
        <v>1157</v>
      </c>
      <c r="J638" s="125" t="s">
        <v>1667</v>
      </c>
      <c r="K638" s="182" t="s">
        <v>652</v>
      </c>
      <c r="L638" s="182">
        <v>0</v>
      </c>
      <c r="M638" s="182">
        <v>0</v>
      </c>
      <c r="N638" s="182">
        <v>0</v>
      </c>
      <c r="O638" s="182">
        <v>0</v>
      </c>
      <c r="P638" s="182">
        <v>0</v>
      </c>
      <c r="R638" s="155" t="str">
        <f t="shared" si="28"/>
        <v>A0270:中部電力ミライズ(株)メニューA</v>
      </c>
      <c r="S638" s="181">
        <f t="shared" si="29"/>
        <v>0</v>
      </c>
    </row>
    <row r="639" spans="2:19">
      <c r="B639" s="121"/>
      <c r="C639" s="490"/>
      <c r="D639" s="490" t="str">
        <f t="shared" si="30"/>
        <v/>
      </c>
      <c r="I639" s="125" t="s">
        <v>1157</v>
      </c>
      <c r="J639" s="125" t="s">
        <v>1667</v>
      </c>
      <c r="K639" s="182" t="s">
        <v>729</v>
      </c>
      <c r="L639" s="182">
        <v>4.1100000000000002E-4</v>
      </c>
      <c r="M639" s="182">
        <v>4.1100000000000002E-4</v>
      </c>
      <c r="N639" s="182">
        <v>4.1100000000000002E-4</v>
      </c>
      <c r="O639" s="182">
        <v>4.1100000000000002E-4</v>
      </c>
      <c r="P639" s="182">
        <v>4.1100000000000002E-4</v>
      </c>
      <c r="R639" s="155" t="str">
        <f t="shared" si="28"/>
        <v>A0270:中部電力ミライズ(株)メニューB</v>
      </c>
      <c r="S639" s="181">
        <f t="shared" si="29"/>
        <v>4.1100000000000002E-4</v>
      </c>
    </row>
    <row r="640" spans="2:19">
      <c r="B640" s="121"/>
      <c r="C640" s="490"/>
      <c r="D640" s="490" t="str">
        <f t="shared" si="30"/>
        <v/>
      </c>
      <c r="I640" s="125" t="s">
        <v>1157</v>
      </c>
      <c r="J640" s="125" t="s">
        <v>1667</v>
      </c>
      <c r="K640" s="182" t="s">
        <v>1998</v>
      </c>
      <c r="L640" s="182">
        <v>3.7599999999999998E-4</v>
      </c>
      <c r="M640" s="182">
        <v>3.7599999999999998E-4</v>
      </c>
      <c r="N640" s="182">
        <v>3.7599999999999998E-4</v>
      </c>
      <c r="O640" s="182">
        <v>3.7599999999999998E-4</v>
      </c>
      <c r="P640" s="182">
        <v>3.7599999999999998E-4</v>
      </c>
      <c r="R640" s="155" t="str">
        <f t="shared" si="28"/>
        <v>A0270:中部電力ミライズ(株)(参考値)事業者全体</v>
      </c>
      <c r="S640" s="181">
        <f t="shared" si="29"/>
        <v>3.7599999999999998E-4</v>
      </c>
    </row>
    <row r="641" spans="2:19">
      <c r="B641" s="121"/>
      <c r="C641" s="490"/>
      <c r="D641" s="490" t="str">
        <f t="shared" si="30"/>
        <v/>
      </c>
      <c r="I641" s="125" t="s">
        <v>1158</v>
      </c>
      <c r="J641" s="125" t="s">
        <v>1668</v>
      </c>
      <c r="K641" s="182" t="s">
        <v>652</v>
      </c>
      <c r="L641" s="182">
        <v>0</v>
      </c>
      <c r="M641" s="182">
        <v>0</v>
      </c>
      <c r="N641" s="182">
        <v>0</v>
      </c>
      <c r="O641" s="182">
        <v>0</v>
      </c>
      <c r="P641" s="182">
        <v>0</v>
      </c>
      <c r="R641" s="155" t="str">
        <f t="shared" si="28"/>
        <v>A0271:北陸電力(株)メニューA</v>
      </c>
      <c r="S641" s="181">
        <f t="shared" si="29"/>
        <v>0</v>
      </c>
    </row>
    <row r="642" spans="2:19">
      <c r="B642" s="121"/>
      <c r="C642" s="490"/>
      <c r="D642" s="490" t="str">
        <f t="shared" si="30"/>
        <v/>
      </c>
      <c r="I642" s="125" t="s">
        <v>1158</v>
      </c>
      <c r="J642" s="125" t="s">
        <v>1668</v>
      </c>
      <c r="K642" s="182" t="s">
        <v>729</v>
      </c>
      <c r="L642" s="182">
        <v>4.55E-4</v>
      </c>
      <c r="M642" s="182">
        <v>4.55E-4</v>
      </c>
      <c r="N642" s="182">
        <v>4.55E-4</v>
      </c>
      <c r="O642" s="182">
        <v>4.55E-4</v>
      </c>
      <c r="P642" s="182">
        <v>4.55E-4</v>
      </c>
      <c r="R642" s="155" t="str">
        <f t="shared" si="28"/>
        <v>A0271:北陸電力(株)メニューB</v>
      </c>
      <c r="S642" s="181">
        <f t="shared" si="29"/>
        <v>4.55E-4</v>
      </c>
    </row>
    <row r="643" spans="2:19">
      <c r="B643" s="121"/>
      <c r="C643" s="490"/>
      <c r="D643" s="490" t="str">
        <f t="shared" si="30"/>
        <v/>
      </c>
      <c r="I643" s="125" t="s">
        <v>1158</v>
      </c>
      <c r="J643" s="125" t="s">
        <v>1668</v>
      </c>
      <c r="K643" s="182" t="s">
        <v>1998</v>
      </c>
      <c r="L643" s="182">
        <v>4.3100000000000001E-4</v>
      </c>
      <c r="M643" s="182">
        <v>4.3100000000000001E-4</v>
      </c>
      <c r="N643" s="182">
        <v>4.3100000000000001E-4</v>
      </c>
      <c r="O643" s="182">
        <v>4.3100000000000001E-4</v>
      </c>
      <c r="P643" s="182">
        <v>4.3100000000000001E-4</v>
      </c>
      <c r="R643" s="155" t="str">
        <f t="shared" si="28"/>
        <v>A0271:北陸電力(株)(参考値)事業者全体</v>
      </c>
      <c r="S643" s="181">
        <f t="shared" si="29"/>
        <v>4.3100000000000001E-4</v>
      </c>
    </row>
    <row r="644" spans="2:19">
      <c r="B644" s="121"/>
      <c r="C644" s="490"/>
      <c r="D644" s="490" t="str">
        <f t="shared" si="30"/>
        <v/>
      </c>
      <c r="I644" s="125" t="s">
        <v>1159</v>
      </c>
      <c r="J644" s="125" t="s">
        <v>1669</v>
      </c>
      <c r="K644" s="182" t="s">
        <v>652</v>
      </c>
      <c r="L644" s="182">
        <v>0</v>
      </c>
      <c r="M644" s="182">
        <v>0</v>
      </c>
      <c r="N644" s="182">
        <v>0</v>
      </c>
      <c r="O644" s="182">
        <v>0</v>
      </c>
      <c r="P644" s="182">
        <v>0</v>
      </c>
      <c r="R644" s="155" t="str">
        <f t="shared" si="28"/>
        <v>A0272:関西電力(株)メニューA</v>
      </c>
      <c r="S644" s="181">
        <f t="shared" si="29"/>
        <v>0</v>
      </c>
    </row>
    <row r="645" spans="2:19">
      <c r="B645" s="121"/>
      <c r="C645" s="490"/>
      <c r="D645" s="490" t="str">
        <f t="shared" si="30"/>
        <v/>
      </c>
      <c r="I645" s="125" t="s">
        <v>1159</v>
      </c>
      <c r="J645" s="125" t="s">
        <v>1669</v>
      </c>
      <c r="K645" s="182" t="s">
        <v>729</v>
      </c>
      <c r="L645" s="182">
        <v>0</v>
      </c>
      <c r="M645" s="182">
        <v>0</v>
      </c>
      <c r="N645" s="182">
        <v>0</v>
      </c>
      <c r="O645" s="182">
        <v>0</v>
      </c>
      <c r="P645" s="182">
        <v>0</v>
      </c>
      <c r="R645" s="155" t="str">
        <f t="shared" si="28"/>
        <v>A0272:関西電力(株)メニューB</v>
      </c>
      <c r="S645" s="181">
        <f t="shared" si="29"/>
        <v>0</v>
      </c>
    </row>
    <row r="646" spans="2:19">
      <c r="B646" s="121"/>
      <c r="C646" s="490"/>
      <c r="D646" s="490" t="str">
        <f t="shared" si="30"/>
        <v/>
      </c>
      <c r="I646" s="125" t="s">
        <v>1159</v>
      </c>
      <c r="J646" s="125" t="s">
        <v>1669</v>
      </c>
      <c r="K646" s="182" t="s">
        <v>730</v>
      </c>
      <c r="L646" s="182">
        <v>0</v>
      </c>
      <c r="M646" s="182">
        <v>0</v>
      </c>
      <c r="N646" s="182">
        <v>0</v>
      </c>
      <c r="O646" s="182">
        <v>0</v>
      </c>
      <c r="P646" s="182">
        <v>0</v>
      </c>
      <c r="R646" s="155" t="str">
        <f t="shared" si="28"/>
        <v>A0272:関西電力(株)メニューC</v>
      </c>
      <c r="S646" s="181">
        <f t="shared" si="29"/>
        <v>0</v>
      </c>
    </row>
    <row r="647" spans="2:19">
      <c r="B647" s="121"/>
      <c r="C647" s="490"/>
      <c r="D647" s="490" t="str">
        <f t="shared" si="30"/>
        <v/>
      </c>
      <c r="I647" s="125" t="s">
        <v>1159</v>
      </c>
      <c r="J647" s="125" t="s">
        <v>1669</v>
      </c>
      <c r="K647" s="182" t="s">
        <v>915</v>
      </c>
      <c r="L647" s="182">
        <v>0</v>
      </c>
      <c r="M647" s="182">
        <v>0</v>
      </c>
      <c r="N647" s="182">
        <v>0</v>
      </c>
      <c r="O647" s="182">
        <v>0</v>
      </c>
      <c r="P647" s="182">
        <v>0</v>
      </c>
      <c r="R647" s="155" t="str">
        <f t="shared" si="28"/>
        <v>A0272:関西電力(株)メニューD</v>
      </c>
      <c r="S647" s="181">
        <f t="shared" si="29"/>
        <v>0</v>
      </c>
    </row>
    <row r="648" spans="2:19">
      <c r="B648" s="121"/>
      <c r="C648" s="490"/>
      <c r="D648" s="490" t="str">
        <f t="shared" si="30"/>
        <v/>
      </c>
      <c r="I648" s="125" t="s">
        <v>1159</v>
      </c>
      <c r="J648" s="125" t="s">
        <v>1669</v>
      </c>
      <c r="K648" s="182" t="s">
        <v>916</v>
      </c>
      <c r="L648" s="182">
        <v>0</v>
      </c>
      <c r="M648" s="182">
        <v>0</v>
      </c>
      <c r="N648" s="182">
        <v>0</v>
      </c>
      <c r="O648" s="182">
        <v>0</v>
      </c>
      <c r="P648" s="182">
        <v>0</v>
      </c>
      <c r="R648" s="155" t="str">
        <f t="shared" si="28"/>
        <v>A0272:関西電力(株)メニューE</v>
      </c>
      <c r="S648" s="181">
        <f t="shared" si="29"/>
        <v>0</v>
      </c>
    </row>
    <row r="649" spans="2:19">
      <c r="B649" s="121"/>
      <c r="C649" s="490"/>
      <c r="D649" s="490" t="str">
        <f t="shared" si="30"/>
        <v/>
      </c>
      <c r="I649" s="125" t="s">
        <v>1159</v>
      </c>
      <c r="J649" s="125" t="s">
        <v>1669</v>
      </c>
      <c r="K649" s="182" t="s">
        <v>1999</v>
      </c>
      <c r="L649" s="182">
        <v>0</v>
      </c>
      <c r="M649" s="182">
        <v>0</v>
      </c>
      <c r="N649" s="182">
        <v>0</v>
      </c>
      <c r="O649" s="182">
        <v>0</v>
      </c>
      <c r="P649" s="182">
        <v>0</v>
      </c>
      <c r="R649" s="155" t="str">
        <f t="shared" si="28"/>
        <v>A0272:関西電力(株)メニューF</v>
      </c>
      <c r="S649" s="181">
        <f t="shared" si="29"/>
        <v>0</v>
      </c>
    </row>
    <row r="650" spans="2:19">
      <c r="B650" s="121"/>
      <c r="C650" s="490"/>
      <c r="D650" s="490" t="str">
        <f t="shared" si="30"/>
        <v/>
      </c>
      <c r="I650" s="125" t="s">
        <v>1159</v>
      </c>
      <c r="J650" s="125" t="s">
        <v>1669</v>
      </c>
      <c r="K650" s="182" t="s">
        <v>2000</v>
      </c>
      <c r="L650" s="182">
        <v>0</v>
      </c>
      <c r="M650" s="182">
        <v>0</v>
      </c>
      <c r="N650" s="182">
        <v>0</v>
      </c>
      <c r="O650" s="182">
        <v>0</v>
      </c>
      <c r="P650" s="182">
        <v>0</v>
      </c>
      <c r="R650" s="155" t="str">
        <f t="shared" ref="R650:R713" si="31">I650&amp;":"&amp;J650&amp;K650</f>
        <v>A0272:関西電力(株)メニューG</v>
      </c>
      <c r="S650" s="181">
        <f t="shared" ref="S650:S713" si="32">HLOOKUP($S$8,$L$8:$P$2000,ROW()-7,FALSE)</f>
        <v>0</v>
      </c>
    </row>
    <row r="651" spans="2:19">
      <c r="B651" s="121"/>
      <c r="C651" s="490"/>
      <c r="D651" s="490" t="str">
        <f t="shared" si="30"/>
        <v/>
      </c>
      <c r="I651" s="125" t="s">
        <v>1159</v>
      </c>
      <c r="J651" s="125" t="s">
        <v>1669</v>
      </c>
      <c r="K651" s="182" t="s">
        <v>2001</v>
      </c>
      <c r="L651" s="182">
        <v>0</v>
      </c>
      <c r="M651" s="182">
        <v>0</v>
      </c>
      <c r="N651" s="182">
        <v>0</v>
      </c>
      <c r="O651" s="182">
        <v>0</v>
      </c>
      <c r="P651" s="182">
        <v>0</v>
      </c>
      <c r="R651" s="155" t="str">
        <f t="shared" si="31"/>
        <v>A0272:関西電力(株)メニューH</v>
      </c>
      <c r="S651" s="181">
        <f t="shared" si="32"/>
        <v>0</v>
      </c>
    </row>
    <row r="652" spans="2:19">
      <c r="B652" s="121"/>
      <c r="C652" s="490"/>
      <c r="D652" s="490" t="str">
        <f t="shared" si="30"/>
        <v/>
      </c>
      <c r="I652" s="125" t="s">
        <v>1159</v>
      </c>
      <c r="J652" s="125" t="s">
        <v>1669</v>
      </c>
      <c r="K652" s="182" t="s">
        <v>2002</v>
      </c>
      <c r="L652" s="182">
        <v>0</v>
      </c>
      <c r="M652" s="182">
        <v>0</v>
      </c>
      <c r="N652" s="182">
        <v>0</v>
      </c>
      <c r="O652" s="182">
        <v>0</v>
      </c>
      <c r="P652" s="182">
        <v>0</v>
      </c>
      <c r="R652" s="155" t="str">
        <f t="shared" si="31"/>
        <v>A0272:関西電力(株)メニューI</v>
      </c>
      <c r="S652" s="181">
        <f t="shared" si="32"/>
        <v>0</v>
      </c>
    </row>
    <row r="653" spans="2:19">
      <c r="B653" s="121"/>
      <c r="C653" s="490"/>
      <c r="D653" s="490" t="str">
        <f t="shared" si="30"/>
        <v/>
      </c>
      <c r="I653" s="125" t="s">
        <v>1159</v>
      </c>
      <c r="J653" s="125" t="s">
        <v>1669</v>
      </c>
      <c r="K653" s="182" t="s">
        <v>2003</v>
      </c>
      <c r="L653" s="182">
        <v>4.15E-4</v>
      </c>
      <c r="M653" s="182">
        <v>4.15E-4</v>
      </c>
      <c r="N653" s="182">
        <v>4.15E-4</v>
      </c>
      <c r="O653" s="182">
        <v>4.15E-4</v>
      </c>
      <c r="P653" s="182">
        <v>4.15E-4</v>
      </c>
      <c r="R653" s="155" t="str">
        <f t="shared" si="31"/>
        <v>A0272:関西電力(株)メニューJ</v>
      </c>
      <c r="S653" s="181">
        <f t="shared" si="32"/>
        <v>4.15E-4</v>
      </c>
    </row>
    <row r="654" spans="2:19">
      <c r="B654" s="121"/>
      <c r="C654" s="490"/>
      <c r="D654" s="490" t="str">
        <f t="shared" si="30"/>
        <v/>
      </c>
      <c r="I654" s="125" t="s">
        <v>1159</v>
      </c>
      <c r="J654" s="125" t="s">
        <v>1669</v>
      </c>
      <c r="K654" s="182" t="s">
        <v>1998</v>
      </c>
      <c r="L654" s="182">
        <v>3.9599999999999998E-4</v>
      </c>
      <c r="M654" s="182">
        <v>3.9599999999999998E-4</v>
      </c>
      <c r="N654" s="182">
        <v>3.9599999999999998E-4</v>
      </c>
      <c r="O654" s="182">
        <v>3.9599999999999998E-4</v>
      </c>
      <c r="P654" s="182">
        <v>3.9599999999999998E-4</v>
      </c>
      <c r="R654" s="155" t="str">
        <f t="shared" si="31"/>
        <v>A0272:関西電力(株)(参考値)事業者全体</v>
      </c>
      <c r="S654" s="181">
        <f t="shared" si="32"/>
        <v>3.9599999999999998E-4</v>
      </c>
    </row>
    <row r="655" spans="2:19">
      <c r="B655" s="121"/>
      <c r="C655" s="490"/>
      <c r="D655" s="490" t="str">
        <f t="shared" si="30"/>
        <v/>
      </c>
      <c r="I655" s="125" t="s">
        <v>1160</v>
      </c>
      <c r="J655" s="125" t="s">
        <v>1670</v>
      </c>
      <c r="K655" s="182" t="s">
        <v>652</v>
      </c>
      <c r="L655" s="182">
        <v>0</v>
      </c>
      <c r="M655" s="182">
        <v>0</v>
      </c>
      <c r="N655" s="182">
        <v>0</v>
      </c>
      <c r="O655" s="182">
        <v>0</v>
      </c>
      <c r="P655" s="182">
        <v>0</v>
      </c>
      <c r="R655" s="155" t="str">
        <f t="shared" si="31"/>
        <v>A0273:中国電力(株)メニューA</v>
      </c>
      <c r="S655" s="181">
        <f t="shared" si="32"/>
        <v>0</v>
      </c>
    </row>
    <row r="656" spans="2:19">
      <c r="B656" s="121"/>
      <c r="C656" s="490"/>
      <c r="D656" s="490" t="str">
        <f t="shared" si="30"/>
        <v/>
      </c>
      <c r="I656" s="125" t="s">
        <v>1160</v>
      </c>
      <c r="J656" s="125" t="s">
        <v>1670</v>
      </c>
      <c r="K656" s="182" t="s">
        <v>729</v>
      </c>
      <c r="L656" s="182">
        <v>0</v>
      </c>
      <c r="M656" s="182">
        <v>0</v>
      </c>
      <c r="N656" s="182">
        <v>0</v>
      </c>
      <c r="O656" s="182">
        <v>0</v>
      </c>
      <c r="P656" s="182">
        <v>0</v>
      </c>
      <c r="R656" s="155" t="str">
        <f t="shared" si="31"/>
        <v>A0273:中国電力(株)メニューB</v>
      </c>
      <c r="S656" s="181">
        <f t="shared" si="32"/>
        <v>0</v>
      </c>
    </row>
    <row r="657" spans="2:19">
      <c r="B657" s="121"/>
      <c r="C657" s="490"/>
      <c r="D657" s="490" t="str">
        <f t="shared" si="30"/>
        <v/>
      </c>
      <c r="I657" s="125" t="s">
        <v>1160</v>
      </c>
      <c r="J657" s="125" t="s">
        <v>1670</v>
      </c>
      <c r="K657" s="182" t="s">
        <v>730</v>
      </c>
      <c r="L657" s="182">
        <v>0</v>
      </c>
      <c r="M657" s="182">
        <v>0</v>
      </c>
      <c r="N657" s="182">
        <v>0</v>
      </c>
      <c r="O657" s="182">
        <v>0</v>
      </c>
      <c r="P657" s="182">
        <v>0</v>
      </c>
      <c r="R657" s="155" t="str">
        <f t="shared" si="31"/>
        <v>A0273:中国電力(株)メニューC</v>
      </c>
      <c r="S657" s="181">
        <f t="shared" si="32"/>
        <v>0</v>
      </c>
    </row>
    <row r="658" spans="2:19">
      <c r="B658" s="121"/>
      <c r="C658" s="490"/>
      <c r="D658" s="490" t="str">
        <f t="shared" si="30"/>
        <v/>
      </c>
      <c r="I658" s="125" t="s">
        <v>1160</v>
      </c>
      <c r="J658" s="125" t="s">
        <v>1670</v>
      </c>
      <c r="K658" s="182" t="s">
        <v>915</v>
      </c>
      <c r="L658" s="182">
        <v>0</v>
      </c>
      <c r="M658" s="182">
        <v>0</v>
      </c>
      <c r="N658" s="182">
        <v>0</v>
      </c>
      <c r="O658" s="182">
        <v>0</v>
      </c>
      <c r="P658" s="182">
        <v>0</v>
      </c>
      <c r="R658" s="155" t="str">
        <f t="shared" si="31"/>
        <v>A0273:中国電力(株)メニューD</v>
      </c>
      <c r="S658" s="181">
        <f t="shared" si="32"/>
        <v>0</v>
      </c>
    </row>
    <row r="659" spans="2:19">
      <c r="B659" s="121"/>
      <c r="C659" s="490"/>
      <c r="D659" s="490" t="str">
        <f t="shared" si="30"/>
        <v/>
      </c>
      <c r="I659" s="125" t="s">
        <v>1160</v>
      </c>
      <c r="J659" s="125" t="s">
        <v>1670</v>
      </c>
      <c r="K659" s="182" t="s">
        <v>916</v>
      </c>
      <c r="L659" s="182">
        <v>0</v>
      </c>
      <c r="M659" s="182">
        <v>0</v>
      </c>
      <c r="N659" s="182">
        <v>0</v>
      </c>
      <c r="O659" s="182">
        <v>0</v>
      </c>
      <c r="P659" s="182">
        <v>0</v>
      </c>
      <c r="R659" s="155" t="str">
        <f t="shared" si="31"/>
        <v>A0273:中国電力(株)メニューE</v>
      </c>
      <c r="S659" s="181">
        <f t="shared" si="32"/>
        <v>0</v>
      </c>
    </row>
    <row r="660" spans="2:19">
      <c r="B660" s="121"/>
      <c r="C660" s="490"/>
      <c r="D660" s="490" t="str">
        <f t="shared" si="30"/>
        <v/>
      </c>
      <c r="I660" s="125" t="s">
        <v>1160</v>
      </c>
      <c r="J660" s="125" t="s">
        <v>1670</v>
      </c>
      <c r="K660" s="182" t="s">
        <v>1999</v>
      </c>
      <c r="L660" s="182">
        <v>0</v>
      </c>
      <c r="M660" s="182">
        <v>0</v>
      </c>
      <c r="N660" s="182">
        <v>0</v>
      </c>
      <c r="O660" s="182">
        <v>0</v>
      </c>
      <c r="P660" s="182">
        <v>0</v>
      </c>
      <c r="R660" s="155" t="str">
        <f t="shared" si="31"/>
        <v>A0273:中国電力(株)メニューF</v>
      </c>
      <c r="S660" s="181">
        <f t="shared" si="32"/>
        <v>0</v>
      </c>
    </row>
    <row r="661" spans="2:19">
      <c r="B661" s="121"/>
      <c r="C661" s="490"/>
      <c r="D661" s="490" t="str">
        <f t="shared" si="30"/>
        <v/>
      </c>
      <c r="I661" s="125" t="s">
        <v>1160</v>
      </c>
      <c r="J661" s="125" t="s">
        <v>1670</v>
      </c>
      <c r="K661" s="182" t="s">
        <v>2000</v>
      </c>
      <c r="L661" s="182">
        <v>3.8699999999999997E-4</v>
      </c>
      <c r="M661" s="182">
        <v>3.8699999999999997E-4</v>
      </c>
      <c r="N661" s="182">
        <v>3.8699999999999997E-4</v>
      </c>
      <c r="O661" s="182">
        <v>3.8699999999999997E-4</v>
      </c>
      <c r="P661" s="182">
        <v>3.8699999999999997E-4</v>
      </c>
      <c r="R661" s="155" t="str">
        <f t="shared" si="31"/>
        <v>A0273:中国電力(株)メニューG</v>
      </c>
      <c r="S661" s="181">
        <f t="shared" si="32"/>
        <v>3.8699999999999997E-4</v>
      </c>
    </row>
    <row r="662" spans="2:19">
      <c r="B662" s="121"/>
      <c r="C662" s="490"/>
      <c r="D662" s="490" t="str">
        <f t="shared" si="30"/>
        <v/>
      </c>
      <c r="I662" s="125" t="s">
        <v>1160</v>
      </c>
      <c r="J662" s="125" t="s">
        <v>1670</v>
      </c>
      <c r="K662" s="182" t="s">
        <v>2001</v>
      </c>
      <c r="L662" s="182">
        <v>4.84E-4</v>
      </c>
      <c r="M662" s="182">
        <v>4.84E-4</v>
      </c>
      <c r="N662" s="182">
        <v>4.84E-4</v>
      </c>
      <c r="O662" s="182">
        <v>4.84E-4</v>
      </c>
      <c r="P662" s="182">
        <v>4.84E-4</v>
      </c>
      <c r="R662" s="155" t="str">
        <f t="shared" si="31"/>
        <v>A0273:中国電力(株)メニューH</v>
      </c>
      <c r="S662" s="181">
        <f t="shared" si="32"/>
        <v>4.84E-4</v>
      </c>
    </row>
    <row r="663" spans="2:19">
      <c r="B663" s="121"/>
      <c r="C663" s="490"/>
      <c r="D663" s="490" t="str">
        <f t="shared" si="30"/>
        <v/>
      </c>
      <c r="I663" s="125" t="s">
        <v>1160</v>
      </c>
      <c r="J663" s="125" t="s">
        <v>1670</v>
      </c>
      <c r="K663" s="182" t="s">
        <v>1998</v>
      </c>
      <c r="L663" s="182">
        <v>4.7199999999999998E-4</v>
      </c>
      <c r="M663" s="182">
        <v>4.7199999999999998E-4</v>
      </c>
      <c r="N663" s="182">
        <v>4.7199999999999998E-4</v>
      </c>
      <c r="O663" s="182">
        <v>4.7199999999999998E-4</v>
      </c>
      <c r="P663" s="182">
        <v>4.7199999999999998E-4</v>
      </c>
      <c r="R663" s="155" t="str">
        <f t="shared" si="31"/>
        <v>A0273:中国電力(株)(参考値)事業者全体</v>
      </c>
      <c r="S663" s="181">
        <f t="shared" si="32"/>
        <v>4.7199999999999998E-4</v>
      </c>
    </row>
    <row r="664" spans="2:19">
      <c r="B664" s="121"/>
      <c r="C664" s="490"/>
      <c r="D664" s="490" t="str">
        <f t="shared" si="30"/>
        <v/>
      </c>
      <c r="I664" s="125" t="s">
        <v>1161</v>
      </c>
      <c r="J664" s="125" t="s">
        <v>1671</v>
      </c>
      <c r="K664" s="182" t="s">
        <v>652</v>
      </c>
      <c r="L664" s="182">
        <v>0</v>
      </c>
      <c r="M664" s="182">
        <v>0</v>
      </c>
      <c r="N664" s="182">
        <v>0</v>
      </c>
      <c r="O664" s="182">
        <v>0</v>
      </c>
      <c r="P664" s="182">
        <v>0</v>
      </c>
      <c r="R664" s="155" t="str">
        <f t="shared" si="31"/>
        <v>A0274:四国電力(株)メニューA</v>
      </c>
      <c r="S664" s="181">
        <f t="shared" si="32"/>
        <v>0</v>
      </c>
    </row>
    <row r="665" spans="2:19">
      <c r="B665" s="121"/>
      <c r="C665" s="490"/>
      <c r="D665" s="490" t="str">
        <f t="shared" si="30"/>
        <v/>
      </c>
      <c r="I665" s="125" t="s">
        <v>1161</v>
      </c>
      <c r="J665" s="125" t="s">
        <v>1671</v>
      </c>
      <c r="K665" s="182" t="s">
        <v>729</v>
      </c>
      <c r="L665" s="182">
        <v>0</v>
      </c>
      <c r="M665" s="182">
        <v>0</v>
      </c>
      <c r="N665" s="182">
        <v>0</v>
      </c>
      <c r="O665" s="182">
        <v>0</v>
      </c>
      <c r="P665" s="182">
        <v>0</v>
      </c>
      <c r="R665" s="155" t="str">
        <f t="shared" si="31"/>
        <v>A0274:四国電力(株)メニューB</v>
      </c>
      <c r="S665" s="181">
        <f t="shared" si="32"/>
        <v>0</v>
      </c>
    </row>
    <row r="666" spans="2:19">
      <c r="B666" s="121"/>
      <c r="C666" s="490"/>
      <c r="D666" s="490" t="str">
        <f t="shared" si="30"/>
        <v/>
      </c>
      <c r="I666" s="125" t="s">
        <v>1161</v>
      </c>
      <c r="J666" s="125" t="s">
        <v>1671</v>
      </c>
      <c r="K666" s="182" t="s">
        <v>730</v>
      </c>
      <c r="L666" s="182">
        <v>4.57E-4</v>
      </c>
      <c r="M666" s="182">
        <v>4.57E-4</v>
      </c>
      <c r="N666" s="182">
        <v>4.57E-4</v>
      </c>
      <c r="O666" s="182">
        <v>4.57E-4</v>
      </c>
      <c r="P666" s="182">
        <v>4.57E-4</v>
      </c>
      <c r="R666" s="155" t="str">
        <f t="shared" si="31"/>
        <v>A0274:四国電力(株)メニューC</v>
      </c>
      <c r="S666" s="181">
        <f t="shared" si="32"/>
        <v>4.57E-4</v>
      </c>
    </row>
    <row r="667" spans="2:19">
      <c r="B667" s="121"/>
      <c r="C667" s="490"/>
      <c r="D667" s="490" t="str">
        <f t="shared" si="30"/>
        <v/>
      </c>
      <c r="I667" s="125" t="s">
        <v>1161</v>
      </c>
      <c r="J667" s="125" t="s">
        <v>1671</v>
      </c>
      <c r="K667" s="182" t="s">
        <v>1998</v>
      </c>
      <c r="L667" s="182">
        <v>4.4799999999999999E-4</v>
      </c>
      <c r="M667" s="182">
        <v>4.4799999999999999E-4</v>
      </c>
      <c r="N667" s="182">
        <v>4.4799999999999999E-4</v>
      </c>
      <c r="O667" s="182">
        <v>4.4799999999999999E-4</v>
      </c>
      <c r="P667" s="182">
        <v>4.4799999999999999E-4</v>
      </c>
      <c r="R667" s="155" t="str">
        <f t="shared" si="31"/>
        <v>A0274:四国電力(株)(参考値)事業者全体</v>
      </c>
      <c r="S667" s="181">
        <f t="shared" si="32"/>
        <v>4.4799999999999999E-4</v>
      </c>
    </row>
    <row r="668" spans="2:19">
      <c r="B668" s="121"/>
      <c r="C668" s="490"/>
      <c r="D668" s="490" t="str">
        <f t="shared" si="30"/>
        <v/>
      </c>
      <c r="I668" s="125" t="s">
        <v>1162</v>
      </c>
      <c r="J668" s="125" t="s">
        <v>1672</v>
      </c>
      <c r="K668" s="182" t="s">
        <v>652</v>
      </c>
      <c r="L668" s="182">
        <v>0</v>
      </c>
      <c r="M668" s="182">
        <v>0</v>
      </c>
      <c r="N668" s="182">
        <v>0</v>
      </c>
      <c r="O668" s="182">
        <v>0</v>
      </c>
      <c r="P668" s="182">
        <v>0</v>
      </c>
      <c r="R668" s="155" t="str">
        <f t="shared" si="31"/>
        <v>A0275:九州電力(株)メニューA</v>
      </c>
      <c r="S668" s="181">
        <f t="shared" si="32"/>
        <v>0</v>
      </c>
    </row>
    <row r="669" spans="2:19">
      <c r="B669" s="121"/>
      <c r="C669" s="490"/>
      <c r="D669" s="490" t="str">
        <f t="shared" si="30"/>
        <v/>
      </c>
      <c r="I669" s="125" t="s">
        <v>1162</v>
      </c>
      <c r="J669" s="125" t="s">
        <v>1672</v>
      </c>
      <c r="K669" s="182" t="s">
        <v>729</v>
      </c>
      <c r="L669" s="182">
        <v>4.7199999999999998E-4</v>
      </c>
      <c r="M669" s="182">
        <v>4.7199999999999998E-4</v>
      </c>
      <c r="N669" s="182">
        <v>4.7199999999999998E-4</v>
      </c>
      <c r="O669" s="182">
        <v>4.7199999999999998E-4</v>
      </c>
      <c r="P669" s="182">
        <v>4.7199999999999998E-4</v>
      </c>
      <c r="R669" s="155" t="str">
        <f t="shared" si="31"/>
        <v>A0275:九州電力(株)メニューB</v>
      </c>
      <c r="S669" s="181">
        <f t="shared" si="32"/>
        <v>4.7199999999999998E-4</v>
      </c>
    </row>
    <row r="670" spans="2:19">
      <c r="B670" s="121"/>
      <c r="C670" s="490"/>
      <c r="D670" s="490" t="str">
        <f t="shared" si="30"/>
        <v/>
      </c>
      <c r="I670" s="125" t="s">
        <v>1162</v>
      </c>
      <c r="J670" s="125" t="s">
        <v>1672</v>
      </c>
      <c r="K670" s="182" t="s">
        <v>1998</v>
      </c>
      <c r="L670" s="182">
        <v>4.4900000000000002E-4</v>
      </c>
      <c r="M670" s="182">
        <v>4.4900000000000002E-4</v>
      </c>
      <c r="N670" s="182">
        <v>4.4900000000000002E-4</v>
      </c>
      <c r="O670" s="182">
        <v>4.4900000000000002E-4</v>
      </c>
      <c r="P670" s="182">
        <v>4.4900000000000002E-4</v>
      </c>
      <c r="R670" s="155" t="str">
        <f t="shared" si="31"/>
        <v>A0275:九州電力(株)(参考値)事業者全体</v>
      </c>
      <c r="S670" s="181">
        <f t="shared" si="32"/>
        <v>4.4900000000000002E-4</v>
      </c>
    </row>
    <row r="671" spans="2:19">
      <c r="B671" s="121"/>
      <c r="C671" s="490"/>
      <c r="D671" s="490" t="str">
        <f t="shared" si="30"/>
        <v/>
      </c>
      <c r="I671" s="125" t="s">
        <v>1163</v>
      </c>
      <c r="J671" s="125" t="s">
        <v>1673</v>
      </c>
      <c r="K671" s="182" t="s">
        <v>652</v>
      </c>
      <c r="L671" s="182">
        <v>0</v>
      </c>
      <c r="M671" s="182">
        <v>0</v>
      </c>
      <c r="N671" s="182">
        <v>0</v>
      </c>
      <c r="O671" s="182">
        <v>0</v>
      </c>
      <c r="P671" s="182">
        <v>0</v>
      </c>
      <c r="R671" s="155" t="str">
        <f t="shared" si="31"/>
        <v>A0276:沖縄電力(株)メニューA</v>
      </c>
      <c r="S671" s="181">
        <f t="shared" si="32"/>
        <v>0</v>
      </c>
    </row>
    <row r="672" spans="2:19">
      <c r="B672" s="121"/>
      <c r="C672" s="490"/>
      <c r="D672" s="490" t="str">
        <f t="shared" si="30"/>
        <v/>
      </c>
      <c r="I672" s="125" t="s">
        <v>1163</v>
      </c>
      <c r="J672" s="125" t="s">
        <v>1673</v>
      </c>
      <c r="K672" s="182" t="s">
        <v>729</v>
      </c>
      <c r="L672" s="182">
        <v>6.8499999999999995E-4</v>
      </c>
      <c r="M672" s="182">
        <v>6.8499999999999995E-4</v>
      </c>
      <c r="N672" s="182">
        <v>6.8499999999999995E-4</v>
      </c>
      <c r="O672" s="182">
        <v>6.8499999999999995E-4</v>
      </c>
      <c r="P672" s="182">
        <v>6.8499999999999995E-4</v>
      </c>
      <c r="R672" s="155" t="str">
        <f t="shared" si="31"/>
        <v>A0276:沖縄電力(株)メニューB</v>
      </c>
      <c r="S672" s="181">
        <f t="shared" si="32"/>
        <v>6.8499999999999995E-4</v>
      </c>
    </row>
    <row r="673" spans="2:19">
      <c r="B673" s="121"/>
      <c r="C673" s="490"/>
      <c r="D673" s="490" t="str">
        <f t="shared" si="30"/>
        <v/>
      </c>
      <c r="I673" s="125" t="s">
        <v>1163</v>
      </c>
      <c r="J673" s="125" t="s">
        <v>1673</v>
      </c>
      <c r="K673" s="182" t="s">
        <v>1998</v>
      </c>
      <c r="L673" s="182">
        <v>6.7699999999999998E-4</v>
      </c>
      <c r="M673" s="182">
        <v>6.7699999999999998E-4</v>
      </c>
      <c r="N673" s="182">
        <v>6.7699999999999998E-4</v>
      </c>
      <c r="O673" s="182">
        <v>6.7699999999999998E-4</v>
      </c>
      <c r="P673" s="182">
        <v>6.7699999999999998E-4</v>
      </c>
      <c r="R673" s="155" t="str">
        <f t="shared" si="31"/>
        <v>A0276:沖縄電力(株)(参考値)事業者全体</v>
      </c>
      <c r="S673" s="181">
        <f t="shared" si="32"/>
        <v>6.7699999999999998E-4</v>
      </c>
    </row>
    <row r="674" spans="2:19">
      <c r="B674" s="121"/>
      <c r="C674" s="490"/>
      <c r="D674" s="490" t="str">
        <f t="shared" si="30"/>
        <v/>
      </c>
      <c r="I674" s="125" t="s">
        <v>1164</v>
      </c>
      <c r="J674" s="125" t="s">
        <v>1674</v>
      </c>
      <c r="K674" s="182"/>
      <c r="L674" s="182">
        <v>4.8999999999999998E-4</v>
      </c>
      <c r="M674" s="182">
        <v>4.8999999999999998E-4</v>
      </c>
      <c r="N674" s="182">
        <v>4.8999999999999998E-4</v>
      </c>
      <c r="O674" s="182">
        <v>4.8999999999999998E-4</v>
      </c>
      <c r="P674" s="182">
        <v>4.8999999999999998E-4</v>
      </c>
      <c r="R674" s="155" t="str">
        <f t="shared" si="31"/>
        <v>A0277:北日本石油(株)</v>
      </c>
      <c r="S674" s="181">
        <f t="shared" si="32"/>
        <v>4.8999999999999998E-4</v>
      </c>
    </row>
    <row r="675" spans="2:19">
      <c r="B675" s="121"/>
      <c r="C675" s="490"/>
      <c r="D675" s="490" t="str">
        <f t="shared" si="30"/>
        <v/>
      </c>
      <c r="I675" s="125" t="s">
        <v>1165</v>
      </c>
      <c r="J675" s="125" t="s">
        <v>1675</v>
      </c>
      <c r="K675" s="182"/>
      <c r="L675" s="182">
        <v>4.64E-4</v>
      </c>
      <c r="M675" s="182">
        <v>4.64E-4</v>
      </c>
      <c r="N675" s="182">
        <v>4.64E-4</v>
      </c>
      <c r="O675" s="182">
        <v>4.64E-4</v>
      </c>
      <c r="P675" s="182">
        <v>4.64E-4</v>
      </c>
      <c r="R675" s="155" t="str">
        <f t="shared" si="31"/>
        <v>A0278:千葉電力(株)</v>
      </c>
      <c r="S675" s="181">
        <f t="shared" si="32"/>
        <v>4.64E-4</v>
      </c>
    </row>
    <row r="676" spans="2:19">
      <c r="B676" s="121"/>
      <c r="C676" s="490"/>
      <c r="D676" s="490" t="str">
        <f t="shared" si="30"/>
        <v/>
      </c>
      <c r="I676" s="125" t="s">
        <v>1166</v>
      </c>
      <c r="J676" s="125" t="s">
        <v>1676</v>
      </c>
      <c r="K676" s="182"/>
      <c r="L676" s="182">
        <v>4.26E-4</v>
      </c>
      <c r="M676" s="182">
        <v>4.26E-4</v>
      </c>
      <c r="N676" s="182">
        <v>4.26E-4</v>
      </c>
      <c r="O676" s="182">
        <v>4.26E-4</v>
      </c>
      <c r="P676" s="182">
        <v>4.26E-4</v>
      </c>
      <c r="R676" s="155" t="str">
        <f t="shared" si="31"/>
        <v>A0280:やめエネルギー(株)</v>
      </c>
      <c r="S676" s="181">
        <f t="shared" si="32"/>
        <v>4.26E-4</v>
      </c>
    </row>
    <row r="677" spans="2:19">
      <c r="B677" s="121"/>
      <c r="C677" s="490"/>
      <c r="D677" s="490" t="str">
        <f t="shared" si="30"/>
        <v/>
      </c>
      <c r="I677" s="125" t="s">
        <v>1167</v>
      </c>
      <c r="J677" s="125" t="s">
        <v>1677</v>
      </c>
      <c r="K677" s="182"/>
      <c r="L677" s="182">
        <v>6.78E-4</v>
      </c>
      <c r="M677" s="182">
        <v>6.78E-4</v>
      </c>
      <c r="N677" s="182">
        <v>6.78E-4</v>
      </c>
      <c r="O677" s="182">
        <v>6.78E-4</v>
      </c>
      <c r="P677" s="182">
        <v>6.78E-4</v>
      </c>
      <c r="R677" s="155" t="str">
        <f t="shared" si="31"/>
        <v>A0281:(株)アースインフィニティ</v>
      </c>
      <c r="S677" s="181">
        <f t="shared" si="32"/>
        <v>6.78E-4</v>
      </c>
    </row>
    <row r="678" spans="2:19">
      <c r="B678" s="121"/>
      <c r="C678" s="490"/>
      <c r="D678" s="490" t="str">
        <f t="shared" si="30"/>
        <v/>
      </c>
      <c r="I678" s="125" t="s">
        <v>1168</v>
      </c>
      <c r="J678" s="125" t="s">
        <v>1678</v>
      </c>
      <c r="K678" s="182"/>
      <c r="L678" s="182">
        <v>4.1899999999999999E-4</v>
      </c>
      <c r="M678" s="182">
        <v>4.1899999999999999E-4</v>
      </c>
      <c r="N678" s="182">
        <v>4.1899999999999999E-4</v>
      </c>
      <c r="O678" s="182">
        <v>4.1899999999999999E-4</v>
      </c>
      <c r="P678" s="182">
        <v>4.1899999999999999E-4</v>
      </c>
      <c r="R678" s="155" t="str">
        <f t="shared" si="31"/>
        <v>A0283:足利ガス(株)</v>
      </c>
      <c r="S678" s="181">
        <f t="shared" si="32"/>
        <v>4.1899999999999999E-4</v>
      </c>
    </row>
    <row r="679" spans="2:19">
      <c r="B679" s="121"/>
      <c r="C679" s="490"/>
      <c r="D679" s="490" t="str">
        <f t="shared" si="30"/>
        <v/>
      </c>
      <c r="I679" s="125" t="s">
        <v>1169</v>
      </c>
      <c r="J679" s="125" t="s">
        <v>1679</v>
      </c>
      <c r="K679" s="182"/>
      <c r="L679" s="182">
        <v>3.2400000000000001E-4</v>
      </c>
      <c r="M679" s="182">
        <v>3.2400000000000001E-4</v>
      </c>
      <c r="N679" s="182">
        <v>3.2400000000000001E-4</v>
      </c>
      <c r="O679" s="182">
        <v>3.2400000000000001E-4</v>
      </c>
      <c r="P679" s="182">
        <v>3.2400000000000001E-4</v>
      </c>
      <c r="R679" s="155" t="str">
        <f t="shared" si="31"/>
        <v>A0284:(株)Misumi</v>
      </c>
      <c r="S679" s="181">
        <f t="shared" si="32"/>
        <v>3.2400000000000001E-4</v>
      </c>
    </row>
    <row r="680" spans="2:19">
      <c r="B680" s="121"/>
      <c r="C680" s="490"/>
      <c r="D680" s="490" t="str">
        <f t="shared" si="30"/>
        <v/>
      </c>
      <c r="I680" s="125" t="s">
        <v>1170</v>
      </c>
      <c r="J680" s="125" t="s">
        <v>1680</v>
      </c>
      <c r="K680" s="182"/>
      <c r="L680" s="182">
        <v>4.3899999999999999E-4</v>
      </c>
      <c r="M680" s="182">
        <v>4.3899999999999999E-4</v>
      </c>
      <c r="N680" s="182">
        <v>4.3899999999999999E-4</v>
      </c>
      <c r="O680" s="182">
        <v>4.3899999999999999E-4</v>
      </c>
      <c r="P680" s="182">
        <v>4.3899999999999999E-4</v>
      </c>
      <c r="R680" s="155" t="str">
        <f t="shared" si="31"/>
        <v>A0285:米子瓦斯(株)</v>
      </c>
      <c r="S680" s="181">
        <f t="shared" si="32"/>
        <v>4.3899999999999999E-4</v>
      </c>
    </row>
    <row r="681" spans="2:19">
      <c r="B681" s="121"/>
      <c r="C681" s="490"/>
      <c r="D681" s="490" t="str">
        <f t="shared" si="30"/>
        <v/>
      </c>
      <c r="I681" s="125" t="s">
        <v>1171</v>
      </c>
      <c r="J681" s="125" t="s">
        <v>1681</v>
      </c>
      <c r="K681" s="182" t="s">
        <v>652</v>
      </c>
      <c r="L681" s="182">
        <v>0</v>
      </c>
      <c r="M681" s="182">
        <v>0</v>
      </c>
      <c r="N681" s="182">
        <v>0</v>
      </c>
      <c r="O681" s="182">
        <v>0</v>
      </c>
      <c r="P681" s="182">
        <v>0</v>
      </c>
      <c r="R681" s="155" t="str">
        <f t="shared" si="31"/>
        <v>A0286:(株)エルピオメニューA</v>
      </c>
      <c r="S681" s="181">
        <f t="shared" si="32"/>
        <v>0</v>
      </c>
    </row>
    <row r="682" spans="2:19">
      <c r="B682" s="121"/>
      <c r="C682" s="490"/>
      <c r="D682" s="490" t="str">
        <f t="shared" si="30"/>
        <v/>
      </c>
      <c r="I682" s="125" t="s">
        <v>1171</v>
      </c>
      <c r="J682" s="125" t="s">
        <v>1681</v>
      </c>
      <c r="K682" s="182" t="s">
        <v>729</v>
      </c>
      <c r="L682" s="182">
        <v>0</v>
      </c>
      <c r="M682" s="182">
        <v>0</v>
      </c>
      <c r="N682" s="182">
        <v>0</v>
      </c>
      <c r="O682" s="182">
        <v>0</v>
      </c>
      <c r="P682" s="182">
        <v>0</v>
      </c>
      <c r="R682" s="155" t="str">
        <f t="shared" si="31"/>
        <v>A0286:(株)エルピオメニューB</v>
      </c>
      <c r="S682" s="181">
        <f t="shared" si="32"/>
        <v>0</v>
      </c>
    </row>
    <row r="683" spans="2:19">
      <c r="B683" s="121"/>
      <c r="C683" s="490"/>
      <c r="D683" s="490" t="str">
        <f t="shared" si="30"/>
        <v/>
      </c>
      <c r="I683" s="125" t="s">
        <v>1171</v>
      </c>
      <c r="J683" s="125" t="s">
        <v>1681</v>
      </c>
      <c r="K683" s="182" t="s">
        <v>1998</v>
      </c>
      <c r="L683" s="182">
        <v>0</v>
      </c>
      <c r="M683" s="182">
        <v>0</v>
      </c>
      <c r="N683" s="182">
        <v>0</v>
      </c>
      <c r="O683" s="182">
        <v>0</v>
      </c>
      <c r="P683" s="182">
        <v>0</v>
      </c>
      <c r="R683" s="155" t="str">
        <f t="shared" si="31"/>
        <v>A0286:(株)エルピオ(参考値)事業者全体</v>
      </c>
      <c r="S683" s="181">
        <f t="shared" si="32"/>
        <v>0</v>
      </c>
    </row>
    <row r="684" spans="2:19">
      <c r="B684" s="121"/>
      <c r="C684" s="490"/>
      <c r="D684" s="490" t="str">
        <f t="shared" si="30"/>
        <v/>
      </c>
      <c r="I684" s="125" t="s">
        <v>1172</v>
      </c>
      <c r="J684" s="125" t="s">
        <v>1682</v>
      </c>
      <c r="K684" s="182"/>
      <c r="L684" s="182">
        <v>4.3800000000000002E-4</v>
      </c>
      <c r="M684" s="182">
        <v>4.3800000000000002E-4</v>
      </c>
      <c r="N684" s="182">
        <v>4.3800000000000002E-4</v>
      </c>
      <c r="O684" s="182">
        <v>4.3800000000000002E-4</v>
      </c>
      <c r="P684" s="182">
        <v>4.3800000000000002E-4</v>
      </c>
      <c r="R684" s="155" t="str">
        <f t="shared" si="31"/>
        <v>A0287:浜田ガス(株)</v>
      </c>
      <c r="S684" s="181">
        <f t="shared" si="32"/>
        <v>4.3800000000000002E-4</v>
      </c>
    </row>
    <row r="685" spans="2:19">
      <c r="B685" s="121"/>
      <c r="C685" s="490"/>
      <c r="D685" s="490" t="str">
        <f t="shared" si="30"/>
        <v/>
      </c>
      <c r="I685" s="125" t="s">
        <v>1173</v>
      </c>
      <c r="J685" s="125" t="s">
        <v>1683</v>
      </c>
      <c r="K685" s="182"/>
      <c r="L685" s="182">
        <v>6.1300000000000005E-4</v>
      </c>
      <c r="M685" s="182">
        <v>6.1300000000000005E-4</v>
      </c>
      <c r="N685" s="182">
        <v>6.1300000000000005E-4</v>
      </c>
      <c r="O685" s="182">
        <v>6.1300000000000005E-4</v>
      </c>
      <c r="P685" s="182">
        <v>6.1300000000000005E-4</v>
      </c>
      <c r="R685" s="155" t="str">
        <f t="shared" si="31"/>
        <v>A0288:(株)アメニティ電力</v>
      </c>
      <c r="S685" s="181">
        <f t="shared" si="32"/>
        <v>6.1300000000000005E-4</v>
      </c>
    </row>
    <row r="686" spans="2:19">
      <c r="B686" s="121"/>
      <c r="C686" s="490"/>
      <c r="D686" s="490" t="str">
        <f t="shared" ref="D686:D749" si="33">IF(B686="","",B686&amp;":"&amp;C686)</f>
        <v/>
      </c>
      <c r="I686" s="125" t="s">
        <v>1174</v>
      </c>
      <c r="J686" s="125" t="s">
        <v>1684</v>
      </c>
      <c r="K686" s="182"/>
      <c r="L686" s="182">
        <v>6.1200000000000002E-4</v>
      </c>
      <c r="M686" s="182">
        <v>6.1200000000000002E-4</v>
      </c>
      <c r="N686" s="182">
        <v>6.1200000000000002E-4</v>
      </c>
      <c r="O686" s="182">
        <v>6.1200000000000002E-4</v>
      </c>
      <c r="P686" s="182">
        <v>6.1200000000000002E-4</v>
      </c>
      <c r="R686" s="155" t="str">
        <f t="shared" si="31"/>
        <v>A0292:岡田建設(株)</v>
      </c>
      <c r="S686" s="181">
        <f t="shared" si="32"/>
        <v>6.1200000000000002E-4</v>
      </c>
    </row>
    <row r="687" spans="2:19">
      <c r="B687" s="121"/>
      <c r="C687" s="490"/>
      <c r="D687" s="490" t="str">
        <f t="shared" si="33"/>
        <v/>
      </c>
      <c r="I687" s="125" t="s">
        <v>1175</v>
      </c>
      <c r="J687" s="125" t="s">
        <v>1685</v>
      </c>
      <c r="K687" s="182"/>
      <c r="L687" s="182">
        <v>4.08E-4</v>
      </c>
      <c r="M687" s="182">
        <v>4.08E-4</v>
      </c>
      <c r="N687" s="182">
        <v>4.08E-4</v>
      </c>
      <c r="O687" s="182">
        <v>4.08E-4</v>
      </c>
      <c r="P687" s="182">
        <v>4.08E-4</v>
      </c>
      <c r="R687" s="155" t="str">
        <f t="shared" si="31"/>
        <v>A0293:出雲ガス(株)</v>
      </c>
      <c r="S687" s="181">
        <f t="shared" si="32"/>
        <v>4.08E-4</v>
      </c>
    </row>
    <row r="688" spans="2:19">
      <c r="B688" s="121"/>
      <c r="C688" s="490"/>
      <c r="D688" s="490" t="str">
        <f t="shared" si="33"/>
        <v/>
      </c>
      <c r="I688" s="125" t="s">
        <v>1176</v>
      </c>
      <c r="J688" s="125" t="s">
        <v>1686</v>
      </c>
      <c r="K688" s="182" t="s">
        <v>652</v>
      </c>
      <c r="L688" s="182">
        <v>0</v>
      </c>
      <c r="M688" s="182">
        <v>0</v>
      </c>
      <c r="N688" s="182">
        <v>0</v>
      </c>
      <c r="O688" s="182">
        <v>0</v>
      </c>
      <c r="P688" s="182">
        <v>0</v>
      </c>
      <c r="R688" s="155" t="str">
        <f t="shared" si="31"/>
        <v>A0295:一般社団法人グリーンコープでんきメニューA</v>
      </c>
      <c r="S688" s="181">
        <f t="shared" si="32"/>
        <v>0</v>
      </c>
    </row>
    <row r="689" spans="2:19">
      <c r="B689" s="121"/>
      <c r="C689" s="490"/>
      <c r="D689" s="490" t="str">
        <f t="shared" si="33"/>
        <v/>
      </c>
      <c r="I689" s="125" t="s">
        <v>1176</v>
      </c>
      <c r="J689" s="125" t="s">
        <v>1686</v>
      </c>
      <c r="K689" s="182" t="s">
        <v>729</v>
      </c>
      <c r="L689" s="182">
        <v>0</v>
      </c>
      <c r="M689" s="182">
        <v>0</v>
      </c>
      <c r="N689" s="182">
        <v>0</v>
      </c>
      <c r="O689" s="182">
        <v>0</v>
      </c>
      <c r="P689" s="182">
        <v>0</v>
      </c>
      <c r="R689" s="155" t="str">
        <f t="shared" si="31"/>
        <v>A0295:一般社団法人グリーンコープでんきメニューB</v>
      </c>
      <c r="S689" s="181">
        <f t="shared" si="32"/>
        <v>0</v>
      </c>
    </row>
    <row r="690" spans="2:19">
      <c r="B690" s="121"/>
      <c r="C690" s="490"/>
      <c r="D690" s="490" t="str">
        <f t="shared" si="33"/>
        <v/>
      </c>
      <c r="I690" s="125" t="s">
        <v>1176</v>
      </c>
      <c r="J690" s="125" t="s">
        <v>1686</v>
      </c>
      <c r="K690" s="182" t="s">
        <v>730</v>
      </c>
      <c r="L690" s="182">
        <v>5.9400000000000002E-4</v>
      </c>
      <c r="M690" s="182">
        <v>5.9400000000000002E-4</v>
      </c>
      <c r="N690" s="182">
        <v>5.9400000000000002E-4</v>
      </c>
      <c r="O690" s="182">
        <v>5.9400000000000002E-4</v>
      </c>
      <c r="P690" s="182">
        <v>5.9400000000000002E-4</v>
      </c>
      <c r="R690" s="155" t="str">
        <f t="shared" si="31"/>
        <v>A0295:一般社団法人グリーンコープでんきメニューC</v>
      </c>
      <c r="S690" s="181">
        <f t="shared" si="32"/>
        <v>5.9400000000000002E-4</v>
      </c>
    </row>
    <row r="691" spans="2:19">
      <c r="B691" s="121"/>
      <c r="C691" s="490"/>
      <c r="D691" s="490" t="str">
        <f t="shared" si="33"/>
        <v/>
      </c>
      <c r="I691" s="125" t="s">
        <v>1176</v>
      </c>
      <c r="J691" s="125" t="s">
        <v>1686</v>
      </c>
      <c r="K691" s="182" t="s">
        <v>1998</v>
      </c>
      <c r="L691" s="182">
        <v>2.02E-4</v>
      </c>
      <c r="M691" s="182">
        <v>2.02E-4</v>
      </c>
      <c r="N691" s="182">
        <v>2.02E-4</v>
      </c>
      <c r="O691" s="182">
        <v>2.02E-4</v>
      </c>
      <c r="P691" s="182">
        <v>2.02E-4</v>
      </c>
      <c r="R691" s="155" t="str">
        <f t="shared" si="31"/>
        <v>A0295:一般社団法人グリーンコープでんき(参考値)事業者全体</v>
      </c>
      <c r="S691" s="181">
        <f t="shared" si="32"/>
        <v>2.02E-4</v>
      </c>
    </row>
    <row r="692" spans="2:19">
      <c r="B692" s="121"/>
      <c r="C692" s="490"/>
      <c r="D692" s="490" t="str">
        <f t="shared" si="33"/>
        <v/>
      </c>
      <c r="I692" s="125" t="s">
        <v>1177</v>
      </c>
      <c r="J692" s="125" t="s">
        <v>1687</v>
      </c>
      <c r="K692" s="182" t="s">
        <v>652</v>
      </c>
      <c r="L692" s="182">
        <v>4.4799999999999999E-4</v>
      </c>
      <c r="M692" s="182">
        <v>4.4799999999999999E-4</v>
      </c>
      <c r="N692" s="182">
        <v>4.4799999999999999E-4</v>
      </c>
      <c r="O692" s="182">
        <v>4.4799999999999999E-4</v>
      </c>
      <c r="P692" s="182">
        <v>4.4799999999999999E-4</v>
      </c>
      <c r="R692" s="155" t="str">
        <f t="shared" si="31"/>
        <v>A0296:公益財団法人東京都環境公社メニューA</v>
      </c>
      <c r="S692" s="181">
        <f t="shared" si="32"/>
        <v>4.4799999999999999E-4</v>
      </c>
    </row>
    <row r="693" spans="2:19">
      <c r="B693" s="121"/>
      <c r="C693" s="490"/>
      <c r="D693" s="490" t="str">
        <f t="shared" si="33"/>
        <v/>
      </c>
      <c r="I693" s="125" t="s">
        <v>1177</v>
      </c>
      <c r="J693" s="125" t="s">
        <v>1687</v>
      </c>
      <c r="K693" s="182" t="s">
        <v>729</v>
      </c>
      <c r="L693" s="182">
        <v>4.4799999999999999E-4</v>
      </c>
      <c r="M693" s="182">
        <v>4.4799999999999999E-4</v>
      </c>
      <c r="N693" s="182">
        <v>4.4799999999999999E-4</v>
      </c>
      <c r="O693" s="182">
        <v>4.4799999999999999E-4</v>
      </c>
      <c r="P693" s="182">
        <v>4.4799999999999999E-4</v>
      </c>
      <c r="R693" s="155" t="str">
        <f t="shared" si="31"/>
        <v>A0296:公益財団法人東京都環境公社メニューB</v>
      </c>
      <c r="S693" s="181">
        <f t="shared" si="32"/>
        <v>4.4799999999999999E-4</v>
      </c>
    </row>
    <row r="694" spans="2:19">
      <c r="B694" s="121"/>
      <c r="C694" s="490"/>
      <c r="D694" s="490" t="str">
        <f t="shared" si="33"/>
        <v/>
      </c>
      <c r="I694" s="125" t="s">
        <v>1177</v>
      </c>
      <c r="J694" s="125" t="s">
        <v>1687</v>
      </c>
      <c r="K694" s="182" t="s">
        <v>730</v>
      </c>
      <c r="L694" s="182">
        <v>4.0700000000000003E-4</v>
      </c>
      <c r="M694" s="182">
        <v>4.0700000000000003E-4</v>
      </c>
      <c r="N694" s="182">
        <v>4.0700000000000003E-4</v>
      </c>
      <c r="O694" s="182">
        <v>4.0700000000000003E-4</v>
      </c>
      <c r="P694" s="182">
        <v>4.0700000000000003E-4</v>
      </c>
      <c r="R694" s="155" t="str">
        <f t="shared" si="31"/>
        <v>A0296:公益財団法人東京都環境公社メニューC</v>
      </c>
      <c r="S694" s="181">
        <f t="shared" si="32"/>
        <v>4.0700000000000003E-4</v>
      </c>
    </row>
    <row r="695" spans="2:19">
      <c r="B695" s="121"/>
      <c r="C695" s="490"/>
      <c r="D695" s="490" t="str">
        <f t="shared" si="33"/>
        <v/>
      </c>
      <c r="I695" s="125" t="s">
        <v>1177</v>
      </c>
      <c r="J695" s="125" t="s">
        <v>1687</v>
      </c>
      <c r="K695" s="182" t="s">
        <v>1998</v>
      </c>
      <c r="L695" s="182">
        <v>4.2400000000000001E-4</v>
      </c>
      <c r="M695" s="182">
        <v>4.2400000000000001E-4</v>
      </c>
      <c r="N695" s="182">
        <v>4.2400000000000001E-4</v>
      </c>
      <c r="O695" s="182">
        <v>4.2400000000000001E-4</v>
      </c>
      <c r="P695" s="182">
        <v>4.2400000000000001E-4</v>
      </c>
      <c r="R695" s="155" t="str">
        <f t="shared" si="31"/>
        <v>A0296:公益財団法人東京都環境公社(参考値)事業者全体</v>
      </c>
      <c r="S695" s="181">
        <f t="shared" si="32"/>
        <v>4.2400000000000001E-4</v>
      </c>
    </row>
    <row r="696" spans="2:19">
      <c r="B696" s="121"/>
      <c r="C696" s="490"/>
      <c r="D696" s="490" t="str">
        <f t="shared" si="33"/>
        <v/>
      </c>
      <c r="I696" s="125" t="s">
        <v>1178</v>
      </c>
      <c r="J696" s="125" t="s">
        <v>1688</v>
      </c>
      <c r="K696" s="182" t="s">
        <v>652</v>
      </c>
      <c r="L696" s="182">
        <v>0</v>
      </c>
      <c r="M696" s="182">
        <v>0</v>
      </c>
      <c r="N696" s="182">
        <v>0</v>
      </c>
      <c r="O696" s="182">
        <v>0</v>
      </c>
      <c r="P696" s="182">
        <v>0</v>
      </c>
      <c r="R696" s="155" t="str">
        <f t="shared" si="31"/>
        <v>A0300:(株)ファミリーネット・ジャパンメニューA</v>
      </c>
      <c r="S696" s="181">
        <f t="shared" si="32"/>
        <v>0</v>
      </c>
    </row>
    <row r="697" spans="2:19">
      <c r="B697" s="121"/>
      <c r="C697" s="490"/>
      <c r="D697" s="490" t="str">
        <f t="shared" si="33"/>
        <v/>
      </c>
      <c r="I697" s="125" t="s">
        <v>1178</v>
      </c>
      <c r="J697" s="125" t="s">
        <v>1688</v>
      </c>
      <c r="K697" s="182" t="s">
        <v>729</v>
      </c>
      <c r="L697" s="182">
        <v>0</v>
      </c>
      <c r="M697" s="182">
        <v>0</v>
      </c>
      <c r="N697" s="182">
        <v>0</v>
      </c>
      <c r="O697" s="182">
        <v>0</v>
      </c>
      <c r="P697" s="182">
        <v>0</v>
      </c>
      <c r="R697" s="155" t="str">
        <f t="shared" si="31"/>
        <v>A0300:(株)ファミリーネット・ジャパンメニューB</v>
      </c>
      <c r="S697" s="181">
        <f t="shared" si="32"/>
        <v>0</v>
      </c>
    </row>
    <row r="698" spans="2:19">
      <c r="B698" s="121"/>
      <c r="C698" s="490"/>
      <c r="D698" s="490" t="str">
        <f t="shared" si="33"/>
        <v/>
      </c>
      <c r="I698" s="125" t="s">
        <v>1178</v>
      </c>
      <c r="J698" s="125" t="s">
        <v>1688</v>
      </c>
      <c r="K698" s="182" t="s">
        <v>730</v>
      </c>
      <c r="L698" s="182">
        <v>0</v>
      </c>
      <c r="M698" s="182">
        <v>0</v>
      </c>
      <c r="N698" s="182">
        <v>0</v>
      </c>
      <c r="O698" s="182">
        <v>0</v>
      </c>
      <c r="P698" s="182">
        <v>0</v>
      </c>
      <c r="R698" s="155" t="str">
        <f t="shared" si="31"/>
        <v>A0300:(株)ファミリーネット・ジャパンメニューC</v>
      </c>
      <c r="S698" s="181">
        <f t="shared" si="32"/>
        <v>0</v>
      </c>
    </row>
    <row r="699" spans="2:19">
      <c r="B699" s="121"/>
      <c r="C699" s="490"/>
      <c r="D699" s="490" t="str">
        <f t="shared" si="33"/>
        <v/>
      </c>
      <c r="I699" s="125" t="s">
        <v>1178</v>
      </c>
      <c r="J699" s="125" t="s">
        <v>1688</v>
      </c>
      <c r="K699" s="182" t="s">
        <v>915</v>
      </c>
      <c r="L699" s="182">
        <v>0</v>
      </c>
      <c r="M699" s="182">
        <v>0</v>
      </c>
      <c r="N699" s="182">
        <v>0</v>
      </c>
      <c r="O699" s="182">
        <v>0</v>
      </c>
      <c r="P699" s="182">
        <v>0</v>
      </c>
      <c r="R699" s="155" t="str">
        <f t="shared" si="31"/>
        <v>A0300:(株)ファミリーネット・ジャパンメニューD</v>
      </c>
      <c r="S699" s="181">
        <f t="shared" si="32"/>
        <v>0</v>
      </c>
    </row>
    <row r="700" spans="2:19">
      <c r="B700" s="121"/>
      <c r="C700" s="490"/>
      <c r="D700" s="490" t="str">
        <f t="shared" si="33"/>
        <v/>
      </c>
      <c r="I700" s="125" t="s">
        <v>1178</v>
      </c>
      <c r="J700" s="125" t="s">
        <v>1688</v>
      </c>
      <c r="K700" s="182" t="s">
        <v>916</v>
      </c>
      <c r="L700" s="182">
        <v>3.3799999999999998E-4</v>
      </c>
      <c r="M700" s="182">
        <v>3.3799999999999998E-4</v>
      </c>
      <c r="N700" s="182">
        <v>3.3799999999999998E-4</v>
      </c>
      <c r="O700" s="182">
        <v>3.3799999999999998E-4</v>
      </c>
      <c r="P700" s="182">
        <v>3.3799999999999998E-4</v>
      </c>
      <c r="R700" s="155" t="str">
        <f t="shared" si="31"/>
        <v>A0300:(株)ファミリーネット・ジャパンメニューE</v>
      </c>
      <c r="S700" s="181">
        <f t="shared" si="32"/>
        <v>3.3799999999999998E-4</v>
      </c>
    </row>
    <row r="701" spans="2:19">
      <c r="B701" s="121"/>
      <c r="C701" s="490"/>
      <c r="D701" s="490" t="str">
        <f t="shared" si="33"/>
        <v/>
      </c>
      <c r="I701" s="125" t="s">
        <v>1178</v>
      </c>
      <c r="J701" s="125" t="s">
        <v>1688</v>
      </c>
      <c r="K701" s="182" t="s">
        <v>1998</v>
      </c>
      <c r="L701" s="182">
        <v>2.9999999999999997E-4</v>
      </c>
      <c r="M701" s="182">
        <v>2.9999999999999997E-4</v>
      </c>
      <c r="N701" s="182">
        <v>2.9999999999999997E-4</v>
      </c>
      <c r="O701" s="182">
        <v>2.9999999999999997E-4</v>
      </c>
      <c r="P701" s="182">
        <v>2.9999999999999997E-4</v>
      </c>
      <c r="R701" s="155" t="str">
        <f t="shared" si="31"/>
        <v>A0300:(株)ファミリーネット・ジャパン(参考値)事業者全体</v>
      </c>
      <c r="S701" s="181">
        <f t="shared" si="32"/>
        <v>2.9999999999999997E-4</v>
      </c>
    </row>
    <row r="702" spans="2:19">
      <c r="B702" s="121"/>
      <c r="C702" s="490"/>
      <c r="D702" s="490" t="str">
        <f t="shared" si="33"/>
        <v/>
      </c>
      <c r="I702" s="125" t="s">
        <v>1179</v>
      </c>
      <c r="J702" s="125" t="s">
        <v>1689</v>
      </c>
      <c r="K702" s="182"/>
      <c r="L702" s="182">
        <v>6.1799999999999995E-4</v>
      </c>
      <c r="M702" s="182">
        <v>6.1799999999999995E-4</v>
      </c>
      <c r="N702" s="182">
        <v>6.1799999999999995E-4</v>
      </c>
      <c r="O702" s="182">
        <v>6.1799999999999995E-4</v>
      </c>
      <c r="P702" s="182">
        <v>6.1799999999999995E-4</v>
      </c>
      <c r="R702" s="155" t="str">
        <f t="shared" si="31"/>
        <v>A0303:MKステーションズ(株)</v>
      </c>
      <c r="S702" s="181">
        <f t="shared" si="32"/>
        <v>6.1799999999999995E-4</v>
      </c>
    </row>
    <row r="703" spans="2:19">
      <c r="B703" s="121"/>
      <c r="C703" s="490"/>
      <c r="D703" s="490" t="str">
        <f t="shared" si="33"/>
        <v/>
      </c>
      <c r="I703" s="125" t="s">
        <v>1180</v>
      </c>
      <c r="J703" s="125" t="s">
        <v>1690</v>
      </c>
      <c r="K703" s="182"/>
      <c r="L703" s="182">
        <v>6.5099999999999999E-4</v>
      </c>
      <c r="M703" s="182">
        <v>6.5099999999999999E-4</v>
      </c>
      <c r="N703" s="182">
        <v>6.5099999999999999E-4</v>
      </c>
      <c r="O703" s="182">
        <v>6.5099999999999999E-4</v>
      </c>
      <c r="P703" s="182">
        <v>6.5099999999999999E-4</v>
      </c>
      <c r="R703" s="155" t="str">
        <f t="shared" si="31"/>
        <v>A0305:フラワーペイメント(株)</v>
      </c>
      <c r="S703" s="181">
        <f t="shared" si="32"/>
        <v>6.5099999999999999E-4</v>
      </c>
    </row>
    <row r="704" spans="2:19">
      <c r="B704" s="121"/>
      <c r="C704" s="490"/>
      <c r="D704" s="490" t="str">
        <f t="shared" si="33"/>
        <v/>
      </c>
      <c r="I704" s="125" t="s">
        <v>1181</v>
      </c>
      <c r="J704" s="125" t="s">
        <v>1691</v>
      </c>
      <c r="K704" s="182"/>
      <c r="L704" s="182">
        <v>4.9799999999999996E-4</v>
      </c>
      <c r="M704" s="182">
        <v>4.9799999999999996E-4</v>
      </c>
      <c r="N704" s="182">
        <v>4.9799999999999996E-4</v>
      </c>
      <c r="O704" s="182">
        <v>4.9799999999999996E-4</v>
      </c>
      <c r="P704" s="182">
        <v>4.9799999999999996E-4</v>
      </c>
      <c r="R704" s="155" t="str">
        <f t="shared" si="31"/>
        <v>A0306:(株)JTBコミュニケーションデザイン</v>
      </c>
      <c r="S704" s="181">
        <f t="shared" si="32"/>
        <v>4.9799999999999996E-4</v>
      </c>
    </row>
    <row r="705" spans="2:19">
      <c r="B705" s="121"/>
      <c r="C705" s="490"/>
      <c r="D705" s="490" t="str">
        <f t="shared" si="33"/>
        <v/>
      </c>
      <c r="I705" s="125" t="s">
        <v>1182</v>
      </c>
      <c r="J705" s="125" t="s">
        <v>1692</v>
      </c>
      <c r="K705" s="182" t="s">
        <v>652</v>
      </c>
      <c r="L705" s="182">
        <v>0</v>
      </c>
      <c r="M705" s="182">
        <v>0</v>
      </c>
      <c r="N705" s="182">
        <v>0</v>
      </c>
      <c r="O705" s="182">
        <v>0</v>
      </c>
      <c r="P705" s="182">
        <v>0</v>
      </c>
      <c r="R705" s="155" t="str">
        <f t="shared" si="31"/>
        <v>A0310:全農エネルギー(株)メニューA</v>
      </c>
      <c r="S705" s="181">
        <f t="shared" si="32"/>
        <v>0</v>
      </c>
    </row>
    <row r="706" spans="2:19">
      <c r="B706" s="121"/>
      <c r="C706" s="490"/>
      <c r="D706" s="490" t="str">
        <f t="shared" si="33"/>
        <v/>
      </c>
      <c r="I706" s="125" t="s">
        <v>1182</v>
      </c>
      <c r="J706" s="125" t="s">
        <v>1692</v>
      </c>
      <c r="K706" s="182" t="s">
        <v>729</v>
      </c>
      <c r="L706" s="182">
        <v>6.0300000000000002E-4</v>
      </c>
      <c r="M706" s="182">
        <v>6.0300000000000002E-4</v>
      </c>
      <c r="N706" s="182">
        <v>6.0300000000000002E-4</v>
      </c>
      <c r="O706" s="182">
        <v>6.0300000000000002E-4</v>
      </c>
      <c r="P706" s="182">
        <v>6.0300000000000002E-4</v>
      </c>
      <c r="R706" s="155" t="str">
        <f t="shared" si="31"/>
        <v>A0310:全農エネルギー(株)メニューB</v>
      </c>
      <c r="S706" s="181">
        <f t="shared" si="32"/>
        <v>6.0300000000000002E-4</v>
      </c>
    </row>
    <row r="707" spans="2:19">
      <c r="B707" s="121"/>
      <c r="C707" s="490"/>
      <c r="D707" s="490" t="str">
        <f t="shared" si="33"/>
        <v/>
      </c>
      <c r="I707" s="125" t="s">
        <v>1182</v>
      </c>
      <c r="J707" s="125" t="s">
        <v>1692</v>
      </c>
      <c r="K707" s="182" t="s">
        <v>1998</v>
      </c>
      <c r="L707" s="182">
        <v>5.9999999999999995E-4</v>
      </c>
      <c r="M707" s="182">
        <v>5.9999999999999995E-4</v>
      </c>
      <c r="N707" s="182">
        <v>5.9999999999999995E-4</v>
      </c>
      <c r="O707" s="182">
        <v>5.9999999999999995E-4</v>
      </c>
      <c r="P707" s="182">
        <v>5.9999999999999995E-4</v>
      </c>
      <c r="R707" s="155" t="str">
        <f t="shared" si="31"/>
        <v>A0310:全農エネルギー(株)(参考値)事業者全体</v>
      </c>
      <c r="S707" s="181">
        <f t="shared" si="32"/>
        <v>5.9999999999999995E-4</v>
      </c>
    </row>
    <row r="708" spans="2:19">
      <c r="B708" s="121"/>
      <c r="C708" s="490"/>
      <c r="D708" s="490" t="str">
        <f t="shared" si="33"/>
        <v/>
      </c>
      <c r="I708" s="125" t="s">
        <v>1183</v>
      </c>
      <c r="J708" s="125" t="s">
        <v>1693</v>
      </c>
      <c r="K708" s="182" t="s">
        <v>652</v>
      </c>
      <c r="L708" s="182">
        <v>0</v>
      </c>
      <c r="M708" s="182">
        <v>0</v>
      </c>
      <c r="N708" s="182">
        <v>0</v>
      </c>
      <c r="O708" s="182">
        <v>0</v>
      </c>
      <c r="P708" s="182">
        <v>0</v>
      </c>
      <c r="R708" s="155" t="str">
        <f t="shared" si="31"/>
        <v>A0311:(株)ハルエネメニューA</v>
      </c>
      <c r="S708" s="181">
        <f t="shared" si="32"/>
        <v>0</v>
      </c>
    </row>
    <row r="709" spans="2:19">
      <c r="B709" s="121"/>
      <c r="C709" s="490"/>
      <c r="D709" s="490" t="str">
        <f t="shared" si="33"/>
        <v/>
      </c>
      <c r="I709" s="125" t="s">
        <v>1183</v>
      </c>
      <c r="J709" s="125" t="s">
        <v>1693</v>
      </c>
      <c r="K709" s="182" t="s">
        <v>729</v>
      </c>
      <c r="L709" s="182">
        <v>0</v>
      </c>
      <c r="M709" s="182">
        <v>0</v>
      </c>
      <c r="N709" s="182">
        <v>0</v>
      </c>
      <c r="O709" s="182">
        <v>0</v>
      </c>
      <c r="P709" s="182">
        <v>0</v>
      </c>
      <c r="R709" s="155" t="str">
        <f t="shared" si="31"/>
        <v>A0311:(株)ハルエネメニューB</v>
      </c>
      <c r="S709" s="181">
        <f t="shared" si="32"/>
        <v>0</v>
      </c>
    </row>
    <row r="710" spans="2:19">
      <c r="B710" s="121"/>
      <c r="C710" s="490"/>
      <c r="D710" s="490" t="str">
        <f t="shared" si="33"/>
        <v/>
      </c>
      <c r="I710" s="125" t="s">
        <v>1183</v>
      </c>
      <c r="J710" s="125" t="s">
        <v>1693</v>
      </c>
      <c r="K710" s="182" t="s">
        <v>730</v>
      </c>
      <c r="L710" s="182">
        <v>3.5300000000000002E-4</v>
      </c>
      <c r="M710" s="182">
        <v>3.5300000000000002E-4</v>
      </c>
      <c r="N710" s="182">
        <v>3.5300000000000002E-4</v>
      </c>
      <c r="O710" s="182">
        <v>3.5300000000000002E-4</v>
      </c>
      <c r="P710" s="182">
        <v>3.5300000000000002E-4</v>
      </c>
      <c r="R710" s="155" t="str">
        <f t="shared" si="31"/>
        <v>A0311:(株)ハルエネメニューC</v>
      </c>
      <c r="S710" s="181">
        <f t="shared" si="32"/>
        <v>3.5300000000000002E-4</v>
      </c>
    </row>
    <row r="711" spans="2:19">
      <c r="B711" s="121"/>
      <c r="C711" s="490"/>
      <c r="D711" s="490" t="str">
        <f t="shared" si="33"/>
        <v/>
      </c>
      <c r="I711" s="125" t="s">
        <v>1183</v>
      </c>
      <c r="J711" s="125" t="s">
        <v>1693</v>
      </c>
      <c r="K711" s="182" t="s">
        <v>1998</v>
      </c>
      <c r="L711" s="182">
        <v>3.5300000000000002E-4</v>
      </c>
      <c r="M711" s="182">
        <v>3.5300000000000002E-4</v>
      </c>
      <c r="N711" s="182">
        <v>3.5300000000000002E-4</v>
      </c>
      <c r="O711" s="182">
        <v>3.5300000000000002E-4</v>
      </c>
      <c r="P711" s="182">
        <v>3.5300000000000002E-4</v>
      </c>
      <c r="R711" s="155" t="str">
        <f t="shared" si="31"/>
        <v>A0311:(株)ハルエネ(参考値)事業者全体</v>
      </c>
      <c r="S711" s="181">
        <f t="shared" si="32"/>
        <v>3.5300000000000002E-4</v>
      </c>
    </row>
    <row r="712" spans="2:19">
      <c r="B712" s="121"/>
      <c r="C712" s="490"/>
      <c r="D712" s="490" t="str">
        <f t="shared" si="33"/>
        <v/>
      </c>
      <c r="I712" s="125" t="s">
        <v>1184</v>
      </c>
      <c r="J712" s="125" t="s">
        <v>1694</v>
      </c>
      <c r="K712" s="182"/>
      <c r="L712" s="182">
        <v>4.3300000000000001E-4</v>
      </c>
      <c r="M712" s="182">
        <v>4.3300000000000001E-4</v>
      </c>
      <c r="N712" s="182">
        <v>4.3300000000000001E-4</v>
      </c>
      <c r="O712" s="182">
        <v>4.3300000000000001E-4</v>
      </c>
      <c r="P712" s="182">
        <v>4.3300000000000001E-4</v>
      </c>
      <c r="R712" s="155" t="str">
        <f t="shared" si="31"/>
        <v>A0314:(株)ビビット</v>
      </c>
      <c r="S712" s="181">
        <f t="shared" si="32"/>
        <v>4.3300000000000001E-4</v>
      </c>
    </row>
    <row r="713" spans="2:19">
      <c r="B713" s="121"/>
      <c r="C713" s="490"/>
      <c r="D713" s="490" t="str">
        <f t="shared" si="33"/>
        <v/>
      </c>
      <c r="I713" s="125" t="s">
        <v>1185</v>
      </c>
      <c r="J713" s="125" t="s">
        <v>1695</v>
      </c>
      <c r="K713" s="182"/>
      <c r="L713" s="182">
        <v>4.1899999999999999E-4</v>
      </c>
      <c r="M713" s="182">
        <v>4.1899999999999999E-4</v>
      </c>
      <c r="N713" s="182">
        <v>4.1899999999999999E-4</v>
      </c>
      <c r="O713" s="182">
        <v>4.1899999999999999E-4</v>
      </c>
      <c r="P713" s="182">
        <v>4.1899999999999999E-4</v>
      </c>
      <c r="R713" s="155" t="str">
        <f t="shared" si="31"/>
        <v>A0315:(株)おおた電力</v>
      </c>
      <c r="S713" s="181">
        <f t="shared" si="32"/>
        <v>4.1899999999999999E-4</v>
      </c>
    </row>
    <row r="714" spans="2:19">
      <c r="B714" s="121"/>
      <c r="C714" s="490"/>
      <c r="D714" s="490" t="str">
        <f t="shared" si="33"/>
        <v/>
      </c>
      <c r="I714" s="125" t="s">
        <v>1186</v>
      </c>
      <c r="J714" s="125" t="s">
        <v>1696</v>
      </c>
      <c r="K714" s="182"/>
      <c r="L714" s="182">
        <v>6.2299999999999996E-4</v>
      </c>
      <c r="M714" s="182">
        <v>6.2299999999999996E-4</v>
      </c>
      <c r="N714" s="182">
        <v>6.2299999999999996E-4</v>
      </c>
      <c r="O714" s="182">
        <v>6.2299999999999996E-4</v>
      </c>
      <c r="P714" s="182">
        <v>6.2299999999999996E-4</v>
      </c>
      <c r="R714" s="155" t="str">
        <f t="shared" ref="R714:R777" si="34">I714&amp;":"&amp;J714&amp;K714</f>
        <v>A0317:伊藤忠プランテック(株)</v>
      </c>
      <c r="S714" s="181">
        <f t="shared" ref="S714:S777" si="35">HLOOKUP($S$8,$L$8:$P$2000,ROW()-7,FALSE)</f>
        <v>6.2299999999999996E-4</v>
      </c>
    </row>
    <row r="715" spans="2:19">
      <c r="B715" s="121"/>
      <c r="C715" s="490"/>
      <c r="D715" s="490" t="str">
        <f t="shared" si="33"/>
        <v/>
      </c>
      <c r="I715" s="125" t="s">
        <v>1187</v>
      </c>
      <c r="J715" s="125" t="s">
        <v>1697</v>
      </c>
      <c r="K715" s="182"/>
      <c r="L715" s="182">
        <v>6.4599999999999998E-4</v>
      </c>
      <c r="M715" s="182">
        <v>6.4599999999999998E-4</v>
      </c>
      <c r="N715" s="182">
        <v>6.4599999999999998E-4</v>
      </c>
      <c r="O715" s="182">
        <v>6.4599999999999998E-4</v>
      </c>
      <c r="P715" s="182">
        <v>6.4599999999999998E-4</v>
      </c>
      <c r="R715" s="155" t="str">
        <f t="shared" si="34"/>
        <v>A0318:(株)オカモト</v>
      </c>
      <c r="S715" s="181">
        <f t="shared" si="35"/>
        <v>6.4599999999999998E-4</v>
      </c>
    </row>
    <row r="716" spans="2:19">
      <c r="B716" s="121"/>
      <c r="C716" s="490"/>
      <c r="D716" s="490" t="str">
        <f t="shared" si="33"/>
        <v/>
      </c>
      <c r="I716" s="125" t="s">
        <v>1188</v>
      </c>
      <c r="J716" s="125" t="s">
        <v>1698</v>
      </c>
      <c r="K716" s="182"/>
      <c r="L716" s="182">
        <v>4.0200000000000001E-4</v>
      </c>
      <c r="M716" s="182">
        <v>4.0200000000000001E-4</v>
      </c>
      <c r="N716" s="182">
        <v>4.0200000000000001E-4</v>
      </c>
      <c r="O716" s="182">
        <v>4.0200000000000001E-4</v>
      </c>
      <c r="P716" s="182">
        <v>4.0200000000000001E-4</v>
      </c>
      <c r="R716" s="155" t="str">
        <f t="shared" si="34"/>
        <v>A0323:キタコー(株)</v>
      </c>
      <c r="S716" s="181">
        <f t="shared" si="35"/>
        <v>4.0200000000000001E-4</v>
      </c>
    </row>
    <row r="717" spans="2:19">
      <c r="B717" s="121"/>
      <c r="C717" s="490"/>
      <c r="D717" s="490" t="str">
        <f t="shared" si="33"/>
        <v/>
      </c>
      <c r="I717" s="125" t="s">
        <v>1189</v>
      </c>
      <c r="J717" s="125" t="s">
        <v>1699</v>
      </c>
      <c r="K717" s="182" t="s">
        <v>652</v>
      </c>
      <c r="L717" s="182">
        <v>0</v>
      </c>
      <c r="M717" s="182">
        <v>0</v>
      </c>
      <c r="N717" s="182">
        <v>0</v>
      </c>
      <c r="O717" s="182">
        <v>0</v>
      </c>
      <c r="P717" s="182">
        <v>0</v>
      </c>
      <c r="R717" s="155" t="str">
        <f t="shared" si="34"/>
        <v>A0330:香川電力(株)　メニューA</v>
      </c>
      <c r="S717" s="181">
        <f t="shared" si="35"/>
        <v>0</v>
      </c>
    </row>
    <row r="718" spans="2:19">
      <c r="B718" s="121"/>
      <c r="C718" s="490"/>
      <c r="D718" s="490" t="str">
        <f t="shared" si="33"/>
        <v/>
      </c>
      <c r="I718" s="125" t="s">
        <v>1189</v>
      </c>
      <c r="J718" s="125" t="s">
        <v>1699</v>
      </c>
      <c r="K718" s="182" t="s">
        <v>729</v>
      </c>
      <c r="L718" s="182">
        <v>1.84E-4</v>
      </c>
      <c r="M718" s="182">
        <v>1.84E-4</v>
      </c>
      <c r="N718" s="182">
        <v>1.84E-4</v>
      </c>
      <c r="O718" s="182">
        <v>1.84E-4</v>
      </c>
      <c r="P718" s="182">
        <v>1.84E-4</v>
      </c>
      <c r="R718" s="155" t="str">
        <f t="shared" si="34"/>
        <v>A0330:香川電力(株)　メニューB</v>
      </c>
      <c r="S718" s="181">
        <f t="shared" si="35"/>
        <v>1.84E-4</v>
      </c>
    </row>
    <row r="719" spans="2:19">
      <c r="B719" s="121"/>
      <c r="C719" s="490"/>
      <c r="D719" s="490" t="str">
        <f t="shared" si="33"/>
        <v/>
      </c>
      <c r="I719" s="125" t="s">
        <v>1189</v>
      </c>
      <c r="J719" s="125" t="s">
        <v>1699</v>
      </c>
      <c r="K719" s="182" t="s">
        <v>730</v>
      </c>
      <c r="L719" s="182">
        <v>3.1199999999999999E-4</v>
      </c>
      <c r="M719" s="182">
        <v>3.1199999999999999E-4</v>
      </c>
      <c r="N719" s="182">
        <v>3.1199999999999999E-4</v>
      </c>
      <c r="O719" s="182">
        <v>3.1199999999999999E-4</v>
      </c>
      <c r="P719" s="182">
        <v>3.1199999999999999E-4</v>
      </c>
      <c r="R719" s="155" t="str">
        <f t="shared" si="34"/>
        <v>A0330:香川電力(株)　メニューC</v>
      </c>
      <c r="S719" s="181">
        <f t="shared" si="35"/>
        <v>3.1199999999999999E-4</v>
      </c>
    </row>
    <row r="720" spans="2:19">
      <c r="B720" s="121"/>
      <c r="C720" s="490"/>
      <c r="D720" s="490" t="str">
        <f t="shared" si="33"/>
        <v/>
      </c>
      <c r="I720" s="125" t="s">
        <v>1189</v>
      </c>
      <c r="J720" s="125" t="s">
        <v>1699</v>
      </c>
      <c r="K720" s="182" t="s">
        <v>915</v>
      </c>
      <c r="L720" s="182">
        <v>6.0599999999999998E-4</v>
      </c>
      <c r="M720" s="182">
        <v>6.0599999999999998E-4</v>
      </c>
      <c r="N720" s="182">
        <v>6.0599999999999998E-4</v>
      </c>
      <c r="O720" s="182">
        <v>6.0599999999999998E-4</v>
      </c>
      <c r="P720" s="182">
        <v>6.0599999999999998E-4</v>
      </c>
      <c r="R720" s="155" t="str">
        <f t="shared" si="34"/>
        <v>A0330:香川電力(株)　メニューD</v>
      </c>
      <c r="S720" s="181">
        <f t="shared" si="35"/>
        <v>6.0599999999999998E-4</v>
      </c>
    </row>
    <row r="721" spans="2:19">
      <c r="B721" s="121"/>
      <c r="C721" s="490"/>
      <c r="D721" s="490" t="str">
        <f t="shared" si="33"/>
        <v/>
      </c>
      <c r="I721" s="125" t="s">
        <v>1189</v>
      </c>
      <c r="J721" s="125" t="s">
        <v>1699</v>
      </c>
      <c r="K721" s="182" t="s">
        <v>1998</v>
      </c>
      <c r="L721" s="182">
        <v>5.9400000000000002E-4</v>
      </c>
      <c r="M721" s="182">
        <v>5.9400000000000002E-4</v>
      </c>
      <c r="N721" s="182">
        <v>5.9400000000000002E-4</v>
      </c>
      <c r="O721" s="182">
        <v>5.9400000000000002E-4</v>
      </c>
      <c r="P721" s="182">
        <v>5.9400000000000002E-4</v>
      </c>
      <c r="R721" s="155" t="str">
        <f t="shared" si="34"/>
        <v>A0330:香川電力(株)　(参考値)事業者全体</v>
      </c>
      <c r="S721" s="181">
        <f t="shared" si="35"/>
        <v>5.9400000000000002E-4</v>
      </c>
    </row>
    <row r="722" spans="2:19">
      <c r="B722" s="121"/>
      <c r="C722" s="490"/>
      <c r="D722" s="490" t="str">
        <f t="shared" si="33"/>
        <v/>
      </c>
      <c r="I722" s="125" t="s">
        <v>1190</v>
      </c>
      <c r="J722" s="125" t="s">
        <v>1700</v>
      </c>
      <c r="K722" s="182" t="s">
        <v>652</v>
      </c>
      <c r="L722" s="182">
        <v>0</v>
      </c>
      <c r="M722" s="182">
        <v>0</v>
      </c>
      <c r="N722" s="182">
        <v>0</v>
      </c>
      <c r="O722" s="182">
        <v>0</v>
      </c>
      <c r="P722" s="182">
        <v>0</v>
      </c>
      <c r="R722" s="155" t="str">
        <f t="shared" si="34"/>
        <v>A0332:(株)PinTメニューA</v>
      </c>
      <c r="S722" s="181">
        <f t="shared" si="35"/>
        <v>0</v>
      </c>
    </row>
    <row r="723" spans="2:19">
      <c r="B723" s="121"/>
      <c r="C723" s="490"/>
      <c r="D723" s="490" t="str">
        <f t="shared" si="33"/>
        <v/>
      </c>
      <c r="I723" s="125" t="s">
        <v>1190</v>
      </c>
      <c r="J723" s="125" t="s">
        <v>1700</v>
      </c>
      <c r="K723" s="182" t="s">
        <v>729</v>
      </c>
      <c r="L723" s="182">
        <v>0</v>
      </c>
      <c r="M723" s="182">
        <v>0</v>
      </c>
      <c r="N723" s="182">
        <v>0</v>
      </c>
      <c r="O723" s="182">
        <v>0</v>
      </c>
      <c r="P723" s="182">
        <v>0</v>
      </c>
      <c r="R723" s="155" t="str">
        <f t="shared" si="34"/>
        <v>A0332:(株)PinTメニューB</v>
      </c>
      <c r="S723" s="181">
        <f t="shared" si="35"/>
        <v>0</v>
      </c>
    </row>
    <row r="724" spans="2:19">
      <c r="B724" s="121"/>
      <c r="C724" s="490"/>
      <c r="D724" s="490" t="str">
        <f t="shared" si="33"/>
        <v/>
      </c>
      <c r="I724" s="125" t="s">
        <v>1190</v>
      </c>
      <c r="J724" s="125" t="s">
        <v>1700</v>
      </c>
      <c r="K724" s="182" t="s">
        <v>730</v>
      </c>
      <c r="L724" s="182">
        <v>4.0499999999999998E-4</v>
      </c>
      <c r="M724" s="182">
        <v>4.0499999999999998E-4</v>
      </c>
      <c r="N724" s="182">
        <v>4.0499999999999998E-4</v>
      </c>
      <c r="O724" s="182">
        <v>4.0499999999999998E-4</v>
      </c>
      <c r="P724" s="182">
        <v>4.0499999999999998E-4</v>
      </c>
      <c r="R724" s="155" t="str">
        <f t="shared" si="34"/>
        <v>A0332:(株)PinTメニューC</v>
      </c>
      <c r="S724" s="181">
        <f t="shared" si="35"/>
        <v>4.0499999999999998E-4</v>
      </c>
    </row>
    <row r="725" spans="2:19">
      <c r="B725" s="121"/>
      <c r="C725" s="490"/>
      <c r="D725" s="490" t="str">
        <f t="shared" si="33"/>
        <v/>
      </c>
      <c r="I725" s="125" t="s">
        <v>1190</v>
      </c>
      <c r="J725" s="125" t="s">
        <v>1700</v>
      </c>
      <c r="K725" s="182" t="s">
        <v>1998</v>
      </c>
      <c r="L725" s="182">
        <v>4.0000000000000002E-4</v>
      </c>
      <c r="M725" s="182">
        <v>4.0000000000000002E-4</v>
      </c>
      <c r="N725" s="182">
        <v>4.0000000000000002E-4</v>
      </c>
      <c r="O725" s="182">
        <v>4.0000000000000002E-4</v>
      </c>
      <c r="P725" s="182">
        <v>4.0000000000000002E-4</v>
      </c>
      <c r="R725" s="155" t="str">
        <f t="shared" si="34"/>
        <v>A0332:(株)PinT(参考値)事業者全体</v>
      </c>
      <c r="S725" s="181">
        <f t="shared" si="35"/>
        <v>4.0000000000000002E-4</v>
      </c>
    </row>
    <row r="726" spans="2:19">
      <c r="B726" s="121"/>
      <c r="C726" s="490"/>
      <c r="D726" s="490" t="str">
        <f t="shared" si="33"/>
        <v/>
      </c>
      <c r="I726" s="125" t="s">
        <v>1191</v>
      </c>
      <c r="J726" s="125" t="s">
        <v>1701</v>
      </c>
      <c r="K726" s="182" t="s">
        <v>652</v>
      </c>
      <c r="L726" s="182">
        <v>0</v>
      </c>
      <c r="M726" s="182">
        <v>0</v>
      </c>
      <c r="N726" s="182">
        <v>0</v>
      </c>
      <c r="O726" s="182">
        <v>0</v>
      </c>
      <c r="P726" s="182">
        <v>0</v>
      </c>
      <c r="R726" s="155" t="str">
        <f t="shared" si="34"/>
        <v>A0336:(株)沖縄ガスニューパワーメニューA</v>
      </c>
      <c r="S726" s="181">
        <f t="shared" si="35"/>
        <v>0</v>
      </c>
    </row>
    <row r="727" spans="2:19">
      <c r="B727" s="121"/>
      <c r="C727" s="490"/>
      <c r="D727" s="490" t="str">
        <f t="shared" si="33"/>
        <v/>
      </c>
      <c r="I727" s="125" t="s">
        <v>1191</v>
      </c>
      <c r="J727" s="125" t="s">
        <v>1701</v>
      </c>
      <c r="K727" s="182" t="s">
        <v>729</v>
      </c>
      <c r="L727" s="182">
        <v>5.4799999999999998E-4</v>
      </c>
      <c r="M727" s="182">
        <v>5.4799999999999998E-4</v>
      </c>
      <c r="N727" s="182">
        <v>5.4799999999999998E-4</v>
      </c>
      <c r="O727" s="182">
        <v>5.4799999999999998E-4</v>
      </c>
      <c r="P727" s="182">
        <v>5.4799999999999998E-4</v>
      </c>
      <c r="R727" s="155" t="str">
        <f t="shared" si="34"/>
        <v>A0336:(株)沖縄ガスニューパワーメニューB</v>
      </c>
      <c r="S727" s="181">
        <f t="shared" si="35"/>
        <v>5.4799999999999998E-4</v>
      </c>
    </row>
    <row r="728" spans="2:19">
      <c r="B728" s="121"/>
      <c r="C728" s="490"/>
      <c r="D728" s="490" t="str">
        <f t="shared" si="33"/>
        <v/>
      </c>
      <c r="I728" s="125" t="s">
        <v>1191</v>
      </c>
      <c r="J728" s="125" t="s">
        <v>1701</v>
      </c>
      <c r="K728" s="182" t="s">
        <v>1998</v>
      </c>
      <c r="L728" s="182">
        <v>4.7800000000000002E-4</v>
      </c>
      <c r="M728" s="182">
        <v>4.7800000000000002E-4</v>
      </c>
      <c r="N728" s="182">
        <v>4.7800000000000002E-4</v>
      </c>
      <c r="O728" s="182">
        <v>4.7800000000000002E-4</v>
      </c>
      <c r="P728" s="182">
        <v>4.7800000000000002E-4</v>
      </c>
      <c r="R728" s="155" t="str">
        <f t="shared" si="34"/>
        <v>A0336:(株)沖縄ガスニューパワー(参考値)事業者全体</v>
      </c>
      <c r="S728" s="181">
        <f t="shared" si="35"/>
        <v>4.7800000000000002E-4</v>
      </c>
    </row>
    <row r="729" spans="2:19">
      <c r="B729" s="121"/>
      <c r="C729" s="490"/>
      <c r="D729" s="490" t="str">
        <f t="shared" si="33"/>
        <v/>
      </c>
      <c r="I729" s="125" t="s">
        <v>1192</v>
      </c>
      <c r="J729" s="125" t="s">
        <v>1702</v>
      </c>
      <c r="K729" s="182"/>
      <c r="L729" s="182">
        <v>4.1899999999999999E-4</v>
      </c>
      <c r="M729" s="182">
        <v>4.1899999999999999E-4</v>
      </c>
      <c r="N729" s="182">
        <v>4.1899999999999999E-4</v>
      </c>
      <c r="O729" s="182">
        <v>4.1899999999999999E-4</v>
      </c>
      <c r="P729" s="182">
        <v>4.1899999999999999E-4</v>
      </c>
      <c r="R729" s="155" t="str">
        <f t="shared" si="34"/>
        <v>A0337:諏訪瓦斯(株)</v>
      </c>
      <c r="S729" s="181">
        <f t="shared" si="35"/>
        <v>4.1899999999999999E-4</v>
      </c>
    </row>
    <row r="730" spans="2:19">
      <c r="B730" s="121"/>
      <c r="C730" s="490"/>
      <c r="D730" s="490" t="str">
        <f t="shared" si="33"/>
        <v/>
      </c>
      <c r="I730" s="125" t="s">
        <v>1193</v>
      </c>
      <c r="J730" s="125" t="s">
        <v>1703</v>
      </c>
      <c r="K730" s="182"/>
      <c r="L730" s="182">
        <v>5.9400000000000002E-4</v>
      </c>
      <c r="M730" s="182">
        <v>5.9400000000000002E-4</v>
      </c>
      <c r="N730" s="182">
        <v>5.9400000000000002E-4</v>
      </c>
      <c r="O730" s="182">
        <v>5.9400000000000002E-4</v>
      </c>
      <c r="P730" s="182">
        <v>5.9400000000000002E-4</v>
      </c>
      <c r="R730" s="155" t="str">
        <f t="shared" si="34"/>
        <v>A0338:エッセンシャルエナジー(株)</v>
      </c>
      <c r="S730" s="181">
        <f t="shared" si="35"/>
        <v>5.9400000000000002E-4</v>
      </c>
    </row>
    <row r="731" spans="2:19">
      <c r="B731" s="121"/>
      <c r="C731" s="490"/>
      <c r="D731" s="490" t="str">
        <f t="shared" si="33"/>
        <v/>
      </c>
      <c r="I731" s="125" t="s">
        <v>1194</v>
      </c>
      <c r="J731" s="125" t="s">
        <v>1704</v>
      </c>
      <c r="K731" s="182"/>
      <c r="L731" s="182">
        <v>2.99E-4</v>
      </c>
      <c r="M731" s="182">
        <v>2.99E-4</v>
      </c>
      <c r="N731" s="182">
        <v>2.99E-4</v>
      </c>
      <c r="O731" s="182">
        <v>2.99E-4</v>
      </c>
      <c r="P731" s="182">
        <v>2.99E-4</v>
      </c>
      <c r="R731" s="155" t="str">
        <f t="shared" si="34"/>
        <v>A0342:(株)いちき串木野電力</v>
      </c>
      <c r="S731" s="181">
        <f t="shared" si="35"/>
        <v>2.99E-4</v>
      </c>
    </row>
    <row r="732" spans="2:19">
      <c r="B732" s="121"/>
      <c r="C732" s="490"/>
      <c r="D732" s="490" t="str">
        <f t="shared" si="33"/>
        <v/>
      </c>
      <c r="I732" s="125" t="s">
        <v>1195</v>
      </c>
      <c r="J732" s="125" t="s">
        <v>1705</v>
      </c>
      <c r="K732" s="182"/>
      <c r="L732" s="182">
        <v>5.7399999999999997E-4</v>
      </c>
      <c r="M732" s="182">
        <v>5.7399999999999997E-4</v>
      </c>
      <c r="N732" s="182">
        <v>5.7399999999999997E-4</v>
      </c>
      <c r="O732" s="182">
        <v>5.7399999999999997E-4</v>
      </c>
      <c r="P732" s="182">
        <v>5.7399999999999997E-4</v>
      </c>
      <c r="R732" s="155" t="str">
        <f t="shared" si="34"/>
        <v>A0343:(株)クローバー・テクノロジーズ</v>
      </c>
      <c r="S732" s="181">
        <f t="shared" si="35"/>
        <v>5.7399999999999997E-4</v>
      </c>
    </row>
    <row r="733" spans="2:19">
      <c r="B733" s="121"/>
      <c r="C733" s="490"/>
      <c r="D733" s="490" t="str">
        <f t="shared" si="33"/>
        <v/>
      </c>
      <c r="I733" s="125" t="s">
        <v>1196</v>
      </c>
      <c r="J733" s="125" t="s">
        <v>1706</v>
      </c>
      <c r="K733" s="182"/>
      <c r="L733" s="182">
        <v>4.1899999999999999E-4</v>
      </c>
      <c r="M733" s="182">
        <v>4.1899999999999999E-4</v>
      </c>
      <c r="N733" s="182">
        <v>4.1899999999999999E-4</v>
      </c>
      <c r="O733" s="182">
        <v>4.1899999999999999E-4</v>
      </c>
      <c r="P733" s="182">
        <v>4.1899999999999999E-4</v>
      </c>
      <c r="R733" s="155" t="str">
        <f t="shared" si="34"/>
        <v>A0344:西武ガス(株)</v>
      </c>
      <c r="S733" s="181">
        <f t="shared" si="35"/>
        <v>4.1899999999999999E-4</v>
      </c>
    </row>
    <row r="734" spans="2:19">
      <c r="B734" s="121"/>
      <c r="C734" s="490"/>
      <c r="D734" s="490" t="str">
        <f t="shared" si="33"/>
        <v/>
      </c>
      <c r="I734" s="125" t="s">
        <v>1197</v>
      </c>
      <c r="J734" s="125" t="s">
        <v>1707</v>
      </c>
      <c r="K734" s="182" t="s">
        <v>652</v>
      </c>
      <c r="L734" s="182">
        <v>0</v>
      </c>
      <c r="M734" s="182">
        <v>0</v>
      </c>
      <c r="N734" s="182">
        <v>0</v>
      </c>
      <c r="O734" s="182">
        <v>0</v>
      </c>
      <c r="P734" s="182">
        <v>0</v>
      </c>
      <c r="R734" s="155" t="str">
        <f t="shared" si="34"/>
        <v>A0345:松本ガス(株)メニューA</v>
      </c>
      <c r="S734" s="181">
        <f t="shared" si="35"/>
        <v>0</v>
      </c>
    </row>
    <row r="735" spans="2:19">
      <c r="B735" s="121"/>
      <c r="C735" s="490"/>
      <c r="D735" s="490" t="str">
        <f t="shared" si="33"/>
        <v/>
      </c>
      <c r="I735" s="125" t="s">
        <v>1197</v>
      </c>
      <c r="J735" s="125" t="s">
        <v>1707</v>
      </c>
      <c r="K735" s="182" t="s">
        <v>729</v>
      </c>
      <c r="L735" s="182">
        <v>4.3399999999999998E-4</v>
      </c>
      <c r="M735" s="182">
        <v>4.3399999999999998E-4</v>
      </c>
      <c r="N735" s="182">
        <v>4.3399999999999998E-4</v>
      </c>
      <c r="O735" s="182">
        <v>4.3399999999999998E-4</v>
      </c>
      <c r="P735" s="182">
        <v>4.3399999999999998E-4</v>
      </c>
      <c r="R735" s="155" t="str">
        <f t="shared" si="34"/>
        <v>A0345:松本ガス(株)メニューB</v>
      </c>
      <c r="S735" s="181">
        <f t="shared" si="35"/>
        <v>4.3399999999999998E-4</v>
      </c>
    </row>
    <row r="736" spans="2:19">
      <c r="B736" s="121"/>
      <c r="C736" s="490"/>
      <c r="D736" s="490" t="str">
        <f t="shared" si="33"/>
        <v/>
      </c>
      <c r="I736" s="125" t="s">
        <v>1197</v>
      </c>
      <c r="J736" s="125" t="s">
        <v>1707</v>
      </c>
      <c r="K736" s="182" t="s">
        <v>1998</v>
      </c>
      <c r="L736" s="182">
        <v>3.4000000000000002E-4</v>
      </c>
      <c r="M736" s="182">
        <v>3.4000000000000002E-4</v>
      </c>
      <c r="N736" s="182">
        <v>3.4000000000000002E-4</v>
      </c>
      <c r="O736" s="182">
        <v>3.4000000000000002E-4</v>
      </c>
      <c r="P736" s="182">
        <v>3.4000000000000002E-4</v>
      </c>
      <c r="R736" s="155" t="str">
        <f t="shared" si="34"/>
        <v>A0345:松本ガス(株)(参考値)事業者全体</v>
      </c>
      <c r="S736" s="181">
        <f t="shared" si="35"/>
        <v>3.4000000000000002E-4</v>
      </c>
    </row>
    <row r="737" spans="2:19">
      <c r="B737" s="121"/>
      <c r="C737" s="490"/>
      <c r="D737" s="490" t="str">
        <f t="shared" si="33"/>
        <v/>
      </c>
      <c r="I737" s="125" t="s">
        <v>1198</v>
      </c>
      <c r="J737" s="125" t="s">
        <v>1708</v>
      </c>
      <c r="K737" s="182"/>
      <c r="L737" s="182">
        <v>4.7800000000000002E-4</v>
      </c>
      <c r="M737" s="182">
        <v>4.7800000000000002E-4</v>
      </c>
      <c r="N737" s="182">
        <v>4.7800000000000002E-4</v>
      </c>
      <c r="O737" s="182">
        <v>4.7800000000000002E-4</v>
      </c>
      <c r="P737" s="182">
        <v>4.7800000000000002E-4</v>
      </c>
      <c r="R737" s="155" t="str">
        <f t="shared" si="34"/>
        <v>A0348:南部だんだんエナジー(株)</v>
      </c>
      <c r="S737" s="181">
        <f t="shared" si="35"/>
        <v>4.7800000000000002E-4</v>
      </c>
    </row>
    <row r="738" spans="2:19">
      <c r="B738" s="121"/>
      <c r="C738" s="490"/>
      <c r="D738" s="490" t="str">
        <f t="shared" si="33"/>
        <v/>
      </c>
      <c r="I738" s="125" t="s">
        <v>1199</v>
      </c>
      <c r="J738" s="125" t="s">
        <v>1709</v>
      </c>
      <c r="K738" s="182"/>
      <c r="L738" s="182">
        <v>5.6499999999999996E-4</v>
      </c>
      <c r="M738" s="182">
        <v>5.6499999999999996E-4</v>
      </c>
      <c r="N738" s="182">
        <v>5.6499999999999996E-4</v>
      </c>
      <c r="O738" s="182">
        <v>5.6499999999999996E-4</v>
      </c>
      <c r="P738" s="182">
        <v>5.6499999999999996E-4</v>
      </c>
      <c r="R738" s="155" t="str">
        <f t="shared" si="34"/>
        <v>A0349:(株)エフエネ</v>
      </c>
      <c r="S738" s="181">
        <f t="shared" si="35"/>
        <v>5.6499999999999996E-4</v>
      </c>
    </row>
    <row r="739" spans="2:19">
      <c r="B739" s="121"/>
      <c r="C739" s="490"/>
      <c r="D739" s="490" t="str">
        <f t="shared" si="33"/>
        <v/>
      </c>
      <c r="I739" s="125" t="s">
        <v>1200</v>
      </c>
      <c r="J739" s="125" t="s">
        <v>1710</v>
      </c>
      <c r="K739" s="182"/>
      <c r="L739" s="182">
        <v>5.1800000000000001E-4</v>
      </c>
      <c r="M739" s="182">
        <v>5.1800000000000001E-4</v>
      </c>
      <c r="N739" s="182">
        <v>5.1800000000000001E-4</v>
      </c>
      <c r="O739" s="182">
        <v>5.1800000000000001E-4</v>
      </c>
      <c r="P739" s="182">
        <v>5.1800000000000001E-4</v>
      </c>
      <c r="R739" s="155" t="str">
        <f t="shared" si="34"/>
        <v>A0350:こなんウルトラパワー(株)</v>
      </c>
      <c r="S739" s="181">
        <f t="shared" si="35"/>
        <v>5.1800000000000001E-4</v>
      </c>
    </row>
    <row r="740" spans="2:19">
      <c r="B740" s="121"/>
      <c r="C740" s="490"/>
      <c r="D740" s="490" t="str">
        <f t="shared" si="33"/>
        <v/>
      </c>
      <c r="I740" s="125" t="s">
        <v>1201</v>
      </c>
      <c r="J740" s="125" t="s">
        <v>1711</v>
      </c>
      <c r="K740" s="182"/>
      <c r="L740" s="182">
        <v>3.9199999999999999E-4</v>
      </c>
      <c r="M740" s="182">
        <v>3.9199999999999999E-4</v>
      </c>
      <c r="N740" s="182">
        <v>3.9199999999999999E-4</v>
      </c>
      <c r="O740" s="182">
        <v>3.9199999999999999E-4</v>
      </c>
      <c r="P740" s="182">
        <v>3.9199999999999999E-4</v>
      </c>
      <c r="R740" s="155" t="str">
        <f t="shared" si="34"/>
        <v>A0351:(株)CHIBAむつざわエナジー</v>
      </c>
      <c r="S740" s="181">
        <f t="shared" si="35"/>
        <v>3.9199999999999999E-4</v>
      </c>
    </row>
    <row r="741" spans="2:19">
      <c r="B741" s="121"/>
      <c r="C741" s="490"/>
      <c r="D741" s="490" t="str">
        <f t="shared" si="33"/>
        <v/>
      </c>
      <c r="I741" s="125" t="s">
        <v>1202</v>
      </c>
      <c r="J741" s="125" t="s">
        <v>1712</v>
      </c>
      <c r="K741" s="182"/>
      <c r="L741" s="182">
        <v>5.6400000000000005E-4</v>
      </c>
      <c r="M741" s="182">
        <v>5.6400000000000005E-4</v>
      </c>
      <c r="N741" s="182">
        <v>5.6400000000000005E-4</v>
      </c>
      <c r="O741" s="182">
        <v>5.6400000000000005E-4</v>
      </c>
      <c r="P741" s="182">
        <v>5.6400000000000005E-4</v>
      </c>
      <c r="R741" s="155" t="str">
        <f t="shared" si="34"/>
        <v>A0352:(株)関西空調</v>
      </c>
      <c r="S741" s="181">
        <f t="shared" si="35"/>
        <v>5.6400000000000005E-4</v>
      </c>
    </row>
    <row r="742" spans="2:19">
      <c r="B742" s="121"/>
      <c r="C742" s="490"/>
      <c r="D742" s="490" t="str">
        <f t="shared" si="33"/>
        <v/>
      </c>
      <c r="I742" s="125" t="s">
        <v>1203</v>
      </c>
      <c r="J742" s="125" t="s">
        <v>1713</v>
      </c>
      <c r="K742" s="182"/>
      <c r="L742" s="182">
        <v>4.7800000000000002E-4</v>
      </c>
      <c r="M742" s="182">
        <v>4.7800000000000002E-4</v>
      </c>
      <c r="N742" s="182">
        <v>4.7800000000000002E-4</v>
      </c>
      <c r="O742" s="182">
        <v>4.7800000000000002E-4</v>
      </c>
      <c r="P742" s="182">
        <v>4.7800000000000002E-4</v>
      </c>
      <c r="R742" s="155" t="str">
        <f t="shared" si="34"/>
        <v>A0353:奥出雲電力(株)</v>
      </c>
      <c r="S742" s="181">
        <f t="shared" si="35"/>
        <v>4.7800000000000002E-4</v>
      </c>
    </row>
    <row r="743" spans="2:19">
      <c r="B743" s="121"/>
      <c r="C743" s="490"/>
      <c r="D743" s="490" t="str">
        <f t="shared" si="33"/>
        <v/>
      </c>
      <c r="I743" s="125" t="s">
        <v>1204</v>
      </c>
      <c r="J743" s="125" t="s">
        <v>1714</v>
      </c>
      <c r="K743" s="182" t="s">
        <v>652</v>
      </c>
      <c r="L743" s="182">
        <v>0</v>
      </c>
      <c r="M743" s="182">
        <v>0</v>
      </c>
      <c r="N743" s="182">
        <v>0</v>
      </c>
      <c r="O743" s="182">
        <v>0</v>
      </c>
      <c r="P743" s="182">
        <v>0</v>
      </c>
      <c r="R743" s="155" t="str">
        <f t="shared" si="34"/>
        <v>A0355:レジル(株)メニューA</v>
      </c>
      <c r="S743" s="181">
        <f t="shared" si="35"/>
        <v>0</v>
      </c>
    </row>
    <row r="744" spans="2:19">
      <c r="B744" s="121"/>
      <c r="C744" s="490"/>
      <c r="D744" s="490" t="str">
        <f t="shared" si="33"/>
        <v/>
      </c>
      <c r="I744" s="125" t="s">
        <v>1204</v>
      </c>
      <c r="J744" s="125" t="s">
        <v>1714</v>
      </c>
      <c r="K744" s="182" t="s">
        <v>729</v>
      </c>
      <c r="L744" s="182">
        <v>0</v>
      </c>
      <c r="M744" s="182">
        <v>0</v>
      </c>
      <c r="N744" s="182">
        <v>0</v>
      </c>
      <c r="O744" s="182">
        <v>0</v>
      </c>
      <c r="P744" s="182">
        <v>0</v>
      </c>
      <c r="R744" s="155" t="str">
        <f t="shared" si="34"/>
        <v>A0355:レジル(株)メニューB</v>
      </c>
      <c r="S744" s="181">
        <f t="shared" si="35"/>
        <v>0</v>
      </c>
    </row>
    <row r="745" spans="2:19">
      <c r="B745" s="121"/>
      <c r="C745" s="490"/>
      <c r="D745" s="490" t="str">
        <f t="shared" si="33"/>
        <v/>
      </c>
      <c r="I745" s="125" t="s">
        <v>1204</v>
      </c>
      <c r="J745" s="125" t="s">
        <v>1714</v>
      </c>
      <c r="K745" s="182" t="s">
        <v>730</v>
      </c>
      <c r="L745" s="182">
        <v>0</v>
      </c>
      <c r="M745" s="182">
        <v>0</v>
      </c>
      <c r="N745" s="182">
        <v>0</v>
      </c>
      <c r="O745" s="182">
        <v>0</v>
      </c>
      <c r="P745" s="182">
        <v>0</v>
      </c>
      <c r="R745" s="155" t="str">
        <f t="shared" si="34"/>
        <v>A0355:レジル(株)メニューC</v>
      </c>
      <c r="S745" s="181">
        <f t="shared" si="35"/>
        <v>0</v>
      </c>
    </row>
    <row r="746" spans="2:19">
      <c r="B746" s="121"/>
      <c r="C746" s="490"/>
      <c r="D746" s="490" t="str">
        <f t="shared" si="33"/>
        <v/>
      </c>
      <c r="I746" s="125" t="s">
        <v>1204</v>
      </c>
      <c r="J746" s="125" t="s">
        <v>1714</v>
      </c>
      <c r="K746" s="182" t="s">
        <v>915</v>
      </c>
      <c r="L746" s="182">
        <v>4.2200000000000001E-4</v>
      </c>
      <c r="M746" s="182">
        <v>4.2200000000000001E-4</v>
      </c>
      <c r="N746" s="182">
        <v>4.2200000000000001E-4</v>
      </c>
      <c r="O746" s="182">
        <v>4.2200000000000001E-4</v>
      </c>
      <c r="P746" s="182">
        <v>4.2200000000000001E-4</v>
      </c>
      <c r="R746" s="155" t="str">
        <f t="shared" si="34"/>
        <v>A0355:レジル(株)メニューD</v>
      </c>
      <c r="S746" s="181">
        <f t="shared" si="35"/>
        <v>4.2200000000000001E-4</v>
      </c>
    </row>
    <row r="747" spans="2:19">
      <c r="B747" s="121"/>
      <c r="C747" s="490"/>
      <c r="D747" s="490" t="str">
        <f t="shared" si="33"/>
        <v/>
      </c>
      <c r="I747" s="125" t="s">
        <v>1204</v>
      </c>
      <c r="J747" s="125" t="s">
        <v>1714</v>
      </c>
      <c r="K747" s="182" t="s">
        <v>1998</v>
      </c>
      <c r="L747" s="182">
        <v>1.6200000000000001E-4</v>
      </c>
      <c r="M747" s="182">
        <v>1.6200000000000001E-4</v>
      </c>
      <c r="N747" s="182">
        <v>1.6200000000000001E-4</v>
      </c>
      <c r="O747" s="182">
        <v>1.6200000000000001E-4</v>
      </c>
      <c r="P747" s="182">
        <v>1.6200000000000001E-4</v>
      </c>
      <c r="R747" s="155" t="str">
        <f t="shared" si="34"/>
        <v>A0355:レジル(株)(参考値)事業者全体</v>
      </c>
      <c r="S747" s="181">
        <f t="shared" si="35"/>
        <v>1.6200000000000001E-4</v>
      </c>
    </row>
    <row r="748" spans="2:19">
      <c r="B748" s="121"/>
      <c r="C748" s="490"/>
      <c r="D748" s="490" t="str">
        <f t="shared" si="33"/>
        <v/>
      </c>
      <c r="I748" s="125" t="s">
        <v>1205</v>
      </c>
      <c r="J748" s="125" t="s">
        <v>1715</v>
      </c>
      <c r="K748" s="182"/>
      <c r="L748" s="182">
        <v>4.15E-4</v>
      </c>
      <c r="M748" s="182">
        <v>4.15E-4</v>
      </c>
      <c r="N748" s="182">
        <v>4.15E-4</v>
      </c>
      <c r="O748" s="182">
        <v>4.15E-4</v>
      </c>
      <c r="P748" s="182">
        <v>4.15E-4</v>
      </c>
      <c r="R748" s="155" t="str">
        <f t="shared" si="34"/>
        <v>A0356:(株)成田香取エネルギー</v>
      </c>
      <c r="S748" s="181">
        <f t="shared" si="35"/>
        <v>4.15E-4</v>
      </c>
    </row>
    <row r="749" spans="2:19">
      <c r="B749" s="121"/>
      <c r="C749" s="490"/>
      <c r="D749" s="490" t="str">
        <f t="shared" si="33"/>
        <v/>
      </c>
      <c r="I749" s="125" t="s">
        <v>1206</v>
      </c>
      <c r="J749" s="125" t="s">
        <v>1716</v>
      </c>
      <c r="K749" s="182"/>
      <c r="L749" s="182">
        <v>3.4099999999999999E-4</v>
      </c>
      <c r="M749" s="182">
        <v>3.4099999999999999E-4</v>
      </c>
      <c r="N749" s="182">
        <v>3.4099999999999999E-4</v>
      </c>
      <c r="O749" s="182">
        <v>3.4099999999999999E-4</v>
      </c>
      <c r="P749" s="182">
        <v>3.4099999999999999E-4</v>
      </c>
      <c r="R749" s="155" t="str">
        <f t="shared" si="34"/>
        <v>A0362:(株)CWS</v>
      </c>
      <c r="S749" s="181">
        <f t="shared" si="35"/>
        <v>3.4099999999999999E-4</v>
      </c>
    </row>
    <row r="750" spans="2:19">
      <c r="B750" s="121"/>
      <c r="C750" s="490"/>
      <c r="D750" s="490" t="str">
        <f t="shared" ref="D750:D813" si="36">IF(B750="","",B750&amp;":"&amp;C750)</f>
        <v/>
      </c>
      <c r="I750" s="125" t="s">
        <v>1207</v>
      </c>
      <c r="J750" s="125" t="s">
        <v>1717</v>
      </c>
      <c r="K750" s="182"/>
      <c r="L750" s="182">
        <v>3.9800000000000002E-4</v>
      </c>
      <c r="M750" s="182">
        <v>3.9800000000000002E-4</v>
      </c>
      <c r="N750" s="182">
        <v>3.9800000000000002E-4</v>
      </c>
      <c r="O750" s="182">
        <v>3.9800000000000002E-4</v>
      </c>
      <c r="P750" s="182">
        <v>3.9800000000000002E-4</v>
      </c>
      <c r="R750" s="155" t="str">
        <f t="shared" si="34"/>
        <v>A0364:ふくしま新電力(株)</v>
      </c>
      <c r="S750" s="181">
        <f t="shared" si="35"/>
        <v>3.9800000000000002E-4</v>
      </c>
    </row>
    <row r="751" spans="2:19">
      <c r="B751" s="121"/>
      <c r="C751" s="490"/>
      <c r="D751" s="490" t="str">
        <f t="shared" si="36"/>
        <v/>
      </c>
      <c r="I751" s="125" t="s">
        <v>1208</v>
      </c>
      <c r="J751" s="125" t="s">
        <v>1718</v>
      </c>
      <c r="K751" s="182" t="s">
        <v>652</v>
      </c>
      <c r="L751" s="182">
        <v>0</v>
      </c>
      <c r="M751" s="182">
        <v>0</v>
      </c>
      <c r="N751" s="182">
        <v>0</v>
      </c>
      <c r="O751" s="182">
        <v>0</v>
      </c>
      <c r="P751" s="182">
        <v>0</v>
      </c>
      <c r="R751" s="155" t="str">
        <f t="shared" si="34"/>
        <v>A0365:ティーダッシュ合同会社メニューA</v>
      </c>
      <c r="S751" s="181">
        <f t="shared" si="35"/>
        <v>0</v>
      </c>
    </row>
    <row r="752" spans="2:19">
      <c r="B752" s="121"/>
      <c r="C752" s="490"/>
      <c r="D752" s="490" t="str">
        <f t="shared" si="36"/>
        <v/>
      </c>
      <c r="I752" s="125" t="s">
        <v>1208</v>
      </c>
      <c r="J752" s="125" t="s">
        <v>1718</v>
      </c>
      <c r="K752" s="182" t="s">
        <v>729</v>
      </c>
      <c r="L752" s="182">
        <v>4.0099999999999999E-4</v>
      </c>
      <c r="M752" s="182">
        <v>4.0099999999999999E-4</v>
      </c>
      <c r="N752" s="182">
        <v>4.0099999999999999E-4</v>
      </c>
      <c r="O752" s="182">
        <v>4.0099999999999999E-4</v>
      </c>
      <c r="P752" s="182">
        <v>4.0099999999999999E-4</v>
      </c>
      <c r="R752" s="155" t="str">
        <f t="shared" si="34"/>
        <v>A0365:ティーダッシュ合同会社メニューB</v>
      </c>
      <c r="S752" s="181">
        <f t="shared" si="35"/>
        <v>4.0099999999999999E-4</v>
      </c>
    </row>
    <row r="753" spans="2:19">
      <c r="B753" s="121"/>
      <c r="C753" s="490"/>
      <c r="D753" s="490" t="str">
        <f t="shared" si="36"/>
        <v/>
      </c>
      <c r="I753" s="125" t="s">
        <v>1208</v>
      </c>
      <c r="J753" s="125" t="s">
        <v>1718</v>
      </c>
      <c r="K753" s="182" t="s">
        <v>1998</v>
      </c>
      <c r="L753" s="182">
        <v>3.9399999999999998E-4</v>
      </c>
      <c r="M753" s="182">
        <v>3.9399999999999998E-4</v>
      </c>
      <c r="N753" s="182">
        <v>3.9399999999999998E-4</v>
      </c>
      <c r="O753" s="182">
        <v>3.9399999999999998E-4</v>
      </c>
      <c r="P753" s="182">
        <v>3.9399999999999998E-4</v>
      </c>
      <c r="R753" s="155" t="str">
        <f t="shared" si="34"/>
        <v>A0365:ティーダッシュ合同会社(参考値)事業者全体</v>
      </c>
      <c r="S753" s="181">
        <f t="shared" si="35"/>
        <v>3.9399999999999998E-4</v>
      </c>
    </row>
    <row r="754" spans="2:19">
      <c r="B754" s="121"/>
      <c r="C754" s="490"/>
      <c r="D754" s="490" t="str">
        <f t="shared" si="36"/>
        <v/>
      </c>
      <c r="I754" s="125" t="s">
        <v>1209</v>
      </c>
      <c r="J754" s="125" t="s">
        <v>1719</v>
      </c>
      <c r="K754" s="182"/>
      <c r="L754" s="182">
        <v>3.3300000000000002E-4</v>
      </c>
      <c r="M754" s="182">
        <v>3.3300000000000002E-4</v>
      </c>
      <c r="N754" s="182">
        <v>3.3300000000000002E-4</v>
      </c>
      <c r="O754" s="182">
        <v>3.3300000000000002E-4</v>
      </c>
      <c r="P754" s="182">
        <v>3.3300000000000002E-4</v>
      </c>
      <c r="R754" s="155" t="str">
        <f t="shared" si="34"/>
        <v>A0366:(株)エネクスライフサービス</v>
      </c>
      <c r="S754" s="181">
        <f t="shared" si="35"/>
        <v>3.3300000000000002E-4</v>
      </c>
    </row>
    <row r="755" spans="2:19">
      <c r="B755" s="121"/>
      <c r="C755" s="490"/>
      <c r="D755" s="490" t="str">
        <f t="shared" si="36"/>
        <v/>
      </c>
      <c r="I755" s="125" t="s">
        <v>1210</v>
      </c>
      <c r="J755" s="125" t="s">
        <v>1720</v>
      </c>
      <c r="K755" s="182"/>
      <c r="L755" s="182">
        <v>4.8200000000000001E-4</v>
      </c>
      <c r="M755" s="182">
        <v>4.8200000000000001E-4</v>
      </c>
      <c r="N755" s="182">
        <v>4.8200000000000001E-4</v>
      </c>
      <c r="O755" s="182">
        <v>4.8200000000000001E-4</v>
      </c>
      <c r="P755" s="182">
        <v>4.8200000000000001E-4</v>
      </c>
      <c r="R755" s="155" t="str">
        <f t="shared" si="34"/>
        <v>A0367:ネイチャーエナジー小国(株)</v>
      </c>
      <c r="S755" s="181">
        <f t="shared" si="35"/>
        <v>4.8200000000000001E-4</v>
      </c>
    </row>
    <row r="756" spans="2:19">
      <c r="B756" s="121"/>
      <c r="C756" s="490"/>
      <c r="D756" s="490" t="str">
        <f t="shared" si="36"/>
        <v/>
      </c>
      <c r="I756" s="125" t="s">
        <v>1211</v>
      </c>
      <c r="J756" s="125" t="s">
        <v>1721</v>
      </c>
      <c r="K756" s="182"/>
      <c r="L756" s="182">
        <v>3.7399999999999998E-4</v>
      </c>
      <c r="M756" s="182">
        <v>3.7399999999999998E-4</v>
      </c>
      <c r="N756" s="182">
        <v>3.7399999999999998E-4</v>
      </c>
      <c r="O756" s="182">
        <v>3.7399999999999998E-4</v>
      </c>
      <c r="P756" s="182">
        <v>3.7399999999999998E-4</v>
      </c>
      <c r="R756" s="155" t="str">
        <f t="shared" si="34"/>
        <v>A0368:リエスパワーネクスト(株)</v>
      </c>
      <c r="S756" s="181">
        <f t="shared" si="35"/>
        <v>3.7399999999999998E-4</v>
      </c>
    </row>
    <row r="757" spans="2:19">
      <c r="B757" s="121"/>
      <c r="C757" s="490"/>
      <c r="D757" s="490" t="str">
        <f t="shared" si="36"/>
        <v/>
      </c>
      <c r="I757" s="125" t="s">
        <v>1212</v>
      </c>
      <c r="J757" s="125" t="s">
        <v>1722</v>
      </c>
      <c r="K757" s="182"/>
      <c r="L757" s="182">
        <v>5.6999999999999998E-4</v>
      </c>
      <c r="M757" s="182">
        <v>5.6999999999999998E-4</v>
      </c>
      <c r="N757" s="182">
        <v>5.6999999999999998E-4</v>
      </c>
      <c r="O757" s="182">
        <v>5.6999999999999998E-4</v>
      </c>
      <c r="P757" s="182">
        <v>5.6999999999999998E-4</v>
      </c>
      <c r="R757" s="155" t="str">
        <f t="shared" si="34"/>
        <v>A0371:エネルギーパワー(株)</v>
      </c>
      <c r="S757" s="181">
        <f t="shared" si="35"/>
        <v>5.6999999999999998E-4</v>
      </c>
    </row>
    <row r="758" spans="2:19">
      <c r="B758" s="121"/>
      <c r="C758" s="490"/>
      <c r="D758" s="490" t="str">
        <f t="shared" si="36"/>
        <v/>
      </c>
      <c r="I758" s="125" t="s">
        <v>1213</v>
      </c>
      <c r="J758" s="125" t="s">
        <v>1723</v>
      </c>
      <c r="K758" s="182" t="s">
        <v>652</v>
      </c>
      <c r="L758" s="182">
        <v>0</v>
      </c>
      <c r="M758" s="182">
        <v>0</v>
      </c>
      <c r="N758" s="182">
        <v>0</v>
      </c>
      <c r="O758" s="182">
        <v>0</v>
      </c>
      <c r="P758" s="182">
        <v>0</v>
      </c>
      <c r="R758" s="155" t="str">
        <f t="shared" si="34"/>
        <v>A0372:(株)グリムスパワーメニューA</v>
      </c>
      <c r="S758" s="181">
        <f t="shared" si="35"/>
        <v>0</v>
      </c>
    </row>
    <row r="759" spans="2:19">
      <c r="B759" s="121"/>
      <c r="C759" s="490"/>
      <c r="D759" s="490" t="str">
        <f t="shared" si="36"/>
        <v/>
      </c>
      <c r="I759" s="125" t="s">
        <v>1213</v>
      </c>
      <c r="J759" s="125" t="s">
        <v>1723</v>
      </c>
      <c r="K759" s="182" t="s">
        <v>729</v>
      </c>
      <c r="L759" s="182">
        <v>5.5199999999999997E-4</v>
      </c>
      <c r="M759" s="182">
        <v>5.5199999999999997E-4</v>
      </c>
      <c r="N759" s="182">
        <v>5.5199999999999997E-4</v>
      </c>
      <c r="O759" s="182">
        <v>5.5199999999999997E-4</v>
      </c>
      <c r="P759" s="182">
        <v>5.5199999999999997E-4</v>
      </c>
      <c r="R759" s="155" t="str">
        <f t="shared" si="34"/>
        <v>A0372:(株)グリムスパワーメニューB</v>
      </c>
      <c r="S759" s="181">
        <f t="shared" si="35"/>
        <v>5.5199999999999997E-4</v>
      </c>
    </row>
    <row r="760" spans="2:19">
      <c r="B760" s="121"/>
      <c r="C760" s="490"/>
      <c r="D760" s="490" t="str">
        <f t="shared" si="36"/>
        <v/>
      </c>
      <c r="I760" s="125" t="s">
        <v>1213</v>
      </c>
      <c r="J760" s="125" t="s">
        <v>1723</v>
      </c>
      <c r="K760" s="182" t="s">
        <v>1998</v>
      </c>
      <c r="L760" s="182">
        <v>5.4699999999999996E-4</v>
      </c>
      <c r="M760" s="182">
        <v>5.4699999999999996E-4</v>
      </c>
      <c r="N760" s="182">
        <v>5.4699999999999996E-4</v>
      </c>
      <c r="O760" s="182">
        <v>5.4699999999999996E-4</v>
      </c>
      <c r="P760" s="182">
        <v>5.4699999999999996E-4</v>
      </c>
      <c r="R760" s="155" t="str">
        <f t="shared" si="34"/>
        <v>A0372:(株)グリムスパワー(参考値)事業者全体</v>
      </c>
      <c r="S760" s="181">
        <f t="shared" si="35"/>
        <v>5.4699999999999996E-4</v>
      </c>
    </row>
    <row r="761" spans="2:19">
      <c r="B761" s="121"/>
      <c r="C761" s="490"/>
      <c r="D761" s="490" t="str">
        <f t="shared" si="36"/>
        <v/>
      </c>
      <c r="I761" s="125" t="s">
        <v>1214</v>
      </c>
      <c r="J761" s="125" t="s">
        <v>1724</v>
      </c>
      <c r="K761" s="182"/>
      <c r="L761" s="182">
        <v>5.71E-4</v>
      </c>
      <c r="M761" s="182">
        <v>5.71E-4</v>
      </c>
      <c r="N761" s="182">
        <v>5.71E-4</v>
      </c>
      <c r="O761" s="182">
        <v>5.71E-4</v>
      </c>
      <c r="P761" s="182">
        <v>5.71E-4</v>
      </c>
      <c r="R761" s="155" t="str">
        <f t="shared" si="34"/>
        <v>A0376:自然電力(株)</v>
      </c>
      <c r="S761" s="181">
        <f t="shared" si="35"/>
        <v>5.71E-4</v>
      </c>
    </row>
    <row r="762" spans="2:19">
      <c r="B762" s="121"/>
      <c r="C762" s="490"/>
      <c r="D762" s="490" t="str">
        <f t="shared" si="36"/>
        <v/>
      </c>
      <c r="I762" s="125" t="s">
        <v>1215</v>
      </c>
      <c r="J762" s="125" t="s">
        <v>1725</v>
      </c>
      <c r="K762" s="182"/>
      <c r="L762" s="182">
        <v>4.1899999999999999E-4</v>
      </c>
      <c r="M762" s="182">
        <v>4.1899999999999999E-4</v>
      </c>
      <c r="N762" s="182">
        <v>4.1899999999999999E-4</v>
      </c>
      <c r="O762" s="182">
        <v>4.1899999999999999E-4</v>
      </c>
      <c r="P762" s="182">
        <v>4.1899999999999999E-4</v>
      </c>
      <c r="R762" s="155" t="str">
        <f t="shared" si="34"/>
        <v>A0378:本庄ガス(株)</v>
      </c>
      <c r="S762" s="181">
        <f t="shared" si="35"/>
        <v>4.1899999999999999E-4</v>
      </c>
    </row>
    <row r="763" spans="2:19">
      <c r="B763" s="121"/>
      <c r="C763" s="490"/>
      <c r="D763" s="490" t="str">
        <f t="shared" si="36"/>
        <v/>
      </c>
      <c r="I763" s="125" t="s">
        <v>1216</v>
      </c>
      <c r="J763" s="125" t="s">
        <v>1726</v>
      </c>
      <c r="K763" s="182"/>
      <c r="L763" s="182">
        <v>4.84E-4</v>
      </c>
      <c r="M763" s="182">
        <v>4.84E-4</v>
      </c>
      <c r="N763" s="182">
        <v>4.84E-4</v>
      </c>
      <c r="O763" s="182">
        <v>4.84E-4</v>
      </c>
      <c r="P763" s="182">
        <v>4.84E-4</v>
      </c>
      <c r="R763" s="155" t="str">
        <f t="shared" si="34"/>
        <v>A0380:青森県民エナジー(株)</v>
      </c>
      <c r="S763" s="181">
        <f t="shared" si="35"/>
        <v>4.84E-4</v>
      </c>
    </row>
    <row r="764" spans="2:19">
      <c r="B764" s="121"/>
      <c r="C764" s="490"/>
      <c r="D764" s="490" t="str">
        <f t="shared" si="36"/>
        <v/>
      </c>
      <c r="I764" s="125" t="s">
        <v>1217</v>
      </c>
      <c r="J764" s="125" t="s">
        <v>1727</v>
      </c>
      <c r="K764" s="182" t="s">
        <v>652</v>
      </c>
      <c r="L764" s="182">
        <v>0</v>
      </c>
      <c r="M764" s="182">
        <v>0</v>
      </c>
      <c r="N764" s="182">
        <v>0</v>
      </c>
      <c r="O764" s="182">
        <v>0</v>
      </c>
      <c r="P764" s="182">
        <v>0</v>
      </c>
      <c r="R764" s="155" t="str">
        <f t="shared" si="34"/>
        <v>A0381:国際航業(株)メニューA</v>
      </c>
      <c r="S764" s="181">
        <f t="shared" si="35"/>
        <v>0</v>
      </c>
    </row>
    <row r="765" spans="2:19">
      <c r="B765" s="121"/>
      <c r="C765" s="490"/>
      <c r="D765" s="490" t="str">
        <f t="shared" si="36"/>
        <v/>
      </c>
      <c r="I765" s="125" t="s">
        <v>1217</v>
      </c>
      <c r="J765" s="125" t="s">
        <v>1727</v>
      </c>
      <c r="K765" s="182" t="s">
        <v>729</v>
      </c>
      <c r="L765" s="182">
        <v>6.4400000000000004E-4</v>
      </c>
      <c r="M765" s="182">
        <v>6.4400000000000004E-4</v>
      </c>
      <c r="N765" s="182">
        <v>6.4400000000000004E-4</v>
      </c>
      <c r="O765" s="182">
        <v>6.4400000000000004E-4</v>
      </c>
      <c r="P765" s="182">
        <v>6.4400000000000004E-4</v>
      </c>
      <c r="R765" s="155" t="str">
        <f t="shared" si="34"/>
        <v>A0381:国際航業(株)メニューB</v>
      </c>
      <c r="S765" s="181">
        <f t="shared" si="35"/>
        <v>6.4400000000000004E-4</v>
      </c>
    </row>
    <row r="766" spans="2:19">
      <c r="B766" s="121"/>
      <c r="C766" s="490"/>
      <c r="D766" s="490" t="str">
        <f t="shared" si="36"/>
        <v/>
      </c>
      <c r="I766" s="125" t="s">
        <v>1217</v>
      </c>
      <c r="J766" s="125" t="s">
        <v>1727</v>
      </c>
      <c r="K766" s="182" t="s">
        <v>1998</v>
      </c>
      <c r="L766" s="182">
        <v>2.6800000000000001E-4</v>
      </c>
      <c r="M766" s="182">
        <v>2.6800000000000001E-4</v>
      </c>
      <c r="N766" s="182">
        <v>2.6800000000000001E-4</v>
      </c>
      <c r="O766" s="182">
        <v>2.6800000000000001E-4</v>
      </c>
      <c r="P766" s="182">
        <v>2.6800000000000001E-4</v>
      </c>
      <c r="R766" s="155" t="str">
        <f t="shared" si="34"/>
        <v>A0381:国際航業(株)(参考値)事業者全体</v>
      </c>
      <c r="S766" s="181">
        <f t="shared" si="35"/>
        <v>2.6800000000000001E-4</v>
      </c>
    </row>
    <row r="767" spans="2:19">
      <c r="B767" s="121"/>
      <c r="C767" s="490"/>
      <c r="D767" s="490" t="str">
        <f t="shared" si="36"/>
        <v/>
      </c>
      <c r="I767" s="125" t="s">
        <v>1218</v>
      </c>
      <c r="J767" s="125" t="s">
        <v>1728</v>
      </c>
      <c r="K767" s="182" t="s">
        <v>652</v>
      </c>
      <c r="L767" s="182">
        <v>0</v>
      </c>
      <c r="M767" s="182">
        <v>0</v>
      </c>
      <c r="N767" s="182">
        <v>0</v>
      </c>
      <c r="O767" s="182">
        <v>0</v>
      </c>
      <c r="P767" s="182">
        <v>0</v>
      </c>
      <c r="R767" s="155" t="str">
        <f t="shared" si="34"/>
        <v>A0382:ローカルでんき(株)メニューA</v>
      </c>
      <c r="S767" s="181">
        <f t="shared" si="35"/>
        <v>0</v>
      </c>
    </row>
    <row r="768" spans="2:19">
      <c r="B768" s="121"/>
      <c r="C768" s="490"/>
      <c r="D768" s="490" t="str">
        <f t="shared" si="36"/>
        <v/>
      </c>
      <c r="I768" s="125" t="s">
        <v>1218</v>
      </c>
      <c r="J768" s="125" t="s">
        <v>1728</v>
      </c>
      <c r="K768" s="182" t="s">
        <v>729</v>
      </c>
      <c r="L768" s="182">
        <v>5.4100000000000003E-4</v>
      </c>
      <c r="M768" s="182">
        <v>5.4100000000000003E-4</v>
      </c>
      <c r="N768" s="182">
        <v>5.4100000000000003E-4</v>
      </c>
      <c r="O768" s="182">
        <v>5.4100000000000003E-4</v>
      </c>
      <c r="P768" s="182">
        <v>5.4100000000000003E-4</v>
      </c>
      <c r="R768" s="155" t="str">
        <f t="shared" si="34"/>
        <v>A0382:ローカルでんき(株)メニューB</v>
      </c>
      <c r="S768" s="181">
        <f t="shared" si="35"/>
        <v>5.4100000000000003E-4</v>
      </c>
    </row>
    <row r="769" spans="2:19">
      <c r="B769" s="121"/>
      <c r="C769" s="490"/>
      <c r="D769" s="490" t="str">
        <f t="shared" si="36"/>
        <v/>
      </c>
      <c r="I769" s="125" t="s">
        <v>1218</v>
      </c>
      <c r="J769" s="125" t="s">
        <v>1728</v>
      </c>
      <c r="K769" s="182" t="s">
        <v>1998</v>
      </c>
      <c r="L769" s="182">
        <v>4.7699999999999999E-4</v>
      </c>
      <c r="M769" s="182">
        <v>4.7699999999999999E-4</v>
      </c>
      <c r="N769" s="182">
        <v>4.7699999999999999E-4</v>
      </c>
      <c r="O769" s="182">
        <v>4.7699999999999999E-4</v>
      </c>
      <c r="P769" s="182">
        <v>4.7699999999999999E-4</v>
      </c>
      <c r="R769" s="155" t="str">
        <f t="shared" si="34"/>
        <v>A0382:ローカルでんき(株)(参考値)事業者全体</v>
      </c>
      <c r="S769" s="181">
        <f t="shared" si="35"/>
        <v>4.7699999999999999E-4</v>
      </c>
    </row>
    <row r="770" spans="2:19">
      <c r="B770" s="121"/>
      <c r="C770" s="490"/>
      <c r="D770" s="490" t="str">
        <f t="shared" si="36"/>
        <v/>
      </c>
      <c r="I770" s="125" t="s">
        <v>1219</v>
      </c>
      <c r="J770" s="125" t="s">
        <v>1729</v>
      </c>
      <c r="K770" s="182"/>
      <c r="L770" s="182">
        <v>4.4099999999999999E-4</v>
      </c>
      <c r="M770" s="182">
        <v>4.4099999999999999E-4</v>
      </c>
      <c r="N770" s="182">
        <v>4.4099999999999999E-4</v>
      </c>
      <c r="O770" s="182">
        <v>4.4099999999999999E-4</v>
      </c>
      <c r="P770" s="182">
        <v>4.4099999999999999E-4</v>
      </c>
      <c r="R770" s="155" t="str">
        <f t="shared" si="34"/>
        <v>A0383:(株)明治産業</v>
      </c>
      <c r="S770" s="181">
        <f t="shared" si="35"/>
        <v>4.4099999999999999E-4</v>
      </c>
    </row>
    <row r="771" spans="2:19">
      <c r="B771" s="121"/>
      <c r="C771" s="490"/>
      <c r="D771" s="490" t="str">
        <f t="shared" si="36"/>
        <v/>
      </c>
      <c r="I771" s="125" t="s">
        <v>1220</v>
      </c>
      <c r="J771" s="125" t="s">
        <v>1730</v>
      </c>
      <c r="K771" s="182" t="s">
        <v>652</v>
      </c>
      <c r="L771" s="182">
        <v>0</v>
      </c>
      <c r="M771" s="182">
        <v>0</v>
      </c>
      <c r="N771" s="182">
        <v>0</v>
      </c>
      <c r="O771" s="182">
        <v>0</v>
      </c>
      <c r="P771" s="182">
        <v>0</v>
      </c>
      <c r="R771" s="155" t="str">
        <f t="shared" si="34"/>
        <v>A0385:岡山電力(株)メニューA</v>
      </c>
      <c r="S771" s="181">
        <f t="shared" si="35"/>
        <v>0</v>
      </c>
    </row>
    <row r="772" spans="2:19">
      <c r="B772" s="121"/>
      <c r="C772" s="490"/>
      <c r="D772" s="490" t="str">
        <f t="shared" si="36"/>
        <v/>
      </c>
      <c r="I772" s="125" t="s">
        <v>1220</v>
      </c>
      <c r="J772" s="125" t="s">
        <v>1730</v>
      </c>
      <c r="K772" s="182" t="s">
        <v>729</v>
      </c>
      <c r="L772" s="182">
        <v>4.55E-4</v>
      </c>
      <c r="M772" s="182">
        <v>4.55E-4</v>
      </c>
      <c r="N772" s="182">
        <v>4.55E-4</v>
      </c>
      <c r="O772" s="182">
        <v>4.55E-4</v>
      </c>
      <c r="P772" s="182">
        <v>4.55E-4</v>
      </c>
      <c r="R772" s="155" t="str">
        <f t="shared" si="34"/>
        <v>A0385:岡山電力(株)メニューB</v>
      </c>
      <c r="S772" s="181">
        <f t="shared" si="35"/>
        <v>4.55E-4</v>
      </c>
    </row>
    <row r="773" spans="2:19">
      <c r="B773" s="121"/>
      <c r="C773" s="490"/>
      <c r="D773" s="490" t="str">
        <f t="shared" si="36"/>
        <v/>
      </c>
      <c r="I773" s="125" t="s">
        <v>1220</v>
      </c>
      <c r="J773" s="125" t="s">
        <v>1730</v>
      </c>
      <c r="K773" s="182" t="s">
        <v>1998</v>
      </c>
      <c r="L773" s="182">
        <v>4.35E-4</v>
      </c>
      <c r="M773" s="182">
        <v>4.35E-4</v>
      </c>
      <c r="N773" s="182">
        <v>4.35E-4</v>
      </c>
      <c r="O773" s="182">
        <v>4.35E-4</v>
      </c>
      <c r="P773" s="182">
        <v>4.35E-4</v>
      </c>
      <c r="R773" s="155" t="str">
        <f t="shared" si="34"/>
        <v>A0385:岡山電力(株)(参考値)事業者全体</v>
      </c>
      <c r="S773" s="181">
        <f t="shared" si="35"/>
        <v>4.35E-4</v>
      </c>
    </row>
    <row r="774" spans="2:19">
      <c r="B774" s="121"/>
      <c r="C774" s="490"/>
      <c r="D774" s="490" t="str">
        <f t="shared" si="36"/>
        <v/>
      </c>
      <c r="I774" s="125" t="s">
        <v>1221</v>
      </c>
      <c r="J774" s="125" t="s">
        <v>1731</v>
      </c>
      <c r="K774" s="182" t="s">
        <v>652</v>
      </c>
      <c r="L774" s="182">
        <v>0</v>
      </c>
      <c r="M774" s="182">
        <v>0</v>
      </c>
      <c r="N774" s="182">
        <v>0</v>
      </c>
      <c r="O774" s="182">
        <v>0</v>
      </c>
      <c r="P774" s="182">
        <v>0</v>
      </c>
      <c r="R774" s="155" t="str">
        <f t="shared" si="34"/>
        <v>A0386:ミライフ(株)メニューA</v>
      </c>
      <c r="S774" s="181">
        <f t="shared" si="35"/>
        <v>0</v>
      </c>
    </row>
    <row r="775" spans="2:19">
      <c r="B775" s="121"/>
      <c r="C775" s="490"/>
      <c r="D775" s="490" t="str">
        <f t="shared" si="36"/>
        <v/>
      </c>
      <c r="I775" s="125" t="s">
        <v>1221</v>
      </c>
      <c r="J775" s="125" t="s">
        <v>1731</v>
      </c>
      <c r="K775" s="182" t="s">
        <v>729</v>
      </c>
      <c r="L775" s="182">
        <v>4.2000000000000002E-4</v>
      </c>
      <c r="M775" s="182">
        <v>4.2000000000000002E-4</v>
      </c>
      <c r="N775" s="182">
        <v>4.2000000000000002E-4</v>
      </c>
      <c r="O775" s="182">
        <v>4.2000000000000002E-4</v>
      </c>
      <c r="P775" s="182">
        <v>4.2000000000000002E-4</v>
      </c>
      <c r="R775" s="155" t="str">
        <f t="shared" si="34"/>
        <v>A0386:ミライフ(株)メニューB</v>
      </c>
      <c r="S775" s="181">
        <f t="shared" si="35"/>
        <v>4.2000000000000002E-4</v>
      </c>
    </row>
    <row r="776" spans="2:19">
      <c r="B776" s="121"/>
      <c r="C776" s="490"/>
      <c r="D776" s="490" t="str">
        <f t="shared" si="36"/>
        <v/>
      </c>
      <c r="I776" s="125" t="s">
        <v>1221</v>
      </c>
      <c r="J776" s="125" t="s">
        <v>1731</v>
      </c>
      <c r="K776" s="182" t="s">
        <v>1998</v>
      </c>
      <c r="L776" s="182">
        <v>4.1599999999999997E-4</v>
      </c>
      <c r="M776" s="182">
        <v>4.1599999999999997E-4</v>
      </c>
      <c r="N776" s="182">
        <v>4.1599999999999997E-4</v>
      </c>
      <c r="O776" s="182">
        <v>4.1599999999999997E-4</v>
      </c>
      <c r="P776" s="182">
        <v>4.1599999999999997E-4</v>
      </c>
      <c r="R776" s="155" t="str">
        <f t="shared" si="34"/>
        <v>A0386:ミライフ(株)(参考値)事業者全体</v>
      </c>
      <c r="S776" s="181">
        <f t="shared" si="35"/>
        <v>4.1599999999999997E-4</v>
      </c>
    </row>
    <row r="777" spans="2:19">
      <c r="B777" s="121"/>
      <c r="C777" s="490"/>
      <c r="D777" s="490" t="str">
        <f t="shared" si="36"/>
        <v/>
      </c>
      <c r="I777" s="125" t="s">
        <v>1222</v>
      </c>
      <c r="J777" s="125" t="s">
        <v>1732</v>
      </c>
      <c r="K777" s="182" t="s">
        <v>652</v>
      </c>
      <c r="L777" s="182">
        <v>0</v>
      </c>
      <c r="M777" s="182">
        <v>0</v>
      </c>
      <c r="N777" s="182">
        <v>0</v>
      </c>
      <c r="O777" s="182">
        <v>0</v>
      </c>
      <c r="P777" s="182">
        <v>0</v>
      </c>
      <c r="R777" s="155" t="str">
        <f t="shared" si="34"/>
        <v>A0388:楽天モバイル(株)(旧：楽天エナジー(株))メニューA</v>
      </c>
      <c r="S777" s="181">
        <f t="shared" si="35"/>
        <v>0</v>
      </c>
    </row>
    <row r="778" spans="2:19">
      <c r="B778" s="121"/>
      <c r="C778" s="490"/>
      <c r="D778" s="490" t="str">
        <f t="shared" si="36"/>
        <v/>
      </c>
      <c r="I778" s="125" t="s">
        <v>1222</v>
      </c>
      <c r="J778" s="125" t="s">
        <v>1732</v>
      </c>
      <c r="K778" s="182" t="s">
        <v>729</v>
      </c>
      <c r="L778" s="182">
        <v>0</v>
      </c>
      <c r="M778" s="182">
        <v>0</v>
      </c>
      <c r="N778" s="182">
        <v>0</v>
      </c>
      <c r="O778" s="182">
        <v>0</v>
      </c>
      <c r="P778" s="182">
        <v>0</v>
      </c>
      <c r="R778" s="155" t="str">
        <f t="shared" ref="R778:R841" si="37">I778&amp;":"&amp;J778&amp;K778</f>
        <v>A0388:楽天モバイル(株)(旧：楽天エナジー(株))メニューB</v>
      </c>
      <c r="S778" s="181">
        <f t="shared" ref="S778:S841" si="38">HLOOKUP($S$8,$L$8:$P$2000,ROW()-7,FALSE)</f>
        <v>0</v>
      </c>
    </row>
    <row r="779" spans="2:19">
      <c r="B779" s="121"/>
      <c r="C779" s="490"/>
      <c r="D779" s="490" t="str">
        <f t="shared" si="36"/>
        <v/>
      </c>
      <c r="I779" s="125" t="s">
        <v>1222</v>
      </c>
      <c r="J779" s="125" t="s">
        <v>1732</v>
      </c>
      <c r="K779" s="182" t="s">
        <v>730</v>
      </c>
      <c r="L779" s="182">
        <v>5.7799999999999995E-4</v>
      </c>
      <c r="M779" s="182">
        <v>5.7799999999999995E-4</v>
      </c>
      <c r="N779" s="182">
        <v>5.7799999999999995E-4</v>
      </c>
      <c r="O779" s="182">
        <v>5.7799999999999995E-4</v>
      </c>
      <c r="P779" s="182">
        <v>5.7799999999999995E-4</v>
      </c>
      <c r="R779" s="155" t="str">
        <f t="shared" si="37"/>
        <v>A0388:楽天モバイル(株)(旧：楽天エナジー(株))メニューC</v>
      </c>
      <c r="S779" s="181">
        <f t="shared" si="38"/>
        <v>5.7799999999999995E-4</v>
      </c>
    </row>
    <row r="780" spans="2:19">
      <c r="B780" s="121"/>
      <c r="C780" s="490"/>
      <c r="D780" s="490" t="str">
        <f t="shared" si="36"/>
        <v/>
      </c>
      <c r="I780" s="125" t="s">
        <v>1222</v>
      </c>
      <c r="J780" s="125" t="s">
        <v>1732</v>
      </c>
      <c r="K780" s="182" t="s">
        <v>1998</v>
      </c>
      <c r="L780" s="182">
        <v>5.71E-4</v>
      </c>
      <c r="M780" s="182">
        <v>5.71E-4</v>
      </c>
      <c r="N780" s="182">
        <v>5.71E-4</v>
      </c>
      <c r="O780" s="182">
        <v>5.71E-4</v>
      </c>
      <c r="P780" s="182">
        <v>5.71E-4</v>
      </c>
      <c r="R780" s="155" t="str">
        <f t="shared" si="37"/>
        <v>A0388:楽天モバイル(株)(旧：楽天エナジー(株))(参考値)事業者全体</v>
      </c>
      <c r="S780" s="181">
        <f t="shared" si="38"/>
        <v>5.71E-4</v>
      </c>
    </row>
    <row r="781" spans="2:19">
      <c r="B781" s="121"/>
      <c r="C781" s="490"/>
      <c r="D781" s="490" t="str">
        <f t="shared" si="36"/>
        <v/>
      </c>
      <c r="I781" s="125" t="s">
        <v>1223</v>
      </c>
      <c r="J781" s="125" t="s">
        <v>1733</v>
      </c>
      <c r="K781" s="182"/>
      <c r="L781" s="182">
        <v>5.5500000000000005E-4</v>
      </c>
      <c r="M781" s="182">
        <v>5.5500000000000005E-4</v>
      </c>
      <c r="N781" s="182">
        <v>5.5500000000000005E-4</v>
      </c>
      <c r="O781" s="182">
        <v>5.5500000000000005E-4</v>
      </c>
      <c r="P781" s="182">
        <v>5.5500000000000005E-4</v>
      </c>
      <c r="R781" s="155" t="str">
        <f t="shared" si="37"/>
        <v>A0389:うすきエネルギー(株)</v>
      </c>
      <c r="S781" s="181">
        <f t="shared" si="38"/>
        <v>5.5500000000000005E-4</v>
      </c>
    </row>
    <row r="782" spans="2:19">
      <c r="B782" s="121"/>
      <c r="C782" s="490"/>
      <c r="D782" s="490" t="str">
        <f t="shared" si="36"/>
        <v/>
      </c>
      <c r="I782" s="125" t="s">
        <v>1224</v>
      </c>
      <c r="J782" s="125" t="s">
        <v>1734</v>
      </c>
      <c r="K782" s="182"/>
      <c r="L782" s="182">
        <v>5.6300000000000002E-4</v>
      </c>
      <c r="M782" s="182">
        <v>5.6300000000000002E-4</v>
      </c>
      <c r="N782" s="182">
        <v>5.6300000000000002E-4</v>
      </c>
      <c r="O782" s="182">
        <v>5.6300000000000002E-4</v>
      </c>
      <c r="P782" s="182">
        <v>5.6300000000000002E-4</v>
      </c>
      <c r="R782" s="155" t="str">
        <f t="shared" si="37"/>
        <v>A0391:森のエネルギー(株)</v>
      </c>
      <c r="S782" s="181">
        <f t="shared" si="38"/>
        <v>5.6300000000000002E-4</v>
      </c>
    </row>
    <row r="783" spans="2:19">
      <c r="B783" s="121"/>
      <c r="C783" s="490"/>
      <c r="D783" s="490" t="str">
        <f t="shared" si="36"/>
        <v/>
      </c>
      <c r="I783" s="125" t="s">
        <v>1225</v>
      </c>
      <c r="J783" s="125" t="s">
        <v>1735</v>
      </c>
      <c r="K783" s="182" t="s">
        <v>652</v>
      </c>
      <c r="L783" s="182">
        <v>0</v>
      </c>
      <c r="M783" s="182">
        <v>0</v>
      </c>
      <c r="N783" s="182">
        <v>0</v>
      </c>
      <c r="O783" s="182">
        <v>0</v>
      </c>
      <c r="P783" s="182">
        <v>0</v>
      </c>
      <c r="R783" s="155" t="str">
        <f t="shared" si="37"/>
        <v>A0392:岐阜電力(株)メニューA</v>
      </c>
      <c r="S783" s="181">
        <f t="shared" si="38"/>
        <v>0</v>
      </c>
    </row>
    <row r="784" spans="2:19">
      <c r="B784" s="121"/>
      <c r="C784" s="490"/>
      <c r="D784" s="490" t="str">
        <f t="shared" si="36"/>
        <v/>
      </c>
      <c r="I784" s="125" t="s">
        <v>1225</v>
      </c>
      <c r="J784" s="125" t="s">
        <v>1735</v>
      </c>
      <c r="K784" s="182" t="s">
        <v>1998</v>
      </c>
      <c r="L784" s="182">
        <v>0</v>
      </c>
      <c r="M784" s="182">
        <v>0</v>
      </c>
      <c r="N784" s="182">
        <v>0</v>
      </c>
      <c r="O784" s="182">
        <v>0</v>
      </c>
      <c r="P784" s="182">
        <v>0</v>
      </c>
      <c r="R784" s="155" t="str">
        <f t="shared" si="37"/>
        <v>A0392:岐阜電力(株)(参考値)事業者全体</v>
      </c>
      <c r="S784" s="181">
        <f t="shared" si="38"/>
        <v>0</v>
      </c>
    </row>
    <row r="785" spans="2:19">
      <c r="B785" s="121"/>
      <c r="C785" s="490"/>
      <c r="D785" s="490" t="str">
        <f t="shared" si="36"/>
        <v/>
      </c>
      <c r="I785" s="125" t="s">
        <v>1226</v>
      </c>
      <c r="J785" s="125" t="s">
        <v>1736</v>
      </c>
      <c r="K785" s="182"/>
      <c r="L785" s="182">
        <v>4.1899999999999999E-4</v>
      </c>
      <c r="M785" s="182">
        <v>4.1899999999999999E-4</v>
      </c>
      <c r="N785" s="182">
        <v>4.1899999999999999E-4</v>
      </c>
      <c r="O785" s="182">
        <v>4.1899999999999999E-4</v>
      </c>
      <c r="P785" s="182">
        <v>4.1899999999999999E-4</v>
      </c>
      <c r="R785" s="155" t="str">
        <f t="shared" si="37"/>
        <v>A0397:名南共同エネルギー(株)</v>
      </c>
      <c r="S785" s="181">
        <f t="shared" si="38"/>
        <v>4.1899999999999999E-4</v>
      </c>
    </row>
    <row r="786" spans="2:19">
      <c r="B786" s="121"/>
      <c r="C786" s="490"/>
      <c r="D786" s="490" t="str">
        <f t="shared" si="36"/>
        <v/>
      </c>
      <c r="I786" s="125" t="s">
        <v>1227</v>
      </c>
      <c r="J786" s="125" t="s">
        <v>1737</v>
      </c>
      <c r="K786" s="182"/>
      <c r="L786" s="182">
        <v>6.3699999999999998E-4</v>
      </c>
      <c r="M786" s="182">
        <v>6.3699999999999998E-4</v>
      </c>
      <c r="N786" s="182">
        <v>6.3699999999999998E-4</v>
      </c>
      <c r="O786" s="182">
        <v>6.3699999999999998E-4</v>
      </c>
      <c r="P786" s="182">
        <v>6.3699999999999998E-4</v>
      </c>
      <c r="R786" s="155" t="str">
        <f t="shared" si="37"/>
        <v>A0398:Apaman Energy(株)</v>
      </c>
      <c r="S786" s="181">
        <f t="shared" si="38"/>
        <v>6.3699999999999998E-4</v>
      </c>
    </row>
    <row r="787" spans="2:19">
      <c r="B787" s="121"/>
      <c r="C787" s="490"/>
      <c r="D787" s="490" t="str">
        <f t="shared" si="36"/>
        <v/>
      </c>
      <c r="I787" s="125" t="s">
        <v>1228</v>
      </c>
      <c r="J787" s="125" t="s">
        <v>1738</v>
      </c>
      <c r="K787" s="182" t="s">
        <v>652</v>
      </c>
      <c r="L787" s="182">
        <v>0</v>
      </c>
      <c r="M787" s="182">
        <v>0</v>
      </c>
      <c r="N787" s="182">
        <v>0</v>
      </c>
      <c r="O787" s="182">
        <v>0</v>
      </c>
      <c r="P787" s="182">
        <v>0</v>
      </c>
      <c r="R787" s="155" t="str">
        <f t="shared" si="37"/>
        <v>A0405:アストマックス・エネルギー(株)メニューA</v>
      </c>
      <c r="S787" s="181">
        <f t="shared" si="38"/>
        <v>0</v>
      </c>
    </row>
    <row r="788" spans="2:19">
      <c r="B788" s="121"/>
      <c r="C788" s="490"/>
      <c r="D788" s="490" t="str">
        <f t="shared" si="36"/>
        <v/>
      </c>
      <c r="I788" s="125" t="s">
        <v>1228</v>
      </c>
      <c r="J788" s="125" t="s">
        <v>1738</v>
      </c>
      <c r="K788" s="182" t="s">
        <v>729</v>
      </c>
      <c r="L788" s="182">
        <v>0</v>
      </c>
      <c r="M788" s="182">
        <v>0</v>
      </c>
      <c r="N788" s="182">
        <v>0</v>
      </c>
      <c r="O788" s="182">
        <v>0</v>
      </c>
      <c r="P788" s="182">
        <v>0</v>
      </c>
      <c r="R788" s="155" t="str">
        <f t="shared" si="37"/>
        <v>A0405:アストマックス・エネルギー(株)メニューB</v>
      </c>
      <c r="S788" s="181">
        <f t="shared" si="38"/>
        <v>0</v>
      </c>
    </row>
    <row r="789" spans="2:19">
      <c r="B789" s="121"/>
      <c r="C789" s="490"/>
      <c r="D789" s="490" t="str">
        <f t="shared" si="36"/>
        <v/>
      </c>
      <c r="I789" s="125" t="s">
        <v>1228</v>
      </c>
      <c r="J789" s="125" t="s">
        <v>1738</v>
      </c>
      <c r="K789" s="182" t="s">
        <v>730</v>
      </c>
      <c r="L789" s="182">
        <v>0</v>
      </c>
      <c r="M789" s="182">
        <v>0</v>
      </c>
      <c r="N789" s="182">
        <v>0</v>
      </c>
      <c r="O789" s="182">
        <v>0</v>
      </c>
      <c r="P789" s="182">
        <v>0</v>
      </c>
      <c r="R789" s="155" t="str">
        <f t="shared" si="37"/>
        <v>A0405:アストマックス・エネルギー(株)メニューC</v>
      </c>
      <c r="S789" s="181">
        <f t="shared" si="38"/>
        <v>0</v>
      </c>
    </row>
    <row r="790" spans="2:19">
      <c r="B790" s="121"/>
      <c r="C790" s="490"/>
      <c r="D790" s="490" t="str">
        <f t="shared" si="36"/>
        <v/>
      </c>
      <c r="I790" s="125" t="s">
        <v>1228</v>
      </c>
      <c r="J790" s="125" t="s">
        <v>1738</v>
      </c>
      <c r="K790" s="182" t="s">
        <v>915</v>
      </c>
      <c r="L790" s="182">
        <v>6.4199999999999999E-4</v>
      </c>
      <c r="M790" s="182">
        <v>6.4199999999999999E-4</v>
      </c>
      <c r="N790" s="182">
        <v>6.4199999999999999E-4</v>
      </c>
      <c r="O790" s="182">
        <v>6.4199999999999999E-4</v>
      </c>
      <c r="P790" s="182">
        <v>6.4199999999999999E-4</v>
      </c>
      <c r="R790" s="155" t="str">
        <f t="shared" si="37"/>
        <v>A0405:アストマックス・エネルギー(株)メニューD</v>
      </c>
      <c r="S790" s="181">
        <f t="shared" si="38"/>
        <v>6.4199999999999999E-4</v>
      </c>
    </row>
    <row r="791" spans="2:19">
      <c r="B791" s="121"/>
      <c r="C791" s="490"/>
      <c r="D791" s="490" t="str">
        <f t="shared" si="36"/>
        <v/>
      </c>
      <c r="I791" s="125" t="s">
        <v>1228</v>
      </c>
      <c r="J791" s="125" t="s">
        <v>1738</v>
      </c>
      <c r="K791" s="182" t="s">
        <v>1998</v>
      </c>
      <c r="L791" s="182">
        <v>6.2299999999999996E-4</v>
      </c>
      <c r="M791" s="182">
        <v>6.2299999999999996E-4</v>
      </c>
      <c r="N791" s="182">
        <v>6.2299999999999996E-4</v>
      </c>
      <c r="O791" s="182">
        <v>6.2299999999999996E-4</v>
      </c>
      <c r="P791" s="182">
        <v>6.2299999999999996E-4</v>
      </c>
      <c r="R791" s="155" t="str">
        <f t="shared" si="37"/>
        <v>A0405:アストマックス・エネルギー(株)(参考値)事業者全体</v>
      </c>
      <c r="S791" s="181">
        <f t="shared" si="38"/>
        <v>6.2299999999999996E-4</v>
      </c>
    </row>
    <row r="792" spans="2:19">
      <c r="B792" s="121"/>
      <c r="C792" s="490"/>
      <c r="D792" s="490" t="str">
        <f t="shared" si="36"/>
        <v/>
      </c>
      <c r="I792" s="125" t="s">
        <v>1229</v>
      </c>
      <c r="J792" s="125" t="s">
        <v>1739</v>
      </c>
      <c r="K792" s="182"/>
      <c r="L792" s="182">
        <v>4.2200000000000001E-4</v>
      </c>
      <c r="M792" s="182">
        <v>4.2200000000000001E-4</v>
      </c>
      <c r="N792" s="182">
        <v>4.2200000000000001E-4</v>
      </c>
      <c r="O792" s="182">
        <v>4.2200000000000001E-4</v>
      </c>
      <c r="P792" s="182">
        <v>4.2200000000000001E-4</v>
      </c>
      <c r="R792" s="155" t="str">
        <f t="shared" si="37"/>
        <v>A0407:ALL GREEN POWER(株)</v>
      </c>
      <c r="S792" s="181">
        <f t="shared" si="38"/>
        <v>4.2200000000000001E-4</v>
      </c>
    </row>
    <row r="793" spans="2:19">
      <c r="B793" s="121"/>
      <c r="C793" s="490"/>
      <c r="D793" s="490" t="str">
        <f t="shared" si="36"/>
        <v/>
      </c>
      <c r="I793" s="125" t="s">
        <v>1230</v>
      </c>
      <c r="J793" s="125" t="s">
        <v>1740</v>
      </c>
      <c r="K793" s="182"/>
      <c r="L793" s="182">
        <v>6.11E-4</v>
      </c>
      <c r="M793" s="182">
        <v>6.11E-4</v>
      </c>
      <c r="N793" s="182">
        <v>6.11E-4</v>
      </c>
      <c r="O793" s="182">
        <v>6.11E-4</v>
      </c>
      <c r="P793" s="182">
        <v>6.11E-4</v>
      </c>
      <c r="R793" s="155" t="str">
        <f t="shared" si="37"/>
        <v>A0411:福井電力(株)</v>
      </c>
      <c r="S793" s="181">
        <f t="shared" si="38"/>
        <v>6.11E-4</v>
      </c>
    </row>
    <row r="794" spans="2:19">
      <c r="B794" s="121"/>
      <c r="C794" s="490"/>
      <c r="D794" s="490" t="str">
        <f t="shared" si="36"/>
        <v/>
      </c>
      <c r="I794" s="125" t="s">
        <v>1231</v>
      </c>
      <c r="J794" s="125" t="s">
        <v>1741</v>
      </c>
      <c r="K794" s="182"/>
      <c r="L794" s="182">
        <v>6.2600000000000004E-4</v>
      </c>
      <c r="M794" s="182">
        <v>6.2600000000000004E-4</v>
      </c>
      <c r="N794" s="182">
        <v>6.2600000000000004E-4</v>
      </c>
      <c r="O794" s="182">
        <v>6.2600000000000004E-4</v>
      </c>
      <c r="P794" s="182">
        <v>6.2600000000000004E-4</v>
      </c>
      <c r="R794" s="155" t="str">
        <f t="shared" si="37"/>
        <v>A0413:(株)MKエネルギー</v>
      </c>
      <c r="S794" s="181">
        <f t="shared" si="38"/>
        <v>6.2600000000000004E-4</v>
      </c>
    </row>
    <row r="795" spans="2:19">
      <c r="B795" s="121"/>
      <c r="C795" s="490"/>
      <c r="D795" s="490" t="str">
        <f t="shared" si="36"/>
        <v/>
      </c>
      <c r="I795" s="125" t="s">
        <v>1232</v>
      </c>
      <c r="J795" s="125" t="s">
        <v>1742</v>
      </c>
      <c r="K795" s="182" t="s">
        <v>652</v>
      </c>
      <c r="L795" s="182">
        <v>0</v>
      </c>
      <c r="M795" s="182">
        <v>0</v>
      </c>
      <c r="N795" s="182">
        <v>0</v>
      </c>
      <c r="O795" s="182">
        <v>0</v>
      </c>
      <c r="P795" s="182">
        <v>0</v>
      </c>
      <c r="R795" s="155" t="str">
        <f t="shared" si="37"/>
        <v>A0415:エネラボ(株)メニューA</v>
      </c>
      <c r="S795" s="181">
        <f t="shared" si="38"/>
        <v>0</v>
      </c>
    </row>
    <row r="796" spans="2:19">
      <c r="B796" s="121"/>
      <c r="C796" s="490"/>
      <c r="D796" s="490" t="str">
        <f t="shared" si="36"/>
        <v/>
      </c>
      <c r="I796" s="125" t="s">
        <v>1232</v>
      </c>
      <c r="J796" s="125" t="s">
        <v>1742</v>
      </c>
      <c r="K796" s="182" t="s">
        <v>729</v>
      </c>
      <c r="L796" s="182">
        <v>4.5800000000000002E-4</v>
      </c>
      <c r="M796" s="182">
        <v>4.5800000000000002E-4</v>
      </c>
      <c r="N796" s="182">
        <v>4.5800000000000002E-4</v>
      </c>
      <c r="O796" s="182">
        <v>4.5800000000000002E-4</v>
      </c>
      <c r="P796" s="182">
        <v>4.5800000000000002E-4</v>
      </c>
      <c r="R796" s="155" t="str">
        <f t="shared" si="37"/>
        <v>A0415:エネラボ(株)メニューB</v>
      </c>
      <c r="S796" s="181">
        <f t="shared" si="38"/>
        <v>4.5800000000000002E-4</v>
      </c>
    </row>
    <row r="797" spans="2:19">
      <c r="B797" s="121"/>
      <c r="C797" s="490"/>
      <c r="D797" s="490" t="str">
        <f t="shared" si="36"/>
        <v/>
      </c>
      <c r="I797" s="125" t="s">
        <v>1232</v>
      </c>
      <c r="J797" s="125" t="s">
        <v>1742</v>
      </c>
      <c r="K797" s="182" t="s">
        <v>1998</v>
      </c>
      <c r="L797" s="182">
        <v>4.5800000000000002E-4</v>
      </c>
      <c r="M797" s="182">
        <v>4.5800000000000002E-4</v>
      </c>
      <c r="N797" s="182">
        <v>4.5800000000000002E-4</v>
      </c>
      <c r="O797" s="182">
        <v>4.5800000000000002E-4</v>
      </c>
      <c r="P797" s="182">
        <v>4.5800000000000002E-4</v>
      </c>
      <c r="R797" s="155" t="str">
        <f t="shared" si="37"/>
        <v>A0415:エネラボ(株)(参考値)事業者全体</v>
      </c>
      <c r="S797" s="181">
        <f t="shared" si="38"/>
        <v>4.5800000000000002E-4</v>
      </c>
    </row>
    <row r="798" spans="2:19">
      <c r="B798" s="121"/>
      <c r="C798" s="490"/>
      <c r="D798" s="490" t="str">
        <f t="shared" si="36"/>
        <v/>
      </c>
      <c r="I798" s="125" t="s">
        <v>1233</v>
      </c>
      <c r="J798" s="125" t="s">
        <v>1743</v>
      </c>
      <c r="K798" s="182" t="s">
        <v>652</v>
      </c>
      <c r="L798" s="182">
        <v>0</v>
      </c>
      <c r="M798" s="182">
        <v>0</v>
      </c>
      <c r="N798" s="182">
        <v>0</v>
      </c>
      <c r="O798" s="182">
        <v>0</v>
      </c>
      <c r="P798" s="182">
        <v>0</v>
      </c>
      <c r="R798" s="155" t="str">
        <f t="shared" si="37"/>
        <v>A0419:スマートエナジー磐田(株)メニューA</v>
      </c>
      <c r="S798" s="181">
        <f t="shared" si="38"/>
        <v>0</v>
      </c>
    </row>
    <row r="799" spans="2:19">
      <c r="B799" s="121"/>
      <c r="C799" s="490"/>
      <c r="D799" s="490" t="str">
        <f t="shared" si="36"/>
        <v/>
      </c>
      <c r="I799" s="125" t="s">
        <v>1233</v>
      </c>
      <c r="J799" s="125" t="s">
        <v>1743</v>
      </c>
      <c r="K799" s="182" t="s">
        <v>729</v>
      </c>
      <c r="L799" s="182">
        <v>3.0600000000000001E-4</v>
      </c>
      <c r="M799" s="182">
        <v>3.0600000000000001E-4</v>
      </c>
      <c r="N799" s="182">
        <v>3.0600000000000001E-4</v>
      </c>
      <c r="O799" s="182">
        <v>3.0600000000000001E-4</v>
      </c>
      <c r="P799" s="182">
        <v>3.0600000000000001E-4</v>
      </c>
      <c r="R799" s="155" t="str">
        <f t="shared" si="37"/>
        <v>A0419:スマートエナジー磐田(株)メニューB</v>
      </c>
      <c r="S799" s="181">
        <f t="shared" si="38"/>
        <v>3.0600000000000001E-4</v>
      </c>
    </row>
    <row r="800" spans="2:19">
      <c r="B800" s="121"/>
      <c r="C800" s="490"/>
      <c r="D800" s="490" t="str">
        <f t="shared" si="36"/>
        <v/>
      </c>
      <c r="I800" s="125" t="s">
        <v>1233</v>
      </c>
      <c r="J800" s="125" t="s">
        <v>1743</v>
      </c>
      <c r="K800" s="182" t="s">
        <v>730</v>
      </c>
      <c r="L800" s="182">
        <v>3.6900000000000002E-4</v>
      </c>
      <c r="M800" s="182">
        <v>3.6900000000000002E-4</v>
      </c>
      <c r="N800" s="182">
        <v>3.6900000000000002E-4</v>
      </c>
      <c r="O800" s="182">
        <v>3.6900000000000002E-4</v>
      </c>
      <c r="P800" s="182">
        <v>3.6900000000000002E-4</v>
      </c>
      <c r="R800" s="155" t="str">
        <f t="shared" si="37"/>
        <v>A0419:スマートエナジー磐田(株)メニューC</v>
      </c>
      <c r="S800" s="181">
        <f t="shared" si="38"/>
        <v>3.6900000000000002E-4</v>
      </c>
    </row>
    <row r="801" spans="2:19">
      <c r="B801" s="121"/>
      <c r="C801" s="490"/>
      <c r="D801" s="490" t="str">
        <f t="shared" si="36"/>
        <v/>
      </c>
      <c r="I801" s="125" t="s">
        <v>1233</v>
      </c>
      <c r="J801" s="125" t="s">
        <v>1743</v>
      </c>
      <c r="K801" s="182" t="s">
        <v>1998</v>
      </c>
      <c r="L801" s="182">
        <v>3.59E-4</v>
      </c>
      <c r="M801" s="182">
        <v>3.59E-4</v>
      </c>
      <c r="N801" s="182">
        <v>3.59E-4</v>
      </c>
      <c r="O801" s="182">
        <v>3.59E-4</v>
      </c>
      <c r="P801" s="182">
        <v>3.59E-4</v>
      </c>
      <c r="R801" s="155" t="str">
        <f t="shared" si="37"/>
        <v>A0419:スマートエナジー磐田(株)(参考値)事業者全体</v>
      </c>
      <c r="S801" s="181">
        <f t="shared" si="38"/>
        <v>3.59E-4</v>
      </c>
    </row>
    <row r="802" spans="2:19">
      <c r="B802" s="121"/>
      <c r="C802" s="490"/>
      <c r="D802" s="490" t="str">
        <f t="shared" si="36"/>
        <v/>
      </c>
      <c r="I802" s="125" t="s">
        <v>1234</v>
      </c>
      <c r="J802" s="125" t="s">
        <v>1744</v>
      </c>
      <c r="K802" s="182"/>
      <c r="L802" s="182">
        <v>4.8799999999999999E-4</v>
      </c>
      <c r="M802" s="182">
        <v>4.8799999999999999E-4</v>
      </c>
      <c r="N802" s="182">
        <v>4.8799999999999999E-4</v>
      </c>
      <c r="O802" s="182">
        <v>4.8799999999999999E-4</v>
      </c>
      <c r="P802" s="182">
        <v>4.8799999999999999E-4</v>
      </c>
      <c r="R802" s="155" t="str">
        <f t="shared" si="37"/>
        <v>A0420:そうまIグリッド合同会社</v>
      </c>
      <c r="S802" s="181">
        <f t="shared" si="38"/>
        <v>4.8799999999999999E-4</v>
      </c>
    </row>
    <row r="803" spans="2:19">
      <c r="B803" s="121"/>
      <c r="C803" s="490"/>
      <c r="D803" s="490" t="str">
        <f t="shared" si="36"/>
        <v/>
      </c>
      <c r="I803" s="125" t="s">
        <v>1235</v>
      </c>
      <c r="J803" s="125" t="s">
        <v>1745</v>
      </c>
      <c r="K803" s="182"/>
      <c r="L803" s="182">
        <v>4.2200000000000001E-4</v>
      </c>
      <c r="M803" s="182">
        <v>4.2200000000000001E-4</v>
      </c>
      <c r="N803" s="182">
        <v>4.2200000000000001E-4</v>
      </c>
      <c r="O803" s="182">
        <v>4.2200000000000001E-4</v>
      </c>
      <c r="P803" s="182">
        <v>4.2200000000000001E-4</v>
      </c>
      <c r="R803" s="155" t="str">
        <f t="shared" si="37"/>
        <v>A0425:エネトレード(株)</v>
      </c>
      <c r="S803" s="181">
        <f t="shared" si="38"/>
        <v>4.2200000000000001E-4</v>
      </c>
    </row>
    <row r="804" spans="2:19">
      <c r="B804" s="121"/>
      <c r="C804" s="490"/>
      <c r="D804" s="490" t="str">
        <f t="shared" si="36"/>
        <v/>
      </c>
      <c r="I804" s="125" t="s">
        <v>1236</v>
      </c>
      <c r="J804" s="125" t="s">
        <v>1746</v>
      </c>
      <c r="K804" s="182"/>
      <c r="L804" s="182">
        <v>6.1899999999999998E-4</v>
      </c>
      <c r="M804" s="182">
        <v>6.1899999999999998E-4</v>
      </c>
      <c r="N804" s="182">
        <v>6.1899999999999998E-4</v>
      </c>
      <c r="O804" s="182">
        <v>6.1899999999999998E-4</v>
      </c>
      <c r="P804" s="182">
        <v>6.1899999999999998E-4</v>
      </c>
      <c r="R804" s="155" t="str">
        <f t="shared" si="37"/>
        <v>A0429:ニシムラ(株)</v>
      </c>
      <c r="S804" s="181">
        <f t="shared" si="38"/>
        <v>6.1899999999999998E-4</v>
      </c>
    </row>
    <row r="805" spans="2:19">
      <c r="B805" s="121"/>
      <c r="C805" s="490"/>
      <c r="D805" s="490" t="str">
        <f t="shared" si="36"/>
        <v/>
      </c>
      <c r="I805" s="125" t="s">
        <v>1237</v>
      </c>
      <c r="J805" s="125" t="s">
        <v>1747</v>
      </c>
      <c r="K805" s="182" t="s">
        <v>652</v>
      </c>
      <c r="L805" s="182">
        <v>0</v>
      </c>
      <c r="M805" s="182">
        <v>0</v>
      </c>
      <c r="N805" s="182">
        <v>0</v>
      </c>
      <c r="O805" s="182">
        <v>0</v>
      </c>
      <c r="P805" s="182">
        <v>0</v>
      </c>
      <c r="R805" s="155" t="str">
        <f t="shared" si="37"/>
        <v>A0430:(株)さくら新電力メニューA</v>
      </c>
      <c r="S805" s="181">
        <f t="shared" si="38"/>
        <v>0</v>
      </c>
    </row>
    <row r="806" spans="2:19">
      <c r="B806" s="121"/>
      <c r="C806" s="490"/>
      <c r="D806" s="490" t="str">
        <f t="shared" si="36"/>
        <v/>
      </c>
      <c r="I806" s="125" t="s">
        <v>1237</v>
      </c>
      <c r="J806" s="125" t="s">
        <v>1747</v>
      </c>
      <c r="K806" s="182" t="s">
        <v>729</v>
      </c>
      <c r="L806" s="182">
        <v>4.8299999999999998E-4</v>
      </c>
      <c r="M806" s="182">
        <v>4.8299999999999998E-4</v>
      </c>
      <c r="N806" s="182">
        <v>4.8299999999999998E-4</v>
      </c>
      <c r="O806" s="182">
        <v>4.8299999999999998E-4</v>
      </c>
      <c r="P806" s="182">
        <v>4.8299999999999998E-4</v>
      </c>
      <c r="R806" s="155" t="str">
        <f t="shared" si="37"/>
        <v>A0430:(株)さくら新電力メニューB</v>
      </c>
      <c r="S806" s="181">
        <f t="shared" si="38"/>
        <v>4.8299999999999998E-4</v>
      </c>
    </row>
    <row r="807" spans="2:19">
      <c r="B807" s="121"/>
      <c r="C807" s="490"/>
      <c r="D807" s="490" t="str">
        <f t="shared" si="36"/>
        <v/>
      </c>
      <c r="I807" s="125" t="s">
        <v>1237</v>
      </c>
      <c r="J807" s="125" t="s">
        <v>1747</v>
      </c>
      <c r="K807" s="182" t="s">
        <v>1998</v>
      </c>
      <c r="L807" s="182">
        <v>4.44E-4</v>
      </c>
      <c r="M807" s="182">
        <v>4.44E-4</v>
      </c>
      <c r="N807" s="182">
        <v>4.44E-4</v>
      </c>
      <c r="O807" s="182">
        <v>4.44E-4</v>
      </c>
      <c r="P807" s="182">
        <v>4.44E-4</v>
      </c>
      <c r="R807" s="155" t="str">
        <f t="shared" si="37"/>
        <v>A0430:(株)さくら新電力(参考値)事業者全体</v>
      </c>
      <c r="S807" s="181">
        <f t="shared" si="38"/>
        <v>4.44E-4</v>
      </c>
    </row>
    <row r="808" spans="2:19">
      <c r="B808" s="121"/>
      <c r="C808" s="490"/>
      <c r="D808" s="490" t="str">
        <f t="shared" si="36"/>
        <v/>
      </c>
      <c r="I808" s="125" t="s">
        <v>1238</v>
      </c>
      <c r="J808" s="125" t="s">
        <v>1748</v>
      </c>
      <c r="K808" s="182"/>
      <c r="L808" s="182">
        <v>3.1399999999999999E-4</v>
      </c>
      <c r="M808" s="182">
        <v>3.1399999999999999E-4</v>
      </c>
      <c r="N808" s="182">
        <v>3.1399999999999999E-4</v>
      </c>
      <c r="O808" s="182">
        <v>3.1399999999999999E-4</v>
      </c>
      <c r="P808" s="182">
        <v>3.1399999999999999E-4</v>
      </c>
      <c r="R808" s="155" t="str">
        <f t="shared" si="37"/>
        <v>A0431:(株)グローアップ</v>
      </c>
      <c r="S808" s="181">
        <f t="shared" si="38"/>
        <v>3.1399999999999999E-4</v>
      </c>
    </row>
    <row r="809" spans="2:19">
      <c r="B809" s="121"/>
      <c r="C809" s="490"/>
      <c r="D809" s="490" t="str">
        <f t="shared" si="36"/>
        <v/>
      </c>
      <c r="I809" s="125" t="s">
        <v>1239</v>
      </c>
      <c r="J809" s="125" t="s">
        <v>1749</v>
      </c>
      <c r="K809" s="182"/>
      <c r="L809" s="182">
        <v>4.0499999999999998E-4</v>
      </c>
      <c r="M809" s="182">
        <v>4.0499999999999998E-4</v>
      </c>
      <c r="N809" s="182">
        <v>4.0499999999999998E-4</v>
      </c>
      <c r="O809" s="182">
        <v>4.0499999999999998E-4</v>
      </c>
      <c r="P809" s="182">
        <v>4.0499999999999998E-4</v>
      </c>
      <c r="R809" s="155" t="str">
        <f t="shared" si="37"/>
        <v>A0435:いこま市民パワー(株)</v>
      </c>
      <c r="S809" s="181">
        <f t="shared" si="38"/>
        <v>4.0499999999999998E-4</v>
      </c>
    </row>
    <row r="810" spans="2:19">
      <c r="B810" s="121"/>
      <c r="C810" s="490"/>
      <c r="D810" s="490" t="str">
        <f t="shared" si="36"/>
        <v/>
      </c>
      <c r="I810" s="125" t="s">
        <v>1240</v>
      </c>
      <c r="J810" s="125" t="s">
        <v>1750</v>
      </c>
      <c r="K810" s="182" t="s">
        <v>652</v>
      </c>
      <c r="L810" s="182">
        <v>0</v>
      </c>
      <c r="M810" s="182">
        <v>0</v>
      </c>
      <c r="N810" s="182">
        <v>0</v>
      </c>
      <c r="O810" s="182">
        <v>0</v>
      </c>
      <c r="P810" s="182">
        <v>0</v>
      </c>
      <c r="R810" s="155" t="str">
        <f t="shared" si="37"/>
        <v>A0437:おもてなし山形(株)メニューA</v>
      </c>
      <c r="S810" s="181">
        <f t="shared" si="38"/>
        <v>0</v>
      </c>
    </row>
    <row r="811" spans="2:19">
      <c r="B811" s="121"/>
      <c r="C811" s="490"/>
      <c r="D811" s="490" t="str">
        <f t="shared" si="36"/>
        <v/>
      </c>
      <c r="I811" s="125" t="s">
        <v>1240</v>
      </c>
      <c r="J811" s="125" t="s">
        <v>1750</v>
      </c>
      <c r="K811" s="182" t="s">
        <v>729</v>
      </c>
      <c r="L811" s="182">
        <v>4.3100000000000001E-4</v>
      </c>
      <c r="M811" s="182">
        <v>4.3100000000000001E-4</v>
      </c>
      <c r="N811" s="182">
        <v>4.3100000000000001E-4</v>
      </c>
      <c r="O811" s="182">
        <v>4.3100000000000001E-4</v>
      </c>
      <c r="P811" s="182">
        <v>4.3100000000000001E-4</v>
      </c>
      <c r="R811" s="155" t="str">
        <f t="shared" si="37"/>
        <v>A0437:おもてなし山形(株)メニューB</v>
      </c>
      <c r="S811" s="181">
        <f t="shared" si="38"/>
        <v>4.3100000000000001E-4</v>
      </c>
    </row>
    <row r="812" spans="2:19">
      <c r="B812" s="121"/>
      <c r="C812" s="490"/>
      <c r="D812" s="490" t="str">
        <f t="shared" si="36"/>
        <v/>
      </c>
      <c r="I812" s="125" t="s">
        <v>1240</v>
      </c>
      <c r="J812" s="125" t="s">
        <v>1750</v>
      </c>
      <c r="K812" s="182" t="s">
        <v>1998</v>
      </c>
      <c r="L812" s="182">
        <v>6.7000000000000002E-5</v>
      </c>
      <c r="M812" s="182">
        <v>6.7000000000000002E-5</v>
      </c>
      <c r="N812" s="182">
        <v>6.7000000000000002E-5</v>
      </c>
      <c r="O812" s="182">
        <v>6.7000000000000002E-5</v>
      </c>
      <c r="P812" s="182">
        <v>6.7000000000000002E-5</v>
      </c>
      <c r="R812" s="155" t="str">
        <f t="shared" si="37"/>
        <v>A0437:おもてなし山形(株)(参考値)事業者全体</v>
      </c>
      <c r="S812" s="181">
        <f t="shared" si="38"/>
        <v>6.7000000000000002E-5</v>
      </c>
    </row>
    <row r="813" spans="2:19">
      <c r="B813" s="121"/>
      <c r="C813" s="490"/>
      <c r="D813" s="490" t="str">
        <f t="shared" si="36"/>
        <v/>
      </c>
      <c r="I813" s="125" t="s">
        <v>1241</v>
      </c>
      <c r="J813" s="125" t="s">
        <v>1751</v>
      </c>
      <c r="K813" s="182"/>
      <c r="L813" s="182">
        <v>4.06E-4</v>
      </c>
      <c r="M813" s="182">
        <v>4.06E-4</v>
      </c>
      <c r="N813" s="182">
        <v>4.06E-4</v>
      </c>
      <c r="O813" s="182">
        <v>4.06E-4</v>
      </c>
      <c r="P813" s="182">
        <v>4.06E-4</v>
      </c>
      <c r="R813" s="155" t="str">
        <f t="shared" si="37"/>
        <v>A0438:長野都市ガス(株)</v>
      </c>
      <c r="S813" s="181">
        <f t="shared" si="38"/>
        <v>4.06E-4</v>
      </c>
    </row>
    <row r="814" spans="2:19">
      <c r="B814" s="121"/>
      <c r="C814" s="490"/>
      <c r="D814" s="490" t="str">
        <f t="shared" ref="D814:D877" si="39">IF(B814="","",B814&amp;":"&amp;C814)</f>
        <v/>
      </c>
      <c r="I814" s="125" t="s">
        <v>1242</v>
      </c>
      <c r="J814" s="125" t="s">
        <v>1752</v>
      </c>
      <c r="K814" s="182"/>
      <c r="L814" s="182">
        <v>4.1899999999999999E-4</v>
      </c>
      <c r="M814" s="182">
        <v>4.1899999999999999E-4</v>
      </c>
      <c r="N814" s="182">
        <v>4.1899999999999999E-4</v>
      </c>
      <c r="O814" s="182">
        <v>4.1899999999999999E-4</v>
      </c>
      <c r="P814" s="182">
        <v>4.1899999999999999E-4</v>
      </c>
      <c r="R814" s="155" t="str">
        <f t="shared" si="37"/>
        <v>A0439:上田ガス(株)</v>
      </c>
      <c r="S814" s="181">
        <f t="shared" si="38"/>
        <v>4.1899999999999999E-4</v>
      </c>
    </row>
    <row r="815" spans="2:19">
      <c r="B815" s="121"/>
      <c r="C815" s="490"/>
      <c r="D815" s="490" t="str">
        <f t="shared" si="39"/>
        <v/>
      </c>
      <c r="I815" s="125" t="s">
        <v>1243</v>
      </c>
      <c r="J815" s="125" t="s">
        <v>1753</v>
      </c>
      <c r="K815" s="182" t="s">
        <v>652</v>
      </c>
      <c r="L815" s="182">
        <v>0</v>
      </c>
      <c r="M815" s="182">
        <v>0</v>
      </c>
      <c r="N815" s="182">
        <v>0</v>
      </c>
      <c r="O815" s="182">
        <v>0</v>
      </c>
      <c r="P815" s="182">
        <v>0</v>
      </c>
      <c r="R815" s="155" t="str">
        <f t="shared" si="37"/>
        <v>A0440:日本瓦斯(株)メニューA</v>
      </c>
      <c r="S815" s="181">
        <f t="shared" si="38"/>
        <v>0</v>
      </c>
    </row>
    <row r="816" spans="2:19">
      <c r="B816" s="121"/>
      <c r="C816" s="490"/>
      <c r="D816" s="490" t="str">
        <f t="shared" si="39"/>
        <v/>
      </c>
      <c r="I816" s="125" t="s">
        <v>1243</v>
      </c>
      <c r="J816" s="125" t="s">
        <v>1753</v>
      </c>
      <c r="K816" s="182" t="s">
        <v>729</v>
      </c>
      <c r="L816" s="182">
        <v>3.9100000000000002E-4</v>
      </c>
      <c r="M816" s="182">
        <v>3.9100000000000002E-4</v>
      </c>
      <c r="N816" s="182">
        <v>3.9100000000000002E-4</v>
      </c>
      <c r="O816" s="182">
        <v>3.9100000000000002E-4</v>
      </c>
      <c r="P816" s="182">
        <v>3.9100000000000002E-4</v>
      </c>
      <c r="R816" s="155" t="str">
        <f t="shared" si="37"/>
        <v>A0440:日本瓦斯(株)メニューB</v>
      </c>
      <c r="S816" s="181">
        <f t="shared" si="38"/>
        <v>3.9100000000000002E-4</v>
      </c>
    </row>
    <row r="817" spans="2:19">
      <c r="B817" s="121"/>
      <c r="C817" s="490"/>
      <c r="D817" s="490" t="str">
        <f t="shared" si="39"/>
        <v/>
      </c>
      <c r="I817" s="125" t="s">
        <v>1243</v>
      </c>
      <c r="J817" s="125" t="s">
        <v>1753</v>
      </c>
      <c r="K817" s="182" t="s">
        <v>1998</v>
      </c>
      <c r="L817" s="182">
        <v>3.8400000000000001E-4</v>
      </c>
      <c r="M817" s="182">
        <v>3.8400000000000001E-4</v>
      </c>
      <c r="N817" s="182">
        <v>3.8400000000000001E-4</v>
      </c>
      <c r="O817" s="182">
        <v>3.8400000000000001E-4</v>
      </c>
      <c r="P817" s="182">
        <v>3.8400000000000001E-4</v>
      </c>
      <c r="R817" s="155" t="str">
        <f t="shared" si="37"/>
        <v>A0440:日本瓦斯(株)(参考値)事業者全体</v>
      </c>
      <c r="S817" s="181">
        <f t="shared" si="38"/>
        <v>3.8400000000000001E-4</v>
      </c>
    </row>
    <row r="818" spans="2:19">
      <c r="B818" s="121"/>
      <c r="C818" s="490"/>
      <c r="D818" s="490" t="str">
        <f t="shared" si="39"/>
        <v/>
      </c>
      <c r="I818" s="125" t="s">
        <v>1244</v>
      </c>
      <c r="J818" s="125" t="s">
        <v>1754</v>
      </c>
      <c r="K818" s="182"/>
      <c r="L818" s="182">
        <v>4.6299999999999998E-4</v>
      </c>
      <c r="M818" s="182">
        <v>4.6299999999999998E-4</v>
      </c>
      <c r="N818" s="182">
        <v>4.6299999999999998E-4</v>
      </c>
      <c r="O818" s="182">
        <v>4.6299999999999998E-4</v>
      </c>
      <c r="P818" s="182">
        <v>4.6299999999999998E-4</v>
      </c>
      <c r="R818" s="155" t="str">
        <f t="shared" si="37"/>
        <v>A0442:(株)シグナストラスト</v>
      </c>
      <c r="S818" s="181">
        <f t="shared" si="38"/>
        <v>4.6299999999999998E-4</v>
      </c>
    </row>
    <row r="819" spans="2:19">
      <c r="B819" s="121"/>
      <c r="C819" s="490"/>
      <c r="D819" s="490" t="str">
        <f t="shared" si="39"/>
        <v/>
      </c>
      <c r="I819" s="125" t="s">
        <v>1245</v>
      </c>
      <c r="J819" s="125" t="s">
        <v>1755</v>
      </c>
      <c r="K819" s="182"/>
      <c r="L819" s="182">
        <v>5.0600000000000005E-4</v>
      </c>
      <c r="M819" s="182">
        <v>5.0600000000000005E-4</v>
      </c>
      <c r="N819" s="182">
        <v>5.0600000000000005E-4</v>
      </c>
      <c r="O819" s="182">
        <v>5.0600000000000005E-4</v>
      </c>
      <c r="P819" s="182">
        <v>5.0600000000000005E-4</v>
      </c>
      <c r="R819" s="155" t="str">
        <f t="shared" si="37"/>
        <v>A0443:ゲーテハウス(株)</v>
      </c>
      <c r="S819" s="181">
        <f t="shared" si="38"/>
        <v>5.0600000000000005E-4</v>
      </c>
    </row>
    <row r="820" spans="2:19">
      <c r="B820" s="121"/>
      <c r="C820" s="490"/>
      <c r="D820" s="490" t="str">
        <f t="shared" si="39"/>
        <v/>
      </c>
      <c r="I820" s="125" t="s">
        <v>1246</v>
      </c>
      <c r="J820" s="125" t="s">
        <v>1756</v>
      </c>
      <c r="K820" s="182"/>
      <c r="L820" s="182">
        <v>6.1700000000000004E-4</v>
      </c>
      <c r="M820" s="182">
        <v>6.1700000000000004E-4</v>
      </c>
      <c r="N820" s="182">
        <v>6.1700000000000004E-4</v>
      </c>
      <c r="O820" s="182">
        <v>6.1700000000000004E-4</v>
      </c>
      <c r="P820" s="182">
        <v>6.1700000000000004E-4</v>
      </c>
      <c r="R820" s="155" t="str">
        <f t="shared" si="37"/>
        <v>A0446:JPエネルギー(株)</v>
      </c>
      <c r="S820" s="181">
        <f t="shared" si="38"/>
        <v>6.1700000000000004E-4</v>
      </c>
    </row>
    <row r="821" spans="2:19">
      <c r="B821" s="121"/>
      <c r="C821" s="490"/>
      <c r="D821" s="490" t="str">
        <f t="shared" si="39"/>
        <v/>
      </c>
      <c r="I821" s="125" t="s">
        <v>1247</v>
      </c>
      <c r="J821" s="125" t="s">
        <v>1757</v>
      </c>
      <c r="K821" s="182"/>
      <c r="L821" s="182">
        <v>6.2299999999999996E-4</v>
      </c>
      <c r="M821" s="182">
        <v>6.2299999999999996E-4</v>
      </c>
      <c r="N821" s="182">
        <v>6.2299999999999996E-4</v>
      </c>
      <c r="O821" s="182">
        <v>6.2299999999999996E-4</v>
      </c>
      <c r="P821" s="182">
        <v>6.2299999999999996E-4</v>
      </c>
      <c r="R821" s="155" t="str">
        <f t="shared" si="37"/>
        <v>A0447:兵庫電力(株)</v>
      </c>
      <c r="S821" s="181">
        <f t="shared" si="38"/>
        <v>6.2299999999999996E-4</v>
      </c>
    </row>
    <row r="822" spans="2:19">
      <c r="B822" s="121"/>
      <c r="C822" s="490"/>
      <c r="D822" s="490" t="str">
        <f t="shared" si="39"/>
        <v/>
      </c>
      <c r="I822" s="125" t="s">
        <v>1248</v>
      </c>
      <c r="J822" s="125" t="s">
        <v>1758</v>
      </c>
      <c r="K822" s="182"/>
      <c r="L822" s="182">
        <v>5.1900000000000004E-4</v>
      </c>
      <c r="M822" s="182">
        <v>5.1900000000000004E-4</v>
      </c>
      <c r="N822" s="182">
        <v>5.1900000000000004E-4</v>
      </c>
      <c r="O822" s="182">
        <v>5.1900000000000004E-4</v>
      </c>
      <c r="P822" s="182">
        <v>5.1900000000000004E-4</v>
      </c>
      <c r="R822" s="155" t="str">
        <f t="shared" si="37"/>
        <v>A0451:Cocoテラスたがわ(株)</v>
      </c>
      <c r="S822" s="181">
        <f t="shared" si="38"/>
        <v>5.1900000000000004E-4</v>
      </c>
    </row>
    <row r="823" spans="2:19">
      <c r="B823" s="121"/>
      <c r="C823" s="490"/>
      <c r="D823" s="490" t="str">
        <f t="shared" si="39"/>
        <v/>
      </c>
      <c r="I823" s="125" t="s">
        <v>1249</v>
      </c>
      <c r="J823" s="125" t="s">
        <v>1759</v>
      </c>
      <c r="K823" s="182"/>
      <c r="L823" s="182">
        <v>4.2200000000000001E-4</v>
      </c>
      <c r="M823" s="182">
        <v>4.2200000000000001E-4</v>
      </c>
      <c r="N823" s="182">
        <v>4.2200000000000001E-4</v>
      </c>
      <c r="O823" s="182">
        <v>4.2200000000000001E-4</v>
      </c>
      <c r="P823" s="182">
        <v>4.2200000000000001E-4</v>
      </c>
      <c r="R823" s="155" t="str">
        <f t="shared" si="37"/>
        <v>A0452:東北電力エナジートレーディング(株)</v>
      </c>
      <c r="S823" s="181">
        <f t="shared" si="38"/>
        <v>4.2200000000000001E-4</v>
      </c>
    </row>
    <row r="824" spans="2:19">
      <c r="B824" s="121"/>
      <c r="C824" s="490"/>
      <c r="D824" s="490" t="str">
        <f t="shared" si="39"/>
        <v/>
      </c>
      <c r="I824" s="125" t="s">
        <v>1250</v>
      </c>
      <c r="J824" s="125" t="s">
        <v>1760</v>
      </c>
      <c r="K824" s="182" t="s">
        <v>652</v>
      </c>
      <c r="L824" s="182">
        <v>0</v>
      </c>
      <c r="M824" s="182">
        <v>0</v>
      </c>
      <c r="N824" s="182">
        <v>0</v>
      </c>
      <c r="O824" s="182">
        <v>0</v>
      </c>
      <c r="P824" s="182">
        <v>0</v>
      </c>
      <c r="R824" s="155" t="str">
        <f t="shared" si="37"/>
        <v>A0454:(株)まち未来製作所メニューA</v>
      </c>
      <c r="S824" s="181">
        <f t="shared" si="38"/>
        <v>0</v>
      </c>
    </row>
    <row r="825" spans="2:19">
      <c r="B825" s="121"/>
      <c r="C825" s="490"/>
      <c r="D825" s="490" t="str">
        <f t="shared" si="39"/>
        <v/>
      </c>
      <c r="I825" s="125" t="s">
        <v>1250</v>
      </c>
      <c r="J825" s="125" t="s">
        <v>1760</v>
      </c>
      <c r="K825" s="182" t="s">
        <v>729</v>
      </c>
      <c r="L825" s="182">
        <v>5.4699999999999996E-4</v>
      </c>
      <c r="M825" s="182">
        <v>5.4699999999999996E-4</v>
      </c>
      <c r="N825" s="182">
        <v>5.4699999999999996E-4</v>
      </c>
      <c r="O825" s="182">
        <v>5.4699999999999996E-4</v>
      </c>
      <c r="P825" s="182">
        <v>5.4699999999999996E-4</v>
      </c>
      <c r="R825" s="155" t="str">
        <f t="shared" si="37"/>
        <v>A0454:(株)まち未来製作所メニューB</v>
      </c>
      <c r="S825" s="181">
        <f t="shared" si="38"/>
        <v>5.4699999999999996E-4</v>
      </c>
    </row>
    <row r="826" spans="2:19">
      <c r="B826" s="121"/>
      <c r="C826" s="490"/>
      <c r="D826" s="490" t="str">
        <f t="shared" si="39"/>
        <v/>
      </c>
      <c r="I826" s="125" t="s">
        <v>1250</v>
      </c>
      <c r="J826" s="125" t="s">
        <v>1760</v>
      </c>
      <c r="K826" s="182" t="s">
        <v>1998</v>
      </c>
      <c r="L826" s="182">
        <v>4.2499999999999998E-4</v>
      </c>
      <c r="M826" s="182">
        <v>4.2499999999999998E-4</v>
      </c>
      <c r="N826" s="182">
        <v>4.2499999999999998E-4</v>
      </c>
      <c r="O826" s="182">
        <v>4.2499999999999998E-4</v>
      </c>
      <c r="P826" s="182">
        <v>4.2499999999999998E-4</v>
      </c>
      <c r="R826" s="155" t="str">
        <f t="shared" si="37"/>
        <v>A0454:(株)まち未来製作所(参考値)事業者全体</v>
      </c>
      <c r="S826" s="181">
        <f t="shared" si="38"/>
        <v>4.2499999999999998E-4</v>
      </c>
    </row>
    <row r="827" spans="2:19">
      <c r="B827" s="121"/>
      <c r="C827" s="490"/>
      <c r="D827" s="490" t="str">
        <f t="shared" si="39"/>
        <v/>
      </c>
      <c r="I827" s="125" t="s">
        <v>1251</v>
      </c>
      <c r="J827" s="125" t="s">
        <v>1761</v>
      </c>
      <c r="K827" s="182"/>
      <c r="L827" s="182">
        <v>6.3599999999999996E-4</v>
      </c>
      <c r="M827" s="182">
        <v>6.3599999999999996E-4</v>
      </c>
      <c r="N827" s="182">
        <v>6.3599999999999996E-4</v>
      </c>
      <c r="O827" s="182">
        <v>6.3599999999999996E-4</v>
      </c>
      <c r="P827" s="182">
        <v>6.3599999999999996E-4</v>
      </c>
      <c r="R827" s="155" t="str">
        <f t="shared" si="37"/>
        <v>A0456:(株)どさんこパワー</v>
      </c>
      <c r="S827" s="181">
        <f t="shared" si="38"/>
        <v>6.3599999999999996E-4</v>
      </c>
    </row>
    <row r="828" spans="2:19">
      <c r="B828" s="121"/>
      <c r="C828" s="490"/>
      <c r="D828" s="490" t="str">
        <f t="shared" si="39"/>
        <v/>
      </c>
      <c r="I828" s="125" t="s">
        <v>1252</v>
      </c>
      <c r="J828" s="125" t="s">
        <v>1762</v>
      </c>
      <c r="K828" s="182"/>
      <c r="L828" s="182">
        <v>5.8100000000000003E-4</v>
      </c>
      <c r="M828" s="182">
        <v>5.8100000000000003E-4</v>
      </c>
      <c r="N828" s="182">
        <v>5.8100000000000003E-4</v>
      </c>
      <c r="O828" s="182">
        <v>5.8100000000000003E-4</v>
      </c>
      <c r="P828" s="182">
        <v>5.8100000000000003E-4</v>
      </c>
      <c r="R828" s="155" t="str">
        <f t="shared" si="37"/>
        <v>A0457:トリニティエナジー(株)</v>
      </c>
      <c r="S828" s="181">
        <f t="shared" si="38"/>
        <v>5.8100000000000003E-4</v>
      </c>
    </row>
    <row r="829" spans="2:19">
      <c r="B829" s="121"/>
      <c r="C829" s="490"/>
      <c r="D829" s="490" t="str">
        <f t="shared" si="39"/>
        <v/>
      </c>
      <c r="I829" s="125" t="s">
        <v>1253</v>
      </c>
      <c r="J829" s="125" t="s">
        <v>1763</v>
      </c>
      <c r="K829" s="182"/>
      <c r="L829" s="182">
        <v>4.2200000000000001E-4</v>
      </c>
      <c r="M829" s="182">
        <v>4.2200000000000001E-4</v>
      </c>
      <c r="N829" s="182">
        <v>4.2200000000000001E-4</v>
      </c>
      <c r="O829" s="182">
        <v>4.2200000000000001E-4</v>
      </c>
      <c r="P829" s="182">
        <v>4.2200000000000001E-4</v>
      </c>
      <c r="R829" s="155" t="str">
        <f t="shared" si="37"/>
        <v>A0461:(株)LIXIL TEPCO スマートパートナーズ</v>
      </c>
      <c r="S829" s="181">
        <f t="shared" si="38"/>
        <v>4.2200000000000001E-4</v>
      </c>
    </row>
    <row r="830" spans="2:19">
      <c r="B830" s="121"/>
      <c r="C830" s="490"/>
      <c r="D830" s="490" t="str">
        <f t="shared" si="39"/>
        <v/>
      </c>
      <c r="I830" s="125" t="s">
        <v>1254</v>
      </c>
      <c r="J830" s="125" t="s">
        <v>1764</v>
      </c>
      <c r="K830" s="182"/>
      <c r="L830" s="182">
        <v>4.6900000000000002E-4</v>
      </c>
      <c r="M830" s="182">
        <v>4.6900000000000002E-4</v>
      </c>
      <c r="N830" s="182">
        <v>4.6900000000000002E-4</v>
      </c>
      <c r="O830" s="182">
        <v>4.6900000000000002E-4</v>
      </c>
      <c r="P830" s="182">
        <v>4.6900000000000002E-4</v>
      </c>
      <c r="R830" s="155" t="str">
        <f t="shared" si="37"/>
        <v>A0463:(株)NEXT ONE</v>
      </c>
      <c r="S830" s="181">
        <f t="shared" si="38"/>
        <v>4.6900000000000002E-4</v>
      </c>
    </row>
    <row r="831" spans="2:19">
      <c r="B831" s="121"/>
      <c r="C831" s="490"/>
      <c r="D831" s="490" t="str">
        <f t="shared" si="39"/>
        <v/>
      </c>
      <c r="I831" s="125" t="s">
        <v>1255</v>
      </c>
      <c r="J831" s="125" t="s">
        <v>1765</v>
      </c>
      <c r="K831" s="182"/>
      <c r="L831" s="182">
        <v>5.0500000000000002E-4</v>
      </c>
      <c r="M831" s="182">
        <v>5.0500000000000002E-4</v>
      </c>
      <c r="N831" s="182">
        <v>5.0500000000000002E-4</v>
      </c>
      <c r="O831" s="182">
        <v>5.0500000000000002E-4</v>
      </c>
      <c r="P831" s="182">
        <v>5.0500000000000002E-4</v>
      </c>
      <c r="R831" s="155" t="str">
        <f t="shared" si="37"/>
        <v>A0465:(株)テラス(旧：(株)ネオ・コーポレーション)</v>
      </c>
      <c r="S831" s="181">
        <f t="shared" si="38"/>
        <v>5.0500000000000002E-4</v>
      </c>
    </row>
    <row r="832" spans="2:19">
      <c r="B832" s="121"/>
      <c r="C832" s="490"/>
      <c r="D832" s="490" t="str">
        <f t="shared" si="39"/>
        <v/>
      </c>
      <c r="I832" s="125" t="s">
        <v>1256</v>
      </c>
      <c r="J832" s="125" t="s">
        <v>1766</v>
      </c>
      <c r="K832" s="182"/>
      <c r="L832" s="182">
        <v>7.0899999999999999E-4</v>
      </c>
      <c r="M832" s="182">
        <v>7.0899999999999999E-4</v>
      </c>
      <c r="N832" s="182">
        <v>7.0899999999999999E-4</v>
      </c>
      <c r="O832" s="182">
        <v>7.0899999999999999E-4</v>
      </c>
      <c r="P832" s="182">
        <v>7.0899999999999999E-4</v>
      </c>
      <c r="R832" s="155" t="str">
        <f t="shared" si="37"/>
        <v>A0467:つばさでんき(株)(旧：(株)アルファライズ)</v>
      </c>
      <c r="S832" s="181">
        <f t="shared" si="38"/>
        <v>7.0899999999999999E-4</v>
      </c>
    </row>
    <row r="833" spans="2:19">
      <c r="B833" s="121"/>
      <c r="C833" s="490"/>
      <c r="D833" s="490" t="str">
        <f t="shared" si="39"/>
        <v/>
      </c>
      <c r="I833" s="125" t="s">
        <v>1257</v>
      </c>
      <c r="J833" s="125" t="s">
        <v>1767</v>
      </c>
      <c r="K833" s="182"/>
      <c r="L833" s="182">
        <v>5.8699999999999996E-4</v>
      </c>
      <c r="M833" s="182">
        <v>5.8699999999999996E-4</v>
      </c>
      <c r="N833" s="182">
        <v>5.8699999999999996E-4</v>
      </c>
      <c r="O833" s="182">
        <v>5.8699999999999996E-4</v>
      </c>
      <c r="P833" s="182">
        <v>5.8699999999999996E-4</v>
      </c>
      <c r="R833" s="155" t="str">
        <f t="shared" si="37"/>
        <v>A0468:おおすみ半島スマートエネルギー(株)</v>
      </c>
      <c r="S833" s="181">
        <f t="shared" si="38"/>
        <v>5.8699999999999996E-4</v>
      </c>
    </row>
    <row r="834" spans="2:19">
      <c r="B834" s="121"/>
      <c r="C834" s="490"/>
      <c r="D834" s="490" t="str">
        <f t="shared" si="39"/>
        <v/>
      </c>
      <c r="I834" s="125" t="s">
        <v>1258</v>
      </c>
      <c r="J834" s="125" t="s">
        <v>1768</v>
      </c>
      <c r="K834" s="182"/>
      <c r="L834" s="182">
        <v>6.5600000000000001E-4</v>
      </c>
      <c r="M834" s="182">
        <v>6.5600000000000001E-4</v>
      </c>
      <c r="N834" s="182">
        <v>6.5600000000000001E-4</v>
      </c>
      <c r="O834" s="182">
        <v>6.5600000000000001E-4</v>
      </c>
      <c r="P834" s="182">
        <v>6.5600000000000001E-4</v>
      </c>
      <c r="R834" s="155" t="str">
        <f t="shared" si="37"/>
        <v>A0470:おきなわコープエナジー(株)</v>
      </c>
      <c r="S834" s="181">
        <f t="shared" si="38"/>
        <v>6.5600000000000001E-4</v>
      </c>
    </row>
    <row r="835" spans="2:19">
      <c r="B835" s="121"/>
      <c r="C835" s="490"/>
      <c r="D835" s="490" t="str">
        <f t="shared" si="39"/>
        <v/>
      </c>
      <c r="I835" s="125" t="s">
        <v>1259</v>
      </c>
      <c r="J835" s="125" t="s">
        <v>1769</v>
      </c>
      <c r="K835" s="182" t="s">
        <v>652</v>
      </c>
      <c r="L835" s="182">
        <v>0</v>
      </c>
      <c r="M835" s="182">
        <v>0</v>
      </c>
      <c r="N835" s="182">
        <v>0</v>
      </c>
      <c r="O835" s="182">
        <v>0</v>
      </c>
      <c r="P835" s="182">
        <v>0</v>
      </c>
      <c r="R835" s="155" t="str">
        <f t="shared" si="37"/>
        <v>A0471:久慈地域エネルギー(株)メニューA</v>
      </c>
      <c r="S835" s="181">
        <f t="shared" si="38"/>
        <v>0</v>
      </c>
    </row>
    <row r="836" spans="2:19">
      <c r="B836" s="121"/>
      <c r="C836" s="490"/>
      <c r="D836" s="490" t="str">
        <f t="shared" si="39"/>
        <v/>
      </c>
      <c r="I836" s="125" t="s">
        <v>1259</v>
      </c>
      <c r="J836" s="125" t="s">
        <v>1769</v>
      </c>
      <c r="K836" s="182" t="s">
        <v>729</v>
      </c>
      <c r="L836" s="182">
        <v>4.0700000000000003E-4</v>
      </c>
      <c r="M836" s="182">
        <v>4.0700000000000003E-4</v>
      </c>
      <c r="N836" s="182">
        <v>4.0700000000000003E-4</v>
      </c>
      <c r="O836" s="182">
        <v>4.0700000000000003E-4</v>
      </c>
      <c r="P836" s="182">
        <v>4.0700000000000003E-4</v>
      </c>
      <c r="R836" s="155" t="str">
        <f t="shared" si="37"/>
        <v>A0471:久慈地域エネルギー(株)メニューB</v>
      </c>
      <c r="S836" s="181">
        <f t="shared" si="38"/>
        <v>4.0700000000000003E-4</v>
      </c>
    </row>
    <row r="837" spans="2:19">
      <c r="B837" s="121"/>
      <c r="C837" s="490"/>
      <c r="D837" s="490" t="str">
        <f t="shared" si="39"/>
        <v/>
      </c>
      <c r="I837" s="125" t="s">
        <v>1259</v>
      </c>
      <c r="J837" s="125" t="s">
        <v>1769</v>
      </c>
      <c r="K837" s="182" t="s">
        <v>1998</v>
      </c>
      <c r="L837" s="182">
        <v>3.1399999999999999E-4</v>
      </c>
      <c r="M837" s="182">
        <v>3.1399999999999999E-4</v>
      </c>
      <c r="N837" s="182">
        <v>3.1399999999999999E-4</v>
      </c>
      <c r="O837" s="182">
        <v>3.1399999999999999E-4</v>
      </c>
      <c r="P837" s="182">
        <v>3.1399999999999999E-4</v>
      </c>
      <c r="R837" s="155" t="str">
        <f t="shared" si="37"/>
        <v>A0471:久慈地域エネルギー(株)(参考値)事業者全体</v>
      </c>
      <c r="S837" s="181">
        <f t="shared" si="38"/>
        <v>3.1399999999999999E-4</v>
      </c>
    </row>
    <row r="838" spans="2:19">
      <c r="B838" s="121"/>
      <c r="C838" s="490"/>
      <c r="D838" s="490" t="str">
        <f t="shared" si="39"/>
        <v/>
      </c>
      <c r="I838" s="125" t="s">
        <v>1260</v>
      </c>
      <c r="J838" s="125" t="s">
        <v>1770</v>
      </c>
      <c r="K838" s="182"/>
      <c r="L838" s="182">
        <v>5.9000000000000003E-4</v>
      </c>
      <c r="M838" s="182">
        <v>5.9000000000000003E-4</v>
      </c>
      <c r="N838" s="182">
        <v>5.9000000000000003E-4</v>
      </c>
      <c r="O838" s="182">
        <v>5.9000000000000003E-4</v>
      </c>
      <c r="P838" s="182">
        <v>5.9000000000000003E-4</v>
      </c>
      <c r="R838" s="155" t="str">
        <f t="shared" si="37"/>
        <v>A0472:弘前ガス(株)</v>
      </c>
      <c r="S838" s="181">
        <f t="shared" si="38"/>
        <v>5.9000000000000003E-4</v>
      </c>
    </row>
    <row r="839" spans="2:19">
      <c r="B839" s="121"/>
      <c r="C839" s="490"/>
      <c r="D839" s="490" t="str">
        <f t="shared" si="39"/>
        <v/>
      </c>
      <c r="I839" s="125" t="s">
        <v>1261</v>
      </c>
      <c r="J839" s="125" t="s">
        <v>1771</v>
      </c>
      <c r="K839" s="182" t="s">
        <v>652</v>
      </c>
      <c r="L839" s="182">
        <v>0</v>
      </c>
      <c r="M839" s="182">
        <v>0</v>
      </c>
      <c r="N839" s="182">
        <v>0</v>
      </c>
      <c r="O839" s="182">
        <v>0</v>
      </c>
      <c r="P839" s="182">
        <v>0</v>
      </c>
      <c r="R839" s="155" t="str">
        <f t="shared" si="37"/>
        <v>A0473:(株)フォーバルテレコムメニューA</v>
      </c>
      <c r="S839" s="181">
        <f t="shared" si="38"/>
        <v>0</v>
      </c>
    </row>
    <row r="840" spans="2:19">
      <c r="B840" s="121"/>
      <c r="C840" s="490"/>
      <c r="D840" s="490" t="str">
        <f t="shared" si="39"/>
        <v/>
      </c>
      <c r="I840" s="125" t="s">
        <v>1261</v>
      </c>
      <c r="J840" s="125" t="s">
        <v>1771</v>
      </c>
      <c r="K840" s="182" t="s">
        <v>729</v>
      </c>
      <c r="L840" s="182">
        <v>4.7199999999999998E-4</v>
      </c>
      <c r="M840" s="182">
        <v>4.7199999999999998E-4</v>
      </c>
      <c r="N840" s="182">
        <v>4.7199999999999998E-4</v>
      </c>
      <c r="O840" s="182">
        <v>4.7199999999999998E-4</v>
      </c>
      <c r="P840" s="182">
        <v>4.7199999999999998E-4</v>
      </c>
      <c r="R840" s="155" t="str">
        <f t="shared" si="37"/>
        <v>A0473:(株)フォーバルテレコムメニューB</v>
      </c>
      <c r="S840" s="181">
        <f t="shared" si="38"/>
        <v>4.7199999999999998E-4</v>
      </c>
    </row>
    <row r="841" spans="2:19">
      <c r="B841" s="121"/>
      <c r="C841" s="490"/>
      <c r="D841" s="490" t="str">
        <f t="shared" si="39"/>
        <v/>
      </c>
      <c r="I841" s="125" t="s">
        <v>1261</v>
      </c>
      <c r="J841" s="125" t="s">
        <v>1771</v>
      </c>
      <c r="K841" s="182" t="s">
        <v>1998</v>
      </c>
      <c r="L841" s="182">
        <v>4.66E-4</v>
      </c>
      <c r="M841" s="182">
        <v>4.66E-4</v>
      </c>
      <c r="N841" s="182">
        <v>4.66E-4</v>
      </c>
      <c r="O841" s="182">
        <v>4.66E-4</v>
      </c>
      <c r="P841" s="182">
        <v>4.66E-4</v>
      </c>
      <c r="R841" s="155" t="str">
        <f t="shared" si="37"/>
        <v>A0473:(株)フォーバルテレコム(参考値)事業者全体</v>
      </c>
      <c r="S841" s="181">
        <f t="shared" si="38"/>
        <v>4.66E-4</v>
      </c>
    </row>
    <row r="842" spans="2:19">
      <c r="B842" s="121"/>
      <c r="C842" s="490"/>
      <c r="D842" s="490" t="str">
        <f t="shared" si="39"/>
        <v/>
      </c>
      <c r="I842" s="125" t="s">
        <v>1262</v>
      </c>
      <c r="J842" s="125" t="s">
        <v>1772</v>
      </c>
      <c r="K842" s="182"/>
      <c r="L842" s="182">
        <v>3.3399999999999999E-4</v>
      </c>
      <c r="M842" s="182">
        <v>3.3399999999999999E-4</v>
      </c>
      <c r="N842" s="182">
        <v>3.3399999999999999E-4</v>
      </c>
      <c r="O842" s="182">
        <v>3.3399999999999999E-4</v>
      </c>
      <c r="P842" s="182">
        <v>3.3399999999999999E-4</v>
      </c>
      <c r="R842" s="155" t="str">
        <f t="shared" ref="R842:R905" si="40">I842&amp;":"&amp;J842&amp;K842</f>
        <v>A0476:(株)ストエネ</v>
      </c>
      <c r="S842" s="181">
        <f t="shared" ref="S842:S905" si="41">HLOOKUP($S$8,$L$8:$P$2000,ROW()-7,FALSE)</f>
        <v>3.3399999999999999E-4</v>
      </c>
    </row>
    <row r="843" spans="2:19">
      <c r="B843" s="121"/>
      <c r="C843" s="490"/>
      <c r="D843" s="490" t="str">
        <f t="shared" si="39"/>
        <v/>
      </c>
      <c r="I843" s="125" t="s">
        <v>1263</v>
      </c>
      <c r="J843" s="125" t="s">
        <v>1773</v>
      </c>
      <c r="K843" s="182"/>
      <c r="L843" s="182">
        <v>5.8600000000000004E-4</v>
      </c>
      <c r="M843" s="182">
        <v>5.8600000000000004E-4</v>
      </c>
      <c r="N843" s="182">
        <v>5.8600000000000004E-4</v>
      </c>
      <c r="O843" s="182">
        <v>5.8600000000000004E-4</v>
      </c>
      <c r="P843" s="182">
        <v>5.8600000000000004E-4</v>
      </c>
      <c r="R843" s="155" t="str">
        <f t="shared" si="40"/>
        <v>A0477:くるめエネルギー(株)</v>
      </c>
      <c r="S843" s="181">
        <f t="shared" si="41"/>
        <v>5.8600000000000004E-4</v>
      </c>
    </row>
    <row r="844" spans="2:19">
      <c r="B844" s="121"/>
      <c r="C844" s="490"/>
      <c r="D844" s="490" t="str">
        <f t="shared" si="39"/>
        <v/>
      </c>
      <c r="I844" s="125" t="s">
        <v>1264</v>
      </c>
      <c r="J844" s="125" t="s">
        <v>1774</v>
      </c>
      <c r="K844" s="182"/>
      <c r="L844" s="182">
        <v>2.9300000000000002E-4</v>
      </c>
      <c r="M844" s="182">
        <v>2.9300000000000002E-4</v>
      </c>
      <c r="N844" s="182">
        <v>2.9300000000000002E-4</v>
      </c>
      <c r="O844" s="182">
        <v>2.9300000000000002E-4</v>
      </c>
      <c r="P844" s="182">
        <v>2.9300000000000002E-4</v>
      </c>
      <c r="R844" s="155" t="str">
        <f t="shared" si="40"/>
        <v>A0480:松阪新電力(株)</v>
      </c>
      <c r="S844" s="181">
        <f t="shared" si="41"/>
        <v>2.9300000000000002E-4</v>
      </c>
    </row>
    <row r="845" spans="2:19">
      <c r="B845" s="121"/>
      <c r="C845" s="490"/>
      <c r="D845" s="490" t="str">
        <f t="shared" si="39"/>
        <v/>
      </c>
      <c r="I845" s="125" t="s">
        <v>1265</v>
      </c>
      <c r="J845" s="125" t="s">
        <v>1775</v>
      </c>
      <c r="K845" s="182" t="s">
        <v>652</v>
      </c>
      <c r="L845" s="182">
        <v>0</v>
      </c>
      <c r="M845" s="182">
        <v>0</v>
      </c>
      <c r="N845" s="182">
        <v>0</v>
      </c>
      <c r="O845" s="182">
        <v>0</v>
      </c>
      <c r="P845" s="182">
        <v>0</v>
      </c>
      <c r="R845" s="155" t="str">
        <f t="shared" si="40"/>
        <v>A0481:ヒューリックプロパティソリューション(株)メニューA</v>
      </c>
      <c r="S845" s="181">
        <f t="shared" si="41"/>
        <v>0</v>
      </c>
    </row>
    <row r="846" spans="2:19">
      <c r="B846" s="121"/>
      <c r="C846" s="490"/>
      <c r="D846" s="490" t="str">
        <f t="shared" si="39"/>
        <v/>
      </c>
      <c r="I846" s="125" t="s">
        <v>1265</v>
      </c>
      <c r="J846" s="125" t="s">
        <v>1775</v>
      </c>
      <c r="K846" s="182" t="s">
        <v>729</v>
      </c>
      <c r="L846" s="182">
        <v>4.6000000000000001E-4</v>
      </c>
      <c r="M846" s="182">
        <v>4.6000000000000001E-4</v>
      </c>
      <c r="N846" s="182">
        <v>4.6000000000000001E-4</v>
      </c>
      <c r="O846" s="182">
        <v>4.6000000000000001E-4</v>
      </c>
      <c r="P846" s="182">
        <v>4.6000000000000001E-4</v>
      </c>
      <c r="R846" s="155" t="str">
        <f t="shared" si="40"/>
        <v>A0481:ヒューリックプロパティソリューション(株)メニューB</v>
      </c>
      <c r="S846" s="181">
        <f t="shared" si="41"/>
        <v>4.6000000000000001E-4</v>
      </c>
    </row>
    <row r="847" spans="2:19">
      <c r="B847" s="121"/>
      <c r="C847" s="490"/>
      <c r="D847" s="490" t="str">
        <f t="shared" si="39"/>
        <v/>
      </c>
      <c r="I847" s="125" t="s">
        <v>1265</v>
      </c>
      <c r="J847" s="125" t="s">
        <v>1775</v>
      </c>
      <c r="K847" s="182" t="s">
        <v>1998</v>
      </c>
      <c r="L847" s="182">
        <v>3.1599999999999998E-4</v>
      </c>
      <c r="M847" s="182">
        <v>3.1599999999999998E-4</v>
      </c>
      <c r="N847" s="182">
        <v>3.1599999999999998E-4</v>
      </c>
      <c r="O847" s="182">
        <v>3.1599999999999998E-4</v>
      </c>
      <c r="P847" s="182">
        <v>3.1599999999999998E-4</v>
      </c>
      <c r="R847" s="155" t="str">
        <f t="shared" si="40"/>
        <v>A0481:ヒューリックプロパティソリューション(株)(参考値)事業者全体</v>
      </c>
      <c r="S847" s="181">
        <f t="shared" si="41"/>
        <v>3.1599999999999998E-4</v>
      </c>
    </row>
    <row r="848" spans="2:19">
      <c r="B848" s="121"/>
      <c r="C848" s="490"/>
      <c r="D848" s="490" t="str">
        <f t="shared" si="39"/>
        <v/>
      </c>
      <c r="I848" s="125" t="s">
        <v>1266</v>
      </c>
      <c r="J848" s="125" t="s">
        <v>1776</v>
      </c>
      <c r="K848" s="182"/>
      <c r="L848" s="182">
        <v>4.9200000000000003E-4</v>
      </c>
      <c r="M848" s="182">
        <v>4.9200000000000003E-4</v>
      </c>
      <c r="N848" s="182">
        <v>4.9200000000000003E-4</v>
      </c>
      <c r="O848" s="182">
        <v>4.9200000000000003E-4</v>
      </c>
      <c r="P848" s="182">
        <v>4.9200000000000003E-4</v>
      </c>
      <c r="R848" s="155" t="str">
        <f t="shared" si="40"/>
        <v>A0482:宮崎電力(株)</v>
      </c>
      <c r="S848" s="181">
        <f t="shared" si="41"/>
        <v>4.9200000000000003E-4</v>
      </c>
    </row>
    <row r="849" spans="2:19">
      <c r="B849" s="121"/>
      <c r="C849" s="490"/>
      <c r="D849" s="490" t="str">
        <f t="shared" si="39"/>
        <v/>
      </c>
      <c r="I849" s="125" t="s">
        <v>1267</v>
      </c>
      <c r="J849" s="125" t="s">
        <v>1777</v>
      </c>
      <c r="K849" s="182" t="s">
        <v>652</v>
      </c>
      <c r="L849" s="182">
        <v>0</v>
      </c>
      <c r="M849" s="182">
        <v>0</v>
      </c>
      <c r="N849" s="182">
        <v>0</v>
      </c>
      <c r="O849" s="182">
        <v>0</v>
      </c>
      <c r="P849" s="182">
        <v>0</v>
      </c>
      <c r="R849" s="155" t="str">
        <f t="shared" si="40"/>
        <v>A0490:(株)CDエナジーダイレクトメニューA</v>
      </c>
      <c r="S849" s="181">
        <f t="shared" si="41"/>
        <v>0</v>
      </c>
    </row>
    <row r="850" spans="2:19">
      <c r="B850" s="121"/>
      <c r="C850" s="490"/>
      <c r="D850" s="490" t="str">
        <f t="shared" si="39"/>
        <v/>
      </c>
      <c r="I850" s="125" t="s">
        <v>1267</v>
      </c>
      <c r="J850" s="125" t="s">
        <v>1777</v>
      </c>
      <c r="K850" s="182" t="s">
        <v>729</v>
      </c>
      <c r="L850" s="182">
        <v>4.6500000000000003E-4</v>
      </c>
      <c r="M850" s="182">
        <v>4.6500000000000003E-4</v>
      </c>
      <c r="N850" s="182">
        <v>4.6500000000000003E-4</v>
      </c>
      <c r="O850" s="182">
        <v>4.6500000000000003E-4</v>
      </c>
      <c r="P850" s="182">
        <v>4.6500000000000003E-4</v>
      </c>
      <c r="R850" s="155" t="str">
        <f t="shared" si="40"/>
        <v>A0490:(株)CDエナジーダイレクトメニューB</v>
      </c>
      <c r="S850" s="181">
        <f t="shared" si="41"/>
        <v>4.6500000000000003E-4</v>
      </c>
    </row>
    <row r="851" spans="2:19">
      <c r="B851" s="121"/>
      <c r="C851" s="490"/>
      <c r="D851" s="490" t="str">
        <f t="shared" si="39"/>
        <v/>
      </c>
      <c r="I851" s="125" t="s">
        <v>1267</v>
      </c>
      <c r="J851" s="125" t="s">
        <v>1777</v>
      </c>
      <c r="K851" s="182" t="s">
        <v>1998</v>
      </c>
      <c r="L851" s="182">
        <v>4.28E-4</v>
      </c>
      <c r="M851" s="182">
        <v>4.28E-4</v>
      </c>
      <c r="N851" s="182">
        <v>4.28E-4</v>
      </c>
      <c r="O851" s="182">
        <v>4.28E-4</v>
      </c>
      <c r="P851" s="182">
        <v>4.28E-4</v>
      </c>
      <c r="R851" s="155" t="str">
        <f t="shared" si="40"/>
        <v>A0490:(株)CDエナジーダイレクト(参考値)事業者全体</v>
      </c>
      <c r="S851" s="181">
        <f t="shared" si="41"/>
        <v>4.28E-4</v>
      </c>
    </row>
    <row r="852" spans="2:19">
      <c r="B852" s="121"/>
      <c r="C852" s="490"/>
      <c r="D852" s="490" t="str">
        <f t="shared" si="39"/>
        <v/>
      </c>
      <c r="I852" s="125" t="s">
        <v>1268</v>
      </c>
      <c r="J852" s="125" t="s">
        <v>1778</v>
      </c>
      <c r="K852" s="182" t="s">
        <v>652</v>
      </c>
      <c r="L852" s="182">
        <v>0</v>
      </c>
      <c r="M852" s="182">
        <v>0</v>
      </c>
      <c r="N852" s="182">
        <v>0</v>
      </c>
      <c r="O852" s="182">
        <v>0</v>
      </c>
      <c r="P852" s="182">
        <v>0</v>
      </c>
      <c r="R852" s="155" t="str">
        <f t="shared" si="40"/>
        <v>A0491:Q.ENESTでんき(株)メニューA</v>
      </c>
      <c r="S852" s="181">
        <f t="shared" si="41"/>
        <v>0</v>
      </c>
    </row>
    <row r="853" spans="2:19">
      <c r="B853" s="121"/>
      <c r="C853" s="490"/>
      <c r="D853" s="490" t="str">
        <f t="shared" si="39"/>
        <v/>
      </c>
      <c r="I853" s="125" t="s">
        <v>1268</v>
      </c>
      <c r="J853" s="125" t="s">
        <v>1778</v>
      </c>
      <c r="K853" s="182" t="s">
        <v>729</v>
      </c>
      <c r="L853" s="182">
        <v>3.19E-4</v>
      </c>
      <c r="M853" s="182">
        <v>3.19E-4</v>
      </c>
      <c r="N853" s="182">
        <v>3.19E-4</v>
      </c>
      <c r="O853" s="182">
        <v>3.19E-4</v>
      </c>
      <c r="P853" s="182">
        <v>3.19E-4</v>
      </c>
      <c r="R853" s="155" t="str">
        <f t="shared" si="40"/>
        <v>A0491:Q.ENESTでんき(株)メニューB</v>
      </c>
      <c r="S853" s="181">
        <f t="shared" si="41"/>
        <v>3.19E-4</v>
      </c>
    </row>
    <row r="854" spans="2:19">
      <c r="B854" s="121"/>
      <c r="C854" s="490"/>
      <c r="D854" s="490" t="str">
        <f t="shared" si="39"/>
        <v/>
      </c>
      <c r="I854" s="125" t="s">
        <v>1268</v>
      </c>
      <c r="J854" s="125" t="s">
        <v>1778</v>
      </c>
      <c r="K854" s="182" t="s">
        <v>730</v>
      </c>
      <c r="L854" s="182">
        <v>4.95E-4</v>
      </c>
      <c r="M854" s="182">
        <v>4.95E-4</v>
      </c>
      <c r="N854" s="182">
        <v>4.95E-4</v>
      </c>
      <c r="O854" s="182">
        <v>4.95E-4</v>
      </c>
      <c r="P854" s="182">
        <v>4.95E-4</v>
      </c>
      <c r="R854" s="155" t="str">
        <f t="shared" si="40"/>
        <v>A0491:Q.ENESTでんき(株)メニューC</v>
      </c>
      <c r="S854" s="181">
        <f t="shared" si="41"/>
        <v>4.95E-4</v>
      </c>
    </row>
    <row r="855" spans="2:19">
      <c r="B855" s="121"/>
      <c r="C855" s="490"/>
      <c r="D855" s="490" t="str">
        <f t="shared" si="39"/>
        <v/>
      </c>
      <c r="I855" s="125" t="s">
        <v>1268</v>
      </c>
      <c r="J855" s="125" t="s">
        <v>1778</v>
      </c>
      <c r="K855" s="182" t="s">
        <v>1998</v>
      </c>
      <c r="L855" s="182">
        <v>3.2600000000000001E-4</v>
      </c>
      <c r="M855" s="182">
        <v>3.2600000000000001E-4</v>
      </c>
      <c r="N855" s="182">
        <v>3.2600000000000001E-4</v>
      </c>
      <c r="O855" s="182">
        <v>3.2600000000000001E-4</v>
      </c>
      <c r="P855" s="182">
        <v>3.2600000000000001E-4</v>
      </c>
      <c r="R855" s="155" t="str">
        <f t="shared" si="40"/>
        <v>A0491:Q.ENESTでんき(株)(参考値)事業者全体</v>
      </c>
      <c r="S855" s="181">
        <f t="shared" si="41"/>
        <v>3.2600000000000001E-4</v>
      </c>
    </row>
    <row r="856" spans="2:19">
      <c r="B856" s="121"/>
      <c r="C856" s="490"/>
      <c r="D856" s="490" t="str">
        <f t="shared" si="39"/>
        <v/>
      </c>
      <c r="I856" s="125" t="s">
        <v>1269</v>
      </c>
      <c r="J856" s="125" t="s">
        <v>1779</v>
      </c>
      <c r="K856" s="182" t="s">
        <v>652</v>
      </c>
      <c r="L856" s="182">
        <v>0</v>
      </c>
      <c r="M856" s="182">
        <v>0</v>
      </c>
      <c r="N856" s="182">
        <v>0</v>
      </c>
      <c r="O856" s="182">
        <v>0</v>
      </c>
      <c r="P856" s="182">
        <v>0</v>
      </c>
      <c r="R856" s="155" t="str">
        <f t="shared" si="40"/>
        <v>A0493:(株)ぶんごおおのエナジーメニューA</v>
      </c>
      <c r="S856" s="181">
        <f t="shared" si="41"/>
        <v>0</v>
      </c>
    </row>
    <row r="857" spans="2:19">
      <c r="B857" s="121"/>
      <c r="C857" s="490"/>
      <c r="D857" s="490" t="str">
        <f t="shared" si="39"/>
        <v/>
      </c>
      <c r="I857" s="125" t="s">
        <v>1269</v>
      </c>
      <c r="J857" s="125" t="s">
        <v>1779</v>
      </c>
      <c r="K857" s="182" t="s">
        <v>729</v>
      </c>
      <c r="L857" s="182">
        <v>3.8499999999999998E-4</v>
      </c>
      <c r="M857" s="182">
        <v>3.8499999999999998E-4</v>
      </c>
      <c r="N857" s="182">
        <v>3.8499999999999998E-4</v>
      </c>
      <c r="O857" s="182">
        <v>3.8499999999999998E-4</v>
      </c>
      <c r="P857" s="182">
        <v>3.8499999999999998E-4</v>
      </c>
      <c r="R857" s="155" t="str">
        <f t="shared" si="40"/>
        <v>A0493:(株)ぶんごおおのエナジーメニューB</v>
      </c>
      <c r="S857" s="181">
        <f t="shared" si="41"/>
        <v>3.8499999999999998E-4</v>
      </c>
    </row>
    <row r="858" spans="2:19">
      <c r="B858" s="121"/>
      <c r="C858" s="490"/>
      <c r="D858" s="490" t="str">
        <f t="shared" si="39"/>
        <v/>
      </c>
      <c r="I858" s="125" t="s">
        <v>1269</v>
      </c>
      <c r="J858" s="125" t="s">
        <v>1779</v>
      </c>
      <c r="K858" s="182" t="s">
        <v>1998</v>
      </c>
      <c r="L858" s="182">
        <v>3.8200000000000002E-4</v>
      </c>
      <c r="M858" s="182">
        <v>3.8200000000000002E-4</v>
      </c>
      <c r="N858" s="182">
        <v>3.8200000000000002E-4</v>
      </c>
      <c r="O858" s="182">
        <v>3.8200000000000002E-4</v>
      </c>
      <c r="P858" s="182">
        <v>3.8200000000000002E-4</v>
      </c>
      <c r="R858" s="155" t="str">
        <f t="shared" si="40"/>
        <v>A0493:(株)ぶんごおおのエナジー(参考値)事業者全体</v>
      </c>
      <c r="S858" s="181">
        <f t="shared" si="41"/>
        <v>3.8200000000000002E-4</v>
      </c>
    </row>
    <row r="859" spans="2:19">
      <c r="B859" s="121"/>
      <c r="C859" s="490"/>
      <c r="D859" s="490" t="str">
        <f t="shared" si="39"/>
        <v/>
      </c>
      <c r="I859" s="125" t="s">
        <v>1270</v>
      </c>
      <c r="J859" s="125" t="s">
        <v>1780</v>
      </c>
      <c r="K859" s="182"/>
      <c r="L859" s="182">
        <v>2.5300000000000002E-4</v>
      </c>
      <c r="M859" s="182">
        <v>2.5300000000000002E-4</v>
      </c>
      <c r="N859" s="182">
        <v>2.5300000000000002E-4</v>
      </c>
      <c r="O859" s="182">
        <v>2.5300000000000002E-4</v>
      </c>
      <c r="P859" s="182">
        <v>2.5300000000000002E-4</v>
      </c>
      <c r="R859" s="155" t="str">
        <f t="shared" si="40"/>
        <v>A0494:ヴィジョナリーパワー(株)</v>
      </c>
      <c r="S859" s="181">
        <f t="shared" si="41"/>
        <v>2.5300000000000002E-4</v>
      </c>
    </row>
    <row r="860" spans="2:19">
      <c r="B860" s="121"/>
      <c r="C860" s="490"/>
      <c r="D860" s="490" t="str">
        <f t="shared" si="39"/>
        <v/>
      </c>
      <c r="I860" s="125" t="s">
        <v>1271</v>
      </c>
      <c r="J860" s="125" t="s">
        <v>1781</v>
      </c>
      <c r="K860" s="182"/>
      <c r="L860" s="182">
        <v>6.2299999999999996E-4</v>
      </c>
      <c r="M860" s="182">
        <v>6.2299999999999996E-4</v>
      </c>
      <c r="N860" s="182">
        <v>6.2299999999999996E-4</v>
      </c>
      <c r="O860" s="182">
        <v>6.2299999999999996E-4</v>
      </c>
      <c r="P860" s="182">
        <v>6.2299999999999996E-4</v>
      </c>
      <c r="R860" s="155" t="str">
        <f t="shared" si="40"/>
        <v>A0495:有明エナジー(株)</v>
      </c>
      <c r="S860" s="181">
        <f t="shared" si="41"/>
        <v>6.2299999999999996E-4</v>
      </c>
    </row>
    <row r="861" spans="2:19">
      <c r="B861" s="121"/>
      <c r="C861" s="490"/>
      <c r="D861" s="490" t="str">
        <f t="shared" si="39"/>
        <v/>
      </c>
      <c r="I861" s="125" t="s">
        <v>1272</v>
      </c>
      <c r="J861" s="125" t="s">
        <v>1782</v>
      </c>
      <c r="K861" s="182" t="s">
        <v>652</v>
      </c>
      <c r="L861" s="182">
        <v>0</v>
      </c>
      <c r="M861" s="182">
        <v>0</v>
      </c>
      <c r="N861" s="182">
        <v>0</v>
      </c>
      <c r="O861" s="182">
        <v>0</v>
      </c>
      <c r="P861" s="182">
        <v>0</v>
      </c>
      <c r="R861" s="155" t="str">
        <f t="shared" si="40"/>
        <v>A0499:厚木瓦斯(株)メニューA</v>
      </c>
      <c r="S861" s="181">
        <f t="shared" si="41"/>
        <v>0</v>
      </c>
    </row>
    <row r="862" spans="2:19">
      <c r="B862" s="121"/>
      <c r="C862" s="490"/>
      <c r="D862" s="490" t="str">
        <f t="shared" si="39"/>
        <v/>
      </c>
      <c r="I862" s="125" t="s">
        <v>1272</v>
      </c>
      <c r="J862" s="125" t="s">
        <v>1782</v>
      </c>
      <c r="K862" s="182" t="s">
        <v>729</v>
      </c>
      <c r="L862" s="182">
        <v>4.2000000000000002E-4</v>
      </c>
      <c r="M862" s="182">
        <v>4.2000000000000002E-4</v>
      </c>
      <c r="N862" s="182">
        <v>4.2000000000000002E-4</v>
      </c>
      <c r="O862" s="182">
        <v>4.2000000000000002E-4</v>
      </c>
      <c r="P862" s="182">
        <v>4.2000000000000002E-4</v>
      </c>
      <c r="R862" s="155" t="str">
        <f t="shared" si="40"/>
        <v>A0499:厚木瓦斯(株)メニューB</v>
      </c>
      <c r="S862" s="181">
        <f t="shared" si="41"/>
        <v>4.2000000000000002E-4</v>
      </c>
    </row>
    <row r="863" spans="2:19">
      <c r="B863" s="121"/>
      <c r="C863" s="490"/>
      <c r="D863" s="490" t="str">
        <f t="shared" si="39"/>
        <v/>
      </c>
      <c r="I863" s="125" t="s">
        <v>1272</v>
      </c>
      <c r="J863" s="125" t="s">
        <v>1782</v>
      </c>
      <c r="K863" s="182" t="s">
        <v>1998</v>
      </c>
      <c r="L863" s="182">
        <v>4.1399999999999998E-4</v>
      </c>
      <c r="M863" s="182">
        <v>4.1399999999999998E-4</v>
      </c>
      <c r="N863" s="182">
        <v>4.1399999999999998E-4</v>
      </c>
      <c r="O863" s="182">
        <v>4.1399999999999998E-4</v>
      </c>
      <c r="P863" s="182">
        <v>4.1399999999999998E-4</v>
      </c>
      <c r="R863" s="155" t="str">
        <f t="shared" si="40"/>
        <v>A0499:厚木瓦斯(株)(参考値)事業者全体</v>
      </c>
      <c r="S863" s="181">
        <f t="shared" si="41"/>
        <v>4.1399999999999998E-4</v>
      </c>
    </row>
    <row r="864" spans="2:19">
      <c r="B864" s="121"/>
      <c r="C864" s="490"/>
      <c r="D864" s="490" t="str">
        <f t="shared" si="39"/>
        <v/>
      </c>
      <c r="I864" s="125" t="s">
        <v>1273</v>
      </c>
      <c r="J864" s="125" t="s">
        <v>1783</v>
      </c>
      <c r="K864" s="182"/>
      <c r="L864" s="182">
        <v>6.4000000000000005E-4</v>
      </c>
      <c r="M864" s="182">
        <v>6.4000000000000005E-4</v>
      </c>
      <c r="N864" s="182">
        <v>6.4000000000000005E-4</v>
      </c>
      <c r="O864" s="182">
        <v>6.4000000000000005E-4</v>
      </c>
      <c r="P864" s="182">
        <v>6.4000000000000005E-4</v>
      </c>
      <c r="R864" s="155" t="str">
        <f t="shared" si="40"/>
        <v>A0500:(株)エネ・ビジョン</v>
      </c>
      <c r="S864" s="181">
        <f t="shared" si="41"/>
        <v>6.4000000000000005E-4</v>
      </c>
    </row>
    <row r="865" spans="2:19">
      <c r="B865" s="121"/>
      <c r="C865" s="490"/>
      <c r="D865" s="490" t="str">
        <f t="shared" si="39"/>
        <v/>
      </c>
      <c r="I865" s="125" t="s">
        <v>1274</v>
      </c>
      <c r="J865" s="125" t="s">
        <v>1784</v>
      </c>
      <c r="K865" s="182"/>
      <c r="L865" s="182">
        <v>4.1899999999999999E-4</v>
      </c>
      <c r="M865" s="182">
        <v>4.1899999999999999E-4</v>
      </c>
      <c r="N865" s="182">
        <v>4.1899999999999999E-4</v>
      </c>
      <c r="O865" s="182">
        <v>4.1899999999999999E-4</v>
      </c>
      <c r="P865" s="182">
        <v>4.1899999999999999E-4</v>
      </c>
      <c r="R865" s="155" t="str">
        <f t="shared" si="40"/>
        <v>A0501:イワタニ三重(株)</v>
      </c>
      <c r="S865" s="181">
        <f t="shared" si="41"/>
        <v>4.1899999999999999E-4</v>
      </c>
    </row>
    <row r="866" spans="2:19">
      <c r="B866" s="121"/>
      <c r="C866" s="490"/>
      <c r="D866" s="490" t="str">
        <f t="shared" si="39"/>
        <v/>
      </c>
      <c r="I866" s="125" t="s">
        <v>1275</v>
      </c>
      <c r="J866" s="125" t="s">
        <v>1785</v>
      </c>
      <c r="K866" s="182"/>
      <c r="L866" s="182">
        <v>5.4900000000000001E-4</v>
      </c>
      <c r="M866" s="182">
        <v>5.4900000000000001E-4</v>
      </c>
      <c r="N866" s="182">
        <v>5.4900000000000001E-4</v>
      </c>
      <c r="O866" s="182">
        <v>5.4900000000000001E-4</v>
      </c>
      <c r="P866" s="182">
        <v>5.4900000000000001E-4</v>
      </c>
      <c r="R866" s="155" t="str">
        <f t="shared" si="40"/>
        <v>A0502:(株)マルヰ</v>
      </c>
      <c r="S866" s="181">
        <f t="shared" si="41"/>
        <v>5.4900000000000001E-4</v>
      </c>
    </row>
    <row r="867" spans="2:19">
      <c r="B867" s="121"/>
      <c r="C867" s="490"/>
      <c r="D867" s="490" t="str">
        <f t="shared" si="39"/>
        <v/>
      </c>
      <c r="I867" s="125" t="s">
        <v>1276</v>
      </c>
      <c r="J867" s="125" t="s">
        <v>1786</v>
      </c>
      <c r="K867" s="182" t="s">
        <v>652</v>
      </c>
      <c r="L867" s="182">
        <v>0</v>
      </c>
      <c r="M867" s="182">
        <v>0</v>
      </c>
      <c r="N867" s="182">
        <v>0</v>
      </c>
      <c r="O867" s="182">
        <v>0</v>
      </c>
      <c r="P867" s="182">
        <v>0</v>
      </c>
      <c r="R867" s="155" t="str">
        <f t="shared" si="40"/>
        <v>A0503:大多喜ガス(株)メニューA</v>
      </c>
      <c r="S867" s="181">
        <f t="shared" si="41"/>
        <v>0</v>
      </c>
    </row>
    <row r="868" spans="2:19">
      <c r="B868" s="121"/>
      <c r="C868" s="490"/>
      <c r="D868" s="490" t="str">
        <f t="shared" si="39"/>
        <v/>
      </c>
      <c r="I868" s="125" t="s">
        <v>1276</v>
      </c>
      <c r="J868" s="125" t="s">
        <v>1786</v>
      </c>
      <c r="K868" s="182" t="s">
        <v>729</v>
      </c>
      <c r="L868" s="182">
        <v>4.3199999999999998E-4</v>
      </c>
      <c r="M868" s="182">
        <v>4.3199999999999998E-4</v>
      </c>
      <c r="N868" s="182">
        <v>4.3199999999999998E-4</v>
      </c>
      <c r="O868" s="182">
        <v>4.3199999999999998E-4</v>
      </c>
      <c r="P868" s="182">
        <v>4.3199999999999998E-4</v>
      </c>
      <c r="R868" s="155" t="str">
        <f t="shared" si="40"/>
        <v>A0503:大多喜ガス(株)メニューB</v>
      </c>
      <c r="S868" s="181">
        <f t="shared" si="41"/>
        <v>4.3199999999999998E-4</v>
      </c>
    </row>
    <row r="869" spans="2:19">
      <c r="B869" s="121"/>
      <c r="C869" s="490"/>
      <c r="D869" s="490" t="str">
        <f t="shared" si="39"/>
        <v/>
      </c>
      <c r="I869" s="125" t="s">
        <v>1276</v>
      </c>
      <c r="J869" s="125" t="s">
        <v>1786</v>
      </c>
      <c r="K869" s="182" t="s">
        <v>1998</v>
      </c>
      <c r="L869" s="182">
        <v>4.28E-4</v>
      </c>
      <c r="M869" s="182">
        <v>4.28E-4</v>
      </c>
      <c r="N869" s="182">
        <v>4.28E-4</v>
      </c>
      <c r="O869" s="182">
        <v>4.28E-4</v>
      </c>
      <c r="P869" s="182">
        <v>4.28E-4</v>
      </c>
      <c r="R869" s="155" t="str">
        <f t="shared" si="40"/>
        <v>A0503:大多喜ガス(株)(参考値)事業者全体</v>
      </c>
      <c r="S869" s="181">
        <f t="shared" si="41"/>
        <v>4.28E-4</v>
      </c>
    </row>
    <row r="870" spans="2:19">
      <c r="B870" s="121"/>
      <c r="C870" s="490"/>
      <c r="D870" s="490" t="str">
        <f t="shared" si="39"/>
        <v/>
      </c>
      <c r="I870" s="125" t="s">
        <v>1277</v>
      </c>
      <c r="J870" s="125" t="s">
        <v>1787</v>
      </c>
      <c r="K870" s="182" t="s">
        <v>652</v>
      </c>
      <c r="L870" s="182">
        <v>0</v>
      </c>
      <c r="M870" s="182">
        <v>0</v>
      </c>
      <c r="N870" s="182">
        <v>0</v>
      </c>
      <c r="O870" s="182">
        <v>0</v>
      </c>
      <c r="P870" s="182">
        <v>0</v>
      </c>
      <c r="R870" s="155" t="str">
        <f t="shared" si="40"/>
        <v>A0506:鈴与電力(株)メニューA</v>
      </c>
      <c r="S870" s="181">
        <f t="shared" si="41"/>
        <v>0</v>
      </c>
    </row>
    <row r="871" spans="2:19">
      <c r="B871" s="121"/>
      <c r="C871" s="490"/>
      <c r="D871" s="490" t="str">
        <f t="shared" si="39"/>
        <v/>
      </c>
      <c r="I871" s="125" t="s">
        <v>1277</v>
      </c>
      <c r="J871" s="125" t="s">
        <v>1787</v>
      </c>
      <c r="K871" s="182" t="s">
        <v>729</v>
      </c>
      <c r="L871" s="182">
        <v>0</v>
      </c>
      <c r="M871" s="182">
        <v>0</v>
      </c>
      <c r="N871" s="182">
        <v>0</v>
      </c>
      <c r="O871" s="182">
        <v>0</v>
      </c>
      <c r="P871" s="182">
        <v>0</v>
      </c>
      <c r="R871" s="155" t="str">
        <f t="shared" si="40"/>
        <v>A0506:鈴与電力(株)メニューB</v>
      </c>
      <c r="S871" s="181">
        <f t="shared" si="41"/>
        <v>0</v>
      </c>
    </row>
    <row r="872" spans="2:19">
      <c r="B872" s="121"/>
      <c r="C872" s="490"/>
      <c r="D872" s="490" t="str">
        <f t="shared" si="39"/>
        <v/>
      </c>
      <c r="I872" s="125" t="s">
        <v>1277</v>
      </c>
      <c r="J872" s="125" t="s">
        <v>1787</v>
      </c>
      <c r="K872" s="182" t="s">
        <v>730</v>
      </c>
      <c r="L872" s="182">
        <v>0</v>
      </c>
      <c r="M872" s="182">
        <v>0</v>
      </c>
      <c r="N872" s="182">
        <v>0</v>
      </c>
      <c r="O872" s="182">
        <v>0</v>
      </c>
      <c r="P872" s="182">
        <v>0</v>
      </c>
      <c r="R872" s="155" t="str">
        <f t="shared" si="40"/>
        <v>A0506:鈴与電力(株)メニューC</v>
      </c>
      <c r="S872" s="181">
        <f t="shared" si="41"/>
        <v>0</v>
      </c>
    </row>
    <row r="873" spans="2:19">
      <c r="B873" s="121"/>
      <c r="C873" s="490"/>
      <c r="D873" s="490" t="str">
        <f t="shared" si="39"/>
        <v/>
      </c>
      <c r="I873" s="125" t="s">
        <v>1277</v>
      </c>
      <c r="J873" s="125" t="s">
        <v>1787</v>
      </c>
      <c r="K873" s="182" t="s">
        <v>915</v>
      </c>
      <c r="L873" s="182">
        <v>0</v>
      </c>
      <c r="M873" s="182">
        <v>0</v>
      </c>
      <c r="N873" s="182">
        <v>0</v>
      </c>
      <c r="O873" s="182">
        <v>0</v>
      </c>
      <c r="P873" s="182">
        <v>0</v>
      </c>
      <c r="R873" s="155" t="str">
        <f t="shared" si="40"/>
        <v>A0506:鈴与電力(株)メニューD</v>
      </c>
      <c r="S873" s="181">
        <f t="shared" si="41"/>
        <v>0</v>
      </c>
    </row>
    <row r="874" spans="2:19">
      <c r="B874" s="121"/>
      <c r="C874" s="490"/>
      <c r="D874" s="490" t="str">
        <f t="shared" si="39"/>
        <v/>
      </c>
      <c r="I874" s="125" t="s">
        <v>1277</v>
      </c>
      <c r="J874" s="125" t="s">
        <v>1787</v>
      </c>
      <c r="K874" s="182" t="s">
        <v>916</v>
      </c>
      <c r="L874" s="182">
        <v>0</v>
      </c>
      <c r="M874" s="182">
        <v>0</v>
      </c>
      <c r="N874" s="182">
        <v>0</v>
      </c>
      <c r="O874" s="182">
        <v>0</v>
      </c>
      <c r="P874" s="182">
        <v>0</v>
      </c>
      <c r="R874" s="155" t="str">
        <f t="shared" si="40"/>
        <v>A0506:鈴与電力(株)メニューE</v>
      </c>
      <c r="S874" s="181">
        <f t="shared" si="41"/>
        <v>0</v>
      </c>
    </row>
    <row r="875" spans="2:19">
      <c r="B875" s="121"/>
      <c r="C875" s="490"/>
      <c r="D875" s="490" t="str">
        <f t="shared" si="39"/>
        <v/>
      </c>
      <c r="I875" s="125" t="s">
        <v>1277</v>
      </c>
      <c r="J875" s="125" t="s">
        <v>1787</v>
      </c>
      <c r="K875" s="182" t="s">
        <v>1999</v>
      </c>
      <c r="L875" s="182">
        <v>0</v>
      </c>
      <c r="M875" s="182">
        <v>0</v>
      </c>
      <c r="N875" s="182">
        <v>0</v>
      </c>
      <c r="O875" s="182">
        <v>0</v>
      </c>
      <c r="P875" s="182">
        <v>0</v>
      </c>
      <c r="R875" s="155" t="str">
        <f t="shared" si="40"/>
        <v>A0506:鈴与電力(株)メニューF</v>
      </c>
      <c r="S875" s="181">
        <f t="shared" si="41"/>
        <v>0</v>
      </c>
    </row>
    <row r="876" spans="2:19">
      <c r="B876" s="121"/>
      <c r="C876" s="490"/>
      <c r="D876" s="490" t="str">
        <f t="shared" si="39"/>
        <v/>
      </c>
      <c r="I876" s="125" t="s">
        <v>1277</v>
      </c>
      <c r="J876" s="125" t="s">
        <v>1787</v>
      </c>
      <c r="K876" s="182" t="s">
        <v>2000</v>
      </c>
      <c r="L876" s="182">
        <v>5.8799999999999998E-4</v>
      </c>
      <c r="M876" s="182">
        <v>5.8799999999999998E-4</v>
      </c>
      <c r="N876" s="182">
        <v>5.8799999999999998E-4</v>
      </c>
      <c r="O876" s="182">
        <v>5.8799999999999998E-4</v>
      </c>
      <c r="P876" s="182">
        <v>5.8799999999999998E-4</v>
      </c>
      <c r="R876" s="155" t="str">
        <f t="shared" si="40"/>
        <v>A0506:鈴与電力(株)メニューG</v>
      </c>
      <c r="S876" s="181">
        <f t="shared" si="41"/>
        <v>5.8799999999999998E-4</v>
      </c>
    </row>
    <row r="877" spans="2:19">
      <c r="B877" s="121"/>
      <c r="C877" s="490"/>
      <c r="D877" s="490" t="str">
        <f t="shared" si="39"/>
        <v/>
      </c>
      <c r="I877" s="125" t="s">
        <v>1277</v>
      </c>
      <c r="J877" s="125" t="s">
        <v>1787</v>
      </c>
      <c r="K877" s="182" t="s">
        <v>2001</v>
      </c>
      <c r="L877" s="182">
        <v>5.8500000000000002E-4</v>
      </c>
      <c r="M877" s="182">
        <v>5.8500000000000002E-4</v>
      </c>
      <c r="N877" s="182">
        <v>5.8500000000000002E-4</v>
      </c>
      <c r="O877" s="182">
        <v>5.8500000000000002E-4</v>
      </c>
      <c r="P877" s="182">
        <v>5.8500000000000002E-4</v>
      </c>
      <c r="R877" s="155" t="str">
        <f t="shared" si="40"/>
        <v>A0506:鈴与電力(株)メニューH</v>
      </c>
      <c r="S877" s="181">
        <f t="shared" si="41"/>
        <v>5.8500000000000002E-4</v>
      </c>
    </row>
    <row r="878" spans="2:19">
      <c r="B878" s="121"/>
      <c r="C878" s="490"/>
      <c r="D878" s="490" t="str">
        <f t="shared" ref="D878:D941" si="42">IF(B878="","",B878&amp;":"&amp;C878)</f>
        <v/>
      </c>
      <c r="I878" s="125" t="s">
        <v>1277</v>
      </c>
      <c r="J878" s="125" t="s">
        <v>1787</v>
      </c>
      <c r="K878" s="182" t="s">
        <v>2002</v>
      </c>
      <c r="L878" s="182">
        <v>5.8399999999999999E-4</v>
      </c>
      <c r="M878" s="182">
        <v>5.8399999999999999E-4</v>
      </c>
      <c r="N878" s="182">
        <v>5.8399999999999999E-4</v>
      </c>
      <c r="O878" s="182">
        <v>5.8399999999999999E-4</v>
      </c>
      <c r="P878" s="182">
        <v>5.8399999999999999E-4</v>
      </c>
      <c r="R878" s="155" t="str">
        <f t="shared" si="40"/>
        <v>A0506:鈴与電力(株)メニューI</v>
      </c>
      <c r="S878" s="181">
        <f t="shared" si="41"/>
        <v>5.8399999999999999E-4</v>
      </c>
    </row>
    <row r="879" spans="2:19">
      <c r="B879" s="121"/>
      <c r="C879" s="490"/>
      <c r="D879" s="490" t="str">
        <f t="shared" si="42"/>
        <v/>
      </c>
      <c r="I879" s="125" t="s">
        <v>1277</v>
      </c>
      <c r="J879" s="125" t="s">
        <v>1787</v>
      </c>
      <c r="K879" s="182" t="s">
        <v>2003</v>
      </c>
      <c r="L879" s="182">
        <v>5.8E-4</v>
      </c>
      <c r="M879" s="182">
        <v>5.8E-4</v>
      </c>
      <c r="N879" s="182">
        <v>5.8E-4</v>
      </c>
      <c r="O879" s="182">
        <v>5.8E-4</v>
      </c>
      <c r="P879" s="182">
        <v>5.8E-4</v>
      </c>
      <c r="R879" s="155" t="str">
        <f t="shared" si="40"/>
        <v>A0506:鈴与電力(株)メニューJ</v>
      </c>
      <c r="S879" s="181">
        <f t="shared" si="41"/>
        <v>5.8E-4</v>
      </c>
    </row>
    <row r="880" spans="2:19">
      <c r="B880" s="121"/>
      <c r="C880" s="490"/>
      <c r="D880" s="490" t="str">
        <f t="shared" si="42"/>
        <v/>
      </c>
      <c r="I880" s="125" t="s">
        <v>1277</v>
      </c>
      <c r="J880" s="125" t="s">
        <v>1787</v>
      </c>
      <c r="K880" s="182" t="s">
        <v>2004</v>
      </c>
      <c r="L880" s="182">
        <v>0</v>
      </c>
      <c r="M880" s="182">
        <v>0</v>
      </c>
      <c r="N880" s="182">
        <v>0</v>
      </c>
      <c r="O880" s="182">
        <v>0</v>
      </c>
      <c r="P880" s="182">
        <v>0</v>
      </c>
      <c r="R880" s="155" t="str">
        <f t="shared" si="40"/>
        <v>A0506:鈴与電力(株)メニューK</v>
      </c>
      <c r="S880" s="181">
        <f t="shared" si="41"/>
        <v>0</v>
      </c>
    </row>
    <row r="881" spans="2:19">
      <c r="B881" s="121"/>
      <c r="C881" s="490"/>
      <c r="D881" s="490" t="str">
        <f t="shared" si="42"/>
        <v/>
      </c>
      <c r="I881" s="125" t="s">
        <v>1277</v>
      </c>
      <c r="J881" s="125" t="s">
        <v>1787</v>
      </c>
      <c r="K881" s="182" t="s">
        <v>2005</v>
      </c>
      <c r="L881" s="182">
        <v>6.2200000000000005E-4</v>
      </c>
      <c r="M881" s="182">
        <v>6.2200000000000005E-4</v>
      </c>
      <c r="N881" s="182">
        <v>6.2200000000000005E-4</v>
      </c>
      <c r="O881" s="182">
        <v>6.2200000000000005E-4</v>
      </c>
      <c r="P881" s="182">
        <v>6.2200000000000005E-4</v>
      </c>
      <c r="R881" s="155" t="str">
        <f t="shared" si="40"/>
        <v>A0506:鈴与電力(株)メニューL</v>
      </c>
      <c r="S881" s="181">
        <f t="shared" si="41"/>
        <v>6.2200000000000005E-4</v>
      </c>
    </row>
    <row r="882" spans="2:19">
      <c r="B882" s="121"/>
      <c r="C882" s="490"/>
      <c r="D882" s="490" t="str">
        <f t="shared" si="42"/>
        <v/>
      </c>
      <c r="I882" s="125" t="s">
        <v>1277</v>
      </c>
      <c r="J882" s="125" t="s">
        <v>1787</v>
      </c>
      <c r="K882" s="182" t="s">
        <v>1998</v>
      </c>
      <c r="L882" s="182">
        <v>5.2499999999999997E-4</v>
      </c>
      <c r="M882" s="182">
        <v>5.2499999999999997E-4</v>
      </c>
      <c r="N882" s="182">
        <v>5.2499999999999997E-4</v>
      </c>
      <c r="O882" s="182">
        <v>5.2499999999999997E-4</v>
      </c>
      <c r="P882" s="182">
        <v>5.2499999999999997E-4</v>
      </c>
      <c r="R882" s="155" t="str">
        <f t="shared" si="40"/>
        <v>A0506:鈴与電力(株)(参考値)事業者全体</v>
      </c>
      <c r="S882" s="181">
        <f t="shared" si="41"/>
        <v>5.2499999999999997E-4</v>
      </c>
    </row>
    <row r="883" spans="2:19">
      <c r="B883" s="121"/>
      <c r="C883" s="490"/>
      <c r="D883" s="490" t="str">
        <f t="shared" si="42"/>
        <v/>
      </c>
      <c r="I883" s="125" t="s">
        <v>1278</v>
      </c>
      <c r="J883" s="125" t="s">
        <v>1788</v>
      </c>
      <c r="K883" s="182" t="s">
        <v>652</v>
      </c>
      <c r="L883" s="182">
        <v>0</v>
      </c>
      <c r="M883" s="182">
        <v>0</v>
      </c>
      <c r="N883" s="182">
        <v>0</v>
      </c>
      <c r="O883" s="182">
        <v>0</v>
      </c>
      <c r="P883" s="182">
        <v>0</v>
      </c>
      <c r="R883" s="155" t="str">
        <f t="shared" si="40"/>
        <v>A0507:コープ電力(株)メニューA</v>
      </c>
      <c r="S883" s="181">
        <f t="shared" si="41"/>
        <v>0</v>
      </c>
    </row>
    <row r="884" spans="2:19">
      <c r="B884" s="121"/>
      <c r="C884" s="490"/>
      <c r="D884" s="490" t="str">
        <f t="shared" si="42"/>
        <v/>
      </c>
      <c r="I884" s="125" t="s">
        <v>1278</v>
      </c>
      <c r="J884" s="125" t="s">
        <v>1788</v>
      </c>
      <c r="K884" s="182" t="s">
        <v>729</v>
      </c>
      <c r="L884" s="182">
        <v>4.2999999999999999E-4</v>
      </c>
      <c r="M884" s="182">
        <v>4.2999999999999999E-4</v>
      </c>
      <c r="N884" s="182">
        <v>4.2999999999999999E-4</v>
      </c>
      <c r="O884" s="182">
        <v>4.2999999999999999E-4</v>
      </c>
      <c r="P884" s="182">
        <v>4.2999999999999999E-4</v>
      </c>
      <c r="R884" s="155" t="str">
        <f t="shared" si="40"/>
        <v>A0507:コープ電力(株)メニューB</v>
      </c>
      <c r="S884" s="181">
        <f t="shared" si="41"/>
        <v>4.2999999999999999E-4</v>
      </c>
    </row>
    <row r="885" spans="2:19">
      <c r="B885" s="121"/>
      <c r="C885" s="490"/>
      <c r="D885" s="490" t="str">
        <f t="shared" si="42"/>
        <v/>
      </c>
      <c r="I885" s="125" t="s">
        <v>1278</v>
      </c>
      <c r="J885" s="125" t="s">
        <v>1788</v>
      </c>
      <c r="K885" s="182" t="s">
        <v>1998</v>
      </c>
      <c r="L885" s="182">
        <v>4.2000000000000002E-4</v>
      </c>
      <c r="M885" s="182">
        <v>4.2000000000000002E-4</v>
      </c>
      <c r="N885" s="182">
        <v>4.2000000000000002E-4</v>
      </c>
      <c r="O885" s="182">
        <v>4.2000000000000002E-4</v>
      </c>
      <c r="P885" s="182">
        <v>4.2000000000000002E-4</v>
      </c>
      <c r="R885" s="155" t="str">
        <f t="shared" si="40"/>
        <v>A0507:コープ電力(株)(参考値)事業者全体</v>
      </c>
      <c r="S885" s="181">
        <f t="shared" si="41"/>
        <v>4.2000000000000002E-4</v>
      </c>
    </row>
    <row r="886" spans="2:19">
      <c r="B886" s="121"/>
      <c r="C886" s="490"/>
      <c r="D886" s="490" t="str">
        <f t="shared" si="42"/>
        <v/>
      </c>
      <c r="I886" s="125" t="s">
        <v>1279</v>
      </c>
      <c r="J886" s="125" t="s">
        <v>1789</v>
      </c>
      <c r="K886" s="182"/>
      <c r="L886" s="182">
        <v>6.3500000000000004E-4</v>
      </c>
      <c r="M886" s="182">
        <v>6.3500000000000004E-4</v>
      </c>
      <c r="N886" s="182">
        <v>6.3500000000000004E-4</v>
      </c>
      <c r="O886" s="182">
        <v>6.3500000000000004E-4</v>
      </c>
      <c r="P886" s="182">
        <v>6.3500000000000004E-4</v>
      </c>
      <c r="R886" s="155" t="str">
        <f t="shared" si="40"/>
        <v>A0511:亀岡ふるさとエナジー(株)</v>
      </c>
      <c r="S886" s="181">
        <f t="shared" si="41"/>
        <v>6.3500000000000004E-4</v>
      </c>
    </row>
    <row r="887" spans="2:19">
      <c r="B887" s="121"/>
      <c r="C887" s="490"/>
      <c r="D887" s="490" t="str">
        <f t="shared" si="42"/>
        <v/>
      </c>
      <c r="I887" s="125" t="s">
        <v>1280</v>
      </c>
      <c r="J887" s="125" t="s">
        <v>1790</v>
      </c>
      <c r="K887" s="182" t="s">
        <v>652</v>
      </c>
      <c r="L887" s="182">
        <v>4.2400000000000001E-4</v>
      </c>
      <c r="M887" s="182">
        <v>4.2400000000000001E-4</v>
      </c>
      <c r="N887" s="182">
        <v>4.2400000000000001E-4</v>
      </c>
      <c r="O887" s="182">
        <v>4.2400000000000001E-4</v>
      </c>
      <c r="P887" s="182">
        <v>4.2400000000000001E-4</v>
      </c>
      <c r="R887" s="155" t="str">
        <f t="shared" si="40"/>
        <v>A0513:(株)織戸組メニューA</v>
      </c>
      <c r="S887" s="181">
        <f t="shared" si="41"/>
        <v>4.2400000000000001E-4</v>
      </c>
    </row>
    <row r="888" spans="2:19">
      <c r="B888" s="121"/>
      <c r="C888" s="490"/>
      <c r="D888" s="490" t="str">
        <f t="shared" si="42"/>
        <v/>
      </c>
      <c r="I888" s="125" t="s">
        <v>1280</v>
      </c>
      <c r="J888" s="125" t="s">
        <v>1790</v>
      </c>
      <c r="K888" s="182" t="s">
        <v>1998</v>
      </c>
      <c r="L888" s="182">
        <v>4.2400000000000001E-4</v>
      </c>
      <c r="M888" s="182">
        <v>4.2400000000000001E-4</v>
      </c>
      <c r="N888" s="182">
        <v>4.2400000000000001E-4</v>
      </c>
      <c r="O888" s="182">
        <v>4.2400000000000001E-4</v>
      </c>
      <c r="P888" s="182">
        <v>4.2400000000000001E-4</v>
      </c>
      <c r="R888" s="155" t="str">
        <f t="shared" si="40"/>
        <v>A0513:(株)織戸組(参考値)事業者全体</v>
      </c>
      <c r="S888" s="181">
        <f t="shared" si="41"/>
        <v>4.2400000000000001E-4</v>
      </c>
    </row>
    <row r="889" spans="2:19">
      <c r="B889" s="121"/>
      <c r="C889" s="490"/>
      <c r="D889" s="490" t="str">
        <f t="shared" si="42"/>
        <v/>
      </c>
      <c r="I889" s="125" t="s">
        <v>1281</v>
      </c>
      <c r="J889" s="125" t="s">
        <v>1791</v>
      </c>
      <c r="K889" s="182" t="s">
        <v>652</v>
      </c>
      <c r="L889" s="182">
        <v>0</v>
      </c>
      <c r="M889" s="182">
        <v>0</v>
      </c>
      <c r="N889" s="182">
        <v>0</v>
      </c>
      <c r="O889" s="182">
        <v>0</v>
      </c>
      <c r="P889" s="182">
        <v>0</v>
      </c>
      <c r="R889" s="155" t="str">
        <f t="shared" si="40"/>
        <v>A0514:ふかやeパワー(株)メニューA</v>
      </c>
      <c r="S889" s="181">
        <f t="shared" si="41"/>
        <v>0</v>
      </c>
    </row>
    <row r="890" spans="2:19">
      <c r="B890" s="121"/>
      <c r="C890" s="490"/>
      <c r="D890" s="490" t="str">
        <f t="shared" si="42"/>
        <v/>
      </c>
      <c r="I890" s="125" t="s">
        <v>1281</v>
      </c>
      <c r="J890" s="125" t="s">
        <v>1791</v>
      </c>
      <c r="K890" s="182" t="s">
        <v>729</v>
      </c>
      <c r="L890" s="182">
        <v>3.9199999999999999E-4</v>
      </c>
      <c r="M890" s="182">
        <v>3.9199999999999999E-4</v>
      </c>
      <c r="N890" s="182">
        <v>3.9199999999999999E-4</v>
      </c>
      <c r="O890" s="182">
        <v>3.9199999999999999E-4</v>
      </c>
      <c r="P890" s="182">
        <v>3.9199999999999999E-4</v>
      </c>
      <c r="R890" s="155" t="str">
        <f t="shared" si="40"/>
        <v>A0514:ふかやeパワー(株)メニューB</v>
      </c>
      <c r="S890" s="181">
        <f t="shared" si="41"/>
        <v>3.9199999999999999E-4</v>
      </c>
    </row>
    <row r="891" spans="2:19">
      <c r="B891" s="121"/>
      <c r="C891" s="490"/>
      <c r="D891" s="490" t="str">
        <f t="shared" si="42"/>
        <v/>
      </c>
      <c r="I891" s="125" t="s">
        <v>1281</v>
      </c>
      <c r="J891" s="125" t="s">
        <v>1791</v>
      </c>
      <c r="K891" s="182" t="s">
        <v>1998</v>
      </c>
      <c r="L891" s="182">
        <v>3.6299999999999999E-4</v>
      </c>
      <c r="M891" s="182">
        <v>3.6299999999999999E-4</v>
      </c>
      <c r="N891" s="182">
        <v>3.6299999999999999E-4</v>
      </c>
      <c r="O891" s="182">
        <v>3.6299999999999999E-4</v>
      </c>
      <c r="P891" s="182">
        <v>3.6299999999999999E-4</v>
      </c>
      <c r="R891" s="155" t="str">
        <f t="shared" si="40"/>
        <v>A0514:ふかやeパワー(株)(参考値)事業者全体</v>
      </c>
      <c r="S891" s="181">
        <f t="shared" si="41"/>
        <v>3.6299999999999999E-4</v>
      </c>
    </row>
    <row r="892" spans="2:19">
      <c r="B892" s="121"/>
      <c r="C892" s="490"/>
      <c r="D892" s="490" t="str">
        <f t="shared" si="42"/>
        <v/>
      </c>
      <c r="I892" s="125" t="s">
        <v>1282</v>
      </c>
      <c r="J892" s="125" t="s">
        <v>1792</v>
      </c>
      <c r="K892" s="182"/>
      <c r="L892" s="182">
        <v>4.6299999999999998E-4</v>
      </c>
      <c r="M892" s="182">
        <v>4.6299999999999998E-4</v>
      </c>
      <c r="N892" s="182">
        <v>4.6299999999999998E-4</v>
      </c>
      <c r="O892" s="182">
        <v>4.6299999999999998E-4</v>
      </c>
      <c r="P892" s="182">
        <v>4.6299999999999998E-4</v>
      </c>
      <c r="R892" s="155" t="str">
        <f t="shared" si="40"/>
        <v>A0515:(株)Link Life</v>
      </c>
      <c r="S892" s="181">
        <f t="shared" si="41"/>
        <v>4.6299999999999998E-4</v>
      </c>
    </row>
    <row r="893" spans="2:19">
      <c r="B893" s="121"/>
      <c r="C893" s="490"/>
      <c r="D893" s="490" t="str">
        <f t="shared" si="42"/>
        <v/>
      </c>
      <c r="I893" s="125" t="s">
        <v>1283</v>
      </c>
      <c r="J893" s="125" t="s">
        <v>1793</v>
      </c>
      <c r="K893" s="182"/>
      <c r="L893" s="182">
        <v>4.1899999999999999E-4</v>
      </c>
      <c r="M893" s="182">
        <v>4.1899999999999999E-4</v>
      </c>
      <c r="N893" s="182">
        <v>4.1899999999999999E-4</v>
      </c>
      <c r="O893" s="182">
        <v>4.1899999999999999E-4</v>
      </c>
      <c r="P893" s="182">
        <v>4.1899999999999999E-4</v>
      </c>
      <c r="R893" s="155" t="str">
        <f t="shared" si="40"/>
        <v>A0518:(株)グローバルキャスト</v>
      </c>
      <c r="S893" s="181">
        <f t="shared" si="41"/>
        <v>4.1899999999999999E-4</v>
      </c>
    </row>
    <row r="894" spans="2:19">
      <c r="B894" s="121"/>
      <c r="C894" s="490"/>
      <c r="D894" s="490" t="str">
        <f t="shared" si="42"/>
        <v/>
      </c>
      <c r="I894" s="125" t="s">
        <v>1284</v>
      </c>
      <c r="J894" s="125" t="s">
        <v>1794</v>
      </c>
      <c r="K894" s="182" t="s">
        <v>652</v>
      </c>
      <c r="L894" s="182">
        <v>0</v>
      </c>
      <c r="M894" s="182">
        <v>0</v>
      </c>
      <c r="N894" s="182">
        <v>0</v>
      </c>
      <c r="O894" s="182">
        <v>0</v>
      </c>
      <c r="P894" s="182">
        <v>0</v>
      </c>
      <c r="R894" s="155" t="str">
        <f t="shared" si="40"/>
        <v>A0519:日本エネルギー総合システム(株)メニューA</v>
      </c>
      <c r="S894" s="181">
        <f t="shared" si="41"/>
        <v>0</v>
      </c>
    </row>
    <row r="895" spans="2:19">
      <c r="B895" s="121"/>
      <c r="C895" s="490"/>
      <c r="D895" s="490" t="str">
        <f t="shared" si="42"/>
        <v/>
      </c>
      <c r="I895" s="125" t="s">
        <v>1284</v>
      </c>
      <c r="J895" s="125" t="s">
        <v>1794</v>
      </c>
      <c r="K895" s="182" t="s">
        <v>729</v>
      </c>
      <c r="L895" s="182">
        <v>1.6699999999999999E-4</v>
      </c>
      <c r="M895" s="182">
        <v>1.6699999999999999E-4</v>
      </c>
      <c r="N895" s="182">
        <v>1.6699999999999999E-4</v>
      </c>
      <c r="O895" s="182">
        <v>1.6699999999999999E-4</v>
      </c>
      <c r="P895" s="182">
        <v>1.6699999999999999E-4</v>
      </c>
      <c r="R895" s="155" t="str">
        <f t="shared" si="40"/>
        <v>A0519:日本エネルギー総合システム(株)メニューB</v>
      </c>
      <c r="S895" s="181">
        <f t="shared" si="41"/>
        <v>1.6699999999999999E-4</v>
      </c>
    </row>
    <row r="896" spans="2:19">
      <c r="B896" s="121"/>
      <c r="C896" s="490"/>
      <c r="D896" s="490" t="str">
        <f t="shared" si="42"/>
        <v/>
      </c>
      <c r="I896" s="125" t="s">
        <v>1284</v>
      </c>
      <c r="J896" s="125" t="s">
        <v>1794</v>
      </c>
      <c r="K896" s="182" t="s">
        <v>730</v>
      </c>
      <c r="L896" s="182">
        <v>2.1000000000000001E-4</v>
      </c>
      <c r="M896" s="182">
        <v>2.1000000000000001E-4</v>
      </c>
      <c r="N896" s="182">
        <v>2.1000000000000001E-4</v>
      </c>
      <c r="O896" s="182">
        <v>2.1000000000000001E-4</v>
      </c>
      <c r="P896" s="182">
        <v>2.1000000000000001E-4</v>
      </c>
      <c r="R896" s="155" t="str">
        <f t="shared" si="40"/>
        <v>A0519:日本エネルギー総合システム(株)メニューC</v>
      </c>
      <c r="S896" s="181">
        <f t="shared" si="41"/>
        <v>2.1000000000000001E-4</v>
      </c>
    </row>
    <row r="897" spans="2:19">
      <c r="B897" s="121"/>
      <c r="C897" s="490"/>
      <c r="D897" s="490" t="str">
        <f t="shared" si="42"/>
        <v/>
      </c>
      <c r="I897" s="125" t="s">
        <v>1284</v>
      </c>
      <c r="J897" s="125" t="s">
        <v>1794</v>
      </c>
      <c r="K897" s="182" t="s">
        <v>915</v>
      </c>
      <c r="L897" s="182">
        <v>2.7399999999999999E-4</v>
      </c>
      <c r="M897" s="182">
        <v>2.7399999999999999E-4</v>
      </c>
      <c r="N897" s="182">
        <v>2.7399999999999999E-4</v>
      </c>
      <c r="O897" s="182">
        <v>2.7399999999999999E-4</v>
      </c>
      <c r="P897" s="182">
        <v>2.7399999999999999E-4</v>
      </c>
      <c r="R897" s="155" t="str">
        <f t="shared" si="40"/>
        <v>A0519:日本エネルギー総合システム(株)メニューD</v>
      </c>
      <c r="S897" s="181">
        <f t="shared" si="41"/>
        <v>2.7399999999999999E-4</v>
      </c>
    </row>
    <row r="898" spans="2:19">
      <c r="B898" s="121"/>
      <c r="C898" s="490"/>
      <c r="D898" s="490" t="str">
        <f t="shared" si="42"/>
        <v/>
      </c>
      <c r="I898" s="125" t="s">
        <v>1284</v>
      </c>
      <c r="J898" s="125" t="s">
        <v>1794</v>
      </c>
      <c r="K898" s="182" t="s">
        <v>916</v>
      </c>
      <c r="L898" s="182">
        <v>2.9500000000000001E-4</v>
      </c>
      <c r="M898" s="182">
        <v>2.9500000000000001E-4</v>
      </c>
      <c r="N898" s="182">
        <v>2.9500000000000001E-4</v>
      </c>
      <c r="O898" s="182">
        <v>2.9500000000000001E-4</v>
      </c>
      <c r="P898" s="182">
        <v>2.9500000000000001E-4</v>
      </c>
      <c r="R898" s="155" t="str">
        <f t="shared" si="40"/>
        <v>A0519:日本エネルギー総合システム(株)メニューE</v>
      </c>
      <c r="S898" s="181">
        <f t="shared" si="41"/>
        <v>2.9500000000000001E-4</v>
      </c>
    </row>
    <row r="899" spans="2:19">
      <c r="B899" s="121"/>
      <c r="C899" s="490"/>
      <c r="D899" s="490" t="str">
        <f t="shared" si="42"/>
        <v/>
      </c>
      <c r="I899" s="125" t="s">
        <v>1284</v>
      </c>
      <c r="J899" s="125" t="s">
        <v>1794</v>
      </c>
      <c r="K899" s="182" t="s">
        <v>1999</v>
      </c>
      <c r="L899" s="182">
        <v>3.8000000000000002E-4</v>
      </c>
      <c r="M899" s="182">
        <v>3.8000000000000002E-4</v>
      </c>
      <c r="N899" s="182">
        <v>3.8000000000000002E-4</v>
      </c>
      <c r="O899" s="182">
        <v>3.8000000000000002E-4</v>
      </c>
      <c r="P899" s="182">
        <v>3.8000000000000002E-4</v>
      </c>
      <c r="R899" s="155" t="str">
        <f t="shared" si="40"/>
        <v>A0519:日本エネルギー総合システム(株)メニューF</v>
      </c>
      <c r="S899" s="181">
        <f t="shared" si="41"/>
        <v>3.8000000000000002E-4</v>
      </c>
    </row>
    <row r="900" spans="2:19">
      <c r="B900" s="121"/>
      <c r="C900" s="490"/>
      <c r="D900" s="490" t="str">
        <f t="shared" si="42"/>
        <v/>
      </c>
      <c r="I900" s="125" t="s">
        <v>1284</v>
      </c>
      <c r="J900" s="125" t="s">
        <v>1794</v>
      </c>
      <c r="K900" s="182" t="s">
        <v>2000</v>
      </c>
      <c r="L900" s="182">
        <v>4.64E-4</v>
      </c>
      <c r="M900" s="182">
        <v>4.64E-4</v>
      </c>
      <c r="N900" s="182">
        <v>4.64E-4</v>
      </c>
      <c r="O900" s="182">
        <v>4.64E-4</v>
      </c>
      <c r="P900" s="182">
        <v>4.64E-4</v>
      </c>
      <c r="R900" s="155" t="str">
        <f t="shared" si="40"/>
        <v>A0519:日本エネルギー総合システム(株)メニューG</v>
      </c>
      <c r="S900" s="181">
        <f t="shared" si="41"/>
        <v>4.64E-4</v>
      </c>
    </row>
    <row r="901" spans="2:19">
      <c r="B901" s="121"/>
      <c r="C901" s="490"/>
      <c r="D901" s="490" t="str">
        <f t="shared" si="42"/>
        <v/>
      </c>
      <c r="I901" s="125" t="s">
        <v>1284</v>
      </c>
      <c r="J901" s="125" t="s">
        <v>1794</v>
      </c>
      <c r="K901" s="182" t="s">
        <v>1998</v>
      </c>
      <c r="L901" s="182">
        <v>3.9899999999999999E-4</v>
      </c>
      <c r="M901" s="182">
        <v>3.9899999999999999E-4</v>
      </c>
      <c r="N901" s="182">
        <v>3.9899999999999999E-4</v>
      </c>
      <c r="O901" s="182">
        <v>3.9899999999999999E-4</v>
      </c>
      <c r="P901" s="182">
        <v>3.9899999999999999E-4</v>
      </c>
      <c r="R901" s="155" t="str">
        <f t="shared" si="40"/>
        <v>A0519:日本エネルギー総合システム(株)(参考値)事業者全体</v>
      </c>
      <c r="S901" s="181">
        <f t="shared" si="41"/>
        <v>3.9899999999999999E-4</v>
      </c>
    </row>
    <row r="902" spans="2:19">
      <c r="B902" s="121"/>
      <c r="C902" s="490"/>
      <c r="D902" s="490" t="str">
        <f t="shared" si="42"/>
        <v/>
      </c>
      <c r="I902" s="125" t="s">
        <v>1285</v>
      </c>
      <c r="J902" s="125" t="s">
        <v>1795</v>
      </c>
      <c r="K902" s="182"/>
      <c r="L902" s="182">
        <v>4.1899999999999999E-4</v>
      </c>
      <c r="M902" s="182">
        <v>4.1899999999999999E-4</v>
      </c>
      <c r="N902" s="182">
        <v>4.1899999999999999E-4</v>
      </c>
      <c r="O902" s="182">
        <v>4.1899999999999999E-4</v>
      </c>
      <c r="P902" s="182">
        <v>4.1899999999999999E-4</v>
      </c>
      <c r="R902" s="155" t="str">
        <f t="shared" si="40"/>
        <v>A0520:イワタニ東海(株)</v>
      </c>
      <c r="S902" s="181">
        <f t="shared" si="41"/>
        <v>4.1899999999999999E-4</v>
      </c>
    </row>
    <row r="903" spans="2:19">
      <c r="B903" s="121"/>
      <c r="C903" s="490"/>
      <c r="D903" s="490" t="str">
        <f t="shared" si="42"/>
        <v/>
      </c>
      <c r="I903" s="125" t="s">
        <v>1286</v>
      </c>
      <c r="J903" s="125" t="s">
        <v>1796</v>
      </c>
      <c r="K903" s="182" t="s">
        <v>652</v>
      </c>
      <c r="L903" s="182">
        <v>1E-4</v>
      </c>
      <c r="M903" s="182">
        <v>1E-4</v>
      </c>
      <c r="N903" s="182">
        <v>1E-4</v>
      </c>
      <c r="O903" s="182">
        <v>1E-4</v>
      </c>
      <c r="P903" s="182">
        <v>1E-4</v>
      </c>
      <c r="R903" s="155" t="str">
        <f t="shared" si="40"/>
        <v>A0525:(株)ところざわ未来電力メニューA</v>
      </c>
      <c r="S903" s="181">
        <f t="shared" si="41"/>
        <v>1E-4</v>
      </c>
    </row>
    <row r="904" spans="2:19">
      <c r="B904" s="121"/>
      <c r="C904" s="490"/>
      <c r="D904" s="490" t="str">
        <f t="shared" si="42"/>
        <v/>
      </c>
      <c r="I904" s="125" t="s">
        <v>1286</v>
      </c>
      <c r="J904" s="125" t="s">
        <v>1796</v>
      </c>
      <c r="K904" s="182" t="s">
        <v>729</v>
      </c>
      <c r="L904" s="182">
        <v>0</v>
      </c>
      <c r="M904" s="182">
        <v>0</v>
      </c>
      <c r="N904" s="182">
        <v>0</v>
      </c>
      <c r="O904" s="182">
        <v>0</v>
      </c>
      <c r="P904" s="182">
        <v>0</v>
      </c>
      <c r="R904" s="155" t="str">
        <f t="shared" si="40"/>
        <v>A0525:(株)ところざわ未来電力メニューB</v>
      </c>
      <c r="S904" s="181">
        <f t="shared" si="41"/>
        <v>0</v>
      </c>
    </row>
    <row r="905" spans="2:19">
      <c r="B905" s="121"/>
      <c r="C905" s="490"/>
      <c r="D905" s="490" t="str">
        <f t="shared" si="42"/>
        <v/>
      </c>
      <c r="I905" s="125" t="s">
        <v>1286</v>
      </c>
      <c r="J905" s="125" t="s">
        <v>1796</v>
      </c>
      <c r="K905" s="182" t="s">
        <v>730</v>
      </c>
      <c r="L905" s="182">
        <v>1.02E-4</v>
      </c>
      <c r="M905" s="182">
        <v>1.02E-4</v>
      </c>
      <c r="N905" s="182">
        <v>1.02E-4</v>
      </c>
      <c r="O905" s="182">
        <v>1.02E-4</v>
      </c>
      <c r="P905" s="182">
        <v>1.02E-4</v>
      </c>
      <c r="R905" s="155" t="str">
        <f t="shared" si="40"/>
        <v>A0525:(株)ところざわ未来電力メニューC</v>
      </c>
      <c r="S905" s="181">
        <f t="shared" si="41"/>
        <v>1.02E-4</v>
      </c>
    </row>
    <row r="906" spans="2:19">
      <c r="B906" s="121"/>
      <c r="C906" s="490"/>
      <c r="D906" s="490" t="str">
        <f t="shared" si="42"/>
        <v/>
      </c>
      <c r="I906" s="125" t="s">
        <v>1286</v>
      </c>
      <c r="J906" s="125" t="s">
        <v>1796</v>
      </c>
      <c r="K906" s="182" t="s">
        <v>1998</v>
      </c>
      <c r="L906" s="182">
        <v>1E-4</v>
      </c>
      <c r="M906" s="182">
        <v>1E-4</v>
      </c>
      <c r="N906" s="182">
        <v>1E-4</v>
      </c>
      <c r="O906" s="182">
        <v>1E-4</v>
      </c>
      <c r="P906" s="182">
        <v>1E-4</v>
      </c>
      <c r="R906" s="155" t="str">
        <f t="shared" ref="R906:R969" si="43">I906&amp;":"&amp;J906&amp;K906</f>
        <v>A0525:(株)ところざわ未来電力(参考値)事業者全体</v>
      </c>
      <c r="S906" s="181">
        <f t="shared" ref="S906:S969" si="44">HLOOKUP($S$8,$L$8:$P$2000,ROW()-7,FALSE)</f>
        <v>1E-4</v>
      </c>
    </row>
    <row r="907" spans="2:19">
      <c r="B907" s="121"/>
      <c r="C907" s="490"/>
      <c r="D907" s="490" t="str">
        <f t="shared" si="42"/>
        <v/>
      </c>
      <c r="I907" s="125" t="s">
        <v>1287</v>
      </c>
      <c r="J907" s="125" t="s">
        <v>1797</v>
      </c>
      <c r="K907" s="182"/>
      <c r="L907" s="182">
        <v>4.1899999999999999E-4</v>
      </c>
      <c r="M907" s="182">
        <v>4.1899999999999999E-4</v>
      </c>
      <c r="N907" s="182">
        <v>4.1899999999999999E-4</v>
      </c>
      <c r="O907" s="182">
        <v>4.1899999999999999E-4</v>
      </c>
      <c r="P907" s="182">
        <v>4.1899999999999999E-4</v>
      </c>
      <c r="R907" s="155" t="str">
        <f t="shared" si="43"/>
        <v>A0526:朝日ガスエナジー(株)</v>
      </c>
      <c r="S907" s="181">
        <f t="shared" si="44"/>
        <v>4.1899999999999999E-4</v>
      </c>
    </row>
    <row r="908" spans="2:19">
      <c r="B908" s="121"/>
      <c r="C908" s="490"/>
      <c r="D908" s="490" t="str">
        <f t="shared" si="42"/>
        <v/>
      </c>
      <c r="I908" s="125" t="s">
        <v>1288</v>
      </c>
      <c r="J908" s="125" t="s">
        <v>1798</v>
      </c>
      <c r="K908" s="182" t="s">
        <v>652</v>
      </c>
      <c r="L908" s="182">
        <v>0</v>
      </c>
      <c r="M908" s="182">
        <v>0</v>
      </c>
      <c r="N908" s="182">
        <v>0</v>
      </c>
      <c r="O908" s="182">
        <v>0</v>
      </c>
      <c r="P908" s="182">
        <v>0</v>
      </c>
      <c r="R908" s="155" t="str">
        <f t="shared" si="43"/>
        <v>A0528:(株)エネファントメニューA</v>
      </c>
      <c r="S908" s="181">
        <f t="shared" si="44"/>
        <v>0</v>
      </c>
    </row>
    <row r="909" spans="2:19">
      <c r="B909" s="121"/>
      <c r="C909" s="490"/>
      <c r="D909" s="490" t="str">
        <f t="shared" si="42"/>
        <v/>
      </c>
      <c r="I909" s="125" t="s">
        <v>1288</v>
      </c>
      <c r="J909" s="125" t="s">
        <v>1798</v>
      </c>
      <c r="K909" s="182" t="s">
        <v>729</v>
      </c>
      <c r="L909" s="182">
        <v>8.7000000000000001E-5</v>
      </c>
      <c r="M909" s="182">
        <v>8.7000000000000001E-5</v>
      </c>
      <c r="N909" s="182">
        <v>8.7000000000000001E-5</v>
      </c>
      <c r="O909" s="182">
        <v>8.7000000000000001E-5</v>
      </c>
      <c r="P909" s="182">
        <v>8.7000000000000001E-5</v>
      </c>
      <c r="R909" s="155" t="str">
        <f t="shared" si="43"/>
        <v>A0528:(株)エネファントメニューB</v>
      </c>
      <c r="S909" s="181">
        <f t="shared" si="44"/>
        <v>8.7000000000000001E-5</v>
      </c>
    </row>
    <row r="910" spans="2:19">
      <c r="B910" s="121"/>
      <c r="C910" s="490"/>
      <c r="D910" s="490" t="str">
        <f t="shared" si="42"/>
        <v/>
      </c>
      <c r="I910" s="125" t="s">
        <v>1288</v>
      </c>
      <c r="J910" s="125" t="s">
        <v>1798</v>
      </c>
      <c r="K910" s="182" t="s">
        <v>730</v>
      </c>
      <c r="L910" s="182">
        <v>3.7300000000000001E-4</v>
      </c>
      <c r="M910" s="182">
        <v>3.7300000000000001E-4</v>
      </c>
      <c r="N910" s="182">
        <v>3.7300000000000001E-4</v>
      </c>
      <c r="O910" s="182">
        <v>3.7300000000000001E-4</v>
      </c>
      <c r="P910" s="182">
        <v>3.7300000000000001E-4</v>
      </c>
      <c r="R910" s="155" t="str">
        <f t="shared" si="43"/>
        <v>A0528:(株)エネファントメニューC</v>
      </c>
      <c r="S910" s="181">
        <f t="shared" si="44"/>
        <v>3.7300000000000001E-4</v>
      </c>
    </row>
    <row r="911" spans="2:19">
      <c r="B911" s="121"/>
      <c r="C911" s="490"/>
      <c r="D911" s="490" t="str">
        <f t="shared" si="42"/>
        <v/>
      </c>
      <c r="I911" s="125" t="s">
        <v>1288</v>
      </c>
      <c r="J911" s="125" t="s">
        <v>1798</v>
      </c>
      <c r="K911" s="182" t="s">
        <v>1998</v>
      </c>
      <c r="L911" s="182">
        <v>3.7199999999999999E-4</v>
      </c>
      <c r="M911" s="182">
        <v>3.7199999999999999E-4</v>
      </c>
      <c r="N911" s="182">
        <v>3.7199999999999999E-4</v>
      </c>
      <c r="O911" s="182">
        <v>3.7199999999999999E-4</v>
      </c>
      <c r="P911" s="182">
        <v>3.7199999999999999E-4</v>
      </c>
      <c r="R911" s="155" t="str">
        <f t="shared" si="43"/>
        <v>A0528:(株)エネファント(参考値)事業者全体</v>
      </c>
      <c r="S911" s="181">
        <f t="shared" si="44"/>
        <v>3.7199999999999999E-4</v>
      </c>
    </row>
    <row r="912" spans="2:19">
      <c r="B912" s="121"/>
      <c r="C912" s="490"/>
      <c r="D912" s="490" t="str">
        <f t="shared" si="42"/>
        <v/>
      </c>
      <c r="I912" s="125" t="s">
        <v>1289</v>
      </c>
      <c r="J912" s="125" t="s">
        <v>1799</v>
      </c>
      <c r="K912" s="182"/>
      <c r="L912" s="182">
        <v>5.9000000000000003E-4</v>
      </c>
      <c r="M912" s="182">
        <v>5.9000000000000003E-4</v>
      </c>
      <c r="N912" s="182">
        <v>5.9000000000000003E-4</v>
      </c>
      <c r="O912" s="182">
        <v>5.9000000000000003E-4</v>
      </c>
      <c r="P912" s="182">
        <v>5.9000000000000003E-4</v>
      </c>
      <c r="R912" s="155" t="str">
        <f t="shared" si="43"/>
        <v>A0529:(株)エスエナジー</v>
      </c>
      <c r="S912" s="181">
        <f t="shared" si="44"/>
        <v>5.9000000000000003E-4</v>
      </c>
    </row>
    <row r="913" spans="2:19">
      <c r="B913" s="121"/>
      <c r="C913" s="490"/>
      <c r="D913" s="490" t="str">
        <f t="shared" si="42"/>
        <v/>
      </c>
      <c r="I913" s="125" t="s">
        <v>1290</v>
      </c>
      <c r="J913" s="125" t="s">
        <v>1800</v>
      </c>
      <c r="K913" s="182"/>
      <c r="L913" s="182">
        <v>4.2400000000000001E-4</v>
      </c>
      <c r="M913" s="182">
        <v>4.2400000000000001E-4</v>
      </c>
      <c r="N913" s="182">
        <v>4.2400000000000001E-4</v>
      </c>
      <c r="O913" s="182">
        <v>4.2400000000000001E-4</v>
      </c>
      <c r="P913" s="182">
        <v>4.2400000000000001E-4</v>
      </c>
      <c r="R913" s="155" t="str">
        <f t="shared" si="43"/>
        <v>A0532:(株)フリクト電力(旧：(株)Mpower)</v>
      </c>
      <c r="S913" s="181">
        <f t="shared" si="44"/>
        <v>4.2400000000000001E-4</v>
      </c>
    </row>
    <row r="914" spans="2:19">
      <c r="B914" s="121"/>
      <c r="C914" s="490"/>
      <c r="D914" s="490" t="str">
        <f t="shared" si="42"/>
        <v/>
      </c>
      <c r="I914" s="125" t="s">
        <v>1291</v>
      </c>
      <c r="J914" s="125" t="s">
        <v>1801</v>
      </c>
      <c r="K914" s="182" t="s">
        <v>652</v>
      </c>
      <c r="L914" s="182">
        <v>0</v>
      </c>
      <c r="M914" s="182">
        <v>0</v>
      </c>
      <c r="N914" s="182">
        <v>0</v>
      </c>
      <c r="O914" s="182">
        <v>0</v>
      </c>
      <c r="P914" s="182">
        <v>0</v>
      </c>
      <c r="R914" s="155" t="str">
        <f t="shared" si="43"/>
        <v>A0533:秩父新電力(株)メニューA</v>
      </c>
      <c r="S914" s="181">
        <f t="shared" si="44"/>
        <v>0</v>
      </c>
    </row>
    <row r="915" spans="2:19">
      <c r="B915" s="121"/>
      <c r="C915" s="490"/>
      <c r="D915" s="490" t="str">
        <f t="shared" si="42"/>
        <v/>
      </c>
      <c r="I915" s="125" t="s">
        <v>1291</v>
      </c>
      <c r="J915" s="125" t="s">
        <v>1801</v>
      </c>
      <c r="K915" s="182" t="s">
        <v>729</v>
      </c>
      <c r="L915" s="182">
        <v>2.99E-4</v>
      </c>
      <c r="M915" s="182">
        <v>2.99E-4</v>
      </c>
      <c r="N915" s="182">
        <v>2.99E-4</v>
      </c>
      <c r="O915" s="182">
        <v>2.99E-4</v>
      </c>
      <c r="P915" s="182">
        <v>2.99E-4</v>
      </c>
      <c r="R915" s="155" t="str">
        <f t="shared" si="43"/>
        <v>A0533:秩父新電力(株)メニューB</v>
      </c>
      <c r="S915" s="181">
        <f t="shared" si="44"/>
        <v>2.99E-4</v>
      </c>
    </row>
    <row r="916" spans="2:19">
      <c r="B916" s="121"/>
      <c r="C916" s="490"/>
      <c r="D916" s="490" t="str">
        <f t="shared" si="42"/>
        <v/>
      </c>
      <c r="I916" s="125" t="s">
        <v>1291</v>
      </c>
      <c r="J916" s="125" t="s">
        <v>1801</v>
      </c>
      <c r="K916" s="182" t="s">
        <v>730</v>
      </c>
      <c r="L916" s="182">
        <v>7.0100000000000002E-4</v>
      </c>
      <c r="M916" s="182">
        <v>7.0100000000000002E-4</v>
      </c>
      <c r="N916" s="182">
        <v>7.0100000000000002E-4</v>
      </c>
      <c r="O916" s="182">
        <v>7.0100000000000002E-4</v>
      </c>
      <c r="P916" s="182">
        <v>7.0100000000000002E-4</v>
      </c>
      <c r="R916" s="155" t="str">
        <f t="shared" si="43"/>
        <v>A0533:秩父新電力(株)メニューC</v>
      </c>
      <c r="S916" s="181">
        <f t="shared" si="44"/>
        <v>7.0100000000000002E-4</v>
      </c>
    </row>
    <row r="917" spans="2:19">
      <c r="B917" s="121"/>
      <c r="C917" s="490"/>
      <c r="D917" s="490" t="str">
        <f t="shared" si="42"/>
        <v/>
      </c>
      <c r="I917" s="125" t="s">
        <v>1291</v>
      </c>
      <c r="J917" s="125" t="s">
        <v>1801</v>
      </c>
      <c r="K917" s="182" t="s">
        <v>1998</v>
      </c>
      <c r="L917" s="182">
        <v>4.5199999999999998E-4</v>
      </c>
      <c r="M917" s="182">
        <v>4.5199999999999998E-4</v>
      </c>
      <c r="N917" s="182">
        <v>4.5199999999999998E-4</v>
      </c>
      <c r="O917" s="182">
        <v>4.5199999999999998E-4</v>
      </c>
      <c r="P917" s="182">
        <v>4.5199999999999998E-4</v>
      </c>
      <c r="R917" s="155" t="str">
        <f t="shared" si="43"/>
        <v>A0533:秩父新電力(株)(参考値)事業者全体</v>
      </c>
      <c r="S917" s="181">
        <f t="shared" si="44"/>
        <v>4.5199999999999998E-4</v>
      </c>
    </row>
    <row r="918" spans="2:19">
      <c r="B918" s="121"/>
      <c r="C918" s="490"/>
      <c r="D918" s="490" t="str">
        <f t="shared" si="42"/>
        <v/>
      </c>
      <c r="I918" s="125" t="s">
        <v>1292</v>
      </c>
      <c r="J918" s="125" t="s">
        <v>1802</v>
      </c>
      <c r="K918" s="182" t="s">
        <v>652</v>
      </c>
      <c r="L918" s="182">
        <v>4.35E-4</v>
      </c>
      <c r="M918" s="182">
        <v>4.35E-4</v>
      </c>
      <c r="N918" s="182">
        <v>4.35E-4</v>
      </c>
      <c r="O918" s="182">
        <v>4.35E-4</v>
      </c>
      <c r="P918" s="182">
        <v>4.35E-4</v>
      </c>
      <c r="R918" s="155" t="str">
        <f t="shared" si="43"/>
        <v>A0534:みよしエナジー(株)メニューA</v>
      </c>
      <c r="S918" s="181">
        <f t="shared" si="44"/>
        <v>4.35E-4</v>
      </c>
    </row>
    <row r="919" spans="2:19">
      <c r="B919" s="121"/>
      <c r="C919" s="490"/>
      <c r="D919" s="490" t="str">
        <f t="shared" si="42"/>
        <v/>
      </c>
      <c r="I919" s="125" t="s">
        <v>1292</v>
      </c>
      <c r="J919" s="125" t="s">
        <v>1802</v>
      </c>
      <c r="K919" s="182" t="s">
        <v>729</v>
      </c>
      <c r="L919" s="182">
        <v>5.5800000000000001E-4</v>
      </c>
      <c r="M919" s="182">
        <v>5.5800000000000001E-4</v>
      </c>
      <c r="N919" s="182">
        <v>5.5800000000000001E-4</v>
      </c>
      <c r="O919" s="182">
        <v>5.5800000000000001E-4</v>
      </c>
      <c r="P919" s="182">
        <v>5.5800000000000001E-4</v>
      </c>
      <c r="R919" s="155" t="str">
        <f t="shared" si="43"/>
        <v>A0534:みよしエナジー(株)メニューB</v>
      </c>
      <c r="S919" s="181">
        <f t="shared" si="44"/>
        <v>5.5800000000000001E-4</v>
      </c>
    </row>
    <row r="920" spans="2:19">
      <c r="B920" s="121"/>
      <c r="C920" s="490"/>
      <c r="D920" s="490" t="str">
        <f t="shared" si="42"/>
        <v/>
      </c>
      <c r="I920" s="125" t="s">
        <v>1292</v>
      </c>
      <c r="J920" s="125" t="s">
        <v>1802</v>
      </c>
      <c r="K920" s="182" t="s">
        <v>1998</v>
      </c>
      <c r="L920" s="182">
        <v>5.1000000000000004E-4</v>
      </c>
      <c r="M920" s="182">
        <v>5.1000000000000004E-4</v>
      </c>
      <c r="N920" s="182">
        <v>5.1000000000000004E-4</v>
      </c>
      <c r="O920" s="182">
        <v>5.1000000000000004E-4</v>
      </c>
      <c r="P920" s="182">
        <v>5.1000000000000004E-4</v>
      </c>
      <c r="R920" s="155" t="str">
        <f t="shared" si="43"/>
        <v>A0534:みよしエナジー(株)(参考値)事業者全体</v>
      </c>
      <c r="S920" s="181">
        <f t="shared" si="44"/>
        <v>5.1000000000000004E-4</v>
      </c>
    </row>
    <row r="921" spans="2:19">
      <c r="B921" s="121"/>
      <c r="C921" s="490"/>
      <c r="D921" s="490" t="str">
        <f t="shared" si="42"/>
        <v/>
      </c>
      <c r="I921" s="125" t="s">
        <v>1293</v>
      </c>
      <c r="J921" s="125" t="s">
        <v>1803</v>
      </c>
      <c r="K921" s="182"/>
      <c r="L921" s="182">
        <v>6.3400000000000001E-4</v>
      </c>
      <c r="M921" s="182">
        <v>6.3400000000000001E-4</v>
      </c>
      <c r="N921" s="182">
        <v>6.3400000000000001E-4</v>
      </c>
      <c r="O921" s="182">
        <v>6.3400000000000001E-4</v>
      </c>
      <c r="P921" s="182">
        <v>6.3400000000000001E-4</v>
      </c>
      <c r="R921" s="155" t="str">
        <f t="shared" si="43"/>
        <v>A0538:綿半パートナーズ(株)</v>
      </c>
      <c r="S921" s="181">
        <f t="shared" si="44"/>
        <v>6.3400000000000001E-4</v>
      </c>
    </row>
    <row r="922" spans="2:19">
      <c r="B922" s="121"/>
      <c r="C922" s="490"/>
      <c r="D922" s="490" t="str">
        <f t="shared" si="42"/>
        <v/>
      </c>
      <c r="I922" s="125" t="s">
        <v>1294</v>
      </c>
      <c r="J922" s="125" t="s">
        <v>1804</v>
      </c>
      <c r="K922" s="182"/>
      <c r="L922" s="182">
        <v>4.1100000000000002E-4</v>
      </c>
      <c r="M922" s="182">
        <v>4.1100000000000002E-4</v>
      </c>
      <c r="N922" s="182">
        <v>4.1100000000000002E-4</v>
      </c>
      <c r="O922" s="182">
        <v>4.1100000000000002E-4</v>
      </c>
      <c r="P922" s="182">
        <v>4.1100000000000002E-4</v>
      </c>
      <c r="R922" s="155" t="str">
        <f t="shared" si="43"/>
        <v>A0539:(株)karch</v>
      </c>
      <c r="S922" s="181">
        <f t="shared" si="44"/>
        <v>4.1100000000000002E-4</v>
      </c>
    </row>
    <row r="923" spans="2:19">
      <c r="B923" s="121"/>
      <c r="C923" s="490"/>
      <c r="D923" s="490" t="str">
        <f t="shared" si="42"/>
        <v/>
      </c>
      <c r="I923" s="125" t="s">
        <v>1295</v>
      </c>
      <c r="J923" s="125" t="s">
        <v>1805</v>
      </c>
      <c r="K923" s="182"/>
      <c r="L923" s="182">
        <v>5.4799999999999998E-4</v>
      </c>
      <c r="M923" s="182">
        <v>5.4799999999999998E-4</v>
      </c>
      <c r="N923" s="182">
        <v>5.4799999999999998E-4</v>
      </c>
      <c r="O923" s="182">
        <v>5.4799999999999998E-4</v>
      </c>
      <c r="P923" s="182">
        <v>5.4799999999999998E-4</v>
      </c>
      <c r="R923" s="155" t="str">
        <f t="shared" si="43"/>
        <v>A0543:(株)かみでん里山公社</v>
      </c>
      <c r="S923" s="181">
        <f t="shared" si="44"/>
        <v>5.4799999999999998E-4</v>
      </c>
    </row>
    <row r="924" spans="2:19">
      <c r="B924" s="121"/>
      <c r="C924" s="490"/>
      <c r="D924" s="490" t="str">
        <f t="shared" si="42"/>
        <v/>
      </c>
      <c r="I924" s="125" t="s">
        <v>1296</v>
      </c>
      <c r="J924" s="125" t="s">
        <v>1806</v>
      </c>
      <c r="K924" s="182" t="s">
        <v>652</v>
      </c>
      <c r="L924" s="182">
        <v>5.9000000000000003E-4</v>
      </c>
      <c r="M924" s="182">
        <v>5.9000000000000003E-4</v>
      </c>
      <c r="N924" s="182">
        <v>5.9000000000000003E-4</v>
      </c>
      <c r="O924" s="182">
        <v>5.9000000000000003E-4</v>
      </c>
      <c r="P924" s="182">
        <v>5.9000000000000003E-4</v>
      </c>
      <c r="R924" s="155" t="str">
        <f t="shared" si="43"/>
        <v>A0546:(株)三郷ひまわりエナジーメニューA</v>
      </c>
      <c r="S924" s="181">
        <f t="shared" si="44"/>
        <v>5.9000000000000003E-4</v>
      </c>
    </row>
    <row r="925" spans="2:19">
      <c r="B925" s="121"/>
      <c r="C925" s="490"/>
      <c r="D925" s="490" t="str">
        <f t="shared" si="42"/>
        <v/>
      </c>
      <c r="I925" s="125" t="s">
        <v>1296</v>
      </c>
      <c r="J925" s="125" t="s">
        <v>1806</v>
      </c>
      <c r="K925" s="182" t="s">
        <v>1998</v>
      </c>
      <c r="L925" s="182">
        <v>5.9000000000000003E-4</v>
      </c>
      <c r="M925" s="182">
        <v>5.9000000000000003E-4</v>
      </c>
      <c r="N925" s="182">
        <v>5.9000000000000003E-4</v>
      </c>
      <c r="O925" s="182">
        <v>5.9000000000000003E-4</v>
      </c>
      <c r="P925" s="182">
        <v>5.9000000000000003E-4</v>
      </c>
      <c r="R925" s="155" t="str">
        <f t="shared" si="43"/>
        <v>A0546:(株)三郷ひまわりエナジー(参考値)事業者全体</v>
      </c>
      <c r="S925" s="181">
        <f t="shared" si="44"/>
        <v>5.9000000000000003E-4</v>
      </c>
    </row>
    <row r="926" spans="2:19">
      <c r="B926" s="121"/>
      <c r="C926" s="490"/>
      <c r="D926" s="490" t="str">
        <f t="shared" si="42"/>
        <v/>
      </c>
      <c r="I926" s="125" t="s">
        <v>1297</v>
      </c>
      <c r="J926" s="125" t="s">
        <v>1807</v>
      </c>
      <c r="K926" s="182"/>
      <c r="L926" s="182">
        <v>5.8399999999999999E-4</v>
      </c>
      <c r="M926" s="182">
        <v>5.8399999999999999E-4</v>
      </c>
      <c r="N926" s="182">
        <v>5.8399999999999999E-4</v>
      </c>
      <c r="O926" s="182">
        <v>5.8399999999999999E-4</v>
      </c>
      <c r="P926" s="182">
        <v>5.8399999999999999E-4</v>
      </c>
      <c r="R926" s="155" t="str">
        <f t="shared" si="43"/>
        <v>A0547:(株)球磨村森電力</v>
      </c>
      <c r="S926" s="181">
        <f t="shared" si="44"/>
        <v>5.8399999999999999E-4</v>
      </c>
    </row>
    <row r="927" spans="2:19">
      <c r="B927" s="121"/>
      <c r="C927" s="490"/>
      <c r="D927" s="490" t="str">
        <f t="shared" si="42"/>
        <v/>
      </c>
      <c r="I927" s="125" t="s">
        <v>1298</v>
      </c>
      <c r="J927" s="125" t="s">
        <v>1808</v>
      </c>
      <c r="K927" s="182"/>
      <c r="L927" s="182">
        <v>5.9199999999999997E-4</v>
      </c>
      <c r="M927" s="182">
        <v>5.9199999999999997E-4</v>
      </c>
      <c r="N927" s="182">
        <v>5.9199999999999997E-4</v>
      </c>
      <c r="O927" s="182">
        <v>5.9199999999999997E-4</v>
      </c>
      <c r="P927" s="182">
        <v>5.9199999999999997E-4</v>
      </c>
      <c r="R927" s="155" t="str">
        <f t="shared" si="43"/>
        <v>A0549:くこくエネルギー(株)</v>
      </c>
      <c r="S927" s="181">
        <f t="shared" si="44"/>
        <v>5.9199999999999997E-4</v>
      </c>
    </row>
    <row r="928" spans="2:19">
      <c r="B928" s="121"/>
      <c r="C928" s="490"/>
      <c r="D928" s="490" t="str">
        <f t="shared" si="42"/>
        <v/>
      </c>
      <c r="I928" s="125" t="s">
        <v>1299</v>
      </c>
      <c r="J928" s="125" t="s">
        <v>1809</v>
      </c>
      <c r="K928" s="182"/>
      <c r="L928" s="182">
        <v>4.2400000000000001E-4</v>
      </c>
      <c r="M928" s="182">
        <v>4.2400000000000001E-4</v>
      </c>
      <c r="N928" s="182">
        <v>4.2400000000000001E-4</v>
      </c>
      <c r="O928" s="182">
        <v>4.2400000000000001E-4</v>
      </c>
      <c r="P928" s="182">
        <v>4.2400000000000001E-4</v>
      </c>
      <c r="R928" s="155" t="str">
        <f t="shared" si="43"/>
        <v>A0550:(株)エコログ</v>
      </c>
      <c r="S928" s="181">
        <f t="shared" si="44"/>
        <v>4.2400000000000001E-4</v>
      </c>
    </row>
    <row r="929" spans="2:19">
      <c r="B929" s="121"/>
      <c r="C929" s="490"/>
      <c r="D929" s="490" t="str">
        <f t="shared" si="42"/>
        <v/>
      </c>
      <c r="I929" s="125" t="s">
        <v>1300</v>
      </c>
      <c r="J929" s="125" t="s">
        <v>1810</v>
      </c>
      <c r="K929" s="182" t="s">
        <v>652</v>
      </c>
      <c r="L929" s="182">
        <v>0</v>
      </c>
      <c r="M929" s="182">
        <v>0</v>
      </c>
      <c r="N929" s="182">
        <v>0</v>
      </c>
      <c r="O929" s="182">
        <v>0</v>
      </c>
      <c r="P929" s="182">
        <v>0</v>
      </c>
      <c r="R929" s="155" t="str">
        <f t="shared" si="43"/>
        <v>A0551:飯田まちづくり電力(株)メニューA</v>
      </c>
      <c r="S929" s="181">
        <f t="shared" si="44"/>
        <v>0</v>
      </c>
    </row>
    <row r="930" spans="2:19">
      <c r="B930" s="121"/>
      <c r="C930" s="490"/>
      <c r="D930" s="490" t="str">
        <f t="shared" si="42"/>
        <v/>
      </c>
      <c r="I930" s="125" t="s">
        <v>1300</v>
      </c>
      <c r="J930" s="125" t="s">
        <v>1810</v>
      </c>
      <c r="K930" s="182" t="s">
        <v>729</v>
      </c>
      <c r="L930" s="182">
        <v>4.2700000000000002E-4</v>
      </c>
      <c r="M930" s="182">
        <v>4.2700000000000002E-4</v>
      </c>
      <c r="N930" s="182">
        <v>4.2700000000000002E-4</v>
      </c>
      <c r="O930" s="182">
        <v>4.2700000000000002E-4</v>
      </c>
      <c r="P930" s="182">
        <v>4.2700000000000002E-4</v>
      </c>
      <c r="R930" s="155" t="str">
        <f t="shared" si="43"/>
        <v>A0551:飯田まちづくり電力(株)メニューB</v>
      </c>
      <c r="S930" s="181">
        <f t="shared" si="44"/>
        <v>4.2700000000000002E-4</v>
      </c>
    </row>
    <row r="931" spans="2:19">
      <c r="B931" s="121"/>
      <c r="C931" s="490"/>
      <c r="D931" s="490" t="str">
        <f t="shared" si="42"/>
        <v/>
      </c>
      <c r="I931" s="125" t="s">
        <v>1300</v>
      </c>
      <c r="J931" s="125" t="s">
        <v>1810</v>
      </c>
      <c r="K931" s="182" t="s">
        <v>730</v>
      </c>
      <c r="L931" s="182">
        <v>3.7599999999999998E-4</v>
      </c>
      <c r="M931" s="182">
        <v>3.7599999999999998E-4</v>
      </c>
      <c r="N931" s="182">
        <v>3.7599999999999998E-4</v>
      </c>
      <c r="O931" s="182">
        <v>3.7599999999999998E-4</v>
      </c>
      <c r="P931" s="182">
        <v>3.7599999999999998E-4</v>
      </c>
      <c r="R931" s="155" t="str">
        <f t="shared" si="43"/>
        <v>A0551:飯田まちづくり電力(株)メニューC</v>
      </c>
      <c r="S931" s="181">
        <f t="shared" si="44"/>
        <v>3.7599999999999998E-4</v>
      </c>
    </row>
    <row r="932" spans="2:19">
      <c r="B932" s="121"/>
      <c r="C932" s="490"/>
      <c r="D932" s="490" t="str">
        <f t="shared" si="42"/>
        <v/>
      </c>
      <c r="I932" s="125" t="s">
        <v>1300</v>
      </c>
      <c r="J932" s="125" t="s">
        <v>1810</v>
      </c>
      <c r="K932" s="182" t="s">
        <v>915</v>
      </c>
      <c r="L932" s="182">
        <v>2.9999999999999997E-4</v>
      </c>
      <c r="M932" s="182">
        <v>2.9999999999999997E-4</v>
      </c>
      <c r="N932" s="182">
        <v>2.9999999999999997E-4</v>
      </c>
      <c r="O932" s="182">
        <v>2.9999999999999997E-4</v>
      </c>
      <c r="P932" s="182">
        <v>2.9999999999999997E-4</v>
      </c>
      <c r="R932" s="155" t="str">
        <f t="shared" si="43"/>
        <v>A0551:飯田まちづくり電力(株)メニューD</v>
      </c>
      <c r="S932" s="181">
        <f t="shared" si="44"/>
        <v>2.9999999999999997E-4</v>
      </c>
    </row>
    <row r="933" spans="2:19">
      <c r="B933" s="121"/>
      <c r="C933" s="490"/>
      <c r="D933" s="490" t="str">
        <f t="shared" si="42"/>
        <v/>
      </c>
      <c r="I933" s="125" t="s">
        <v>1300</v>
      </c>
      <c r="J933" s="125" t="s">
        <v>1810</v>
      </c>
      <c r="K933" s="182" t="s">
        <v>1998</v>
      </c>
      <c r="L933" s="182">
        <v>3.0200000000000002E-4</v>
      </c>
      <c r="M933" s="182">
        <v>3.0200000000000002E-4</v>
      </c>
      <c r="N933" s="182">
        <v>3.0200000000000002E-4</v>
      </c>
      <c r="O933" s="182">
        <v>3.0200000000000002E-4</v>
      </c>
      <c r="P933" s="182">
        <v>3.0200000000000002E-4</v>
      </c>
      <c r="R933" s="155" t="str">
        <f t="shared" si="43"/>
        <v>A0551:飯田まちづくり電力(株)(参考値)事業者全体</v>
      </c>
      <c r="S933" s="181">
        <f t="shared" si="44"/>
        <v>3.0200000000000002E-4</v>
      </c>
    </row>
    <row r="934" spans="2:19">
      <c r="B934" s="121"/>
      <c r="C934" s="490"/>
      <c r="D934" s="490" t="str">
        <f t="shared" si="42"/>
        <v/>
      </c>
      <c r="I934" s="125" t="s">
        <v>1301</v>
      </c>
      <c r="J934" s="125" t="s">
        <v>1811</v>
      </c>
      <c r="K934" s="182"/>
      <c r="L934" s="182">
        <v>4.1899999999999999E-4</v>
      </c>
      <c r="M934" s="182">
        <v>4.1899999999999999E-4</v>
      </c>
      <c r="N934" s="182">
        <v>4.1899999999999999E-4</v>
      </c>
      <c r="O934" s="182">
        <v>4.1899999999999999E-4</v>
      </c>
      <c r="P934" s="182">
        <v>4.1899999999999999E-4</v>
      </c>
      <c r="R934" s="155" t="str">
        <f t="shared" si="43"/>
        <v>A0552:イワタニ長野(株)</v>
      </c>
      <c r="S934" s="181">
        <f t="shared" si="44"/>
        <v>4.1899999999999999E-4</v>
      </c>
    </row>
    <row r="935" spans="2:19">
      <c r="B935" s="121"/>
      <c r="C935" s="490"/>
      <c r="D935" s="490" t="str">
        <f t="shared" si="42"/>
        <v/>
      </c>
      <c r="I935" s="125" t="s">
        <v>1302</v>
      </c>
      <c r="J935" s="125" t="s">
        <v>1812</v>
      </c>
      <c r="K935" s="182" t="s">
        <v>652</v>
      </c>
      <c r="L935" s="182">
        <v>0</v>
      </c>
      <c r="M935" s="182">
        <v>0</v>
      </c>
      <c r="N935" s="182">
        <v>0</v>
      </c>
      <c r="O935" s="182">
        <v>0</v>
      </c>
      <c r="P935" s="182">
        <v>0</v>
      </c>
      <c r="R935" s="155" t="str">
        <f t="shared" si="43"/>
        <v>A0553:シェルジャパン(株)メニューA</v>
      </c>
      <c r="S935" s="181">
        <f t="shared" si="44"/>
        <v>0</v>
      </c>
    </row>
    <row r="936" spans="2:19">
      <c r="B936" s="121"/>
      <c r="C936" s="490"/>
      <c r="D936" s="490" t="str">
        <f t="shared" si="42"/>
        <v/>
      </c>
      <c r="I936" s="125" t="s">
        <v>1302</v>
      </c>
      <c r="J936" s="125" t="s">
        <v>1812</v>
      </c>
      <c r="K936" s="182" t="s">
        <v>729</v>
      </c>
      <c r="L936" s="182">
        <v>2.9999999999999997E-4</v>
      </c>
      <c r="M936" s="182">
        <v>2.9999999999999997E-4</v>
      </c>
      <c r="N936" s="182">
        <v>2.9999999999999997E-4</v>
      </c>
      <c r="O936" s="182">
        <v>2.9999999999999997E-4</v>
      </c>
      <c r="P936" s="182">
        <v>2.9999999999999997E-4</v>
      </c>
      <c r="R936" s="155" t="str">
        <f t="shared" si="43"/>
        <v>A0553:シェルジャパン(株)メニューB</v>
      </c>
      <c r="S936" s="181">
        <f t="shared" si="44"/>
        <v>2.9999999999999997E-4</v>
      </c>
    </row>
    <row r="937" spans="2:19">
      <c r="B937" s="121"/>
      <c r="C937" s="490"/>
      <c r="D937" s="490" t="str">
        <f t="shared" si="42"/>
        <v/>
      </c>
      <c r="I937" s="125" t="s">
        <v>1302</v>
      </c>
      <c r="J937" s="125" t="s">
        <v>1812</v>
      </c>
      <c r="K937" s="182" t="s">
        <v>730</v>
      </c>
      <c r="L937" s="182">
        <v>4.2200000000000001E-4</v>
      </c>
      <c r="M937" s="182">
        <v>4.2200000000000001E-4</v>
      </c>
      <c r="N937" s="182">
        <v>4.2200000000000001E-4</v>
      </c>
      <c r="O937" s="182">
        <v>4.2200000000000001E-4</v>
      </c>
      <c r="P937" s="182">
        <v>4.2200000000000001E-4</v>
      </c>
      <c r="R937" s="155" t="str">
        <f t="shared" si="43"/>
        <v>A0553:シェルジャパン(株)メニューC</v>
      </c>
      <c r="S937" s="181">
        <f t="shared" si="44"/>
        <v>4.2200000000000001E-4</v>
      </c>
    </row>
    <row r="938" spans="2:19">
      <c r="B938" s="121"/>
      <c r="C938" s="490"/>
      <c r="D938" s="490" t="str">
        <f t="shared" si="42"/>
        <v/>
      </c>
      <c r="I938" s="125" t="s">
        <v>1302</v>
      </c>
      <c r="J938" s="125" t="s">
        <v>1812</v>
      </c>
      <c r="K938" s="182" t="s">
        <v>1998</v>
      </c>
      <c r="L938" s="182">
        <v>4.2200000000000001E-4</v>
      </c>
      <c r="M938" s="182">
        <v>4.2200000000000001E-4</v>
      </c>
      <c r="N938" s="182">
        <v>4.2200000000000001E-4</v>
      </c>
      <c r="O938" s="182">
        <v>4.2200000000000001E-4</v>
      </c>
      <c r="P938" s="182">
        <v>4.2200000000000001E-4</v>
      </c>
      <c r="R938" s="155" t="str">
        <f t="shared" si="43"/>
        <v>A0553:シェルジャパン(株)(参考値)事業者全体</v>
      </c>
      <c r="S938" s="181">
        <f t="shared" si="44"/>
        <v>4.2200000000000001E-4</v>
      </c>
    </row>
    <row r="939" spans="2:19">
      <c r="B939" s="121"/>
      <c r="C939" s="490"/>
      <c r="D939" s="490" t="str">
        <f t="shared" si="42"/>
        <v/>
      </c>
      <c r="I939" s="125" t="s">
        <v>1303</v>
      </c>
      <c r="J939" s="125" t="s">
        <v>1813</v>
      </c>
      <c r="K939" s="182"/>
      <c r="L939" s="182">
        <v>4.2200000000000001E-4</v>
      </c>
      <c r="M939" s="182">
        <v>4.2200000000000001E-4</v>
      </c>
      <c r="N939" s="182">
        <v>4.2200000000000001E-4</v>
      </c>
      <c r="O939" s="182">
        <v>4.2200000000000001E-4</v>
      </c>
      <c r="P939" s="182">
        <v>4.2200000000000001E-4</v>
      </c>
      <c r="R939" s="155" t="str">
        <f t="shared" si="43"/>
        <v>A0555:石油資源開発(株)</v>
      </c>
      <c r="S939" s="181">
        <f t="shared" si="44"/>
        <v>4.2200000000000001E-4</v>
      </c>
    </row>
    <row r="940" spans="2:19">
      <c r="B940" s="121"/>
      <c r="C940" s="490"/>
      <c r="D940" s="490" t="str">
        <f t="shared" si="42"/>
        <v/>
      </c>
      <c r="I940" s="125" t="s">
        <v>1304</v>
      </c>
      <c r="J940" s="125" t="s">
        <v>1814</v>
      </c>
      <c r="K940" s="182" t="s">
        <v>652</v>
      </c>
      <c r="L940" s="182">
        <v>0</v>
      </c>
      <c r="M940" s="182">
        <v>0</v>
      </c>
      <c r="N940" s="182">
        <v>0</v>
      </c>
      <c r="O940" s="182">
        <v>0</v>
      </c>
      <c r="P940" s="182">
        <v>0</v>
      </c>
      <c r="R940" s="155" t="str">
        <f t="shared" si="43"/>
        <v>A0556:越後天然ガス(株)メニューA</v>
      </c>
      <c r="S940" s="181">
        <f t="shared" si="44"/>
        <v>0</v>
      </c>
    </row>
    <row r="941" spans="2:19">
      <c r="B941" s="121"/>
      <c r="C941" s="490"/>
      <c r="D941" s="490" t="str">
        <f t="shared" si="42"/>
        <v/>
      </c>
      <c r="I941" s="125" t="s">
        <v>1304</v>
      </c>
      <c r="J941" s="125" t="s">
        <v>1814</v>
      </c>
      <c r="K941" s="182" t="s">
        <v>729</v>
      </c>
      <c r="L941" s="182">
        <v>6.9800000000000005E-4</v>
      </c>
      <c r="M941" s="182">
        <v>6.9800000000000005E-4</v>
      </c>
      <c r="N941" s="182">
        <v>6.9800000000000005E-4</v>
      </c>
      <c r="O941" s="182">
        <v>6.9800000000000005E-4</v>
      </c>
      <c r="P941" s="182">
        <v>6.9800000000000005E-4</v>
      </c>
      <c r="R941" s="155" t="str">
        <f t="shared" si="43"/>
        <v>A0556:越後天然ガス(株)メニューB</v>
      </c>
      <c r="S941" s="181">
        <f t="shared" si="44"/>
        <v>6.9800000000000005E-4</v>
      </c>
    </row>
    <row r="942" spans="2:19">
      <c r="B942" s="121"/>
      <c r="C942" s="490"/>
      <c r="D942" s="490" t="str">
        <f t="shared" ref="D942:D1005" si="45">IF(B942="","",B942&amp;":"&amp;C942)</f>
        <v/>
      </c>
      <c r="I942" s="125" t="s">
        <v>1304</v>
      </c>
      <c r="J942" s="125" t="s">
        <v>1814</v>
      </c>
      <c r="K942" s="182" t="s">
        <v>1998</v>
      </c>
      <c r="L942" s="182">
        <v>3.4400000000000001E-4</v>
      </c>
      <c r="M942" s="182">
        <v>3.4400000000000001E-4</v>
      </c>
      <c r="N942" s="182">
        <v>3.4400000000000001E-4</v>
      </c>
      <c r="O942" s="182">
        <v>3.4400000000000001E-4</v>
      </c>
      <c r="P942" s="182">
        <v>3.4400000000000001E-4</v>
      </c>
      <c r="R942" s="155" t="str">
        <f t="shared" si="43"/>
        <v>A0556:越後天然ガス(株)(参考値)事業者全体</v>
      </c>
      <c r="S942" s="181">
        <f t="shared" si="44"/>
        <v>3.4400000000000001E-4</v>
      </c>
    </row>
    <row r="943" spans="2:19">
      <c r="B943" s="121"/>
      <c r="C943" s="490"/>
      <c r="D943" s="490" t="str">
        <f t="shared" si="45"/>
        <v/>
      </c>
      <c r="I943" s="125" t="s">
        <v>1305</v>
      </c>
      <c r="J943" s="125" t="s">
        <v>1815</v>
      </c>
      <c r="K943" s="182"/>
      <c r="L943" s="182">
        <v>3.88E-4</v>
      </c>
      <c r="M943" s="182">
        <v>3.88E-4</v>
      </c>
      <c r="N943" s="182">
        <v>3.88E-4</v>
      </c>
      <c r="O943" s="182">
        <v>3.88E-4</v>
      </c>
      <c r="P943" s="182">
        <v>3.88E-4</v>
      </c>
      <c r="R943" s="155" t="str">
        <f t="shared" si="43"/>
        <v>A0558:坂戸ガス(株)</v>
      </c>
      <c r="S943" s="181">
        <f t="shared" si="44"/>
        <v>3.88E-4</v>
      </c>
    </row>
    <row r="944" spans="2:19">
      <c r="B944" s="121"/>
      <c r="C944" s="490"/>
      <c r="D944" s="490" t="str">
        <f t="shared" si="45"/>
        <v/>
      </c>
      <c r="I944" s="125" t="s">
        <v>1306</v>
      </c>
      <c r="J944" s="125" t="s">
        <v>1816</v>
      </c>
      <c r="K944" s="182"/>
      <c r="L944" s="182">
        <v>5.3999999999999998E-5</v>
      </c>
      <c r="M944" s="182">
        <v>5.3999999999999998E-5</v>
      </c>
      <c r="N944" s="182">
        <v>5.3999999999999998E-5</v>
      </c>
      <c r="O944" s="182">
        <v>5.3999999999999998E-5</v>
      </c>
      <c r="P944" s="182">
        <v>5.3999999999999998E-5</v>
      </c>
      <c r="R944" s="155" t="str">
        <f t="shared" si="43"/>
        <v>A0559:(株)デベロップ</v>
      </c>
      <c r="S944" s="181">
        <f t="shared" si="44"/>
        <v>5.3999999999999998E-5</v>
      </c>
    </row>
    <row r="945" spans="2:19">
      <c r="B945" s="121"/>
      <c r="C945" s="490"/>
      <c r="D945" s="490" t="str">
        <f t="shared" si="45"/>
        <v/>
      </c>
      <c r="I945" s="125" t="s">
        <v>1307</v>
      </c>
      <c r="J945" s="125" t="s">
        <v>1817</v>
      </c>
      <c r="K945" s="182"/>
      <c r="L945" s="182">
        <v>8.1800000000000004E-4</v>
      </c>
      <c r="M945" s="182">
        <v>8.1800000000000004E-4</v>
      </c>
      <c r="N945" s="182">
        <v>8.1800000000000004E-4</v>
      </c>
      <c r="O945" s="182">
        <v>8.1800000000000004E-4</v>
      </c>
      <c r="P945" s="182">
        <v>8.1800000000000004E-4</v>
      </c>
      <c r="R945" s="155" t="str">
        <f t="shared" si="43"/>
        <v>A0560:(株)テレ・マーカー</v>
      </c>
      <c r="S945" s="181">
        <f t="shared" si="44"/>
        <v>8.1800000000000004E-4</v>
      </c>
    </row>
    <row r="946" spans="2:19">
      <c r="B946" s="121"/>
      <c r="C946" s="490"/>
      <c r="D946" s="490" t="str">
        <f t="shared" si="45"/>
        <v/>
      </c>
      <c r="I946" s="125" t="s">
        <v>1308</v>
      </c>
      <c r="J946" s="125" t="s">
        <v>1818</v>
      </c>
      <c r="K946" s="182"/>
      <c r="L946" s="182">
        <v>2.7099999999999997E-4</v>
      </c>
      <c r="M946" s="182">
        <v>2.7099999999999997E-4</v>
      </c>
      <c r="N946" s="182">
        <v>2.7099999999999997E-4</v>
      </c>
      <c r="O946" s="182">
        <v>2.7099999999999997E-4</v>
      </c>
      <c r="P946" s="182">
        <v>2.7099999999999997E-4</v>
      </c>
      <c r="R946" s="155" t="str">
        <f t="shared" si="43"/>
        <v>A0562:MGCエネルギー(株)</v>
      </c>
      <c r="S946" s="181">
        <f t="shared" si="44"/>
        <v>2.7099999999999997E-4</v>
      </c>
    </row>
    <row r="947" spans="2:19">
      <c r="B947" s="121"/>
      <c r="C947" s="490"/>
      <c r="D947" s="490" t="str">
        <f t="shared" si="45"/>
        <v/>
      </c>
      <c r="I947" s="125" t="s">
        <v>1309</v>
      </c>
      <c r="J947" s="125" t="s">
        <v>1819</v>
      </c>
      <c r="K947" s="182"/>
      <c r="L947" s="182">
        <v>4.1399999999999998E-4</v>
      </c>
      <c r="M947" s="182">
        <v>4.1399999999999998E-4</v>
      </c>
      <c r="N947" s="182">
        <v>4.1399999999999998E-4</v>
      </c>
      <c r="O947" s="182">
        <v>4.1399999999999998E-4</v>
      </c>
      <c r="P947" s="182">
        <v>4.1399999999999998E-4</v>
      </c>
      <c r="R947" s="155" t="str">
        <f t="shared" si="43"/>
        <v>A0565:福島フェニックス電力(株)</v>
      </c>
      <c r="S947" s="181">
        <f t="shared" si="44"/>
        <v>4.1399999999999998E-4</v>
      </c>
    </row>
    <row r="948" spans="2:19">
      <c r="B948" s="121"/>
      <c r="C948" s="490"/>
      <c r="D948" s="490" t="str">
        <f t="shared" si="45"/>
        <v/>
      </c>
      <c r="I948" s="125" t="s">
        <v>1310</v>
      </c>
      <c r="J948" s="125" t="s">
        <v>1820</v>
      </c>
      <c r="K948" s="182"/>
      <c r="L948" s="182">
        <v>4.4700000000000002E-4</v>
      </c>
      <c r="M948" s="182">
        <v>4.4700000000000002E-4</v>
      </c>
      <c r="N948" s="182">
        <v>4.4700000000000002E-4</v>
      </c>
      <c r="O948" s="182">
        <v>4.4700000000000002E-4</v>
      </c>
      <c r="P948" s="182">
        <v>4.4700000000000002E-4</v>
      </c>
      <c r="R948" s="155" t="str">
        <f t="shared" si="43"/>
        <v>A0567:(株)美作国電力</v>
      </c>
      <c r="S948" s="181">
        <f t="shared" si="44"/>
        <v>4.4700000000000002E-4</v>
      </c>
    </row>
    <row r="949" spans="2:19">
      <c r="B949" s="121"/>
      <c r="C949" s="490"/>
      <c r="D949" s="490" t="str">
        <f t="shared" si="45"/>
        <v/>
      </c>
      <c r="I949" s="125" t="s">
        <v>1311</v>
      </c>
      <c r="J949" s="125" t="s">
        <v>1821</v>
      </c>
      <c r="K949" s="182"/>
      <c r="L949" s="182">
        <v>4.1899999999999999E-4</v>
      </c>
      <c r="M949" s="182">
        <v>4.1899999999999999E-4</v>
      </c>
      <c r="N949" s="182">
        <v>4.1899999999999999E-4</v>
      </c>
      <c r="O949" s="182">
        <v>4.1899999999999999E-4</v>
      </c>
      <c r="P949" s="182">
        <v>4.1899999999999999E-4</v>
      </c>
      <c r="R949" s="155" t="str">
        <f t="shared" si="43"/>
        <v>A0570:八幡商事(株)</v>
      </c>
      <c r="S949" s="181">
        <f t="shared" si="44"/>
        <v>4.1899999999999999E-4</v>
      </c>
    </row>
    <row r="950" spans="2:19">
      <c r="B950" s="121"/>
      <c r="C950" s="490"/>
      <c r="D950" s="490" t="str">
        <f t="shared" si="45"/>
        <v/>
      </c>
      <c r="I950" s="125" t="s">
        <v>1312</v>
      </c>
      <c r="J950" s="125" t="s">
        <v>1822</v>
      </c>
      <c r="K950" s="182" t="s">
        <v>652</v>
      </c>
      <c r="L950" s="182">
        <v>0</v>
      </c>
      <c r="M950" s="182">
        <v>0</v>
      </c>
      <c r="N950" s="182">
        <v>0</v>
      </c>
      <c r="O950" s="182">
        <v>0</v>
      </c>
      <c r="P950" s="182">
        <v>0</v>
      </c>
      <c r="R950" s="155" t="str">
        <f t="shared" si="43"/>
        <v>A0571:おいでんエネルギー(株)メニューA</v>
      </c>
      <c r="S950" s="181">
        <f t="shared" si="44"/>
        <v>0</v>
      </c>
    </row>
    <row r="951" spans="2:19">
      <c r="B951" s="121"/>
      <c r="C951" s="490"/>
      <c r="D951" s="490" t="str">
        <f t="shared" si="45"/>
        <v/>
      </c>
      <c r="I951" s="125" t="s">
        <v>1312</v>
      </c>
      <c r="J951" s="125" t="s">
        <v>1822</v>
      </c>
      <c r="K951" s="182" t="s">
        <v>729</v>
      </c>
      <c r="L951" s="182">
        <v>0</v>
      </c>
      <c r="M951" s="182">
        <v>0</v>
      </c>
      <c r="N951" s="182">
        <v>0</v>
      </c>
      <c r="O951" s="182">
        <v>0</v>
      </c>
      <c r="P951" s="182">
        <v>0</v>
      </c>
      <c r="R951" s="155" t="str">
        <f t="shared" si="43"/>
        <v>A0571:おいでんエネルギー(株)メニューB</v>
      </c>
      <c r="S951" s="181">
        <f t="shared" si="44"/>
        <v>0</v>
      </c>
    </row>
    <row r="952" spans="2:19">
      <c r="B952" s="121"/>
      <c r="C952" s="490"/>
      <c r="D952" s="490" t="str">
        <f t="shared" si="45"/>
        <v/>
      </c>
      <c r="I952" s="125" t="s">
        <v>1312</v>
      </c>
      <c r="J952" s="125" t="s">
        <v>1822</v>
      </c>
      <c r="K952" s="182" t="s">
        <v>730</v>
      </c>
      <c r="L952" s="182">
        <v>4.2200000000000001E-4</v>
      </c>
      <c r="M952" s="182">
        <v>4.2200000000000001E-4</v>
      </c>
      <c r="N952" s="182">
        <v>4.2200000000000001E-4</v>
      </c>
      <c r="O952" s="182">
        <v>4.2200000000000001E-4</v>
      </c>
      <c r="P952" s="182">
        <v>4.2200000000000001E-4</v>
      </c>
      <c r="R952" s="155" t="str">
        <f t="shared" si="43"/>
        <v>A0571:おいでんエネルギー(株)メニューC</v>
      </c>
      <c r="S952" s="181">
        <f t="shared" si="44"/>
        <v>4.2200000000000001E-4</v>
      </c>
    </row>
    <row r="953" spans="2:19">
      <c r="B953" s="121"/>
      <c r="C953" s="490"/>
      <c r="D953" s="490" t="str">
        <f t="shared" si="45"/>
        <v/>
      </c>
      <c r="I953" s="125" t="s">
        <v>1312</v>
      </c>
      <c r="J953" s="125" t="s">
        <v>1822</v>
      </c>
      <c r="K953" s="182" t="s">
        <v>1998</v>
      </c>
      <c r="L953" s="182">
        <v>2.8E-5</v>
      </c>
      <c r="M953" s="182">
        <v>2.8E-5</v>
      </c>
      <c r="N953" s="182">
        <v>2.8E-5</v>
      </c>
      <c r="O953" s="182">
        <v>2.8E-5</v>
      </c>
      <c r="P953" s="182">
        <v>2.8E-5</v>
      </c>
      <c r="R953" s="155" t="str">
        <f t="shared" si="43"/>
        <v>A0571:おいでんエネルギー(株)(参考値)事業者全体</v>
      </c>
      <c r="S953" s="181">
        <f t="shared" si="44"/>
        <v>2.8E-5</v>
      </c>
    </row>
    <row r="954" spans="2:19">
      <c r="B954" s="121"/>
      <c r="C954" s="490"/>
      <c r="D954" s="490" t="str">
        <f t="shared" si="45"/>
        <v/>
      </c>
      <c r="I954" s="125" t="s">
        <v>1313</v>
      </c>
      <c r="J954" s="125" t="s">
        <v>1823</v>
      </c>
      <c r="K954" s="182"/>
      <c r="L954" s="182">
        <v>6.4300000000000002E-4</v>
      </c>
      <c r="M954" s="182">
        <v>6.4300000000000002E-4</v>
      </c>
      <c r="N954" s="182">
        <v>6.4300000000000002E-4</v>
      </c>
      <c r="O954" s="182">
        <v>6.4300000000000002E-4</v>
      </c>
      <c r="P954" s="182">
        <v>6.4300000000000002E-4</v>
      </c>
      <c r="R954" s="155" t="str">
        <f t="shared" si="43"/>
        <v>A0572:(株)イシオ</v>
      </c>
      <c r="S954" s="181">
        <f t="shared" si="44"/>
        <v>6.4300000000000002E-4</v>
      </c>
    </row>
    <row r="955" spans="2:19">
      <c r="B955" s="121"/>
      <c r="C955" s="490"/>
      <c r="D955" s="490" t="str">
        <f t="shared" si="45"/>
        <v/>
      </c>
      <c r="I955" s="125" t="s">
        <v>1314</v>
      </c>
      <c r="J955" s="125" t="s">
        <v>1824</v>
      </c>
      <c r="K955" s="182" t="s">
        <v>652</v>
      </c>
      <c r="L955" s="182">
        <v>0</v>
      </c>
      <c r="M955" s="182">
        <v>0</v>
      </c>
      <c r="N955" s="182">
        <v>0</v>
      </c>
      <c r="O955" s="182">
        <v>0</v>
      </c>
      <c r="P955" s="182">
        <v>0</v>
      </c>
      <c r="R955" s="155" t="str">
        <f t="shared" si="43"/>
        <v>A0573:北陸電力ビズ・エナジーソリューション(株)メニューA</v>
      </c>
      <c r="S955" s="181">
        <f t="shared" si="44"/>
        <v>0</v>
      </c>
    </row>
    <row r="956" spans="2:19">
      <c r="B956" s="121"/>
      <c r="C956" s="490"/>
      <c r="D956" s="490" t="str">
        <f t="shared" si="45"/>
        <v/>
      </c>
      <c r="I956" s="125" t="s">
        <v>1314</v>
      </c>
      <c r="J956" s="125" t="s">
        <v>1824</v>
      </c>
      <c r="K956" s="182" t="s">
        <v>729</v>
      </c>
      <c r="L956" s="182">
        <v>4.7399999999999997E-4</v>
      </c>
      <c r="M956" s="182">
        <v>4.7399999999999997E-4</v>
      </c>
      <c r="N956" s="182">
        <v>4.7399999999999997E-4</v>
      </c>
      <c r="O956" s="182">
        <v>4.7399999999999997E-4</v>
      </c>
      <c r="P956" s="182">
        <v>4.7399999999999997E-4</v>
      </c>
      <c r="R956" s="155" t="str">
        <f t="shared" si="43"/>
        <v>A0573:北陸電力ビズ・エナジーソリューション(株)メニューB</v>
      </c>
      <c r="S956" s="181">
        <f t="shared" si="44"/>
        <v>4.7399999999999997E-4</v>
      </c>
    </row>
    <row r="957" spans="2:19">
      <c r="B957" s="121"/>
      <c r="C957" s="490"/>
      <c r="D957" s="490" t="str">
        <f t="shared" si="45"/>
        <v/>
      </c>
      <c r="I957" s="125" t="s">
        <v>1314</v>
      </c>
      <c r="J957" s="125" t="s">
        <v>1824</v>
      </c>
      <c r="K957" s="182" t="s">
        <v>1998</v>
      </c>
      <c r="L957" s="182">
        <v>4.6999999999999999E-4</v>
      </c>
      <c r="M957" s="182">
        <v>4.6999999999999999E-4</v>
      </c>
      <c r="N957" s="182">
        <v>4.6999999999999999E-4</v>
      </c>
      <c r="O957" s="182">
        <v>4.6999999999999999E-4</v>
      </c>
      <c r="P957" s="182">
        <v>4.6999999999999999E-4</v>
      </c>
      <c r="R957" s="155" t="str">
        <f t="shared" si="43"/>
        <v>A0573:北陸電力ビズ・エナジーソリューション(株)(参考値)事業者全体</v>
      </c>
      <c r="S957" s="181">
        <f t="shared" si="44"/>
        <v>4.6999999999999999E-4</v>
      </c>
    </row>
    <row r="958" spans="2:19">
      <c r="B958" s="121"/>
      <c r="C958" s="490"/>
      <c r="D958" s="490" t="str">
        <f t="shared" si="45"/>
        <v/>
      </c>
      <c r="I958" s="125" t="s">
        <v>1315</v>
      </c>
      <c r="J958" s="125" t="s">
        <v>1825</v>
      </c>
      <c r="K958" s="182"/>
      <c r="L958" s="182">
        <v>6.1700000000000004E-4</v>
      </c>
      <c r="M958" s="182">
        <v>6.1700000000000004E-4</v>
      </c>
      <c r="N958" s="182">
        <v>6.1700000000000004E-4</v>
      </c>
      <c r="O958" s="182">
        <v>6.1700000000000004E-4</v>
      </c>
      <c r="P958" s="182">
        <v>6.1700000000000004E-4</v>
      </c>
      <c r="R958" s="155" t="str">
        <f t="shared" si="43"/>
        <v>A0574:リニューアブルトレード(株)</v>
      </c>
      <c r="S958" s="181">
        <f t="shared" si="44"/>
        <v>6.1700000000000004E-4</v>
      </c>
    </row>
    <row r="959" spans="2:19">
      <c r="B959" s="121"/>
      <c r="C959" s="490"/>
      <c r="D959" s="490" t="str">
        <f t="shared" si="45"/>
        <v/>
      </c>
      <c r="I959" s="125" t="s">
        <v>1316</v>
      </c>
      <c r="J959" s="125" t="s">
        <v>1826</v>
      </c>
      <c r="K959" s="182" t="s">
        <v>652</v>
      </c>
      <c r="L959" s="182">
        <v>0</v>
      </c>
      <c r="M959" s="182">
        <v>0</v>
      </c>
      <c r="N959" s="182">
        <v>0</v>
      </c>
      <c r="O959" s="182">
        <v>0</v>
      </c>
      <c r="P959" s="182">
        <v>0</v>
      </c>
      <c r="R959" s="155" t="str">
        <f t="shared" si="43"/>
        <v>A0577:ICT伊那みらいでんき(株)(旧:丸紅伊那みらいでんき(株))メニューA</v>
      </c>
      <c r="S959" s="181">
        <f t="shared" si="44"/>
        <v>0</v>
      </c>
    </row>
    <row r="960" spans="2:19">
      <c r="B960" s="121"/>
      <c r="C960" s="490"/>
      <c r="D960" s="490" t="str">
        <f t="shared" si="45"/>
        <v/>
      </c>
      <c r="I960" s="125" t="s">
        <v>1316</v>
      </c>
      <c r="J960" s="125" t="s">
        <v>1826</v>
      </c>
      <c r="K960" s="182" t="s">
        <v>729</v>
      </c>
      <c r="L960" s="182">
        <v>3.6699999999999998E-4</v>
      </c>
      <c r="M960" s="182">
        <v>3.6699999999999998E-4</v>
      </c>
      <c r="N960" s="182">
        <v>3.6699999999999998E-4</v>
      </c>
      <c r="O960" s="182">
        <v>3.6699999999999998E-4</v>
      </c>
      <c r="P960" s="182">
        <v>3.6699999999999998E-4</v>
      </c>
      <c r="R960" s="155" t="str">
        <f t="shared" si="43"/>
        <v>A0577:ICT伊那みらいでんき(株)(旧:丸紅伊那みらいでんき(株))メニューB</v>
      </c>
      <c r="S960" s="181">
        <f t="shared" si="44"/>
        <v>3.6699999999999998E-4</v>
      </c>
    </row>
    <row r="961" spans="2:19">
      <c r="B961" s="121"/>
      <c r="C961" s="490"/>
      <c r="D961" s="490" t="str">
        <f t="shared" si="45"/>
        <v/>
      </c>
      <c r="I961" s="125" t="s">
        <v>1316</v>
      </c>
      <c r="J961" s="125" t="s">
        <v>1826</v>
      </c>
      <c r="K961" s="182" t="s">
        <v>1998</v>
      </c>
      <c r="L961" s="182">
        <v>3.4299999999999999E-4</v>
      </c>
      <c r="M961" s="182">
        <v>3.4299999999999999E-4</v>
      </c>
      <c r="N961" s="182">
        <v>3.4299999999999999E-4</v>
      </c>
      <c r="O961" s="182">
        <v>3.4299999999999999E-4</v>
      </c>
      <c r="P961" s="182">
        <v>3.4299999999999999E-4</v>
      </c>
      <c r="R961" s="155" t="str">
        <f t="shared" si="43"/>
        <v>A0577:ICT伊那みらいでんき(株)(旧:丸紅伊那みらいでんき(株))(参考値)事業者全体</v>
      </c>
      <c r="S961" s="181">
        <f t="shared" si="44"/>
        <v>3.4299999999999999E-4</v>
      </c>
    </row>
    <row r="962" spans="2:19">
      <c r="B962" s="121"/>
      <c r="C962" s="490"/>
      <c r="D962" s="490" t="str">
        <f t="shared" si="45"/>
        <v/>
      </c>
      <c r="I962" s="125" t="s">
        <v>1317</v>
      </c>
      <c r="J962" s="125" t="s">
        <v>1827</v>
      </c>
      <c r="K962" s="182"/>
      <c r="L962" s="182">
        <v>5.1800000000000001E-4</v>
      </c>
      <c r="M962" s="182">
        <v>5.1800000000000001E-4</v>
      </c>
      <c r="N962" s="182">
        <v>5.1800000000000001E-4</v>
      </c>
      <c r="O962" s="182">
        <v>5.1800000000000001E-4</v>
      </c>
      <c r="P962" s="182">
        <v>5.1800000000000001E-4</v>
      </c>
      <c r="R962" s="155" t="str">
        <f t="shared" si="43"/>
        <v>A0578:富士山エナジー(株)</v>
      </c>
      <c r="S962" s="181">
        <f t="shared" si="44"/>
        <v>5.1800000000000001E-4</v>
      </c>
    </row>
    <row r="963" spans="2:19">
      <c r="B963" s="121"/>
      <c r="C963" s="490"/>
      <c r="D963" s="490" t="str">
        <f t="shared" si="45"/>
        <v/>
      </c>
      <c r="I963" s="125" t="s">
        <v>1318</v>
      </c>
      <c r="J963" s="125" t="s">
        <v>1828</v>
      </c>
      <c r="K963" s="182"/>
      <c r="L963" s="182">
        <v>4.1899999999999999E-4</v>
      </c>
      <c r="M963" s="182">
        <v>4.1899999999999999E-4</v>
      </c>
      <c r="N963" s="182">
        <v>4.1899999999999999E-4</v>
      </c>
      <c r="O963" s="182">
        <v>4.1899999999999999E-4</v>
      </c>
      <c r="P963" s="182">
        <v>4.1899999999999999E-4</v>
      </c>
      <c r="R963" s="155" t="str">
        <f t="shared" si="43"/>
        <v>A0581:WSエナジー(株)</v>
      </c>
      <c r="S963" s="181">
        <f t="shared" si="44"/>
        <v>4.1899999999999999E-4</v>
      </c>
    </row>
    <row r="964" spans="2:19">
      <c r="B964" s="121"/>
      <c r="C964" s="490"/>
      <c r="D964" s="490" t="str">
        <f t="shared" si="45"/>
        <v/>
      </c>
      <c r="I964" s="125" t="s">
        <v>1319</v>
      </c>
      <c r="J964" s="125" t="s">
        <v>1829</v>
      </c>
      <c r="K964" s="182" t="s">
        <v>652</v>
      </c>
      <c r="L964" s="182">
        <v>0</v>
      </c>
      <c r="M964" s="182">
        <v>0</v>
      </c>
      <c r="N964" s="182">
        <v>0</v>
      </c>
      <c r="O964" s="182">
        <v>0</v>
      </c>
      <c r="P964" s="182">
        <v>0</v>
      </c>
      <c r="R964" s="155" t="str">
        <f t="shared" si="43"/>
        <v>A0582:TERA Energy(株)メニューA</v>
      </c>
      <c r="S964" s="181">
        <f t="shared" si="44"/>
        <v>0</v>
      </c>
    </row>
    <row r="965" spans="2:19">
      <c r="B965" s="121"/>
      <c r="C965" s="490"/>
      <c r="D965" s="490" t="str">
        <f t="shared" si="45"/>
        <v/>
      </c>
      <c r="I965" s="125" t="s">
        <v>1319</v>
      </c>
      <c r="J965" s="125" t="s">
        <v>1829</v>
      </c>
      <c r="K965" s="182" t="s">
        <v>729</v>
      </c>
      <c r="L965" s="182">
        <v>4.0099999999999999E-4</v>
      </c>
      <c r="M965" s="182">
        <v>4.0099999999999999E-4</v>
      </c>
      <c r="N965" s="182">
        <v>4.0099999999999999E-4</v>
      </c>
      <c r="O965" s="182">
        <v>4.0099999999999999E-4</v>
      </c>
      <c r="P965" s="182">
        <v>4.0099999999999999E-4</v>
      </c>
      <c r="R965" s="155" t="str">
        <f t="shared" si="43"/>
        <v>A0582:TERA Energy(株)メニューB</v>
      </c>
      <c r="S965" s="181">
        <f t="shared" si="44"/>
        <v>4.0099999999999999E-4</v>
      </c>
    </row>
    <row r="966" spans="2:19">
      <c r="B966" s="121"/>
      <c r="C966" s="490"/>
      <c r="D966" s="490" t="str">
        <f t="shared" si="45"/>
        <v/>
      </c>
      <c r="I966" s="125" t="s">
        <v>1319</v>
      </c>
      <c r="J966" s="125" t="s">
        <v>1829</v>
      </c>
      <c r="K966" s="182" t="s">
        <v>1998</v>
      </c>
      <c r="L966" s="182">
        <v>3.97E-4</v>
      </c>
      <c r="M966" s="182">
        <v>3.97E-4</v>
      </c>
      <c r="N966" s="182">
        <v>3.97E-4</v>
      </c>
      <c r="O966" s="182">
        <v>3.97E-4</v>
      </c>
      <c r="P966" s="182">
        <v>3.97E-4</v>
      </c>
      <c r="R966" s="155" t="str">
        <f t="shared" si="43"/>
        <v>A0582:TERA Energy(株)(参考値)事業者全体</v>
      </c>
      <c r="S966" s="181">
        <f t="shared" si="44"/>
        <v>3.97E-4</v>
      </c>
    </row>
    <row r="967" spans="2:19">
      <c r="B967" s="121"/>
      <c r="C967" s="490"/>
      <c r="D967" s="490" t="str">
        <f t="shared" si="45"/>
        <v/>
      </c>
      <c r="I967" s="125" t="s">
        <v>1320</v>
      </c>
      <c r="J967" s="125" t="s">
        <v>1830</v>
      </c>
      <c r="K967" s="182" t="s">
        <v>652</v>
      </c>
      <c r="L967" s="182">
        <v>0</v>
      </c>
      <c r="M967" s="182">
        <v>0</v>
      </c>
      <c r="N967" s="182">
        <v>0</v>
      </c>
      <c r="O967" s="182">
        <v>0</v>
      </c>
      <c r="P967" s="182">
        <v>0</v>
      </c>
      <c r="R967" s="155" t="str">
        <f t="shared" si="43"/>
        <v>A0584:MCPD(株)メニューA</v>
      </c>
      <c r="S967" s="181">
        <f t="shared" si="44"/>
        <v>0</v>
      </c>
    </row>
    <row r="968" spans="2:19">
      <c r="B968" s="121"/>
      <c r="C968" s="490"/>
      <c r="D968" s="490" t="str">
        <f t="shared" si="45"/>
        <v/>
      </c>
      <c r="I968" s="125" t="s">
        <v>1320</v>
      </c>
      <c r="J968" s="125" t="s">
        <v>1830</v>
      </c>
      <c r="K968" s="182" t="s">
        <v>729</v>
      </c>
      <c r="L968" s="182">
        <v>3.3399999999999999E-4</v>
      </c>
      <c r="M968" s="182">
        <v>3.3399999999999999E-4</v>
      </c>
      <c r="N968" s="182">
        <v>3.3399999999999999E-4</v>
      </c>
      <c r="O968" s="182">
        <v>3.3399999999999999E-4</v>
      </c>
      <c r="P968" s="182">
        <v>3.3399999999999999E-4</v>
      </c>
      <c r="R968" s="155" t="str">
        <f t="shared" si="43"/>
        <v>A0584:MCPD(株)メニューB</v>
      </c>
      <c r="S968" s="181">
        <f t="shared" si="44"/>
        <v>3.3399999999999999E-4</v>
      </c>
    </row>
    <row r="969" spans="2:19">
      <c r="B969" s="121"/>
      <c r="C969" s="490"/>
      <c r="D969" s="490" t="str">
        <f t="shared" si="45"/>
        <v/>
      </c>
      <c r="I969" s="125" t="s">
        <v>1320</v>
      </c>
      <c r="J969" s="125" t="s">
        <v>1830</v>
      </c>
      <c r="K969" s="182" t="s">
        <v>1998</v>
      </c>
      <c r="L969" s="182">
        <v>3.0000000000000001E-5</v>
      </c>
      <c r="M969" s="182">
        <v>3.0000000000000001E-5</v>
      </c>
      <c r="N969" s="182">
        <v>3.0000000000000001E-5</v>
      </c>
      <c r="O969" s="182">
        <v>3.0000000000000001E-5</v>
      </c>
      <c r="P969" s="182">
        <v>3.0000000000000001E-5</v>
      </c>
      <c r="R969" s="155" t="str">
        <f t="shared" si="43"/>
        <v>A0584:MCPD(株)(参考値)事業者全体</v>
      </c>
      <c r="S969" s="181">
        <f t="shared" si="44"/>
        <v>3.0000000000000001E-5</v>
      </c>
    </row>
    <row r="970" spans="2:19">
      <c r="B970" s="121"/>
      <c r="C970" s="490"/>
      <c r="D970" s="490" t="str">
        <f t="shared" si="45"/>
        <v/>
      </c>
      <c r="I970" s="125" t="s">
        <v>1321</v>
      </c>
      <c r="J970" s="125" t="s">
        <v>1831</v>
      </c>
      <c r="K970" s="182"/>
      <c r="L970" s="182">
        <v>5.3700000000000004E-4</v>
      </c>
      <c r="M970" s="182">
        <v>5.3700000000000004E-4</v>
      </c>
      <c r="N970" s="182">
        <v>5.3700000000000004E-4</v>
      </c>
      <c r="O970" s="182">
        <v>5.3700000000000004E-4</v>
      </c>
      <c r="P970" s="182">
        <v>5.3700000000000004E-4</v>
      </c>
      <c r="R970" s="155" t="str">
        <f t="shared" ref="R970:R1033" si="46">I970&amp;":"&amp;J970&amp;K970</f>
        <v>A0586:グリーンシティこばやし(株)</v>
      </c>
      <c r="S970" s="181">
        <f t="shared" ref="S970:S1033" si="47">HLOOKUP($S$8,$L$8:$P$2000,ROW()-7,FALSE)</f>
        <v>5.3700000000000004E-4</v>
      </c>
    </row>
    <row r="971" spans="2:19">
      <c r="B971" s="121"/>
      <c r="C971" s="490"/>
      <c r="D971" s="490" t="str">
        <f t="shared" si="45"/>
        <v/>
      </c>
      <c r="I971" s="125" t="s">
        <v>1322</v>
      </c>
      <c r="J971" s="125" t="s">
        <v>1832</v>
      </c>
      <c r="K971" s="182"/>
      <c r="L971" s="182">
        <v>4.17E-4</v>
      </c>
      <c r="M971" s="182">
        <v>4.17E-4</v>
      </c>
      <c r="N971" s="182">
        <v>4.17E-4</v>
      </c>
      <c r="O971" s="182">
        <v>4.17E-4</v>
      </c>
      <c r="P971" s="182">
        <v>4.17E-4</v>
      </c>
      <c r="R971" s="155" t="str">
        <f t="shared" si="46"/>
        <v>A0587:(株)吉田石油店</v>
      </c>
      <c r="S971" s="181">
        <f t="shared" si="47"/>
        <v>4.17E-4</v>
      </c>
    </row>
    <row r="972" spans="2:19">
      <c r="B972" s="121"/>
      <c r="C972" s="490"/>
      <c r="D972" s="490" t="str">
        <f t="shared" si="45"/>
        <v/>
      </c>
      <c r="I972" s="125" t="s">
        <v>1323</v>
      </c>
      <c r="J972" s="125" t="s">
        <v>1833</v>
      </c>
      <c r="K972" s="182"/>
      <c r="L972" s="182">
        <v>0</v>
      </c>
      <c r="M972" s="182">
        <v>0</v>
      </c>
      <c r="N972" s="182">
        <v>0</v>
      </c>
      <c r="O972" s="182">
        <v>0</v>
      </c>
      <c r="P972" s="182">
        <v>0</v>
      </c>
      <c r="R972" s="155" t="str">
        <f t="shared" si="46"/>
        <v>A0589:スマートエナジー熊本(株)</v>
      </c>
      <c r="S972" s="181">
        <f t="shared" si="47"/>
        <v>0</v>
      </c>
    </row>
    <row r="973" spans="2:19">
      <c r="B973" s="121"/>
      <c r="C973" s="490"/>
      <c r="D973" s="490" t="str">
        <f t="shared" si="45"/>
        <v/>
      </c>
      <c r="I973" s="125" t="s">
        <v>1324</v>
      </c>
      <c r="J973" s="125" t="s">
        <v>1834</v>
      </c>
      <c r="K973" s="182" t="s">
        <v>652</v>
      </c>
      <c r="L973" s="182">
        <v>0</v>
      </c>
      <c r="M973" s="182">
        <v>0</v>
      </c>
      <c r="N973" s="182">
        <v>0</v>
      </c>
      <c r="O973" s="182">
        <v>0</v>
      </c>
      <c r="P973" s="182">
        <v>0</v>
      </c>
      <c r="R973" s="155" t="str">
        <f t="shared" si="46"/>
        <v>A0590:福山未来エナジー(株)メニューA</v>
      </c>
      <c r="S973" s="181">
        <f t="shared" si="47"/>
        <v>0</v>
      </c>
    </row>
    <row r="974" spans="2:19">
      <c r="B974" s="121"/>
      <c r="C974" s="490"/>
      <c r="D974" s="490" t="str">
        <f t="shared" si="45"/>
        <v/>
      </c>
      <c r="I974" s="125" t="s">
        <v>1324</v>
      </c>
      <c r="J974" s="125" t="s">
        <v>1834</v>
      </c>
      <c r="K974" s="182" t="s">
        <v>729</v>
      </c>
      <c r="L974" s="182">
        <v>1.7200000000000001E-4</v>
      </c>
      <c r="M974" s="182">
        <v>1.7200000000000001E-4</v>
      </c>
      <c r="N974" s="182">
        <v>1.7200000000000001E-4</v>
      </c>
      <c r="O974" s="182">
        <v>1.7200000000000001E-4</v>
      </c>
      <c r="P974" s="182">
        <v>1.7200000000000001E-4</v>
      </c>
      <c r="R974" s="155" t="str">
        <f t="shared" si="46"/>
        <v>A0590:福山未来エナジー(株)メニューB</v>
      </c>
      <c r="S974" s="181">
        <f t="shared" si="47"/>
        <v>1.7200000000000001E-4</v>
      </c>
    </row>
    <row r="975" spans="2:19">
      <c r="B975" s="121"/>
      <c r="C975" s="490"/>
      <c r="D975" s="490" t="str">
        <f t="shared" si="45"/>
        <v/>
      </c>
      <c r="I975" s="125" t="s">
        <v>1324</v>
      </c>
      <c r="J975" s="125" t="s">
        <v>1834</v>
      </c>
      <c r="K975" s="182" t="s">
        <v>1998</v>
      </c>
      <c r="L975" s="182">
        <v>1.2999999999999999E-4</v>
      </c>
      <c r="M975" s="182">
        <v>1.2999999999999999E-4</v>
      </c>
      <c r="N975" s="182">
        <v>1.2999999999999999E-4</v>
      </c>
      <c r="O975" s="182">
        <v>1.2999999999999999E-4</v>
      </c>
      <c r="P975" s="182">
        <v>1.2999999999999999E-4</v>
      </c>
      <c r="R975" s="155" t="str">
        <f t="shared" si="46"/>
        <v>A0590:福山未来エナジー(株)(参考値)事業者全体</v>
      </c>
      <c r="S975" s="181">
        <f t="shared" si="47"/>
        <v>1.2999999999999999E-4</v>
      </c>
    </row>
    <row r="976" spans="2:19">
      <c r="B976" s="121"/>
      <c r="C976" s="490"/>
      <c r="D976" s="490" t="str">
        <f t="shared" si="45"/>
        <v/>
      </c>
      <c r="I976" s="125" t="s">
        <v>1325</v>
      </c>
      <c r="J976" s="125" t="s">
        <v>1835</v>
      </c>
      <c r="K976" s="182" t="s">
        <v>652</v>
      </c>
      <c r="L976" s="182">
        <v>0</v>
      </c>
      <c r="M976" s="182">
        <v>0</v>
      </c>
      <c r="N976" s="182">
        <v>0</v>
      </c>
      <c r="O976" s="182">
        <v>0</v>
      </c>
      <c r="P976" s="182">
        <v>0</v>
      </c>
      <c r="R976" s="155" t="str">
        <f t="shared" si="46"/>
        <v>A0596:五島市民電力(株)メニューA</v>
      </c>
      <c r="S976" s="181">
        <f t="shared" si="47"/>
        <v>0</v>
      </c>
    </row>
    <row r="977" spans="2:19">
      <c r="B977" s="121"/>
      <c r="C977" s="490"/>
      <c r="D977" s="490" t="str">
        <f t="shared" si="45"/>
        <v/>
      </c>
      <c r="I977" s="125" t="s">
        <v>1325</v>
      </c>
      <c r="J977" s="125" t="s">
        <v>1835</v>
      </c>
      <c r="K977" s="182" t="s">
        <v>729</v>
      </c>
      <c r="L977" s="182">
        <v>0</v>
      </c>
      <c r="M977" s="182">
        <v>0</v>
      </c>
      <c r="N977" s="182">
        <v>0</v>
      </c>
      <c r="O977" s="182">
        <v>0</v>
      </c>
      <c r="P977" s="182">
        <v>0</v>
      </c>
      <c r="R977" s="155" t="str">
        <f t="shared" si="46"/>
        <v>A0596:五島市民電力(株)メニューB</v>
      </c>
      <c r="S977" s="181">
        <f t="shared" si="47"/>
        <v>0</v>
      </c>
    </row>
    <row r="978" spans="2:19">
      <c r="B978" s="121"/>
      <c r="C978" s="490"/>
      <c r="D978" s="490" t="str">
        <f t="shared" si="45"/>
        <v/>
      </c>
      <c r="I978" s="125" t="s">
        <v>1325</v>
      </c>
      <c r="J978" s="125" t="s">
        <v>1835</v>
      </c>
      <c r="K978" s="182" t="s">
        <v>730</v>
      </c>
      <c r="L978" s="182">
        <v>6.4999999999999997E-4</v>
      </c>
      <c r="M978" s="182">
        <v>6.4999999999999997E-4</v>
      </c>
      <c r="N978" s="182">
        <v>6.4999999999999997E-4</v>
      </c>
      <c r="O978" s="182">
        <v>6.4999999999999997E-4</v>
      </c>
      <c r="P978" s="182">
        <v>6.4999999999999997E-4</v>
      </c>
      <c r="R978" s="155" t="str">
        <f t="shared" si="46"/>
        <v>A0596:五島市民電力(株)メニューC</v>
      </c>
      <c r="S978" s="181">
        <f t="shared" si="47"/>
        <v>6.4999999999999997E-4</v>
      </c>
    </row>
    <row r="979" spans="2:19">
      <c r="B979" s="121"/>
      <c r="C979" s="490"/>
      <c r="D979" s="490" t="str">
        <f t="shared" si="45"/>
        <v/>
      </c>
      <c r="I979" s="125" t="s">
        <v>1325</v>
      </c>
      <c r="J979" s="125" t="s">
        <v>1835</v>
      </c>
      <c r="K979" s="182" t="s">
        <v>1998</v>
      </c>
      <c r="L979" s="182">
        <v>2.6200000000000003E-4</v>
      </c>
      <c r="M979" s="182">
        <v>2.6200000000000003E-4</v>
      </c>
      <c r="N979" s="182">
        <v>2.6200000000000003E-4</v>
      </c>
      <c r="O979" s="182">
        <v>2.6200000000000003E-4</v>
      </c>
      <c r="P979" s="182">
        <v>2.6200000000000003E-4</v>
      </c>
      <c r="R979" s="155" t="str">
        <f t="shared" si="46"/>
        <v>A0596:五島市民電力(株)(参考値)事業者全体</v>
      </c>
      <c r="S979" s="181">
        <f t="shared" si="47"/>
        <v>2.6200000000000003E-4</v>
      </c>
    </row>
    <row r="980" spans="2:19">
      <c r="B980" s="121"/>
      <c r="C980" s="490"/>
      <c r="D980" s="490" t="str">
        <f t="shared" si="45"/>
        <v/>
      </c>
      <c r="I980" s="125" t="s">
        <v>1326</v>
      </c>
      <c r="J980" s="125" t="s">
        <v>1836</v>
      </c>
      <c r="K980" s="182"/>
      <c r="L980" s="182">
        <v>6.1799999999999995E-4</v>
      </c>
      <c r="M980" s="182">
        <v>6.1799999999999995E-4</v>
      </c>
      <c r="N980" s="182">
        <v>6.1799999999999995E-4</v>
      </c>
      <c r="O980" s="182">
        <v>6.1799999999999995E-4</v>
      </c>
      <c r="P980" s="182">
        <v>6.1799999999999995E-4</v>
      </c>
      <c r="R980" s="155" t="str">
        <f t="shared" si="46"/>
        <v>A0598:リストプロパティーズ(株)</v>
      </c>
      <c r="S980" s="181">
        <f t="shared" si="47"/>
        <v>6.1799999999999995E-4</v>
      </c>
    </row>
    <row r="981" spans="2:19">
      <c r="B981" s="121"/>
      <c r="C981" s="490"/>
      <c r="D981" s="490" t="str">
        <f t="shared" si="45"/>
        <v/>
      </c>
      <c r="I981" s="125" t="s">
        <v>1327</v>
      </c>
      <c r="J981" s="125" t="s">
        <v>1837</v>
      </c>
      <c r="K981" s="182"/>
      <c r="L981" s="182">
        <v>4.5399999999999998E-4</v>
      </c>
      <c r="M981" s="182">
        <v>4.5399999999999998E-4</v>
      </c>
      <c r="N981" s="182">
        <v>4.5399999999999998E-4</v>
      </c>
      <c r="O981" s="182">
        <v>4.5399999999999998E-4</v>
      </c>
      <c r="P981" s="182">
        <v>4.5399999999999998E-4</v>
      </c>
      <c r="R981" s="155" t="str">
        <f t="shared" si="46"/>
        <v>A0602:(株)情熱電力</v>
      </c>
      <c r="S981" s="181">
        <f t="shared" si="47"/>
        <v>4.5399999999999998E-4</v>
      </c>
    </row>
    <row r="982" spans="2:19">
      <c r="B982" s="121"/>
      <c r="C982" s="490"/>
      <c r="D982" s="490" t="str">
        <f t="shared" si="45"/>
        <v/>
      </c>
      <c r="I982" s="125" t="s">
        <v>1328</v>
      </c>
      <c r="J982" s="125" t="s">
        <v>1838</v>
      </c>
      <c r="K982" s="182" t="s">
        <v>652</v>
      </c>
      <c r="L982" s="182">
        <v>0</v>
      </c>
      <c r="M982" s="182">
        <v>0</v>
      </c>
      <c r="N982" s="182">
        <v>0</v>
      </c>
      <c r="O982" s="182">
        <v>0</v>
      </c>
      <c r="P982" s="182">
        <v>0</v>
      </c>
      <c r="R982" s="155" t="str">
        <f t="shared" si="46"/>
        <v>A0603:バンプーパワートレーディング合同会社メニューA</v>
      </c>
      <c r="S982" s="181">
        <f t="shared" si="47"/>
        <v>0</v>
      </c>
    </row>
    <row r="983" spans="2:19">
      <c r="B983" s="121"/>
      <c r="C983" s="490"/>
      <c r="D983" s="490" t="str">
        <f t="shared" si="45"/>
        <v/>
      </c>
      <c r="I983" s="125" t="s">
        <v>1328</v>
      </c>
      <c r="J983" s="125" t="s">
        <v>1838</v>
      </c>
      <c r="K983" s="182" t="s">
        <v>729</v>
      </c>
      <c r="L983" s="182">
        <v>1.94E-4</v>
      </c>
      <c r="M983" s="182">
        <v>1.94E-4</v>
      </c>
      <c r="N983" s="182">
        <v>1.94E-4</v>
      </c>
      <c r="O983" s="182">
        <v>1.94E-4</v>
      </c>
      <c r="P983" s="182">
        <v>1.94E-4</v>
      </c>
      <c r="R983" s="155" t="str">
        <f t="shared" si="46"/>
        <v>A0603:バンプーパワートレーディング合同会社メニューB</v>
      </c>
      <c r="S983" s="181">
        <f t="shared" si="47"/>
        <v>1.94E-4</v>
      </c>
    </row>
    <row r="984" spans="2:19">
      <c r="B984" s="121"/>
      <c r="C984" s="490"/>
      <c r="D984" s="490" t="str">
        <f t="shared" si="45"/>
        <v/>
      </c>
      <c r="I984" s="125" t="s">
        <v>1328</v>
      </c>
      <c r="J984" s="125" t="s">
        <v>1838</v>
      </c>
      <c r="K984" s="182" t="s">
        <v>1998</v>
      </c>
      <c r="L984" s="182">
        <v>1.94E-4</v>
      </c>
      <c r="M984" s="182">
        <v>1.94E-4</v>
      </c>
      <c r="N984" s="182">
        <v>1.94E-4</v>
      </c>
      <c r="O984" s="182">
        <v>1.94E-4</v>
      </c>
      <c r="P984" s="182">
        <v>1.94E-4</v>
      </c>
      <c r="R984" s="155" t="str">
        <f t="shared" si="46"/>
        <v>A0603:バンプーパワートレーディング合同会社(参考値)事業者全体</v>
      </c>
      <c r="S984" s="181">
        <f t="shared" si="47"/>
        <v>1.94E-4</v>
      </c>
    </row>
    <row r="985" spans="2:19">
      <c r="B985" s="121"/>
      <c r="C985" s="490"/>
      <c r="D985" s="490" t="str">
        <f t="shared" si="45"/>
        <v/>
      </c>
      <c r="I985" s="125" t="s">
        <v>1329</v>
      </c>
      <c r="J985" s="125" t="s">
        <v>1839</v>
      </c>
      <c r="K985" s="182"/>
      <c r="L985" s="182">
        <v>6.3699999999999998E-4</v>
      </c>
      <c r="M985" s="182">
        <v>6.3699999999999998E-4</v>
      </c>
      <c r="N985" s="182">
        <v>6.3699999999999998E-4</v>
      </c>
      <c r="O985" s="182">
        <v>6.3699999999999998E-4</v>
      </c>
      <c r="P985" s="182">
        <v>6.3699999999999998E-4</v>
      </c>
      <c r="R985" s="155" t="str">
        <f t="shared" si="46"/>
        <v>A0605:(株)センカク</v>
      </c>
      <c r="S985" s="181">
        <f t="shared" si="47"/>
        <v>6.3699999999999998E-4</v>
      </c>
    </row>
    <row r="986" spans="2:19">
      <c r="B986" s="121"/>
      <c r="C986" s="490"/>
      <c r="D986" s="490" t="str">
        <f t="shared" si="45"/>
        <v/>
      </c>
      <c r="I986" s="125" t="s">
        <v>1330</v>
      </c>
      <c r="J986" s="125" t="s">
        <v>1840</v>
      </c>
      <c r="K986" s="182"/>
      <c r="L986" s="182">
        <v>5.0100000000000003E-4</v>
      </c>
      <c r="M986" s="182">
        <v>5.0100000000000003E-4</v>
      </c>
      <c r="N986" s="182">
        <v>5.0100000000000003E-4</v>
      </c>
      <c r="O986" s="182">
        <v>5.0100000000000003E-4</v>
      </c>
      <c r="P986" s="182">
        <v>5.0100000000000003E-4</v>
      </c>
      <c r="R986" s="155" t="str">
        <f t="shared" si="46"/>
        <v>A0609:(株)ミナサポ</v>
      </c>
      <c r="S986" s="181">
        <f t="shared" si="47"/>
        <v>5.0100000000000003E-4</v>
      </c>
    </row>
    <row r="987" spans="2:19">
      <c r="B987" s="121"/>
      <c r="C987" s="490"/>
      <c r="D987" s="490" t="str">
        <f t="shared" si="45"/>
        <v/>
      </c>
      <c r="I987" s="125" t="s">
        <v>1331</v>
      </c>
      <c r="J987" s="125" t="s">
        <v>1841</v>
      </c>
      <c r="K987" s="182"/>
      <c r="L987" s="182">
        <v>4.26E-4</v>
      </c>
      <c r="M987" s="182">
        <v>4.26E-4</v>
      </c>
      <c r="N987" s="182">
        <v>4.26E-4</v>
      </c>
      <c r="O987" s="182">
        <v>4.26E-4</v>
      </c>
      <c r="P987" s="182">
        <v>4.26E-4</v>
      </c>
      <c r="R987" s="155" t="str">
        <f t="shared" si="46"/>
        <v>A0610:唐津電力(株)</v>
      </c>
      <c r="S987" s="181">
        <f t="shared" si="47"/>
        <v>4.26E-4</v>
      </c>
    </row>
    <row r="988" spans="2:19">
      <c r="B988" s="121"/>
      <c r="C988" s="490"/>
      <c r="D988" s="490" t="str">
        <f t="shared" si="45"/>
        <v/>
      </c>
      <c r="I988" s="125" t="s">
        <v>1332</v>
      </c>
      <c r="J988" s="125" t="s">
        <v>1842</v>
      </c>
      <c r="K988" s="182" t="s">
        <v>652</v>
      </c>
      <c r="L988" s="182">
        <v>0</v>
      </c>
      <c r="M988" s="182">
        <v>0</v>
      </c>
      <c r="N988" s="182">
        <v>0</v>
      </c>
      <c r="O988" s="182">
        <v>0</v>
      </c>
      <c r="P988" s="182">
        <v>0</v>
      </c>
      <c r="R988" s="155" t="str">
        <f t="shared" si="46"/>
        <v>A0611:RE100電力(株)メニューA</v>
      </c>
      <c r="S988" s="181">
        <f t="shared" si="47"/>
        <v>0</v>
      </c>
    </row>
    <row r="989" spans="2:19">
      <c r="B989" s="121"/>
      <c r="C989" s="490"/>
      <c r="D989" s="490" t="str">
        <f t="shared" si="45"/>
        <v/>
      </c>
      <c r="I989" s="125" t="s">
        <v>1332</v>
      </c>
      <c r="J989" s="125" t="s">
        <v>1842</v>
      </c>
      <c r="K989" s="182" t="s">
        <v>729</v>
      </c>
      <c r="L989" s="182">
        <v>1.64E-4</v>
      </c>
      <c r="M989" s="182">
        <v>1.64E-4</v>
      </c>
      <c r="N989" s="182">
        <v>1.64E-4</v>
      </c>
      <c r="O989" s="182">
        <v>1.64E-4</v>
      </c>
      <c r="P989" s="182">
        <v>1.64E-4</v>
      </c>
      <c r="R989" s="155" t="str">
        <f t="shared" si="46"/>
        <v>A0611:RE100電力(株)メニューB</v>
      </c>
      <c r="S989" s="181">
        <f t="shared" si="47"/>
        <v>1.64E-4</v>
      </c>
    </row>
    <row r="990" spans="2:19">
      <c r="B990" s="121"/>
      <c r="C990" s="490"/>
      <c r="D990" s="490" t="str">
        <f t="shared" si="45"/>
        <v/>
      </c>
      <c r="I990" s="125" t="s">
        <v>1332</v>
      </c>
      <c r="J990" s="125" t="s">
        <v>1842</v>
      </c>
      <c r="K990" s="182" t="s">
        <v>730</v>
      </c>
      <c r="L990" s="182">
        <v>2.7399999999999999E-4</v>
      </c>
      <c r="M990" s="182">
        <v>2.7399999999999999E-4</v>
      </c>
      <c r="N990" s="182">
        <v>2.7399999999999999E-4</v>
      </c>
      <c r="O990" s="182">
        <v>2.7399999999999999E-4</v>
      </c>
      <c r="P990" s="182">
        <v>2.7399999999999999E-4</v>
      </c>
      <c r="R990" s="155" t="str">
        <f t="shared" si="46"/>
        <v>A0611:RE100電力(株)メニューC</v>
      </c>
      <c r="S990" s="181">
        <f t="shared" si="47"/>
        <v>2.7399999999999999E-4</v>
      </c>
    </row>
    <row r="991" spans="2:19">
      <c r="B991" s="121"/>
      <c r="C991" s="490"/>
      <c r="D991" s="490" t="str">
        <f t="shared" si="45"/>
        <v/>
      </c>
      <c r="I991" s="125" t="s">
        <v>1332</v>
      </c>
      <c r="J991" s="125" t="s">
        <v>1842</v>
      </c>
      <c r="K991" s="182" t="s">
        <v>915</v>
      </c>
      <c r="L991" s="182">
        <v>2.9500000000000001E-4</v>
      </c>
      <c r="M991" s="182">
        <v>2.9500000000000001E-4</v>
      </c>
      <c r="N991" s="182">
        <v>2.9500000000000001E-4</v>
      </c>
      <c r="O991" s="182">
        <v>2.9500000000000001E-4</v>
      </c>
      <c r="P991" s="182">
        <v>2.9500000000000001E-4</v>
      </c>
      <c r="R991" s="155" t="str">
        <f t="shared" si="46"/>
        <v>A0611:RE100電力(株)メニューD</v>
      </c>
      <c r="S991" s="181">
        <f t="shared" si="47"/>
        <v>2.9500000000000001E-4</v>
      </c>
    </row>
    <row r="992" spans="2:19">
      <c r="B992" s="121"/>
      <c r="C992" s="490"/>
      <c r="D992" s="490" t="str">
        <f t="shared" si="45"/>
        <v/>
      </c>
      <c r="I992" s="125" t="s">
        <v>1332</v>
      </c>
      <c r="J992" s="125" t="s">
        <v>1842</v>
      </c>
      <c r="K992" s="182" t="s">
        <v>916</v>
      </c>
      <c r="L992" s="182">
        <v>4.8799999999999999E-4</v>
      </c>
      <c r="M992" s="182">
        <v>4.8799999999999999E-4</v>
      </c>
      <c r="N992" s="182">
        <v>4.8799999999999999E-4</v>
      </c>
      <c r="O992" s="182">
        <v>4.8799999999999999E-4</v>
      </c>
      <c r="P992" s="182">
        <v>4.8799999999999999E-4</v>
      </c>
      <c r="R992" s="155" t="str">
        <f t="shared" si="46"/>
        <v>A0611:RE100電力(株)メニューE</v>
      </c>
      <c r="S992" s="181">
        <f t="shared" si="47"/>
        <v>4.8799999999999999E-4</v>
      </c>
    </row>
    <row r="993" spans="2:19">
      <c r="B993" s="121"/>
      <c r="C993" s="490"/>
      <c r="D993" s="490" t="str">
        <f t="shared" si="45"/>
        <v/>
      </c>
      <c r="I993" s="125" t="s">
        <v>1332</v>
      </c>
      <c r="J993" s="125" t="s">
        <v>1842</v>
      </c>
      <c r="K993" s="182" t="s">
        <v>1998</v>
      </c>
      <c r="L993" s="182">
        <v>3.48E-4</v>
      </c>
      <c r="M993" s="182">
        <v>3.48E-4</v>
      </c>
      <c r="N993" s="182">
        <v>3.48E-4</v>
      </c>
      <c r="O993" s="182">
        <v>3.48E-4</v>
      </c>
      <c r="P993" s="182">
        <v>3.48E-4</v>
      </c>
      <c r="R993" s="155" t="str">
        <f t="shared" si="46"/>
        <v>A0611:RE100電力(株)(参考値)事業者全体</v>
      </c>
      <c r="S993" s="181">
        <f t="shared" si="47"/>
        <v>3.48E-4</v>
      </c>
    </row>
    <row r="994" spans="2:19">
      <c r="B994" s="121"/>
      <c r="C994" s="490"/>
      <c r="D994" s="490" t="str">
        <f t="shared" si="45"/>
        <v/>
      </c>
      <c r="I994" s="125" t="s">
        <v>1333</v>
      </c>
      <c r="J994" s="125" t="s">
        <v>1843</v>
      </c>
      <c r="K994" s="182"/>
      <c r="L994" s="182">
        <v>5.9000000000000003E-4</v>
      </c>
      <c r="M994" s="182">
        <v>5.9000000000000003E-4</v>
      </c>
      <c r="N994" s="182">
        <v>5.9000000000000003E-4</v>
      </c>
      <c r="O994" s="182">
        <v>5.9000000000000003E-4</v>
      </c>
      <c r="P994" s="182">
        <v>5.9000000000000003E-4</v>
      </c>
      <c r="R994" s="155" t="str">
        <f t="shared" si="46"/>
        <v>A0612:日本エネルギーファーム(株)</v>
      </c>
      <c r="S994" s="181">
        <f t="shared" si="47"/>
        <v>5.9000000000000003E-4</v>
      </c>
    </row>
    <row r="995" spans="2:19">
      <c r="B995" s="121"/>
      <c r="C995" s="490"/>
      <c r="D995" s="490" t="str">
        <f t="shared" si="45"/>
        <v/>
      </c>
      <c r="I995" s="125" t="s">
        <v>1334</v>
      </c>
      <c r="J995" s="125" t="s">
        <v>1844</v>
      </c>
      <c r="K995" s="182"/>
      <c r="L995" s="182">
        <v>3.86E-4</v>
      </c>
      <c r="M995" s="182">
        <v>3.86E-4</v>
      </c>
      <c r="N995" s="182">
        <v>3.86E-4</v>
      </c>
      <c r="O995" s="182">
        <v>3.86E-4</v>
      </c>
      <c r="P995" s="182">
        <v>3.86E-4</v>
      </c>
      <c r="R995" s="155" t="str">
        <f t="shared" si="46"/>
        <v>A0615:(株)イーネットワーク</v>
      </c>
      <c r="S995" s="181">
        <f t="shared" si="47"/>
        <v>3.86E-4</v>
      </c>
    </row>
    <row r="996" spans="2:19">
      <c r="B996" s="121"/>
      <c r="C996" s="490"/>
      <c r="D996" s="490" t="str">
        <f t="shared" si="45"/>
        <v/>
      </c>
      <c r="I996" s="125" t="s">
        <v>1335</v>
      </c>
      <c r="J996" s="125" t="s">
        <v>1845</v>
      </c>
      <c r="K996" s="182" t="s">
        <v>652</v>
      </c>
      <c r="L996" s="182">
        <v>0</v>
      </c>
      <c r="M996" s="182">
        <v>0</v>
      </c>
      <c r="N996" s="182">
        <v>0</v>
      </c>
      <c r="O996" s="182">
        <v>0</v>
      </c>
      <c r="P996" s="182">
        <v>0</v>
      </c>
      <c r="R996" s="155" t="str">
        <f t="shared" si="46"/>
        <v>A0617:スマートエコエナジー(株)メニューA</v>
      </c>
      <c r="S996" s="181">
        <f t="shared" si="47"/>
        <v>0</v>
      </c>
    </row>
    <row r="997" spans="2:19">
      <c r="B997" s="121"/>
      <c r="C997" s="490"/>
      <c r="D997" s="490" t="str">
        <f t="shared" si="45"/>
        <v/>
      </c>
      <c r="I997" s="125" t="s">
        <v>1335</v>
      </c>
      <c r="J997" s="125" t="s">
        <v>1845</v>
      </c>
      <c r="K997" s="182" t="s">
        <v>729</v>
      </c>
      <c r="L997" s="182">
        <v>0</v>
      </c>
      <c r="M997" s="182">
        <v>0</v>
      </c>
      <c r="N997" s="182">
        <v>0</v>
      </c>
      <c r="O997" s="182">
        <v>0</v>
      </c>
      <c r="P997" s="182">
        <v>0</v>
      </c>
      <c r="R997" s="155" t="str">
        <f t="shared" si="46"/>
        <v>A0617:スマートエコエナジー(株)メニューB</v>
      </c>
      <c r="S997" s="181">
        <f t="shared" si="47"/>
        <v>0</v>
      </c>
    </row>
    <row r="998" spans="2:19">
      <c r="B998" s="121"/>
      <c r="C998" s="490"/>
      <c r="D998" s="490" t="str">
        <f t="shared" si="45"/>
        <v/>
      </c>
      <c r="I998" s="125" t="s">
        <v>1335</v>
      </c>
      <c r="J998" s="125" t="s">
        <v>1845</v>
      </c>
      <c r="K998" s="182" t="s">
        <v>730</v>
      </c>
      <c r="L998" s="182">
        <v>3.7800000000000003E-4</v>
      </c>
      <c r="M998" s="182">
        <v>3.7800000000000003E-4</v>
      </c>
      <c r="N998" s="182">
        <v>3.7800000000000003E-4</v>
      </c>
      <c r="O998" s="182">
        <v>3.7800000000000003E-4</v>
      </c>
      <c r="P998" s="182">
        <v>3.7800000000000003E-4</v>
      </c>
      <c r="R998" s="155" t="str">
        <f t="shared" si="46"/>
        <v>A0617:スマートエコエナジー(株)メニューC</v>
      </c>
      <c r="S998" s="181">
        <f t="shared" si="47"/>
        <v>3.7800000000000003E-4</v>
      </c>
    </row>
    <row r="999" spans="2:19">
      <c r="B999" s="121"/>
      <c r="C999" s="490"/>
      <c r="D999" s="490" t="str">
        <f t="shared" si="45"/>
        <v/>
      </c>
      <c r="I999" s="125" t="s">
        <v>1335</v>
      </c>
      <c r="J999" s="125" t="s">
        <v>1845</v>
      </c>
      <c r="K999" s="182" t="s">
        <v>915</v>
      </c>
      <c r="L999" s="182">
        <v>3.8699999999999997E-4</v>
      </c>
      <c r="M999" s="182">
        <v>3.8699999999999997E-4</v>
      </c>
      <c r="N999" s="182">
        <v>3.8699999999999997E-4</v>
      </c>
      <c r="O999" s="182">
        <v>3.8699999999999997E-4</v>
      </c>
      <c r="P999" s="182">
        <v>3.8699999999999997E-4</v>
      </c>
      <c r="R999" s="155" t="str">
        <f t="shared" si="46"/>
        <v>A0617:スマートエコエナジー(株)メニューD</v>
      </c>
      <c r="S999" s="181">
        <f t="shared" si="47"/>
        <v>3.8699999999999997E-4</v>
      </c>
    </row>
    <row r="1000" spans="2:19">
      <c r="B1000" s="121"/>
      <c r="C1000" s="490"/>
      <c r="D1000" s="490" t="str">
        <f t="shared" si="45"/>
        <v/>
      </c>
      <c r="I1000" s="125" t="s">
        <v>1335</v>
      </c>
      <c r="J1000" s="125" t="s">
        <v>1845</v>
      </c>
      <c r="K1000" s="182" t="s">
        <v>916</v>
      </c>
      <c r="L1000" s="182">
        <v>3.8699999999999997E-4</v>
      </c>
      <c r="M1000" s="182">
        <v>3.8699999999999997E-4</v>
      </c>
      <c r="N1000" s="182">
        <v>3.8699999999999997E-4</v>
      </c>
      <c r="O1000" s="182">
        <v>3.8699999999999997E-4</v>
      </c>
      <c r="P1000" s="182">
        <v>3.8699999999999997E-4</v>
      </c>
      <c r="R1000" s="155" t="str">
        <f t="shared" si="46"/>
        <v>A0617:スマートエコエナジー(株)メニューE</v>
      </c>
      <c r="S1000" s="181">
        <f t="shared" si="47"/>
        <v>3.8699999999999997E-4</v>
      </c>
    </row>
    <row r="1001" spans="2:19">
      <c r="B1001" s="121"/>
      <c r="C1001" s="490"/>
      <c r="D1001" s="490" t="str">
        <f t="shared" si="45"/>
        <v/>
      </c>
      <c r="I1001" s="125" t="s">
        <v>1335</v>
      </c>
      <c r="J1001" s="125" t="s">
        <v>1845</v>
      </c>
      <c r="K1001" s="182" t="s">
        <v>1999</v>
      </c>
      <c r="L1001" s="182">
        <v>4.0299999999999998E-4</v>
      </c>
      <c r="M1001" s="182">
        <v>4.0299999999999998E-4</v>
      </c>
      <c r="N1001" s="182">
        <v>4.0299999999999998E-4</v>
      </c>
      <c r="O1001" s="182">
        <v>4.0299999999999998E-4</v>
      </c>
      <c r="P1001" s="182">
        <v>4.0299999999999998E-4</v>
      </c>
      <c r="R1001" s="155" t="str">
        <f t="shared" si="46"/>
        <v>A0617:スマートエコエナジー(株)メニューF</v>
      </c>
      <c r="S1001" s="181">
        <f t="shared" si="47"/>
        <v>4.0299999999999998E-4</v>
      </c>
    </row>
    <row r="1002" spans="2:19">
      <c r="B1002" s="121"/>
      <c r="C1002" s="490"/>
      <c r="D1002" s="490" t="str">
        <f t="shared" si="45"/>
        <v/>
      </c>
      <c r="I1002" s="125" t="s">
        <v>1335</v>
      </c>
      <c r="J1002" s="125" t="s">
        <v>1845</v>
      </c>
      <c r="K1002" s="182" t="s">
        <v>1998</v>
      </c>
      <c r="L1002" s="182">
        <v>3.5100000000000002E-4</v>
      </c>
      <c r="M1002" s="182">
        <v>3.5100000000000002E-4</v>
      </c>
      <c r="N1002" s="182">
        <v>3.5100000000000002E-4</v>
      </c>
      <c r="O1002" s="182">
        <v>3.5100000000000002E-4</v>
      </c>
      <c r="P1002" s="182">
        <v>3.5100000000000002E-4</v>
      </c>
      <c r="R1002" s="155" t="str">
        <f t="shared" si="46"/>
        <v>A0617:スマートエコエナジー(株)(参考値)事業者全体</v>
      </c>
      <c r="S1002" s="181">
        <f t="shared" si="47"/>
        <v>3.5100000000000002E-4</v>
      </c>
    </row>
    <row r="1003" spans="2:19">
      <c r="B1003" s="121"/>
      <c r="C1003" s="490"/>
      <c r="D1003" s="490" t="str">
        <f t="shared" si="45"/>
        <v/>
      </c>
      <c r="I1003" s="125" t="s">
        <v>1336</v>
      </c>
      <c r="J1003" s="125" t="s">
        <v>1846</v>
      </c>
      <c r="K1003" s="182"/>
      <c r="L1003" s="182">
        <v>6.29E-4</v>
      </c>
      <c r="M1003" s="182">
        <v>6.29E-4</v>
      </c>
      <c r="N1003" s="182">
        <v>6.29E-4</v>
      </c>
      <c r="O1003" s="182">
        <v>6.29E-4</v>
      </c>
      <c r="P1003" s="182">
        <v>6.29E-4</v>
      </c>
      <c r="R1003" s="155" t="str">
        <f t="shared" si="46"/>
        <v>A0620:(株)LENETS</v>
      </c>
      <c r="S1003" s="181">
        <f t="shared" si="47"/>
        <v>6.29E-4</v>
      </c>
    </row>
    <row r="1004" spans="2:19">
      <c r="B1004" s="121"/>
      <c r="C1004" s="490"/>
      <c r="D1004" s="490" t="str">
        <f t="shared" si="45"/>
        <v/>
      </c>
      <c r="I1004" s="125" t="s">
        <v>1337</v>
      </c>
      <c r="J1004" s="125" t="s">
        <v>1847</v>
      </c>
      <c r="K1004" s="182"/>
      <c r="L1004" s="182">
        <v>1.6100000000000001E-4</v>
      </c>
      <c r="M1004" s="182">
        <v>1.6100000000000001E-4</v>
      </c>
      <c r="N1004" s="182">
        <v>1.6100000000000001E-4</v>
      </c>
      <c r="O1004" s="182">
        <v>1.6100000000000001E-4</v>
      </c>
      <c r="P1004" s="182">
        <v>1.6100000000000001E-4</v>
      </c>
      <c r="R1004" s="155" t="str">
        <f t="shared" si="46"/>
        <v>A0622:アイエスジー(株)</v>
      </c>
      <c r="S1004" s="181">
        <f t="shared" si="47"/>
        <v>1.6100000000000001E-4</v>
      </c>
    </row>
    <row r="1005" spans="2:19">
      <c r="B1005" s="121"/>
      <c r="C1005" s="490"/>
      <c r="D1005" s="490" t="str">
        <f t="shared" si="45"/>
        <v/>
      </c>
      <c r="I1005" s="125" t="s">
        <v>1338</v>
      </c>
      <c r="J1005" s="125" t="s">
        <v>1848</v>
      </c>
      <c r="K1005" s="182" t="s">
        <v>652</v>
      </c>
      <c r="L1005" s="182">
        <v>0</v>
      </c>
      <c r="M1005" s="182">
        <v>0</v>
      </c>
      <c r="N1005" s="182">
        <v>0</v>
      </c>
      <c r="O1005" s="182">
        <v>0</v>
      </c>
      <c r="P1005" s="182">
        <v>0</v>
      </c>
      <c r="R1005" s="155" t="str">
        <f t="shared" si="46"/>
        <v>A0624:(株)エネクルメニューA</v>
      </c>
      <c r="S1005" s="181">
        <f t="shared" si="47"/>
        <v>0</v>
      </c>
    </row>
    <row r="1006" spans="2:19">
      <c r="B1006" s="121"/>
      <c r="C1006" s="490"/>
      <c r="D1006" s="490" t="str">
        <f t="shared" ref="D1006:D1069" si="48">IF(B1006="","",B1006&amp;":"&amp;C1006)</f>
        <v/>
      </c>
      <c r="I1006" s="125" t="s">
        <v>1338</v>
      </c>
      <c r="J1006" s="125" t="s">
        <v>1848</v>
      </c>
      <c r="K1006" s="182" t="s">
        <v>729</v>
      </c>
      <c r="L1006" s="182">
        <v>4.2000000000000002E-4</v>
      </c>
      <c r="M1006" s="182">
        <v>4.2000000000000002E-4</v>
      </c>
      <c r="N1006" s="182">
        <v>4.2000000000000002E-4</v>
      </c>
      <c r="O1006" s="182">
        <v>4.2000000000000002E-4</v>
      </c>
      <c r="P1006" s="182">
        <v>4.2000000000000002E-4</v>
      </c>
      <c r="R1006" s="155" t="str">
        <f t="shared" si="46"/>
        <v>A0624:(株)エネクルメニューB</v>
      </c>
      <c r="S1006" s="181">
        <f t="shared" si="47"/>
        <v>4.2000000000000002E-4</v>
      </c>
    </row>
    <row r="1007" spans="2:19">
      <c r="B1007" s="121"/>
      <c r="C1007" s="490"/>
      <c r="D1007" s="490" t="str">
        <f t="shared" si="48"/>
        <v/>
      </c>
      <c r="I1007" s="125" t="s">
        <v>1338</v>
      </c>
      <c r="J1007" s="125" t="s">
        <v>1848</v>
      </c>
      <c r="K1007" s="182" t="s">
        <v>1998</v>
      </c>
      <c r="L1007" s="182">
        <v>4.17E-4</v>
      </c>
      <c r="M1007" s="182">
        <v>4.17E-4</v>
      </c>
      <c r="N1007" s="182">
        <v>4.17E-4</v>
      </c>
      <c r="O1007" s="182">
        <v>4.17E-4</v>
      </c>
      <c r="P1007" s="182">
        <v>4.17E-4</v>
      </c>
      <c r="R1007" s="155" t="str">
        <f t="shared" si="46"/>
        <v>A0624:(株)エネクル(参考値)事業者全体</v>
      </c>
      <c r="S1007" s="181">
        <f t="shared" si="47"/>
        <v>4.17E-4</v>
      </c>
    </row>
    <row r="1008" spans="2:19">
      <c r="B1008" s="121"/>
      <c r="C1008" s="490"/>
      <c r="D1008" s="490" t="str">
        <f t="shared" si="48"/>
        <v/>
      </c>
      <c r="I1008" s="125" t="s">
        <v>1339</v>
      </c>
      <c r="J1008" s="125" t="s">
        <v>1849</v>
      </c>
      <c r="K1008" s="182"/>
      <c r="L1008" s="182">
        <v>8.0800000000000002E-4</v>
      </c>
      <c r="M1008" s="182">
        <v>8.0800000000000002E-4</v>
      </c>
      <c r="N1008" s="182">
        <v>8.0800000000000002E-4</v>
      </c>
      <c r="O1008" s="182">
        <v>8.0800000000000002E-4</v>
      </c>
      <c r="P1008" s="182">
        <v>8.0800000000000002E-4</v>
      </c>
      <c r="R1008" s="155" t="str">
        <f t="shared" si="46"/>
        <v>A0627:フィンテックラボ協同組合</v>
      </c>
      <c r="S1008" s="181">
        <f t="shared" si="47"/>
        <v>8.0800000000000002E-4</v>
      </c>
    </row>
    <row r="1009" spans="2:19">
      <c r="B1009" s="121"/>
      <c r="C1009" s="490"/>
      <c r="D1009" s="490" t="str">
        <f t="shared" si="48"/>
        <v/>
      </c>
      <c r="I1009" s="125" t="s">
        <v>1340</v>
      </c>
      <c r="J1009" s="125" t="s">
        <v>1850</v>
      </c>
      <c r="K1009" s="182"/>
      <c r="L1009" s="182">
        <v>5.9000000000000003E-4</v>
      </c>
      <c r="M1009" s="182">
        <v>5.9000000000000003E-4</v>
      </c>
      <c r="N1009" s="182">
        <v>5.9000000000000003E-4</v>
      </c>
      <c r="O1009" s="182">
        <v>5.9000000000000003E-4</v>
      </c>
      <c r="P1009" s="182">
        <v>5.9000000000000003E-4</v>
      </c>
      <c r="R1009" s="155" t="str">
        <f t="shared" si="46"/>
        <v>A0629:新電力新潟(株)</v>
      </c>
      <c r="S1009" s="181">
        <f t="shared" si="47"/>
        <v>5.9000000000000003E-4</v>
      </c>
    </row>
    <row r="1010" spans="2:19">
      <c r="B1010" s="121"/>
      <c r="C1010" s="490"/>
      <c r="D1010" s="490" t="str">
        <f t="shared" si="48"/>
        <v/>
      </c>
      <c r="I1010" s="125" t="s">
        <v>1341</v>
      </c>
      <c r="J1010" s="125" t="s">
        <v>1851</v>
      </c>
      <c r="K1010" s="182" t="s">
        <v>652</v>
      </c>
      <c r="L1010" s="182">
        <v>0</v>
      </c>
      <c r="M1010" s="182">
        <v>0</v>
      </c>
      <c r="N1010" s="182">
        <v>0</v>
      </c>
      <c r="O1010" s="182">
        <v>0</v>
      </c>
      <c r="P1010" s="182">
        <v>0</v>
      </c>
      <c r="R1010" s="155" t="str">
        <f t="shared" si="46"/>
        <v>A0630:(株)タケエイでんきメニューA</v>
      </c>
      <c r="S1010" s="181">
        <f t="shared" si="47"/>
        <v>0</v>
      </c>
    </row>
    <row r="1011" spans="2:19">
      <c r="B1011" s="121"/>
      <c r="C1011" s="490"/>
      <c r="D1011" s="490" t="str">
        <f t="shared" si="48"/>
        <v/>
      </c>
      <c r="I1011" s="125" t="s">
        <v>1341</v>
      </c>
      <c r="J1011" s="125" t="s">
        <v>1851</v>
      </c>
      <c r="K1011" s="182" t="s">
        <v>729</v>
      </c>
      <c r="L1011" s="182">
        <v>0</v>
      </c>
      <c r="M1011" s="182">
        <v>0</v>
      </c>
      <c r="N1011" s="182">
        <v>0</v>
      </c>
      <c r="O1011" s="182">
        <v>0</v>
      </c>
      <c r="P1011" s="182">
        <v>0</v>
      </c>
      <c r="R1011" s="155" t="str">
        <f t="shared" si="46"/>
        <v>A0630:(株)タケエイでんきメニューB</v>
      </c>
      <c r="S1011" s="181">
        <f t="shared" si="47"/>
        <v>0</v>
      </c>
    </row>
    <row r="1012" spans="2:19">
      <c r="B1012" s="121"/>
      <c r="C1012" s="490"/>
      <c r="D1012" s="490" t="str">
        <f t="shared" si="48"/>
        <v/>
      </c>
      <c r="I1012" s="125" t="s">
        <v>1341</v>
      </c>
      <c r="J1012" s="125" t="s">
        <v>1851</v>
      </c>
      <c r="K1012" s="182" t="s">
        <v>730</v>
      </c>
      <c r="L1012" s="182">
        <v>3.2000000000000003E-4</v>
      </c>
      <c r="M1012" s="182">
        <v>3.2000000000000003E-4</v>
      </c>
      <c r="N1012" s="182">
        <v>3.2000000000000003E-4</v>
      </c>
      <c r="O1012" s="182">
        <v>3.2000000000000003E-4</v>
      </c>
      <c r="P1012" s="182">
        <v>3.2000000000000003E-4</v>
      </c>
      <c r="R1012" s="155" t="str">
        <f t="shared" si="46"/>
        <v>A0630:(株)タケエイでんきメニューC</v>
      </c>
      <c r="S1012" s="181">
        <f t="shared" si="47"/>
        <v>3.2000000000000003E-4</v>
      </c>
    </row>
    <row r="1013" spans="2:19">
      <c r="B1013" s="121"/>
      <c r="C1013" s="490"/>
      <c r="D1013" s="490" t="str">
        <f t="shared" si="48"/>
        <v/>
      </c>
      <c r="I1013" s="125" t="s">
        <v>1341</v>
      </c>
      <c r="J1013" s="125" t="s">
        <v>1851</v>
      </c>
      <c r="K1013" s="182" t="s">
        <v>1998</v>
      </c>
      <c r="L1013" s="182">
        <v>6.6000000000000005E-5</v>
      </c>
      <c r="M1013" s="182">
        <v>6.6000000000000005E-5</v>
      </c>
      <c r="N1013" s="182">
        <v>6.6000000000000005E-5</v>
      </c>
      <c r="O1013" s="182">
        <v>6.6000000000000005E-5</v>
      </c>
      <c r="P1013" s="182">
        <v>6.6000000000000005E-5</v>
      </c>
      <c r="R1013" s="155" t="str">
        <f t="shared" si="46"/>
        <v>A0630:(株)タケエイでんき(参考値)事業者全体</v>
      </c>
      <c r="S1013" s="181">
        <f t="shared" si="47"/>
        <v>6.6000000000000005E-5</v>
      </c>
    </row>
    <row r="1014" spans="2:19">
      <c r="B1014" s="121"/>
      <c r="C1014" s="490"/>
      <c r="D1014" s="490" t="str">
        <f t="shared" si="48"/>
        <v/>
      </c>
      <c r="I1014" s="125" t="s">
        <v>1342</v>
      </c>
      <c r="J1014" s="125" t="s">
        <v>1852</v>
      </c>
      <c r="K1014" s="182" t="s">
        <v>652</v>
      </c>
      <c r="L1014" s="182">
        <v>3.8699999999999997E-4</v>
      </c>
      <c r="M1014" s="182">
        <v>3.8699999999999997E-4</v>
      </c>
      <c r="N1014" s="182">
        <v>3.8699999999999997E-4</v>
      </c>
      <c r="O1014" s="182">
        <v>3.8699999999999997E-4</v>
      </c>
      <c r="P1014" s="182">
        <v>3.8699999999999997E-4</v>
      </c>
      <c r="R1014" s="155" t="str">
        <f t="shared" si="46"/>
        <v>A0631:気仙沼グリーンエナジー(株)メニューA</v>
      </c>
      <c r="S1014" s="181">
        <f t="shared" si="47"/>
        <v>3.8699999999999997E-4</v>
      </c>
    </row>
    <row r="1015" spans="2:19">
      <c r="B1015" s="121"/>
      <c r="C1015" s="490"/>
      <c r="D1015" s="490" t="str">
        <f t="shared" si="48"/>
        <v/>
      </c>
      <c r="I1015" s="125" t="s">
        <v>1342</v>
      </c>
      <c r="J1015" s="125" t="s">
        <v>1852</v>
      </c>
      <c r="K1015" s="182" t="s">
        <v>729</v>
      </c>
      <c r="L1015" s="182">
        <v>4.0900000000000002E-4</v>
      </c>
      <c r="M1015" s="182">
        <v>4.0900000000000002E-4</v>
      </c>
      <c r="N1015" s="182">
        <v>4.0900000000000002E-4</v>
      </c>
      <c r="O1015" s="182">
        <v>4.0900000000000002E-4</v>
      </c>
      <c r="P1015" s="182">
        <v>4.0900000000000002E-4</v>
      </c>
      <c r="R1015" s="155" t="str">
        <f t="shared" si="46"/>
        <v>A0631:気仙沼グリーンエナジー(株)メニューB</v>
      </c>
      <c r="S1015" s="181">
        <f t="shared" si="47"/>
        <v>4.0900000000000002E-4</v>
      </c>
    </row>
    <row r="1016" spans="2:19">
      <c r="B1016" s="121"/>
      <c r="C1016" s="490"/>
      <c r="D1016" s="490" t="str">
        <f t="shared" si="48"/>
        <v/>
      </c>
      <c r="I1016" s="125" t="s">
        <v>1342</v>
      </c>
      <c r="J1016" s="125" t="s">
        <v>1852</v>
      </c>
      <c r="K1016" s="182" t="s">
        <v>1998</v>
      </c>
      <c r="L1016" s="182">
        <v>4.0299999999999998E-4</v>
      </c>
      <c r="M1016" s="182">
        <v>4.0299999999999998E-4</v>
      </c>
      <c r="N1016" s="182">
        <v>4.0299999999999998E-4</v>
      </c>
      <c r="O1016" s="182">
        <v>4.0299999999999998E-4</v>
      </c>
      <c r="P1016" s="182">
        <v>4.0299999999999998E-4</v>
      </c>
      <c r="R1016" s="155" t="str">
        <f t="shared" si="46"/>
        <v>A0631:気仙沼グリーンエナジー(株)(参考値)事業者全体</v>
      </c>
      <c r="S1016" s="181">
        <f t="shared" si="47"/>
        <v>4.0299999999999998E-4</v>
      </c>
    </row>
    <row r="1017" spans="2:19">
      <c r="B1017" s="121"/>
      <c r="C1017" s="490"/>
      <c r="D1017" s="490" t="str">
        <f t="shared" si="48"/>
        <v/>
      </c>
      <c r="I1017" s="125" t="s">
        <v>1343</v>
      </c>
      <c r="J1017" s="125" t="s">
        <v>1853</v>
      </c>
      <c r="K1017" s="182" t="s">
        <v>652</v>
      </c>
      <c r="L1017" s="182">
        <v>0</v>
      </c>
      <c r="M1017" s="182">
        <v>0</v>
      </c>
      <c r="N1017" s="182">
        <v>0</v>
      </c>
      <c r="O1017" s="182">
        <v>0</v>
      </c>
      <c r="P1017" s="182">
        <v>0</v>
      </c>
      <c r="R1017" s="155" t="str">
        <f t="shared" si="46"/>
        <v>A0632:(株)ユーラスグリーンエナジーメニューA</v>
      </c>
      <c r="S1017" s="181">
        <f t="shared" si="47"/>
        <v>0</v>
      </c>
    </row>
    <row r="1018" spans="2:19">
      <c r="B1018" s="121"/>
      <c r="C1018" s="490"/>
      <c r="D1018" s="490" t="str">
        <f t="shared" si="48"/>
        <v/>
      </c>
      <c r="I1018" s="125" t="s">
        <v>1343</v>
      </c>
      <c r="J1018" s="125" t="s">
        <v>1853</v>
      </c>
      <c r="K1018" s="182" t="s">
        <v>729</v>
      </c>
      <c r="L1018" s="182">
        <v>6.7500000000000004E-4</v>
      </c>
      <c r="M1018" s="182">
        <v>6.7500000000000004E-4</v>
      </c>
      <c r="N1018" s="182">
        <v>6.7500000000000004E-4</v>
      </c>
      <c r="O1018" s="182">
        <v>6.7500000000000004E-4</v>
      </c>
      <c r="P1018" s="182">
        <v>6.7500000000000004E-4</v>
      </c>
      <c r="R1018" s="155" t="str">
        <f t="shared" si="46"/>
        <v>A0632:(株)ユーラスグリーンエナジーメニューB</v>
      </c>
      <c r="S1018" s="181">
        <f t="shared" si="47"/>
        <v>6.7500000000000004E-4</v>
      </c>
    </row>
    <row r="1019" spans="2:19">
      <c r="B1019" s="121"/>
      <c r="C1019" s="490"/>
      <c r="D1019" s="490" t="str">
        <f t="shared" si="48"/>
        <v/>
      </c>
      <c r="I1019" s="125" t="s">
        <v>1343</v>
      </c>
      <c r="J1019" s="125" t="s">
        <v>1853</v>
      </c>
      <c r="K1019" s="182" t="s">
        <v>1998</v>
      </c>
      <c r="L1019" s="182">
        <v>3.1999999999999999E-5</v>
      </c>
      <c r="M1019" s="182">
        <v>3.1999999999999999E-5</v>
      </c>
      <c r="N1019" s="182">
        <v>3.1999999999999999E-5</v>
      </c>
      <c r="O1019" s="182">
        <v>3.1999999999999999E-5</v>
      </c>
      <c r="P1019" s="182">
        <v>3.1999999999999999E-5</v>
      </c>
      <c r="R1019" s="155" t="str">
        <f t="shared" si="46"/>
        <v>A0632:(株)ユーラスグリーンエナジー(参考値)事業者全体</v>
      </c>
      <c r="S1019" s="181">
        <f t="shared" si="47"/>
        <v>3.1999999999999999E-5</v>
      </c>
    </row>
    <row r="1020" spans="2:19">
      <c r="B1020" s="121"/>
      <c r="C1020" s="490"/>
      <c r="D1020" s="490" t="str">
        <f t="shared" si="48"/>
        <v/>
      </c>
      <c r="I1020" s="125" t="s">
        <v>1344</v>
      </c>
      <c r="J1020" s="125" t="s">
        <v>1854</v>
      </c>
      <c r="K1020" s="182"/>
      <c r="L1020" s="182">
        <v>4.1899999999999999E-4</v>
      </c>
      <c r="M1020" s="182">
        <v>4.1899999999999999E-4</v>
      </c>
      <c r="N1020" s="182">
        <v>4.1899999999999999E-4</v>
      </c>
      <c r="O1020" s="182">
        <v>4.1899999999999999E-4</v>
      </c>
      <c r="P1020" s="182">
        <v>4.1899999999999999E-4</v>
      </c>
      <c r="R1020" s="155" t="str">
        <f t="shared" si="46"/>
        <v>A0639:酒田天然瓦斯(株)</v>
      </c>
      <c r="S1020" s="181">
        <f t="shared" si="47"/>
        <v>4.1899999999999999E-4</v>
      </c>
    </row>
    <row r="1021" spans="2:19">
      <c r="B1021" s="121"/>
      <c r="C1021" s="490"/>
      <c r="D1021" s="490" t="str">
        <f t="shared" si="48"/>
        <v/>
      </c>
      <c r="I1021" s="125" t="s">
        <v>1345</v>
      </c>
      <c r="J1021" s="125" t="s">
        <v>1855</v>
      </c>
      <c r="K1021" s="182"/>
      <c r="L1021" s="182">
        <v>6.4400000000000004E-4</v>
      </c>
      <c r="M1021" s="182">
        <v>6.4400000000000004E-4</v>
      </c>
      <c r="N1021" s="182">
        <v>6.4400000000000004E-4</v>
      </c>
      <c r="O1021" s="182">
        <v>6.4400000000000004E-4</v>
      </c>
      <c r="P1021" s="182">
        <v>6.4400000000000004E-4</v>
      </c>
      <c r="R1021" s="155" t="str">
        <f t="shared" si="46"/>
        <v>A0640:東亜ガス(株)</v>
      </c>
      <c r="S1021" s="181">
        <f t="shared" si="47"/>
        <v>6.4400000000000004E-4</v>
      </c>
    </row>
    <row r="1022" spans="2:19">
      <c r="B1022" s="121"/>
      <c r="C1022" s="490"/>
      <c r="D1022" s="490" t="str">
        <f t="shared" si="48"/>
        <v/>
      </c>
      <c r="I1022" s="125" t="s">
        <v>1346</v>
      </c>
      <c r="J1022" s="125" t="s">
        <v>1856</v>
      </c>
      <c r="K1022" s="182" t="s">
        <v>652</v>
      </c>
      <c r="L1022" s="182">
        <v>0</v>
      </c>
      <c r="M1022" s="182">
        <v>0</v>
      </c>
      <c r="N1022" s="182">
        <v>0</v>
      </c>
      <c r="O1022" s="182">
        <v>0</v>
      </c>
      <c r="P1022" s="182">
        <v>0</v>
      </c>
      <c r="R1022" s="155" t="str">
        <f t="shared" si="46"/>
        <v>A0641:(株)三河の山里コミュニティパワーメニューA</v>
      </c>
      <c r="S1022" s="181">
        <f t="shared" si="47"/>
        <v>0</v>
      </c>
    </row>
    <row r="1023" spans="2:19">
      <c r="B1023" s="121"/>
      <c r="C1023" s="490"/>
      <c r="D1023" s="490" t="str">
        <f t="shared" si="48"/>
        <v/>
      </c>
      <c r="I1023" s="125" t="s">
        <v>1346</v>
      </c>
      <c r="J1023" s="125" t="s">
        <v>1856</v>
      </c>
      <c r="K1023" s="182" t="s">
        <v>729</v>
      </c>
      <c r="L1023" s="182">
        <v>4.2200000000000001E-4</v>
      </c>
      <c r="M1023" s="182">
        <v>4.2200000000000001E-4</v>
      </c>
      <c r="N1023" s="182">
        <v>4.2200000000000001E-4</v>
      </c>
      <c r="O1023" s="182">
        <v>4.2200000000000001E-4</v>
      </c>
      <c r="P1023" s="182">
        <v>4.2200000000000001E-4</v>
      </c>
      <c r="R1023" s="155" t="str">
        <f t="shared" si="46"/>
        <v>A0641:(株)三河の山里コミュニティパワーメニューB</v>
      </c>
      <c r="S1023" s="181">
        <f t="shared" si="47"/>
        <v>4.2200000000000001E-4</v>
      </c>
    </row>
    <row r="1024" spans="2:19">
      <c r="B1024" s="121"/>
      <c r="C1024" s="490"/>
      <c r="D1024" s="490" t="str">
        <f t="shared" si="48"/>
        <v/>
      </c>
      <c r="I1024" s="125" t="s">
        <v>1346</v>
      </c>
      <c r="J1024" s="125" t="s">
        <v>1856</v>
      </c>
      <c r="K1024" s="182" t="s">
        <v>1998</v>
      </c>
      <c r="L1024" s="182">
        <v>7.7999999999999999E-5</v>
      </c>
      <c r="M1024" s="182">
        <v>7.7999999999999999E-5</v>
      </c>
      <c r="N1024" s="182">
        <v>7.7999999999999999E-5</v>
      </c>
      <c r="O1024" s="182">
        <v>7.7999999999999999E-5</v>
      </c>
      <c r="P1024" s="182">
        <v>7.7999999999999999E-5</v>
      </c>
      <c r="R1024" s="155" t="str">
        <f t="shared" si="46"/>
        <v>A0641:(株)三河の山里コミュニティパワー(参考値)事業者全体</v>
      </c>
      <c r="S1024" s="181">
        <f t="shared" si="47"/>
        <v>7.7999999999999999E-5</v>
      </c>
    </row>
    <row r="1025" spans="2:19">
      <c r="B1025" s="121"/>
      <c r="C1025" s="490"/>
      <c r="D1025" s="490" t="str">
        <f t="shared" si="48"/>
        <v/>
      </c>
      <c r="I1025" s="125" t="s">
        <v>1347</v>
      </c>
      <c r="J1025" s="125" t="s">
        <v>1857</v>
      </c>
      <c r="K1025" s="182" t="s">
        <v>652</v>
      </c>
      <c r="L1025" s="182">
        <v>0</v>
      </c>
      <c r="M1025" s="182">
        <v>0</v>
      </c>
      <c r="N1025" s="182">
        <v>0</v>
      </c>
      <c r="O1025" s="182">
        <v>0</v>
      </c>
      <c r="P1025" s="182">
        <v>0</v>
      </c>
      <c r="R1025" s="155" t="str">
        <f t="shared" si="46"/>
        <v>A0642:新潟スワンエナジー(株)メニューA</v>
      </c>
      <c r="S1025" s="181">
        <f t="shared" si="47"/>
        <v>0</v>
      </c>
    </row>
    <row r="1026" spans="2:19">
      <c r="B1026" s="121"/>
      <c r="C1026" s="490"/>
      <c r="D1026" s="490" t="str">
        <f t="shared" si="48"/>
        <v/>
      </c>
      <c r="I1026" s="125" t="s">
        <v>1347</v>
      </c>
      <c r="J1026" s="125" t="s">
        <v>1857</v>
      </c>
      <c r="K1026" s="182" t="s">
        <v>729</v>
      </c>
      <c r="L1026" s="182">
        <v>2.6600000000000001E-4</v>
      </c>
      <c r="M1026" s="182">
        <v>2.6600000000000001E-4</v>
      </c>
      <c r="N1026" s="182">
        <v>2.6600000000000001E-4</v>
      </c>
      <c r="O1026" s="182">
        <v>2.6600000000000001E-4</v>
      </c>
      <c r="P1026" s="182">
        <v>2.6600000000000001E-4</v>
      </c>
      <c r="R1026" s="155" t="str">
        <f t="shared" si="46"/>
        <v>A0642:新潟スワンエナジー(株)メニューB</v>
      </c>
      <c r="S1026" s="181">
        <f t="shared" si="47"/>
        <v>2.6600000000000001E-4</v>
      </c>
    </row>
    <row r="1027" spans="2:19">
      <c r="B1027" s="121"/>
      <c r="C1027" s="490"/>
      <c r="D1027" s="490" t="str">
        <f t="shared" si="48"/>
        <v/>
      </c>
      <c r="I1027" s="125" t="s">
        <v>1347</v>
      </c>
      <c r="J1027" s="125" t="s">
        <v>1857</v>
      </c>
      <c r="K1027" s="182" t="s">
        <v>730</v>
      </c>
      <c r="L1027" s="182">
        <v>1.3799999999999999E-4</v>
      </c>
      <c r="M1027" s="182">
        <v>1.3799999999999999E-4</v>
      </c>
      <c r="N1027" s="182">
        <v>1.3799999999999999E-4</v>
      </c>
      <c r="O1027" s="182">
        <v>1.3799999999999999E-4</v>
      </c>
      <c r="P1027" s="182">
        <v>1.3799999999999999E-4</v>
      </c>
      <c r="R1027" s="155" t="str">
        <f t="shared" si="46"/>
        <v>A0642:新潟スワンエナジー(株)メニューC</v>
      </c>
      <c r="S1027" s="181">
        <f t="shared" si="47"/>
        <v>1.3799999999999999E-4</v>
      </c>
    </row>
    <row r="1028" spans="2:19">
      <c r="B1028" s="121"/>
      <c r="C1028" s="490"/>
      <c r="D1028" s="490" t="str">
        <f t="shared" si="48"/>
        <v/>
      </c>
      <c r="I1028" s="125" t="s">
        <v>1347</v>
      </c>
      <c r="J1028" s="125" t="s">
        <v>1857</v>
      </c>
      <c r="K1028" s="182" t="s">
        <v>915</v>
      </c>
      <c r="L1028" s="182">
        <v>2.8800000000000001E-4</v>
      </c>
      <c r="M1028" s="182">
        <v>2.8800000000000001E-4</v>
      </c>
      <c r="N1028" s="182">
        <v>2.8800000000000001E-4</v>
      </c>
      <c r="O1028" s="182">
        <v>2.8800000000000001E-4</v>
      </c>
      <c r="P1028" s="182">
        <v>2.8800000000000001E-4</v>
      </c>
      <c r="R1028" s="155" t="str">
        <f t="shared" si="46"/>
        <v>A0642:新潟スワンエナジー(株)メニューD</v>
      </c>
      <c r="S1028" s="181">
        <f t="shared" si="47"/>
        <v>2.8800000000000001E-4</v>
      </c>
    </row>
    <row r="1029" spans="2:19">
      <c r="B1029" s="121"/>
      <c r="C1029" s="490"/>
      <c r="D1029" s="490" t="str">
        <f t="shared" si="48"/>
        <v/>
      </c>
      <c r="I1029" s="125" t="s">
        <v>1347</v>
      </c>
      <c r="J1029" s="125" t="s">
        <v>1857</v>
      </c>
      <c r="K1029" s="182" t="s">
        <v>1998</v>
      </c>
      <c r="L1029" s="182">
        <v>2.0000000000000001E-4</v>
      </c>
      <c r="M1029" s="182">
        <v>2.0000000000000001E-4</v>
      </c>
      <c r="N1029" s="182">
        <v>2.0000000000000001E-4</v>
      </c>
      <c r="O1029" s="182">
        <v>2.0000000000000001E-4</v>
      </c>
      <c r="P1029" s="182">
        <v>2.0000000000000001E-4</v>
      </c>
      <c r="R1029" s="155" t="str">
        <f t="shared" si="46"/>
        <v>A0642:新潟スワンエナジー(株)(参考値)事業者全体</v>
      </c>
      <c r="S1029" s="181">
        <f t="shared" si="47"/>
        <v>2.0000000000000001E-4</v>
      </c>
    </row>
    <row r="1030" spans="2:19">
      <c r="B1030" s="121"/>
      <c r="C1030" s="490"/>
      <c r="D1030" s="490" t="str">
        <f t="shared" si="48"/>
        <v/>
      </c>
      <c r="I1030" s="125" t="s">
        <v>1348</v>
      </c>
      <c r="J1030" s="125" t="s">
        <v>1858</v>
      </c>
      <c r="K1030" s="182"/>
      <c r="L1030" s="182">
        <v>2.4600000000000002E-4</v>
      </c>
      <c r="M1030" s="182">
        <v>2.4600000000000002E-4</v>
      </c>
      <c r="N1030" s="182">
        <v>2.4600000000000002E-4</v>
      </c>
      <c r="O1030" s="182">
        <v>2.4600000000000002E-4</v>
      </c>
      <c r="P1030" s="182">
        <v>2.4600000000000002E-4</v>
      </c>
      <c r="R1030" s="155" t="str">
        <f t="shared" si="46"/>
        <v>A0644:グリーンピープルズパワー(株)</v>
      </c>
      <c r="S1030" s="181">
        <f t="shared" si="47"/>
        <v>2.4600000000000002E-4</v>
      </c>
    </row>
    <row r="1031" spans="2:19">
      <c r="B1031" s="121"/>
      <c r="C1031" s="490"/>
      <c r="D1031" s="490" t="str">
        <f t="shared" si="48"/>
        <v/>
      </c>
      <c r="I1031" s="125" t="s">
        <v>1349</v>
      </c>
      <c r="J1031" s="125" t="s">
        <v>1859</v>
      </c>
      <c r="K1031" s="182"/>
      <c r="L1031" s="182">
        <v>2.05E-4</v>
      </c>
      <c r="M1031" s="182">
        <v>2.05E-4</v>
      </c>
      <c r="N1031" s="182">
        <v>2.05E-4</v>
      </c>
      <c r="O1031" s="182">
        <v>2.05E-4</v>
      </c>
      <c r="P1031" s="182">
        <v>2.05E-4</v>
      </c>
      <c r="R1031" s="155" t="str">
        <f t="shared" si="46"/>
        <v>A0648:(株)マルイファシリティーズ</v>
      </c>
      <c r="S1031" s="181">
        <f t="shared" si="47"/>
        <v>2.05E-4</v>
      </c>
    </row>
    <row r="1032" spans="2:19">
      <c r="B1032" s="121"/>
      <c r="C1032" s="490"/>
      <c r="D1032" s="490" t="str">
        <f t="shared" si="48"/>
        <v/>
      </c>
      <c r="I1032" s="125" t="s">
        <v>1350</v>
      </c>
      <c r="J1032" s="125" t="s">
        <v>1860</v>
      </c>
      <c r="K1032" s="182"/>
      <c r="L1032" s="182">
        <v>4.6099999999999998E-4</v>
      </c>
      <c r="M1032" s="182">
        <v>4.6099999999999998E-4</v>
      </c>
      <c r="N1032" s="182">
        <v>4.6099999999999998E-4</v>
      </c>
      <c r="O1032" s="182">
        <v>4.6099999999999998E-4</v>
      </c>
      <c r="P1032" s="182">
        <v>4.6099999999999998E-4</v>
      </c>
      <c r="R1032" s="155" t="str">
        <f t="shared" si="46"/>
        <v>A0649:(株)デンケン</v>
      </c>
      <c r="S1032" s="181">
        <f t="shared" si="47"/>
        <v>4.6099999999999998E-4</v>
      </c>
    </row>
    <row r="1033" spans="2:19">
      <c r="B1033" s="121"/>
      <c r="C1033" s="490"/>
      <c r="D1033" s="490" t="str">
        <f t="shared" si="48"/>
        <v/>
      </c>
      <c r="I1033" s="125" t="s">
        <v>1351</v>
      </c>
      <c r="J1033" s="125" t="s">
        <v>1861</v>
      </c>
      <c r="K1033" s="182" t="s">
        <v>652</v>
      </c>
      <c r="L1033" s="182">
        <v>0</v>
      </c>
      <c r="M1033" s="182">
        <v>0</v>
      </c>
      <c r="N1033" s="182">
        <v>0</v>
      </c>
      <c r="O1033" s="182">
        <v>0</v>
      </c>
      <c r="P1033" s="182">
        <v>0</v>
      </c>
      <c r="R1033" s="155" t="str">
        <f t="shared" si="46"/>
        <v>A0650:(株)東名メニューA</v>
      </c>
      <c r="S1033" s="181">
        <f t="shared" si="47"/>
        <v>0</v>
      </c>
    </row>
    <row r="1034" spans="2:19">
      <c r="B1034" s="121"/>
      <c r="C1034" s="490"/>
      <c r="D1034" s="490" t="str">
        <f t="shared" si="48"/>
        <v/>
      </c>
      <c r="I1034" s="125" t="s">
        <v>1351</v>
      </c>
      <c r="J1034" s="125" t="s">
        <v>1861</v>
      </c>
      <c r="K1034" s="182" t="s">
        <v>729</v>
      </c>
      <c r="L1034" s="182">
        <v>9.1E-4</v>
      </c>
      <c r="M1034" s="182">
        <v>9.1E-4</v>
      </c>
      <c r="N1034" s="182">
        <v>9.1E-4</v>
      </c>
      <c r="O1034" s="182">
        <v>9.1E-4</v>
      </c>
      <c r="P1034" s="182">
        <v>9.1E-4</v>
      </c>
      <c r="R1034" s="155" t="str">
        <f t="shared" ref="R1034:R1092" si="49">I1034&amp;":"&amp;J1034&amp;K1034</f>
        <v>A0650:(株)東名メニューB</v>
      </c>
      <c r="S1034" s="181">
        <f t="shared" ref="S1034:S1097" si="50">HLOOKUP($S$8,$L$8:$P$2000,ROW()-7,FALSE)</f>
        <v>9.1E-4</v>
      </c>
    </row>
    <row r="1035" spans="2:19">
      <c r="B1035" s="121"/>
      <c r="C1035" s="490"/>
      <c r="D1035" s="490" t="str">
        <f t="shared" si="48"/>
        <v/>
      </c>
      <c r="I1035" s="125" t="s">
        <v>1351</v>
      </c>
      <c r="J1035" s="125" t="s">
        <v>1861</v>
      </c>
      <c r="K1035" s="182" t="s">
        <v>1998</v>
      </c>
      <c r="L1035" s="182">
        <v>3.7100000000000002E-4</v>
      </c>
      <c r="M1035" s="182">
        <v>3.7100000000000002E-4</v>
      </c>
      <c r="N1035" s="182">
        <v>3.7100000000000002E-4</v>
      </c>
      <c r="O1035" s="182">
        <v>3.7100000000000002E-4</v>
      </c>
      <c r="P1035" s="182">
        <v>3.7100000000000002E-4</v>
      </c>
      <c r="R1035" s="155" t="str">
        <f t="shared" si="49"/>
        <v>A0650:(株)東名(参考値)事業者全体</v>
      </c>
      <c r="S1035" s="181">
        <f t="shared" si="50"/>
        <v>3.7100000000000002E-4</v>
      </c>
    </row>
    <row r="1036" spans="2:19">
      <c r="B1036" s="121"/>
      <c r="C1036" s="490"/>
      <c r="D1036" s="490" t="str">
        <f t="shared" si="48"/>
        <v/>
      </c>
      <c r="I1036" s="125" t="s">
        <v>1352</v>
      </c>
      <c r="J1036" s="125" t="s">
        <v>1862</v>
      </c>
      <c r="K1036" s="182" t="s">
        <v>652</v>
      </c>
      <c r="L1036" s="182">
        <v>0</v>
      </c>
      <c r="M1036" s="182">
        <v>0</v>
      </c>
      <c r="N1036" s="182">
        <v>0</v>
      </c>
      <c r="O1036" s="182">
        <v>0</v>
      </c>
      <c r="P1036" s="182">
        <v>0</v>
      </c>
      <c r="R1036" s="155" t="str">
        <f t="shared" si="49"/>
        <v>A0653:NTTアノードエナジー(株)メニューA</v>
      </c>
      <c r="S1036" s="181">
        <f t="shared" si="50"/>
        <v>0</v>
      </c>
    </row>
    <row r="1037" spans="2:19">
      <c r="B1037" s="121"/>
      <c r="C1037" s="490"/>
      <c r="D1037" s="490" t="str">
        <f t="shared" si="48"/>
        <v/>
      </c>
      <c r="I1037" s="125" t="s">
        <v>1352</v>
      </c>
      <c r="J1037" s="125" t="s">
        <v>1862</v>
      </c>
      <c r="K1037" s="182" t="s">
        <v>729</v>
      </c>
      <c r="L1037" s="182">
        <v>9.19E-4</v>
      </c>
      <c r="M1037" s="182">
        <v>9.19E-4</v>
      </c>
      <c r="N1037" s="182">
        <v>9.19E-4</v>
      </c>
      <c r="O1037" s="182">
        <v>9.19E-4</v>
      </c>
      <c r="P1037" s="182">
        <v>9.19E-4</v>
      </c>
      <c r="R1037" s="155" t="str">
        <f t="shared" si="49"/>
        <v>A0653:NTTアノードエナジー(株)メニューB</v>
      </c>
      <c r="S1037" s="181">
        <f t="shared" si="50"/>
        <v>9.19E-4</v>
      </c>
    </row>
    <row r="1038" spans="2:19">
      <c r="B1038" s="121"/>
      <c r="C1038" s="490"/>
      <c r="D1038" s="490" t="str">
        <f t="shared" si="48"/>
        <v/>
      </c>
      <c r="I1038" s="125" t="s">
        <v>1352</v>
      </c>
      <c r="J1038" s="125" t="s">
        <v>1862</v>
      </c>
      <c r="K1038" s="182" t="s">
        <v>1998</v>
      </c>
      <c r="L1038" s="182">
        <v>2.2800000000000001E-4</v>
      </c>
      <c r="M1038" s="182">
        <v>2.2800000000000001E-4</v>
      </c>
      <c r="N1038" s="182">
        <v>2.2800000000000001E-4</v>
      </c>
      <c r="O1038" s="182">
        <v>2.2800000000000001E-4</v>
      </c>
      <c r="P1038" s="182">
        <v>2.2800000000000001E-4</v>
      </c>
      <c r="R1038" s="155" t="str">
        <f t="shared" si="49"/>
        <v>A0653:NTTアノードエナジー(株)(参考値)事業者全体</v>
      </c>
      <c r="S1038" s="181">
        <f t="shared" si="50"/>
        <v>2.2800000000000001E-4</v>
      </c>
    </row>
    <row r="1039" spans="2:19">
      <c r="B1039" s="121"/>
      <c r="C1039" s="490"/>
      <c r="D1039" s="490" t="str">
        <f t="shared" si="48"/>
        <v/>
      </c>
      <c r="I1039" s="125" t="s">
        <v>1353</v>
      </c>
      <c r="J1039" s="125" t="s">
        <v>1863</v>
      </c>
      <c r="K1039" s="182"/>
      <c r="L1039" s="182">
        <v>8.4599999999999996E-4</v>
      </c>
      <c r="M1039" s="182">
        <v>8.4599999999999996E-4</v>
      </c>
      <c r="N1039" s="182">
        <v>8.4599999999999996E-4</v>
      </c>
      <c r="O1039" s="182">
        <v>8.4599999999999996E-4</v>
      </c>
      <c r="P1039" s="182">
        <v>8.4599999999999996E-4</v>
      </c>
      <c r="R1039" s="155" t="str">
        <f t="shared" si="49"/>
        <v>A0654:スマート電気(株)</v>
      </c>
      <c r="S1039" s="181">
        <f t="shared" si="50"/>
        <v>8.4599999999999996E-4</v>
      </c>
    </row>
    <row r="1040" spans="2:19">
      <c r="B1040" s="121"/>
      <c r="C1040" s="490"/>
      <c r="D1040" s="490" t="str">
        <f t="shared" si="48"/>
        <v/>
      </c>
      <c r="I1040" s="125" t="s">
        <v>1354</v>
      </c>
      <c r="J1040" s="125" t="s">
        <v>1864</v>
      </c>
      <c r="K1040" s="182"/>
      <c r="L1040" s="182">
        <v>5.2800000000000004E-4</v>
      </c>
      <c r="M1040" s="182">
        <v>5.2800000000000004E-4</v>
      </c>
      <c r="N1040" s="182">
        <v>5.2800000000000004E-4</v>
      </c>
      <c r="O1040" s="182">
        <v>5.2800000000000004E-4</v>
      </c>
      <c r="P1040" s="182">
        <v>5.2800000000000004E-4</v>
      </c>
      <c r="R1040" s="155" t="str">
        <f t="shared" si="49"/>
        <v>A0655:(株)唐津パワーホールディングス</v>
      </c>
      <c r="S1040" s="181">
        <f t="shared" si="50"/>
        <v>5.2800000000000004E-4</v>
      </c>
    </row>
    <row r="1041" spans="2:19">
      <c r="B1041" s="121"/>
      <c r="C1041" s="490"/>
      <c r="D1041" s="490" t="str">
        <f t="shared" si="48"/>
        <v/>
      </c>
      <c r="I1041" s="125" t="s">
        <v>1355</v>
      </c>
      <c r="J1041" s="125" t="s">
        <v>1865</v>
      </c>
      <c r="K1041" s="182" t="s">
        <v>652</v>
      </c>
      <c r="L1041" s="182">
        <v>0</v>
      </c>
      <c r="M1041" s="182">
        <v>0</v>
      </c>
      <c r="N1041" s="182">
        <v>0</v>
      </c>
      <c r="O1041" s="182">
        <v>0</v>
      </c>
      <c r="P1041" s="182">
        <v>0</v>
      </c>
      <c r="R1041" s="155" t="str">
        <f t="shared" si="49"/>
        <v>A0656:(株)クリーンエネルギー総合研究所メニューA</v>
      </c>
      <c r="S1041" s="181">
        <f t="shared" si="50"/>
        <v>0</v>
      </c>
    </row>
    <row r="1042" spans="2:19">
      <c r="B1042" s="121"/>
      <c r="C1042" s="490"/>
      <c r="D1042" s="490" t="str">
        <f t="shared" si="48"/>
        <v/>
      </c>
      <c r="I1042" s="125" t="s">
        <v>1355</v>
      </c>
      <c r="J1042" s="125" t="s">
        <v>1865</v>
      </c>
      <c r="K1042" s="182" t="s">
        <v>729</v>
      </c>
      <c r="L1042" s="182">
        <v>3.4000000000000002E-4</v>
      </c>
      <c r="M1042" s="182">
        <v>3.4000000000000002E-4</v>
      </c>
      <c r="N1042" s="182">
        <v>3.4000000000000002E-4</v>
      </c>
      <c r="O1042" s="182">
        <v>3.4000000000000002E-4</v>
      </c>
      <c r="P1042" s="182">
        <v>3.4000000000000002E-4</v>
      </c>
      <c r="R1042" s="155" t="str">
        <f t="shared" si="49"/>
        <v>A0656:(株)クリーンエネルギー総合研究所メニューB</v>
      </c>
      <c r="S1042" s="181">
        <f t="shared" si="50"/>
        <v>3.4000000000000002E-4</v>
      </c>
    </row>
    <row r="1043" spans="2:19">
      <c r="B1043" s="121"/>
      <c r="C1043" s="490"/>
      <c r="D1043" s="490" t="str">
        <f t="shared" si="48"/>
        <v/>
      </c>
      <c r="I1043" s="125" t="s">
        <v>1355</v>
      </c>
      <c r="J1043" s="125" t="s">
        <v>1865</v>
      </c>
      <c r="K1043" s="182" t="s">
        <v>730</v>
      </c>
      <c r="L1043" s="182">
        <v>2.9599999999999998E-4</v>
      </c>
      <c r="M1043" s="182">
        <v>2.9599999999999998E-4</v>
      </c>
      <c r="N1043" s="182">
        <v>2.9599999999999998E-4</v>
      </c>
      <c r="O1043" s="182">
        <v>2.9599999999999998E-4</v>
      </c>
      <c r="P1043" s="182">
        <v>2.9599999999999998E-4</v>
      </c>
      <c r="R1043" s="155" t="str">
        <f t="shared" si="49"/>
        <v>A0656:(株)クリーンエネルギー総合研究所メニューC</v>
      </c>
      <c r="S1043" s="181">
        <f t="shared" si="50"/>
        <v>2.9599999999999998E-4</v>
      </c>
    </row>
    <row r="1044" spans="2:19">
      <c r="B1044" s="121"/>
      <c r="C1044" s="490"/>
      <c r="D1044" s="490" t="str">
        <f t="shared" si="48"/>
        <v/>
      </c>
      <c r="I1044" s="125" t="s">
        <v>1355</v>
      </c>
      <c r="J1044" s="125" t="s">
        <v>1865</v>
      </c>
      <c r="K1044" s="182" t="s">
        <v>915</v>
      </c>
      <c r="L1044" s="182">
        <v>4.2400000000000001E-4</v>
      </c>
      <c r="M1044" s="182">
        <v>4.2400000000000001E-4</v>
      </c>
      <c r="N1044" s="182">
        <v>4.2400000000000001E-4</v>
      </c>
      <c r="O1044" s="182">
        <v>4.2400000000000001E-4</v>
      </c>
      <c r="P1044" s="182">
        <v>4.2400000000000001E-4</v>
      </c>
      <c r="R1044" s="155" t="str">
        <f t="shared" si="49"/>
        <v>A0656:(株)クリーンエネルギー総合研究所メニューD</v>
      </c>
      <c r="S1044" s="181">
        <f t="shared" si="50"/>
        <v>4.2400000000000001E-4</v>
      </c>
    </row>
    <row r="1045" spans="2:19">
      <c r="B1045" s="121"/>
      <c r="C1045" s="490"/>
      <c r="D1045" s="490" t="str">
        <f t="shared" si="48"/>
        <v/>
      </c>
      <c r="I1045" s="125" t="s">
        <v>1355</v>
      </c>
      <c r="J1045" s="125" t="s">
        <v>1865</v>
      </c>
      <c r="K1045" s="182" t="s">
        <v>1998</v>
      </c>
      <c r="L1045" s="182">
        <v>3.1E-4</v>
      </c>
      <c r="M1045" s="182">
        <v>3.1E-4</v>
      </c>
      <c r="N1045" s="182">
        <v>3.1E-4</v>
      </c>
      <c r="O1045" s="182">
        <v>3.1E-4</v>
      </c>
      <c r="P1045" s="182">
        <v>3.1E-4</v>
      </c>
      <c r="R1045" s="155" t="str">
        <f t="shared" si="49"/>
        <v>A0656:(株)クリーンエネルギー総合研究所(参考値)事業者全体</v>
      </c>
      <c r="S1045" s="181">
        <f t="shared" si="50"/>
        <v>3.1E-4</v>
      </c>
    </row>
    <row r="1046" spans="2:19">
      <c r="B1046" s="121"/>
      <c r="C1046" s="490"/>
      <c r="D1046" s="490" t="str">
        <f t="shared" si="48"/>
        <v/>
      </c>
      <c r="I1046" s="125" t="s">
        <v>1356</v>
      </c>
      <c r="J1046" s="125" t="s">
        <v>1866</v>
      </c>
      <c r="K1046" s="182"/>
      <c r="L1046" s="182">
        <v>1.9900000000000001E-4</v>
      </c>
      <c r="M1046" s="182">
        <v>1.9900000000000001E-4</v>
      </c>
      <c r="N1046" s="182">
        <v>1.9900000000000001E-4</v>
      </c>
      <c r="O1046" s="182">
        <v>1.9900000000000001E-4</v>
      </c>
      <c r="P1046" s="182">
        <v>1.9900000000000001E-4</v>
      </c>
      <c r="R1046" s="155" t="str">
        <f t="shared" si="49"/>
        <v>A0659:(株)かづのパワー</v>
      </c>
      <c r="S1046" s="181">
        <f t="shared" si="50"/>
        <v>1.9900000000000001E-4</v>
      </c>
    </row>
    <row r="1047" spans="2:19">
      <c r="B1047" s="121"/>
      <c r="C1047" s="490"/>
      <c r="D1047" s="490" t="str">
        <f t="shared" si="48"/>
        <v/>
      </c>
      <c r="I1047" s="125" t="s">
        <v>1357</v>
      </c>
      <c r="J1047" s="125" t="s">
        <v>1867</v>
      </c>
      <c r="K1047" s="182" t="s">
        <v>652</v>
      </c>
      <c r="L1047" s="182">
        <v>0</v>
      </c>
      <c r="M1047" s="182">
        <v>0</v>
      </c>
      <c r="N1047" s="182">
        <v>0</v>
      </c>
      <c r="O1047" s="182">
        <v>0</v>
      </c>
      <c r="P1047" s="182">
        <v>0</v>
      </c>
      <c r="R1047" s="155" t="str">
        <f t="shared" si="49"/>
        <v>A0660:UNIVERGY(株)メニューA</v>
      </c>
      <c r="S1047" s="181">
        <f t="shared" si="50"/>
        <v>0</v>
      </c>
    </row>
    <row r="1048" spans="2:19">
      <c r="B1048" s="121"/>
      <c r="C1048" s="490"/>
      <c r="D1048" s="490" t="str">
        <f t="shared" si="48"/>
        <v/>
      </c>
      <c r="I1048" s="125" t="s">
        <v>1357</v>
      </c>
      <c r="J1048" s="125" t="s">
        <v>1867</v>
      </c>
      <c r="K1048" s="182" t="s">
        <v>729</v>
      </c>
      <c r="L1048" s="182">
        <v>5.8399999999999999E-4</v>
      </c>
      <c r="M1048" s="182">
        <v>5.8399999999999999E-4</v>
      </c>
      <c r="N1048" s="182">
        <v>5.8399999999999999E-4</v>
      </c>
      <c r="O1048" s="182">
        <v>5.8399999999999999E-4</v>
      </c>
      <c r="P1048" s="182">
        <v>5.8399999999999999E-4</v>
      </c>
      <c r="R1048" s="155" t="str">
        <f t="shared" si="49"/>
        <v>A0660:UNIVERGY(株)メニューB</v>
      </c>
      <c r="S1048" s="181">
        <f t="shared" si="50"/>
        <v>5.8399999999999999E-4</v>
      </c>
    </row>
    <row r="1049" spans="2:19">
      <c r="B1049" s="121"/>
      <c r="C1049" s="490"/>
      <c r="D1049" s="490" t="str">
        <f t="shared" si="48"/>
        <v/>
      </c>
      <c r="I1049" s="125" t="s">
        <v>1357</v>
      </c>
      <c r="J1049" s="125" t="s">
        <v>1867</v>
      </c>
      <c r="K1049" s="182" t="s">
        <v>1998</v>
      </c>
      <c r="L1049" s="182">
        <v>5.8299999999999997E-4</v>
      </c>
      <c r="M1049" s="182">
        <v>5.8299999999999997E-4</v>
      </c>
      <c r="N1049" s="182">
        <v>5.8299999999999997E-4</v>
      </c>
      <c r="O1049" s="182">
        <v>5.8299999999999997E-4</v>
      </c>
      <c r="P1049" s="182">
        <v>5.8299999999999997E-4</v>
      </c>
      <c r="R1049" s="155" t="str">
        <f t="shared" si="49"/>
        <v>A0660:UNIVERGY(株)(参考値)事業者全体</v>
      </c>
      <c r="S1049" s="181">
        <f t="shared" si="50"/>
        <v>5.8299999999999997E-4</v>
      </c>
    </row>
    <row r="1050" spans="2:19">
      <c r="B1050" s="121"/>
      <c r="C1050" s="490"/>
      <c r="D1050" s="490" t="str">
        <f t="shared" si="48"/>
        <v/>
      </c>
      <c r="I1050" s="125" t="s">
        <v>1358</v>
      </c>
      <c r="J1050" s="125" t="s">
        <v>1868</v>
      </c>
      <c r="K1050" s="182" t="s">
        <v>652</v>
      </c>
      <c r="L1050" s="182">
        <v>0</v>
      </c>
      <c r="M1050" s="182">
        <v>0</v>
      </c>
      <c r="N1050" s="182">
        <v>0</v>
      </c>
      <c r="O1050" s="182">
        <v>0</v>
      </c>
      <c r="P1050" s="182">
        <v>0</v>
      </c>
      <c r="R1050" s="155" t="str">
        <f t="shared" si="49"/>
        <v>A0664:デジタルグリッド(株)メニューA</v>
      </c>
      <c r="S1050" s="181">
        <f t="shared" si="50"/>
        <v>0</v>
      </c>
    </row>
    <row r="1051" spans="2:19">
      <c r="B1051" s="121"/>
      <c r="C1051" s="490"/>
      <c r="D1051" s="490" t="str">
        <f t="shared" si="48"/>
        <v/>
      </c>
      <c r="I1051" s="125" t="s">
        <v>1358</v>
      </c>
      <c r="J1051" s="125" t="s">
        <v>1868</v>
      </c>
      <c r="K1051" s="182" t="s">
        <v>729</v>
      </c>
      <c r="L1051" s="182">
        <v>2.12E-4</v>
      </c>
      <c r="M1051" s="182">
        <v>2.12E-4</v>
      </c>
      <c r="N1051" s="182">
        <v>2.12E-4</v>
      </c>
      <c r="O1051" s="182">
        <v>2.12E-4</v>
      </c>
      <c r="P1051" s="182">
        <v>2.12E-4</v>
      </c>
      <c r="R1051" s="155" t="str">
        <f t="shared" si="49"/>
        <v>A0664:デジタルグリッド(株)メニューB</v>
      </c>
      <c r="S1051" s="181">
        <f t="shared" si="50"/>
        <v>2.12E-4</v>
      </c>
    </row>
    <row r="1052" spans="2:19">
      <c r="B1052" s="121"/>
      <c r="C1052" s="490"/>
      <c r="D1052" s="490" t="str">
        <f t="shared" si="48"/>
        <v/>
      </c>
      <c r="I1052" s="125" t="s">
        <v>1358</v>
      </c>
      <c r="J1052" s="125" t="s">
        <v>1868</v>
      </c>
      <c r="K1052" s="182" t="s">
        <v>730</v>
      </c>
      <c r="L1052" s="182">
        <v>3.1799999999999998E-4</v>
      </c>
      <c r="M1052" s="182">
        <v>3.1799999999999998E-4</v>
      </c>
      <c r="N1052" s="182">
        <v>3.1799999999999998E-4</v>
      </c>
      <c r="O1052" s="182">
        <v>3.1799999999999998E-4</v>
      </c>
      <c r="P1052" s="182">
        <v>3.1799999999999998E-4</v>
      </c>
      <c r="R1052" s="155" t="str">
        <f t="shared" si="49"/>
        <v>A0664:デジタルグリッド(株)メニューC</v>
      </c>
      <c r="S1052" s="181">
        <f t="shared" si="50"/>
        <v>3.1799999999999998E-4</v>
      </c>
    </row>
    <row r="1053" spans="2:19">
      <c r="B1053" s="121"/>
      <c r="C1053" s="490"/>
      <c r="D1053" s="490" t="str">
        <f t="shared" si="48"/>
        <v/>
      </c>
      <c r="I1053" s="125" t="s">
        <v>1358</v>
      </c>
      <c r="J1053" s="125" t="s">
        <v>1868</v>
      </c>
      <c r="K1053" s="182" t="s">
        <v>915</v>
      </c>
      <c r="L1053" s="182">
        <v>3.39E-4</v>
      </c>
      <c r="M1053" s="182">
        <v>3.39E-4</v>
      </c>
      <c r="N1053" s="182">
        <v>3.39E-4</v>
      </c>
      <c r="O1053" s="182">
        <v>3.39E-4</v>
      </c>
      <c r="P1053" s="182">
        <v>3.39E-4</v>
      </c>
      <c r="R1053" s="155" t="str">
        <f t="shared" si="49"/>
        <v>A0664:デジタルグリッド(株)メニューD</v>
      </c>
      <c r="S1053" s="181">
        <f t="shared" si="50"/>
        <v>3.39E-4</v>
      </c>
    </row>
    <row r="1054" spans="2:19">
      <c r="B1054" s="121"/>
      <c r="C1054" s="490"/>
      <c r="D1054" s="490" t="str">
        <f t="shared" si="48"/>
        <v/>
      </c>
      <c r="I1054" s="125" t="s">
        <v>1358</v>
      </c>
      <c r="J1054" s="125" t="s">
        <v>1868</v>
      </c>
      <c r="K1054" s="182" t="s">
        <v>916</v>
      </c>
      <c r="L1054" s="182">
        <v>3.3700000000000001E-4</v>
      </c>
      <c r="M1054" s="182">
        <v>3.3700000000000001E-4</v>
      </c>
      <c r="N1054" s="182">
        <v>3.3700000000000001E-4</v>
      </c>
      <c r="O1054" s="182">
        <v>3.3700000000000001E-4</v>
      </c>
      <c r="P1054" s="182">
        <v>3.3700000000000001E-4</v>
      </c>
      <c r="R1054" s="155" t="str">
        <f t="shared" si="49"/>
        <v>A0664:デジタルグリッド(株)メニューE</v>
      </c>
      <c r="S1054" s="181">
        <f t="shared" si="50"/>
        <v>3.3700000000000001E-4</v>
      </c>
    </row>
    <row r="1055" spans="2:19">
      <c r="B1055" s="121"/>
      <c r="C1055" s="490"/>
      <c r="D1055" s="490" t="str">
        <f t="shared" si="48"/>
        <v/>
      </c>
      <c r="I1055" s="125" t="s">
        <v>1358</v>
      </c>
      <c r="J1055" s="125" t="s">
        <v>1868</v>
      </c>
      <c r="K1055" s="182" t="s">
        <v>1999</v>
      </c>
      <c r="L1055" s="182">
        <v>3.5500000000000001E-4</v>
      </c>
      <c r="M1055" s="182">
        <v>3.5500000000000001E-4</v>
      </c>
      <c r="N1055" s="182">
        <v>3.5500000000000001E-4</v>
      </c>
      <c r="O1055" s="182">
        <v>3.5500000000000001E-4</v>
      </c>
      <c r="P1055" s="182">
        <v>3.5500000000000001E-4</v>
      </c>
      <c r="R1055" s="155" t="str">
        <f t="shared" si="49"/>
        <v>A0664:デジタルグリッド(株)メニューF</v>
      </c>
      <c r="S1055" s="181">
        <f t="shared" si="50"/>
        <v>3.5500000000000001E-4</v>
      </c>
    </row>
    <row r="1056" spans="2:19">
      <c r="B1056" s="121"/>
      <c r="C1056" s="490"/>
      <c r="D1056" s="490" t="str">
        <f t="shared" si="48"/>
        <v/>
      </c>
      <c r="I1056" s="125" t="s">
        <v>1358</v>
      </c>
      <c r="J1056" s="125" t="s">
        <v>1868</v>
      </c>
      <c r="K1056" s="182" t="s">
        <v>2000</v>
      </c>
      <c r="L1056" s="182">
        <v>6.11E-4</v>
      </c>
      <c r="M1056" s="182">
        <v>6.11E-4</v>
      </c>
      <c r="N1056" s="182">
        <v>6.11E-4</v>
      </c>
      <c r="O1056" s="182">
        <v>6.11E-4</v>
      </c>
      <c r="P1056" s="182">
        <v>6.11E-4</v>
      </c>
      <c r="R1056" s="155" t="str">
        <f t="shared" si="49"/>
        <v>A0664:デジタルグリッド(株)メニューG</v>
      </c>
      <c r="S1056" s="181">
        <f t="shared" si="50"/>
        <v>6.11E-4</v>
      </c>
    </row>
    <row r="1057" spans="2:19">
      <c r="B1057" s="121"/>
      <c r="C1057" s="490"/>
      <c r="D1057" s="490" t="str">
        <f t="shared" si="48"/>
        <v/>
      </c>
      <c r="I1057" s="125" t="s">
        <v>1358</v>
      </c>
      <c r="J1057" s="125" t="s">
        <v>1868</v>
      </c>
      <c r="K1057" s="182" t="s">
        <v>1998</v>
      </c>
      <c r="L1057" s="182">
        <v>5.1199999999999998E-4</v>
      </c>
      <c r="M1057" s="182">
        <v>5.1199999999999998E-4</v>
      </c>
      <c r="N1057" s="182">
        <v>5.1199999999999998E-4</v>
      </c>
      <c r="O1057" s="182">
        <v>5.1199999999999998E-4</v>
      </c>
      <c r="P1057" s="182">
        <v>5.1199999999999998E-4</v>
      </c>
      <c r="R1057" s="155" t="str">
        <f t="shared" si="49"/>
        <v>A0664:デジタルグリッド(株)(参考値)事業者全体</v>
      </c>
      <c r="S1057" s="181">
        <f t="shared" si="50"/>
        <v>5.1199999999999998E-4</v>
      </c>
    </row>
    <row r="1058" spans="2:19">
      <c r="B1058" s="121"/>
      <c r="C1058" s="490"/>
      <c r="D1058" s="490" t="str">
        <f t="shared" si="48"/>
        <v/>
      </c>
      <c r="I1058" s="125" t="s">
        <v>1359</v>
      </c>
      <c r="J1058" s="125" t="s">
        <v>1869</v>
      </c>
      <c r="K1058" s="182" t="s">
        <v>652</v>
      </c>
      <c r="L1058" s="182">
        <v>0</v>
      </c>
      <c r="M1058" s="182">
        <v>0</v>
      </c>
      <c r="N1058" s="182">
        <v>0</v>
      </c>
      <c r="O1058" s="182">
        <v>0</v>
      </c>
      <c r="P1058" s="182">
        <v>0</v>
      </c>
      <c r="R1058" s="155" t="str">
        <f t="shared" si="49"/>
        <v>A0666:(株)西九州させぼパワーズメニューA</v>
      </c>
      <c r="S1058" s="181">
        <f t="shared" si="50"/>
        <v>0</v>
      </c>
    </row>
    <row r="1059" spans="2:19">
      <c r="B1059" s="121"/>
      <c r="C1059" s="490"/>
      <c r="D1059" s="490" t="str">
        <f t="shared" si="48"/>
        <v/>
      </c>
      <c r="I1059" s="125" t="s">
        <v>1359</v>
      </c>
      <c r="J1059" s="125" t="s">
        <v>1869</v>
      </c>
      <c r="K1059" s="182" t="s">
        <v>729</v>
      </c>
      <c r="L1059" s="182">
        <v>3.9300000000000001E-4</v>
      </c>
      <c r="M1059" s="182">
        <v>3.9300000000000001E-4</v>
      </c>
      <c r="N1059" s="182">
        <v>3.9300000000000001E-4</v>
      </c>
      <c r="O1059" s="182">
        <v>3.9300000000000001E-4</v>
      </c>
      <c r="P1059" s="182">
        <v>3.9300000000000001E-4</v>
      </c>
      <c r="R1059" s="155" t="str">
        <f t="shared" si="49"/>
        <v>A0666:(株)西九州させぼパワーズメニューB</v>
      </c>
      <c r="S1059" s="181">
        <f t="shared" si="50"/>
        <v>3.9300000000000001E-4</v>
      </c>
    </row>
    <row r="1060" spans="2:19">
      <c r="B1060" s="121"/>
      <c r="C1060" s="490"/>
      <c r="D1060" s="490" t="str">
        <f t="shared" si="48"/>
        <v/>
      </c>
      <c r="I1060" s="125" t="s">
        <v>1359</v>
      </c>
      <c r="J1060" s="125" t="s">
        <v>1869</v>
      </c>
      <c r="K1060" s="182" t="s">
        <v>730</v>
      </c>
      <c r="L1060" s="182">
        <v>5.3300000000000005E-4</v>
      </c>
      <c r="M1060" s="182">
        <v>5.3300000000000005E-4</v>
      </c>
      <c r="N1060" s="182">
        <v>5.3300000000000005E-4</v>
      </c>
      <c r="O1060" s="182">
        <v>5.3300000000000005E-4</v>
      </c>
      <c r="P1060" s="182">
        <v>5.3300000000000005E-4</v>
      </c>
      <c r="R1060" s="155" t="str">
        <f t="shared" si="49"/>
        <v>A0666:(株)西九州させぼパワーズメニューC</v>
      </c>
      <c r="S1060" s="181">
        <f t="shared" si="50"/>
        <v>5.3300000000000005E-4</v>
      </c>
    </row>
    <row r="1061" spans="2:19">
      <c r="B1061" s="121"/>
      <c r="C1061" s="490"/>
      <c r="D1061" s="490" t="str">
        <f t="shared" si="48"/>
        <v/>
      </c>
      <c r="I1061" s="125" t="s">
        <v>1359</v>
      </c>
      <c r="J1061" s="125" t="s">
        <v>1869</v>
      </c>
      <c r="K1061" s="182" t="s">
        <v>1998</v>
      </c>
      <c r="L1061" s="182">
        <v>5.1199999999999998E-4</v>
      </c>
      <c r="M1061" s="182">
        <v>5.1199999999999998E-4</v>
      </c>
      <c r="N1061" s="182">
        <v>5.1199999999999998E-4</v>
      </c>
      <c r="O1061" s="182">
        <v>5.1199999999999998E-4</v>
      </c>
      <c r="P1061" s="182">
        <v>5.1199999999999998E-4</v>
      </c>
      <c r="R1061" s="155" t="str">
        <f t="shared" si="49"/>
        <v>A0666:(株)西九州させぼパワーズ(参考値)事業者全体</v>
      </c>
      <c r="S1061" s="181">
        <f t="shared" si="50"/>
        <v>5.1199999999999998E-4</v>
      </c>
    </row>
    <row r="1062" spans="2:19">
      <c r="B1062" s="121"/>
      <c r="C1062" s="490"/>
      <c r="D1062" s="490" t="str">
        <f t="shared" si="48"/>
        <v/>
      </c>
      <c r="I1062" s="125" t="s">
        <v>1360</v>
      </c>
      <c r="J1062" s="125" t="s">
        <v>1870</v>
      </c>
      <c r="K1062" s="182" t="s">
        <v>652</v>
      </c>
      <c r="L1062" s="182">
        <v>0</v>
      </c>
      <c r="M1062" s="182">
        <v>0</v>
      </c>
      <c r="N1062" s="182">
        <v>0</v>
      </c>
      <c r="O1062" s="182">
        <v>0</v>
      </c>
      <c r="P1062" s="182">
        <v>0</v>
      </c>
      <c r="R1062" s="155" t="str">
        <f t="shared" si="49"/>
        <v>A0667:たんたんエナジー(株)メニューA</v>
      </c>
      <c r="S1062" s="181">
        <f t="shared" si="50"/>
        <v>0</v>
      </c>
    </row>
    <row r="1063" spans="2:19">
      <c r="B1063" s="121"/>
      <c r="C1063" s="490"/>
      <c r="D1063" s="490" t="str">
        <f t="shared" si="48"/>
        <v/>
      </c>
      <c r="I1063" s="125" t="s">
        <v>1360</v>
      </c>
      <c r="J1063" s="125" t="s">
        <v>1870</v>
      </c>
      <c r="K1063" s="182" t="s">
        <v>729</v>
      </c>
      <c r="L1063" s="182">
        <v>2.4600000000000002E-4</v>
      </c>
      <c r="M1063" s="182">
        <v>2.4600000000000002E-4</v>
      </c>
      <c r="N1063" s="182">
        <v>2.4600000000000002E-4</v>
      </c>
      <c r="O1063" s="182">
        <v>2.4600000000000002E-4</v>
      </c>
      <c r="P1063" s="182">
        <v>2.4600000000000002E-4</v>
      </c>
      <c r="R1063" s="155" t="str">
        <f t="shared" si="49"/>
        <v>A0667:たんたんエナジー(株)メニューB</v>
      </c>
      <c r="S1063" s="181">
        <f t="shared" si="50"/>
        <v>2.4600000000000002E-4</v>
      </c>
    </row>
    <row r="1064" spans="2:19">
      <c r="B1064" s="121"/>
      <c r="C1064" s="490"/>
      <c r="D1064" s="490" t="str">
        <f t="shared" si="48"/>
        <v/>
      </c>
      <c r="I1064" s="125" t="s">
        <v>1360</v>
      </c>
      <c r="J1064" s="125" t="s">
        <v>1870</v>
      </c>
      <c r="K1064" s="182" t="s">
        <v>1998</v>
      </c>
      <c r="L1064" s="182">
        <v>0</v>
      </c>
      <c r="M1064" s="182">
        <v>0</v>
      </c>
      <c r="N1064" s="182">
        <v>0</v>
      </c>
      <c r="O1064" s="182">
        <v>0</v>
      </c>
      <c r="P1064" s="182">
        <v>0</v>
      </c>
      <c r="R1064" s="155" t="str">
        <f t="shared" si="49"/>
        <v>A0667:たんたんエナジー(株)(参考値)事業者全体</v>
      </c>
      <c r="S1064" s="181">
        <f t="shared" si="50"/>
        <v>0</v>
      </c>
    </row>
    <row r="1065" spans="2:19">
      <c r="B1065" s="121"/>
      <c r="C1065" s="490"/>
      <c r="D1065" s="490" t="str">
        <f t="shared" si="48"/>
        <v/>
      </c>
      <c r="I1065" s="125" t="s">
        <v>1361</v>
      </c>
      <c r="J1065" s="125" t="s">
        <v>1871</v>
      </c>
      <c r="K1065" s="182" t="s">
        <v>652</v>
      </c>
      <c r="L1065" s="182">
        <v>0</v>
      </c>
      <c r="M1065" s="182">
        <v>0</v>
      </c>
      <c r="N1065" s="182">
        <v>0</v>
      </c>
      <c r="O1065" s="182">
        <v>0</v>
      </c>
      <c r="P1065" s="182">
        <v>0</v>
      </c>
      <c r="R1065" s="155" t="str">
        <f t="shared" si="49"/>
        <v>A0668:(株)能勢・豊能まちづくりメニューA</v>
      </c>
      <c r="S1065" s="181">
        <f t="shared" si="50"/>
        <v>0</v>
      </c>
    </row>
    <row r="1066" spans="2:19">
      <c r="B1066" s="121"/>
      <c r="C1066" s="490"/>
      <c r="D1066" s="490" t="str">
        <f t="shared" si="48"/>
        <v/>
      </c>
      <c r="I1066" s="125" t="s">
        <v>1361</v>
      </c>
      <c r="J1066" s="125" t="s">
        <v>1871</v>
      </c>
      <c r="K1066" s="182" t="s">
        <v>729</v>
      </c>
      <c r="L1066" s="182">
        <v>0</v>
      </c>
      <c r="M1066" s="182">
        <v>0</v>
      </c>
      <c r="N1066" s="182">
        <v>0</v>
      </c>
      <c r="O1066" s="182">
        <v>0</v>
      </c>
      <c r="P1066" s="182">
        <v>0</v>
      </c>
      <c r="R1066" s="155" t="str">
        <f t="shared" si="49"/>
        <v>A0668:(株)能勢・豊能まちづくりメニューB</v>
      </c>
      <c r="S1066" s="181">
        <f t="shared" si="50"/>
        <v>0</v>
      </c>
    </row>
    <row r="1067" spans="2:19">
      <c r="B1067" s="121"/>
      <c r="C1067" s="490"/>
      <c r="D1067" s="490" t="str">
        <f t="shared" si="48"/>
        <v/>
      </c>
      <c r="I1067" s="125" t="s">
        <v>1361</v>
      </c>
      <c r="J1067" s="125" t="s">
        <v>1871</v>
      </c>
      <c r="K1067" s="182" t="s">
        <v>1998</v>
      </c>
      <c r="L1067" s="182">
        <v>0</v>
      </c>
      <c r="M1067" s="182">
        <v>0</v>
      </c>
      <c r="N1067" s="182">
        <v>0</v>
      </c>
      <c r="O1067" s="182">
        <v>0</v>
      </c>
      <c r="P1067" s="182">
        <v>0</v>
      </c>
      <c r="R1067" s="155" t="str">
        <f t="shared" si="49"/>
        <v>A0668:(株)能勢・豊能まちづくり(参考値)事業者全体</v>
      </c>
      <c r="S1067" s="181">
        <f t="shared" si="50"/>
        <v>0</v>
      </c>
    </row>
    <row r="1068" spans="2:19">
      <c r="B1068" s="121"/>
      <c r="C1068" s="490"/>
      <c r="D1068" s="490" t="str">
        <f t="shared" si="48"/>
        <v/>
      </c>
      <c r="I1068" s="125" t="s">
        <v>1362</v>
      </c>
      <c r="J1068" s="125" t="s">
        <v>1872</v>
      </c>
      <c r="K1068" s="182"/>
      <c r="L1068" s="182">
        <v>6.3500000000000004E-4</v>
      </c>
      <c r="M1068" s="182">
        <v>6.3500000000000004E-4</v>
      </c>
      <c r="N1068" s="182">
        <v>6.3500000000000004E-4</v>
      </c>
      <c r="O1068" s="182">
        <v>6.3500000000000004E-4</v>
      </c>
      <c r="P1068" s="182">
        <v>6.3500000000000004E-4</v>
      </c>
      <c r="R1068" s="155" t="str">
        <f t="shared" si="49"/>
        <v>A0670:(株)再エネ思考電力</v>
      </c>
      <c r="S1068" s="181">
        <f t="shared" si="50"/>
        <v>6.3500000000000004E-4</v>
      </c>
    </row>
    <row r="1069" spans="2:19">
      <c r="B1069" s="121"/>
      <c r="C1069" s="490"/>
      <c r="D1069" s="490" t="str">
        <f t="shared" si="48"/>
        <v/>
      </c>
      <c r="I1069" s="125" t="s">
        <v>1363</v>
      </c>
      <c r="J1069" s="125" t="s">
        <v>1873</v>
      </c>
      <c r="K1069" s="182"/>
      <c r="L1069" s="182">
        <v>6.3199999999999997E-4</v>
      </c>
      <c r="M1069" s="182">
        <v>6.3199999999999997E-4</v>
      </c>
      <c r="N1069" s="182">
        <v>6.3199999999999997E-4</v>
      </c>
      <c r="O1069" s="182">
        <v>6.3199999999999997E-4</v>
      </c>
      <c r="P1069" s="182">
        <v>6.3199999999999997E-4</v>
      </c>
      <c r="R1069" s="155" t="str">
        <f t="shared" si="49"/>
        <v>A0671:(株)スマート</v>
      </c>
      <c r="S1069" s="181">
        <f t="shared" si="50"/>
        <v>6.3199999999999997E-4</v>
      </c>
    </row>
    <row r="1070" spans="2:19">
      <c r="B1070" s="121"/>
      <c r="C1070" s="490"/>
      <c r="D1070" s="490" t="str">
        <f t="shared" ref="D1070:D1133" si="51">IF(B1070="","",B1070&amp;":"&amp;C1070)</f>
        <v/>
      </c>
      <c r="I1070" s="125" t="s">
        <v>1364</v>
      </c>
      <c r="J1070" s="125" t="s">
        <v>1874</v>
      </c>
      <c r="K1070" s="182"/>
      <c r="L1070" s="182">
        <v>6.4400000000000004E-4</v>
      </c>
      <c r="M1070" s="182">
        <v>6.4400000000000004E-4</v>
      </c>
      <c r="N1070" s="182">
        <v>6.4400000000000004E-4</v>
      </c>
      <c r="O1070" s="182">
        <v>6.4400000000000004E-4</v>
      </c>
      <c r="P1070" s="182">
        <v>6.4400000000000004E-4</v>
      </c>
      <c r="R1070" s="155" t="str">
        <f t="shared" si="49"/>
        <v>A0673:(株)ジャパネットサービスイノベーション</v>
      </c>
      <c r="S1070" s="181">
        <f t="shared" si="50"/>
        <v>6.4400000000000004E-4</v>
      </c>
    </row>
    <row r="1071" spans="2:19">
      <c r="B1071" s="121"/>
      <c r="C1071" s="490"/>
      <c r="D1071" s="490" t="str">
        <f t="shared" si="51"/>
        <v/>
      </c>
      <c r="I1071" s="125" t="s">
        <v>1365</v>
      </c>
      <c r="J1071" s="125" t="s">
        <v>1875</v>
      </c>
      <c r="K1071" s="182"/>
      <c r="L1071" s="182">
        <v>7.2599999999999997E-4</v>
      </c>
      <c r="M1071" s="182">
        <v>7.2599999999999997E-4</v>
      </c>
      <c r="N1071" s="182">
        <v>7.2599999999999997E-4</v>
      </c>
      <c r="O1071" s="182">
        <v>7.2599999999999997E-4</v>
      </c>
      <c r="P1071" s="182">
        <v>7.2599999999999997E-4</v>
      </c>
      <c r="R1071" s="155" t="str">
        <f t="shared" si="49"/>
        <v>A0676:KBN(株)</v>
      </c>
      <c r="S1071" s="181">
        <f t="shared" si="50"/>
        <v>7.2599999999999997E-4</v>
      </c>
    </row>
    <row r="1072" spans="2:19">
      <c r="B1072" s="121"/>
      <c r="C1072" s="490"/>
      <c r="D1072" s="490" t="str">
        <f t="shared" si="51"/>
        <v/>
      </c>
      <c r="I1072" s="125" t="s">
        <v>1366</v>
      </c>
      <c r="J1072" s="125" t="s">
        <v>1876</v>
      </c>
      <c r="K1072" s="182" t="s">
        <v>652</v>
      </c>
      <c r="L1072" s="182">
        <v>0</v>
      </c>
      <c r="M1072" s="182">
        <v>0</v>
      </c>
      <c r="N1072" s="182">
        <v>0</v>
      </c>
      <c r="O1072" s="182">
        <v>0</v>
      </c>
      <c r="P1072" s="182">
        <v>0</v>
      </c>
      <c r="R1072" s="155" t="str">
        <f t="shared" si="49"/>
        <v>A0677:(株)しおさい電力メニューA</v>
      </c>
      <c r="S1072" s="181">
        <f t="shared" si="50"/>
        <v>0</v>
      </c>
    </row>
    <row r="1073" spans="2:19">
      <c r="B1073" s="121"/>
      <c r="C1073" s="490"/>
      <c r="D1073" s="490" t="str">
        <f t="shared" si="51"/>
        <v/>
      </c>
      <c r="I1073" s="125" t="s">
        <v>1366</v>
      </c>
      <c r="J1073" s="125" t="s">
        <v>1876</v>
      </c>
      <c r="K1073" s="182" t="s">
        <v>729</v>
      </c>
      <c r="L1073" s="182">
        <v>0</v>
      </c>
      <c r="M1073" s="182">
        <v>0</v>
      </c>
      <c r="N1073" s="182">
        <v>0</v>
      </c>
      <c r="O1073" s="182">
        <v>0</v>
      </c>
      <c r="P1073" s="182">
        <v>0</v>
      </c>
      <c r="R1073" s="155" t="str">
        <f t="shared" si="49"/>
        <v>A0677:(株)しおさい電力メニューB</v>
      </c>
      <c r="S1073" s="181">
        <f t="shared" si="50"/>
        <v>0</v>
      </c>
    </row>
    <row r="1074" spans="2:19">
      <c r="B1074" s="121"/>
      <c r="C1074" s="490"/>
      <c r="D1074" s="490" t="str">
        <f t="shared" si="51"/>
        <v/>
      </c>
      <c r="I1074" s="125" t="s">
        <v>1366</v>
      </c>
      <c r="J1074" s="125" t="s">
        <v>1876</v>
      </c>
      <c r="K1074" s="182" t="s">
        <v>730</v>
      </c>
      <c r="L1074" s="182">
        <v>4.1800000000000002E-4</v>
      </c>
      <c r="M1074" s="182">
        <v>4.1800000000000002E-4</v>
      </c>
      <c r="N1074" s="182">
        <v>4.1800000000000002E-4</v>
      </c>
      <c r="O1074" s="182">
        <v>4.1800000000000002E-4</v>
      </c>
      <c r="P1074" s="182">
        <v>4.1800000000000002E-4</v>
      </c>
      <c r="R1074" s="155" t="str">
        <f t="shared" si="49"/>
        <v>A0677:(株)しおさい電力メニューC</v>
      </c>
      <c r="S1074" s="181">
        <f t="shared" si="50"/>
        <v>4.1800000000000002E-4</v>
      </c>
    </row>
    <row r="1075" spans="2:19">
      <c r="B1075" s="121"/>
      <c r="C1075" s="490"/>
      <c r="D1075" s="490" t="str">
        <f t="shared" si="51"/>
        <v/>
      </c>
      <c r="I1075" s="125" t="s">
        <v>1366</v>
      </c>
      <c r="J1075" s="125" t="s">
        <v>1876</v>
      </c>
      <c r="K1075" s="182" t="s">
        <v>1998</v>
      </c>
      <c r="L1075" s="182">
        <v>3.6699999999999998E-4</v>
      </c>
      <c r="M1075" s="182">
        <v>3.6699999999999998E-4</v>
      </c>
      <c r="N1075" s="182">
        <v>3.6699999999999998E-4</v>
      </c>
      <c r="O1075" s="182">
        <v>3.6699999999999998E-4</v>
      </c>
      <c r="P1075" s="182">
        <v>3.6699999999999998E-4</v>
      </c>
      <c r="R1075" s="155" t="str">
        <f t="shared" si="49"/>
        <v>A0677:(株)しおさい電力(参考値)事業者全体</v>
      </c>
      <c r="S1075" s="181">
        <f t="shared" si="50"/>
        <v>3.6699999999999998E-4</v>
      </c>
    </row>
    <row r="1076" spans="2:19">
      <c r="B1076" s="121"/>
      <c r="C1076" s="490"/>
      <c r="D1076" s="490" t="str">
        <f t="shared" si="51"/>
        <v/>
      </c>
      <c r="I1076" s="125" t="s">
        <v>1367</v>
      </c>
      <c r="J1076" s="125" t="s">
        <v>1877</v>
      </c>
      <c r="K1076" s="182" t="s">
        <v>652</v>
      </c>
      <c r="L1076" s="182">
        <v>0</v>
      </c>
      <c r="M1076" s="182">
        <v>0</v>
      </c>
      <c r="N1076" s="182">
        <v>0</v>
      </c>
      <c r="O1076" s="182">
        <v>0</v>
      </c>
      <c r="P1076" s="182">
        <v>0</v>
      </c>
      <c r="R1076" s="155" t="str">
        <f t="shared" si="49"/>
        <v>A0680:会津エナジー(株)メニューA</v>
      </c>
      <c r="S1076" s="181">
        <f t="shared" si="50"/>
        <v>0</v>
      </c>
    </row>
    <row r="1077" spans="2:19">
      <c r="B1077" s="121"/>
      <c r="C1077" s="490"/>
      <c r="D1077" s="490" t="str">
        <f t="shared" si="51"/>
        <v/>
      </c>
      <c r="I1077" s="125" t="s">
        <v>1367</v>
      </c>
      <c r="J1077" s="125" t="s">
        <v>1877</v>
      </c>
      <c r="K1077" s="182" t="s">
        <v>729</v>
      </c>
      <c r="L1077" s="182">
        <v>0</v>
      </c>
      <c r="M1077" s="182">
        <v>0</v>
      </c>
      <c r="N1077" s="182">
        <v>0</v>
      </c>
      <c r="O1077" s="182">
        <v>0</v>
      </c>
      <c r="P1077" s="182">
        <v>0</v>
      </c>
      <c r="R1077" s="155" t="str">
        <f t="shared" si="49"/>
        <v>A0680:会津エナジー(株)メニューB</v>
      </c>
      <c r="S1077" s="181">
        <f t="shared" si="50"/>
        <v>0</v>
      </c>
    </row>
    <row r="1078" spans="2:19">
      <c r="B1078" s="121"/>
      <c r="C1078" s="490"/>
      <c r="D1078" s="490" t="str">
        <f t="shared" si="51"/>
        <v/>
      </c>
      <c r="I1078" s="125" t="s">
        <v>1367</v>
      </c>
      <c r="J1078" s="125" t="s">
        <v>1877</v>
      </c>
      <c r="K1078" s="182" t="s">
        <v>730</v>
      </c>
      <c r="L1078" s="182">
        <v>0</v>
      </c>
      <c r="M1078" s="182">
        <v>0</v>
      </c>
      <c r="N1078" s="182">
        <v>0</v>
      </c>
      <c r="O1078" s="182">
        <v>0</v>
      </c>
      <c r="P1078" s="182">
        <v>0</v>
      </c>
      <c r="R1078" s="155" t="str">
        <f t="shared" si="49"/>
        <v>A0680:会津エナジー(株)メニューC</v>
      </c>
      <c r="S1078" s="181">
        <f t="shared" si="50"/>
        <v>0</v>
      </c>
    </row>
    <row r="1079" spans="2:19">
      <c r="B1079" s="121"/>
      <c r="C1079" s="490"/>
      <c r="D1079" s="490" t="str">
        <f t="shared" si="51"/>
        <v/>
      </c>
      <c r="I1079" s="125" t="s">
        <v>1367</v>
      </c>
      <c r="J1079" s="125" t="s">
        <v>1877</v>
      </c>
      <c r="K1079" s="182" t="s">
        <v>915</v>
      </c>
      <c r="L1079" s="182">
        <v>0</v>
      </c>
      <c r="M1079" s="182">
        <v>0</v>
      </c>
      <c r="N1079" s="182">
        <v>0</v>
      </c>
      <c r="O1079" s="182">
        <v>0</v>
      </c>
      <c r="P1079" s="182">
        <v>0</v>
      </c>
      <c r="R1079" s="155" t="str">
        <f t="shared" si="49"/>
        <v>A0680:会津エナジー(株)メニューD</v>
      </c>
      <c r="S1079" s="181">
        <f t="shared" si="50"/>
        <v>0</v>
      </c>
    </row>
    <row r="1080" spans="2:19">
      <c r="B1080" s="121"/>
      <c r="C1080" s="490"/>
      <c r="D1080" s="490" t="str">
        <f t="shared" si="51"/>
        <v/>
      </c>
      <c r="I1080" s="125" t="s">
        <v>1367</v>
      </c>
      <c r="J1080" s="125" t="s">
        <v>1877</v>
      </c>
      <c r="K1080" s="182" t="s">
        <v>916</v>
      </c>
      <c r="L1080" s="182">
        <v>0</v>
      </c>
      <c r="M1080" s="182">
        <v>0</v>
      </c>
      <c r="N1080" s="182">
        <v>0</v>
      </c>
      <c r="O1080" s="182">
        <v>0</v>
      </c>
      <c r="P1080" s="182">
        <v>0</v>
      </c>
      <c r="R1080" s="155" t="str">
        <f t="shared" si="49"/>
        <v>A0680:会津エナジー(株)メニューE</v>
      </c>
      <c r="S1080" s="181">
        <f t="shared" si="50"/>
        <v>0</v>
      </c>
    </row>
    <row r="1081" spans="2:19">
      <c r="B1081" s="121"/>
      <c r="C1081" s="490"/>
      <c r="D1081" s="490" t="str">
        <f t="shared" si="51"/>
        <v/>
      </c>
      <c r="I1081" s="125" t="s">
        <v>1367</v>
      </c>
      <c r="J1081" s="125" t="s">
        <v>1877</v>
      </c>
      <c r="K1081" s="182" t="s">
        <v>1999</v>
      </c>
      <c r="L1081" s="182">
        <v>0</v>
      </c>
      <c r="M1081" s="182">
        <v>0</v>
      </c>
      <c r="N1081" s="182">
        <v>0</v>
      </c>
      <c r="O1081" s="182">
        <v>0</v>
      </c>
      <c r="P1081" s="182">
        <v>0</v>
      </c>
      <c r="R1081" s="155" t="str">
        <f t="shared" si="49"/>
        <v>A0680:会津エナジー(株)メニューF</v>
      </c>
      <c r="S1081" s="181">
        <f t="shared" si="50"/>
        <v>0</v>
      </c>
    </row>
    <row r="1082" spans="2:19">
      <c r="B1082" s="121"/>
      <c r="C1082" s="490"/>
      <c r="D1082" s="490" t="str">
        <f t="shared" si="51"/>
        <v/>
      </c>
      <c r="I1082" s="125" t="s">
        <v>1367</v>
      </c>
      <c r="J1082" s="125" t="s">
        <v>1877</v>
      </c>
      <c r="K1082" s="182" t="s">
        <v>2000</v>
      </c>
      <c r="L1082" s="182">
        <v>0</v>
      </c>
      <c r="M1082" s="182">
        <v>0</v>
      </c>
      <c r="N1082" s="182">
        <v>0</v>
      </c>
      <c r="O1082" s="182">
        <v>0</v>
      </c>
      <c r="P1082" s="182">
        <v>0</v>
      </c>
      <c r="R1082" s="155" t="str">
        <f t="shared" si="49"/>
        <v>A0680:会津エナジー(株)メニューG</v>
      </c>
      <c r="S1082" s="181">
        <f t="shared" si="50"/>
        <v>0</v>
      </c>
    </row>
    <row r="1083" spans="2:19">
      <c r="B1083" s="121"/>
      <c r="C1083" s="490"/>
      <c r="D1083" s="490" t="str">
        <f t="shared" si="51"/>
        <v/>
      </c>
      <c r="I1083" s="125" t="s">
        <v>1367</v>
      </c>
      <c r="J1083" s="125" t="s">
        <v>1877</v>
      </c>
      <c r="K1083" s="182" t="s">
        <v>2001</v>
      </c>
      <c r="L1083" s="182">
        <v>0</v>
      </c>
      <c r="M1083" s="182">
        <v>0</v>
      </c>
      <c r="N1083" s="182">
        <v>0</v>
      </c>
      <c r="O1083" s="182">
        <v>0</v>
      </c>
      <c r="P1083" s="182">
        <v>0</v>
      </c>
      <c r="R1083" s="155" t="str">
        <f t="shared" si="49"/>
        <v>A0680:会津エナジー(株)メニューH</v>
      </c>
      <c r="S1083" s="181">
        <f t="shared" si="50"/>
        <v>0</v>
      </c>
    </row>
    <row r="1084" spans="2:19">
      <c r="B1084" s="121"/>
      <c r="C1084" s="490"/>
      <c r="D1084" s="490" t="str">
        <f t="shared" si="51"/>
        <v/>
      </c>
      <c r="I1084" s="125" t="s">
        <v>1367</v>
      </c>
      <c r="J1084" s="125" t="s">
        <v>1877</v>
      </c>
      <c r="K1084" s="182" t="s">
        <v>2002</v>
      </c>
      <c r="L1084" s="182">
        <v>0</v>
      </c>
      <c r="M1084" s="182">
        <v>0</v>
      </c>
      <c r="N1084" s="182">
        <v>0</v>
      </c>
      <c r="O1084" s="182">
        <v>0</v>
      </c>
      <c r="P1084" s="182">
        <v>0</v>
      </c>
      <c r="R1084" s="155" t="str">
        <f t="shared" si="49"/>
        <v>A0680:会津エナジー(株)メニューI</v>
      </c>
      <c r="S1084" s="181">
        <f t="shared" si="50"/>
        <v>0</v>
      </c>
    </row>
    <row r="1085" spans="2:19">
      <c r="B1085" s="121"/>
      <c r="C1085" s="490"/>
      <c r="D1085" s="490" t="str">
        <f t="shared" si="51"/>
        <v/>
      </c>
      <c r="I1085" s="125" t="s">
        <v>1367</v>
      </c>
      <c r="J1085" s="125" t="s">
        <v>1877</v>
      </c>
      <c r="K1085" s="182" t="s">
        <v>2003</v>
      </c>
      <c r="L1085" s="182">
        <v>0</v>
      </c>
      <c r="M1085" s="182">
        <v>0</v>
      </c>
      <c r="N1085" s="182">
        <v>0</v>
      </c>
      <c r="O1085" s="182">
        <v>0</v>
      </c>
      <c r="P1085" s="182">
        <v>0</v>
      </c>
      <c r="R1085" s="155" t="str">
        <f t="shared" si="49"/>
        <v>A0680:会津エナジー(株)メニューJ</v>
      </c>
      <c r="S1085" s="181">
        <f t="shared" si="50"/>
        <v>0</v>
      </c>
    </row>
    <row r="1086" spans="2:19">
      <c r="B1086" s="121"/>
      <c r="C1086" s="490"/>
      <c r="D1086" s="490" t="str">
        <f t="shared" si="51"/>
        <v/>
      </c>
      <c r="I1086" s="125" t="s">
        <v>1367</v>
      </c>
      <c r="J1086" s="125" t="s">
        <v>1877</v>
      </c>
      <c r="K1086" s="182" t="s">
        <v>2004</v>
      </c>
      <c r="L1086" s="182">
        <v>0</v>
      </c>
      <c r="M1086" s="182">
        <v>0</v>
      </c>
      <c r="N1086" s="182">
        <v>0</v>
      </c>
      <c r="O1086" s="182">
        <v>0</v>
      </c>
      <c r="P1086" s="182">
        <v>0</v>
      </c>
      <c r="R1086" s="155" t="str">
        <f t="shared" si="49"/>
        <v>A0680:会津エナジー(株)メニューK</v>
      </c>
      <c r="S1086" s="181">
        <f t="shared" si="50"/>
        <v>0</v>
      </c>
    </row>
    <row r="1087" spans="2:19">
      <c r="B1087" s="121"/>
      <c r="C1087" s="490"/>
      <c r="D1087" s="490" t="str">
        <f t="shared" si="51"/>
        <v/>
      </c>
      <c r="I1087" s="125" t="s">
        <v>1367</v>
      </c>
      <c r="J1087" s="125" t="s">
        <v>1877</v>
      </c>
      <c r="K1087" s="182" t="s">
        <v>2005</v>
      </c>
      <c r="L1087" s="182">
        <v>4.2200000000000001E-4</v>
      </c>
      <c r="M1087" s="182">
        <v>4.2200000000000001E-4</v>
      </c>
      <c r="N1087" s="182">
        <v>4.2200000000000001E-4</v>
      </c>
      <c r="O1087" s="182">
        <v>4.2200000000000001E-4</v>
      </c>
      <c r="P1087" s="182">
        <v>4.2200000000000001E-4</v>
      </c>
      <c r="R1087" s="155" t="str">
        <f t="shared" si="49"/>
        <v>A0680:会津エナジー(株)メニューL</v>
      </c>
      <c r="S1087" s="181">
        <f t="shared" si="50"/>
        <v>4.2200000000000001E-4</v>
      </c>
    </row>
    <row r="1088" spans="2:19">
      <c r="B1088" s="121"/>
      <c r="C1088" s="490"/>
      <c r="D1088" s="490" t="str">
        <f t="shared" si="51"/>
        <v/>
      </c>
      <c r="I1088" s="125" t="s">
        <v>1367</v>
      </c>
      <c r="J1088" s="125" t="s">
        <v>1877</v>
      </c>
      <c r="K1088" s="182" t="s">
        <v>1998</v>
      </c>
      <c r="L1088" s="182">
        <v>1.0000000000000001E-5</v>
      </c>
      <c r="M1088" s="182">
        <v>1.0000000000000001E-5</v>
      </c>
      <c r="N1088" s="182">
        <v>1.0000000000000001E-5</v>
      </c>
      <c r="O1088" s="182">
        <v>1.0000000000000001E-5</v>
      </c>
      <c r="P1088" s="182">
        <v>1.0000000000000001E-5</v>
      </c>
      <c r="R1088" s="155" t="str">
        <f t="shared" si="49"/>
        <v>A0680:会津エナジー(株)(参考値)事業者全体</v>
      </c>
      <c r="S1088" s="181">
        <f t="shared" si="50"/>
        <v>1.0000000000000001E-5</v>
      </c>
    </row>
    <row r="1089" spans="2:19">
      <c r="B1089" s="121"/>
      <c r="C1089" s="490"/>
      <c r="D1089" s="490" t="str">
        <f t="shared" si="51"/>
        <v/>
      </c>
      <c r="I1089" s="125" t="s">
        <v>1368</v>
      </c>
      <c r="J1089" s="125" t="s">
        <v>1878</v>
      </c>
      <c r="K1089" s="182" t="s">
        <v>652</v>
      </c>
      <c r="L1089" s="182">
        <v>0</v>
      </c>
      <c r="M1089" s="182">
        <v>0</v>
      </c>
      <c r="N1089" s="182">
        <v>0</v>
      </c>
      <c r="O1089" s="182">
        <v>0</v>
      </c>
      <c r="P1089" s="182">
        <v>0</v>
      </c>
      <c r="R1089" s="155" t="str">
        <f t="shared" si="49"/>
        <v>A0681:うべ未来エネルギー(株)メニューA</v>
      </c>
      <c r="S1089" s="181">
        <f t="shared" si="50"/>
        <v>0</v>
      </c>
    </row>
    <row r="1090" spans="2:19">
      <c r="B1090" s="121"/>
      <c r="C1090" s="490"/>
      <c r="D1090" s="490" t="str">
        <f t="shared" si="51"/>
        <v/>
      </c>
      <c r="I1090" s="125" t="s">
        <v>1368</v>
      </c>
      <c r="J1090" s="125" t="s">
        <v>1878</v>
      </c>
      <c r="K1090" s="182" t="s">
        <v>729</v>
      </c>
      <c r="L1090" s="182">
        <v>5.5599999999999996E-4</v>
      </c>
      <c r="M1090" s="182">
        <v>5.5599999999999996E-4</v>
      </c>
      <c r="N1090" s="182">
        <v>5.5599999999999996E-4</v>
      </c>
      <c r="O1090" s="182">
        <v>5.5599999999999996E-4</v>
      </c>
      <c r="P1090" s="182">
        <v>5.5599999999999996E-4</v>
      </c>
      <c r="R1090" s="155" t="str">
        <f t="shared" si="49"/>
        <v>A0681:うべ未来エネルギー(株)メニューB</v>
      </c>
      <c r="S1090" s="181">
        <f t="shared" si="50"/>
        <v>5.5599999999999996E-4</v>
      </c>
    </row>
    <row r="1091" spans="2:19">
      <c r="B1091" s="121"/>
      <c r="C1091" s="490"/>
      <c r="D1091" s="490" t="str">
        <f t="shared" si="51"/>
        <v/>
      </c>
      <c r="I1091" s="125" t="s">
        <v>1368</v>
      </c>
      <c r="J1091" s="125" t="s">
        <v>1878</v>
      </c>
      <c r="K1091" s="182" t="s">
        <v>1998</v>
      </c>
      <c r="L1091" s="182">
        <v>5.5000000000000003E-4</v>
      </c>
      <c r="M1091" s="182">
        <v>5.5000000000000003E-4</v>
      </c>
      <c r="N1091" s="182">
        <v>5.5000000000000003E-4</v>
      </c>
      <c r="O1091" s="182">
        <v>5.5000000000000003E-4</v>
      </c>
      <c r="P1091" s="182">
        <v>5.5000000000000003E-4</v>
      </c>
      <c r="R1091" s="155" t="str">
        <f t="shared" si="49"/>
        <v>A0681:うべ未来エネルギー(株)(参考値)事業者全体</v>
      </c>
      <c r="S1091" s="181">
        <f t="shared" si="50"/>
        <v>5.5000000000000003E-4</v>
      </c>
    </row>
    <row r="1092" spans="2:19">
      <c r="B1092" s="121"/>
      <c r="C1092" s="490"/>
      <c r="D1092" s="490" t="str">
        <f t="shared" si="51"/>
        <v/>
      </c>
      <c r="I1092" s="175" t="s">
        <v>1369</v>
      </c>
      <c r="J1092" s="175" t="s">
        <v>1879</v>
      </c>
      <c r="K1092" s="389"/>
      <c r="L1092" s="389">
        <v>4.9600000000000002E-4</v>
      </c>
      <c r="M1092" s="389">
        <v>4.9600000000000002E-4</v>
      </c>
      <c r="N1092" s="389">
        <v>4.9600000000000002E-4</v>
      </c>
      <c r="O1092" s="389">
        <v>4.9600000000000002E-4</v>
      </c>
      <c r="P1092" s="389">
        <v>4.9600000000000002E-4</v>
      </c>
      <c r="R1092" s="155" t="str">
        <f t="shared" si="49"/>
        <v>A0683:永井自動車工業(株)</v>
      </c>
      <c r="S1092" s="181">
        <f t="shared" si="50"/>
        <v>4.9600000000000002E-4</v>
      </c>
    </row>
    <row r="1093" spans="2:19">
      <c r="B1093" s="121"/>
      <c r="C1093" s="490"/>
      <c r="D1093" s="490" t="str">
        <f t="shared" si="51"/>
        <v/>
      </c>
      <c r="I1093" s="124" t="s">
        <v>1370</v>
      </c>
      <c r="J1093" s="124" t="s">
        <v>1880</v>
      </c>
      <c r="K1093" s="124"/>
      <c r="L1093" s="124">
        <v>5.44E-4</v>
      </c>
      <c r="M1093" s="182">
        <v>5.44E-4</v>
      </c>
      <c r="N1093" s="182">
        <v>5.44E-4</v>
      </c>
      <c r="O1093" s="182">
        <v>5.44E-4</v>
      </c>
      <c r="P1093" s="182">
        <v>5.44E-4</v>
      </c>
      <c r="R1093" s="155" t="str">
        <f t="shared" ref="R1093:R1156" si="52">I1093&amp;":"&amp;J1093&amp;K1093</f>
        <v>A0685:陸前高田しみんエネルギー(株)</v>
      </c>
      <c r="S1093" s="181">
        <f t="shared" si="50"/>
        <v>5.44E-4</v>
      </c>
    </row>
    <row r="1094" spans="2:19">
      <c r="B1094" s="121"/>
      <c r="C1094" s="490"/>
      <c r="D1094" s="490" t="str">
        <f t="shared" si="51"/>
        <v/>
      </c>
      <c r="I1094" s="125" t="s">
        <v>1371</v>
      </c>
      <c r="J1094" s="125" t="s">
        <v>1881</v>
      </c>
      <c r="K1094" s="125"/>
      <c r="L1094" s="125">
        <v>5.5400000000000002E-4</v>
      </c>
      <c r="M1094" s="182">
        <v>5.5400000000000002E-4</v>
      </c>
      <c r="N1094" s="182">
        <v>5.5400000000000002E-4</v>
      </c>
      <c r="O1094" s="182">
        <v>5.5400000000000002E-4</v>
      </c>
      <c r="P1094" s="182">
        <v>5.5400000000000002E-4</v>
      </c>
      <c r="R1094" s="155" t="str">
        <f t="shared" si="52"/>
        <v>A0687:(株)チャームドライフ</v>
      </c>
      <c r="S1094" s="181">
        <f t="shared" si="50"/>
        <v>5.5400000000000002E-4</v>
      </c>
    </row>
    <row r="1095" spans="2:19">
      <c r="B1095" s="121"/>
      <c r="C1095" s="490"/>
      <c r="D1095" s="490" t="str">
        <f t="shared" si="51"/>
        <v/>
      </c>
      <c r="I1095" s="125" t="s">
        <v>1372</v>
      </c>
      <c r="J1095" s="125" t="s">
        <v>1882</v>
      </c>
      <c r="K1095" s="125" t="s">
        <v>652</v>
      </c>
      <c r="L1095" s="125">
        <v>2.3E-5</v>
      </c>
      <c r="M1095" s="182">
        <v>2.3E-5</v>
      </c>
      <c r="N1095" s="182">
        <v>2.3E-5</v>
      </c>
      <c r="O1095" s="182">
        <v>2.3E-5</v>
      </c>
      <c r="P1095" s="182">
        <v>2.3E-5</v>
      </c>
      <c r="R1095" s="155" t="str">
        <f t="shared" si="52"/>
        <v>A0689:スターティア(株)メニューA</v>
      </c>
      <c r="S1095" s="181">
        <f t="shared" si="50"/>
        <v>2.3E-5</v>
      </c>
    </row>
    <row r="1096" spans="2:19">
      <c r="B1096" s="121"/>
      <c r="C1096" s="490"/>
      <c r="D1096" s="490" t="str">
        <f t="shared" si="51"/>
        <v/>
      </c>
      <c r="I1096" s="125" t="s">
        <v>1372</v>
      </c>
      <c r="J1096" s="125" t="s">
        <v>1882</v>
      </c>
      <c r="K1096" s="125" t="s">
        <v>729</v>
      </c>
      <c r="L1096" s="125">
        <v>6.6100000000000002E-4</v>
      </c>
      <c r="M1096" s="182">
        <v>6.6100000000000002E-4</v>
      </c>
      <c r="N1096" s="182">
        <v>6.6100000000000002E-4</v>
      </c>
      <c r="O1096" s="182">
        <v>6.6100000000000002E-4</v>
      </c>
      <c r="P1096" s="182">
        <v>6.6100000000000002E-4</v>
      </c>
      <c r="R1096" s="155" t="str">
        <f t="shared" si="52"/>
        <v>A0689:スターティア(株)メニューB</v>
      </c>
      <c r="S1096" s="181">
        <f t="shared" si="50"/>
        <v>6.6100000000000002E-4</v>
      </c>
    </row>
    <row r="1097" spans="2:19">
      <c r="B1097" s="121"/>
      <c r="C1097" s="490"/>
      <c r="D1097" s="490" t="str">
        <f t="shared" si="51"/>
        <v/>
      </c>
      <c r="I1097" s="125" t="s">
        <v>1372</v>
      </c>
      <c r="J1097" s="125" t="s">
        <v>1882</v>
      </c>
      <c r="K1097" s="125" t="s">
        <v>1998</v>
      </c>
      <c r="L1097" s="125">
        <v>6.6E-4</v>
      </c>
      <c r="M1097" s="182">
        <v>6.6E-4</v>
      </c>
      <c r="N1097" s="182">
        <v>6.6E-4</v>
      </c>
      <c r="O1097" s="182">
        <v>6.6E-4</v>
      </c>
      <c r="P1097" s="182">
        <v>6.6E-4</v>
      </c>
      <c r="R1097" s="155" t="str">
        <f t="shared" si="52"/>
        <v>A0689:スターティア(株)(参考値)事業者全体</v>
      </c>
      <c r="S1097" s="181">
        <f t="shared" si="50"/>
        <v>6.6E-4</v>
      </c>
    </row>
    <row r="1098" spans="2:19">
      <c r="B1098" s="121"/>
      <c r="C1098" s="490"/>
      <c r="D1098" s="490" t="str">
        <f t="shared" si="51"/>
        <v/>
      </c>
      <c r="I1098" s="125" t="s">
        <v>1373</v>
      </c>
      <c r="J1098" s="125" t="s">
        <v>1883</v>
      </c>
      <c r="K1098" s="125"/>
      <c r="L1098" s="125">
        <v>3.68E-4</v>
      </c>
      <c r="M1098" s="182">
        <v>3.68E-4</v>
      </c>
      <c r="N1098" s="182">
        <v>3.68E-4</v>
      </c>
      <c r="O1098" s="182">
        <v>3.68E-4</v>
      </c>
      <c r="P1098" s="182">
        <v>3.68E-4</v>
      </c>
      <c r="R1098" s="155" t="str">
        <f t="shared" si="52"/>
        <v>A0690:東広島スマートエネルギー(株)</v>
      </c>
      <c r="S1098" s="181">
        <f t="shared" ref="S1098:S1161" si="53">HLOOKUP($S$8,$L$8:$P$2000,ROW()-7,FALSE)</f>
        <v>3.68E-4</v>
      </c>
    </row>
    <row r="1099" spans="2:19">
      <c r="B1099" s="121"/>
      <c r="C1099" s="490"/>
      <c r="D1099" s="490" t="str">
        <f t="shared" si="51"/>
        <v/>
      </c>
      <c r="I1099" s="125" t="s">
        <v>1374</v>
      </c>
      <c r="J1099" s="125" t="s">
        <v>1884</v>
      </c>
      <c r="K1099" s="125" t="s">
        <v>652</v>
      </c>
      <c r="L1099" s="125">
        <v>3.5199999999999999E-4</v>
      </c>
      <c r="M1099" s="182">
        <v>3.5199999999999999E-4</v>
      </c>
      <c r="N1099" s="182">
        <v>3.5199999999999999E-4</v>
      </c>
      <c r="O1099" s="182">
        <v>3.5199999999999999E-4</v>
      </c>
      <c r="P1099" s="182">
        <v>3.5199999999999999E-4</v>
      </c>
      <c r="R1099" s="155" t="str">
        <f t="shared" si="52"/>
        <v>A0692:旭化成(株)メニューA</v>
      </c>
      <c r="S1099" s="181">
        <f t="shared" si="53"/>
        <v>3.5199999999999999E-4</v>
      </c>
    </row>
    <row r="1100" spans="2:19">
      <c r="B1100" s="121"/>
      <c r="C1100" s="490"/>
      <c r="D1100" s="490" t="str">
        <f t="shared" si="51"/>
        <v/>
      </c>
      <c r="I1100" s="125" t="s">
        <v>1374</v>
      </c>
      <c r="J1100" s="125" t="s">
        <v>1884</v>
      </c>
      <c r="K1100" s="125" t="s">
        <v>729</v>
      </c>
      <c r="L1100" s="125">
        <v>5.9900000000000003E-4</v>
      </c>
      <c r="M1100" s="182">
        <v>5.9900000000000003E-4</v>
      </c>
      <c r="N1100" s="182">
        <v>5.9900000000000003E-4</v>
      </c>
      <c r="O1100" s="182">
        <v>5.9900000000000003E-4</v>
      </c>
      <c r="P1100" s="182">
        <v>5.9900000000000003E-4</v>
      </c>
      <c r="R1100" s="155" t="str">
        <f t="shared" si="52"/>
        <v>A0692:旭化成(株)メニューB</v>
      </c>
      <c r="S1100" s="181">
        <f t="shared" si="53"/>
        <v>5.9900000000000003E-4</v>
      </c>
    </row>
    <row r="1101" spans="2:19">
      <c r="B1101" s="121"/>
      <c r="C1101" s="490"/>
      <c r="D1101" s="490" t="str">
        <f t="shared" si="51"/>
        <v/>
      </c>
      <c r="I1101" s="125" t="s">
        <v>1374</v>
      </c>
      <c r="J1101" s="125" t="s">
        <v>1884</v>
      </c>
      <c r="K1101" s="125" t="s">
        <v>730</v>
      </c>
      <c r="L1101" s="125">
        <v>3.77E-4</v>
      </c>
      <c r="M1101" s="182">
        <v>3.77E-4</v>
      </c>
      <c r="N1101" s="182">
        <v>3.77E-4</v>
      </c>
      <c r="O1101" s="182">
        <v>3.77E-4</v>
      </c>
      <c r="P1101" s="182">
        <v>3.77E-4</v>
      </c>
      <c r="R1101" s="155" t="str">
        <f t="shared" si="52"/>
        <v>A0692:旭化成(株)メニューC</v>
      </c>
      <c r="S1101" s="181">
        <f t="shared" si="53"/>
        <v>3.77E-4</v>
      </c>
    </row>
    <row r="1102" spans="2:19">
      <c r="B1102" s="121"/>
      <c r="C1102" s="490"/>
      <c r="D1102" s="490" t="str">
        <f t="shared" si="51"/>
        <v/>
      </c>
      <c r="I1102" s="125" t="s">
        <v>1374</v>
      </c>
      <c r="J1102" s="125" t="s">
        <v>1884</v>
      </c>
      <c r="K1102" s="125" t="s">
        <v>915</v>
      </c>
      <c r="L1102" s="125">
        <v>3.5399999999999999E-4</v>
      </c>
      <c r="M1102" s="182">
        <v>3.5399999999999999E-4</v>
      </c>
      <c r="N1102" s="182">
        <v>3.5399999999999999E-4</v>
      </c>
      <c r="O1102" s="182">
        <v>3.5399999999999999E-4</v>
      </c>
      <c r="P1102" s="182">
        <v>3.5399999999999999E-4</v>
      </c>
      <c r="R1102" s="155" t="str">
        <f t="shared" si="52"/>
        <v>A0692:旭化成(株)メニューD</v>
      </c>
      <c r="S1102" s="181">
        <f t="shared" si="53"/>
        <v>3.5399999999999999E-4</v>
      </c>
    </row>
    <row r="1103" spans="2:19">
      <c r="B1103" s="121"/>
      <c r="C1103" s="490"/>
      <c r="D1103" s="490" t="str">
        <f t="shared" si="51"/>
        <v/>
      </c>
      <c r="I1103" s="125" t="s">
        <v>1374</v>
      </c>
      <c r="J1103" s="125" t="s">
        <v>1884</v>
      </c>
      <c r="K1103" s="125" t="s">
        <v>916</v>
      </c>
      <c r="L1103" s="125">
        <v>3.6000000000000002E-4</v>
      </c>
      <c r="M1103" s="182">
        <v>3.6000000000000002E-4</v>
      </c>
      <c r="N1103" s="182">
        <v>3.6000000000000002E-4</v>
      </c>
      <c r="O1103" s="182">
        <v>3.6000000000000002E-4</v>
      </c>
      <c r="P1103" s="182">
        <v>3.6000000000000002E-4</v>
      </c>
      <c r="R1103" s="155" t="str">
        <f t="shared" si="52"/>
        <v>A0692:旭化成(株)メニューE</v>
      </c>
      <c r="S1103" s="181">
        <f t="shared" si="53"/>
        <v>3.6000000000000002E-4</v>
      </c>
    </row>
    <row r="1104" spans="2:19">
      <c r="B1104" s="121"/>
      <c r="C1104" s="490"/>
      <c r="D1104" s="490" t="str">
        <f t="shared" si="51"/>
        <v/>
      </c>
      <c r="I1104" s="125" t="s">
        <v>1374</v>
      </c>
      <c r="J1104" s="125" t="s">
        <v>1884</v>
      </c>
      <c r="K1104" s="125" t="s">
        <v>1999</v>
      </c>
      <c r="L1104" s="125">
        <v>0</v>
      </c>
      <c r="M1104" s="182">
        <v>0</v>
      </c>
      <c r="N1104" s="182">
        <v>0</v>
      </c>
      <c r="O1104" s="182">
        <v>0</v>
      </c>
      <c r="P1104" s="182">
        <v>0</v>
      </c>
      <c r="R1104" s="155" t="str">
        <f t="shared" si="52"/>
        <v>A0692:旭化成(株)メニューF</v>
      </c>
      <c r="S1104" s="181">
        <f t="shared" si="53"/>
        <v>0</v>
      </c>
    </row>
    <row r="1105" spans="2:19">
      <c r="B1105" s="121"/>
      <c r="C1105" s="490"/>
      <c r="D1105" s="490" t="str">
        <f t="shared" si="51"/>
        <v/>
      </c>
      <c r="I1105" s="125" t="s">
        <v>1374</v>
      </c>
      <c r="J1105" s="125" t="s">
        <v>1884</v>
      </c>
      <c r="K1105" s="125" t="s">
        <v>2000</v>
      </c>
      <c r="L1105" s="125">
        <v>0</v>
      </c>
      <c r="M1105" s="182">
        <v>0</v>
      </c>
      <c r="N1105" s="182">
        <v>0</v>
      </c>
      <c r="O1105" s="182">
        <v>0</v>
      </c>
      <c r="P1105" s="182">
        <v>0</v>
      </c>
      <c r="R1105" s="155" t="str">
        <f t="shared" si="52"/>
        <v>A0692:旭化成(株)メニューG</v>
      </c>
      <c r="S1105" s="181">
        <f t="shared" si="53"/>
        <v>0</v>
      </c>
    </row>
    <row r="1106" spans="2:19">
      <c r="B1106" s="121"/>
      <c r="C1106" s="490"/>
      <c r="D1106" s="490" t="str">
        <f t="shared" si="51"/>
        <v/>
      </c>
      <c r="I1106" s="125" t="s">
        <v>1374</v>
      </c>
      <c r="J1106" s="125" t="s">
        <v>1884</v>
      </c>
      <c r="K1106" s="125" t="s">
        <v>1998</v>
      </c>
      <c r="L1106" s="125">
        <v>4.3199999999999998E-4</v>
      </c>
      <c r="M1106" s="182">
        <v>4.3199999999999998E-4</v>
      </c>
      <c r="N1106" s="182">
        <v>4.3199999999999998E-4</v>
      </c>
      <c r="O1106" s="182">
        <v>4.3199999999999998E-4</v>
      </c>
      <c r="P1106" s="182">
        <v>4.3199999999999998E-4</v>
      </c>
      <c r="R1106" s="155" t="str">
        <f t="shared" si="52"/>
        <v>A0692:旭化成(株)(参考値)事業者全体</v>
      </c>
      <c r="S1106" s="181">
        <f t="shared" si="53"/>
        <v>4.3199999999999998E-4</v>
      </c>
    </row>
    <row r="1107" spans="2:19">
      <c r="B1107" s="121"/>
      <c r="C1107" s="490"/>
      <c r="D1107" s="490" t="str">
        <f t="shared" si="51"/>
        <v/>
      </c>
      <c r="I1107" s="125" t="s">
        <v>1375</v>
      </c>
      <c r="J1107" s="125" t="s">
        <v>1885</v>
      </c>
      <c r="K1107" s="125"/>
      <c r="L1107" s="125">
        <v>4.2900000000000002E-4</v>
      </c>
      <c r="M1107" s="182">
        <v>4.2900000000000002E-4</v>
      </c>
      <c r="N1107" s="182">
        <v>4.2900000000000002E-4</v>
      </c>
      <c r="O1107" s="182">
        <v>4.2900000000000002E-4</v>
      </c>
      <c r="P1107" s="182">
        <v>4.2900000000000002E-4</v>
      </c>
      <c r="R1107" s="155" t="str">
        <f t="shared" si="52"/>
        <v>A0693:京和ガス(株)</v>
      </c>
      <c r="S1107" s="181">
        <f t="shared" si="53"/>
        <v>4.2900000000000002E-4</v>
      </c>
    </row>
    <row r="1108" spans="2:19">
      <c r="B1108" s="121"/>
      <c r="C1108" s="490"/>
      <c r="D1108" s="490" t="str">
        <f t="shared" si="51"/>
        <v/>
      </c>
      <c r="I1108" s="125" t="s">
        <v>1376</v>
      </c>
      <c r="J1108" s="125" t="s">
        <v>1886</v>
      </c>
      <c r="K1108" s="125"/>
      <c r="L1108" s="125">
        <v>4.57E-4</v>
      </c>
      <c r="M1108" s="182">
        <v>4.57E-4</v>
      </c>
      <c r="N1108" s="182">
        <v>4.57E-4</v>
      </c>
      <c r="O1108" s="182">
        <v>4.57E-4</v>
      </c>
      <c r="P1108" s="182">
        <v>4.57E-4</v>
      </c>
      <c r="R1108" s="155" t="str">
        <f t="shared" si="52"/>
        <v>A0695:KMパワー(株)</v>
      </c>
      <c r="S1108" s="181">
        <f t="shared" si="53"/>
        <v>4.57E-4</v>
      </c>
    </row>
    <row r="1109" spans="2:19">
      <c r="B1109" s="121"/>
      <c r="C1109" s="490"/>
      <c r="D1109" s="490" t="str">
        <f t="shared" si="51"/>
        <v/>
      </c>
      <c r="I1109" s="125" t="s">
        <v>1377</v>
      </c>
      <c r="J1109" s="125" t="s">
        <v>1887</v>
      </c>
      <c r="K1109" s="125"/>
      <c r="L1109" s="125">
        <v>6.2699999999999995E-4</v>
      </c>
      <c r="M1109" s="182">
        <v>6.2699999999999995E-4</v>
      </c>
      <c r="N1109" s="182">
        <v>6.2699999999999995E-4</v>
      </c>
      <c r="O1109" s="182">
        <v>6.2699999999999995E-4</v>
      </c>
      <c r="P1109" s="182">
        <v>6.2699999999999995E-4</v>
      </c>
      <c r="R1109" s="155" t="str">
        <f t="shared" si="52"/>
        <v>A0696:(株)Okazaki</v>
      </c>
      <c r="S1109" s="181">
        <f t="shared" si="53"/>
        <v>6.2699999999999995E-4</v>
      </c>
    </row>
    <row r="1110" spans="2:19">
      <c r="B1110" s="121"/>
      <c r="C1110" s="490"/>
      <c r="D1110" s="490" t="str">
        <f t="shared" si="51"/>
        <v/>
      </c>
      <c r="I1110" s="125" t="s">
        <v>1378</v>
      </c>
      <c r="J1110" s="125" t="s">
        <v>1888</v>
      </c>
      <c r="K1110" s="125" t="s">
        <v>652</v>
      </c>
      <c r="L1110" s="125">
        <v>0</v>
      </c>
      <c r="M1110" s="182">
        <v>0</v>
      </c>
      <c r="N1110" s="182">
        <v>0</v>
      </c>
      <c r="O1110" s="182">
        <v>0</v>
      </c>
      <c r="P1110" s="182">
        <v>0</v>
      </c>
      <c r="R1110" s="155" t="str">
        <f t="shared" si="52"/>
        <v>A0698:(株)エフオンメニューA</v>
      </c>
      <c r="S1110" s="181">
        <f t="shared" si="53"/>
        <v>0</v>
      </c>
    </row>
    <row r="1111" spans="2:19">
      <c r="B1111" s="121"/>
      <c r="C1111" s="490"/>
      <c r="D1111" s="490" t="str">
        <f t="shared" si="51"/>
        <v/>
      </c>
      <c r="I1111" s="125" t="s">
        <v>1378</v>
      </c>
      <c r="J1111" s="125" t="s">
        <v>1888</v>
      </c>
      <c r="K1111" s="125" t="s">
        <v>729</v>
      </c>
      <c r="L1111" s="125">
        <v>1.74E-4</v>
      </c>
      <c r="M1111" s="182">
        <v>1.74E-4</v>
      </c>
      <c r="N1111" s="182">
        <v>1.74E-4</v>
      </c>
      <c r="O1111" s="182">
        <v>1.74E-4</v>
      </c>
      <c r="P1111" s="182">
        <v>1.74E-4</v>
      </c>
      <c r="R1111" s="155" t="str">
        <f t="shared" si="52"/>
        <v>A0698:(株)エフオンメニューB</v>
      </c>
      <c r="S1111" s="181">
        <f t="shared" si="53"/>
        <v>1.74E-4</v>
      </c>
    </row>
    <row r="1112" spans="2:19">
      <c r="B1112" s="121"/>
      <c r="C1112" s="490"/>
      <c r="D1112" s="490" t="str">
        <f t="shared" si="51"/>
        <v/>
      </c>
      <c r="I1112" s="125" t="s">
        <v>1378</v>
      </c>
      <c r="J1112" s="125" t="s">
        <v>1888</v>
      </c>
      <c r="K1112" s="125" t="s">
        <v>730</v>
      </c>
      <c r="L1112" s="125">
        <v>2.6200000000000003E-4</v>
      </c>
      <c r="M1112" s="182">
        <v>2.6200000000000003E-4</v>
      </c>
      <c r="N1112" s="182">
        <v>2.6200000000000003E-4</v>
      </c>
      <c r="O1112" s="182">
        <v>2.6200000000000003E-4</v>
      </c>
      <c r="P1112" s="182">
        <v>2.6200000000000003E-4</v>
      </c>
      <c r="R1112" s="155" t="str">
        <f t="shared" si="52"/>
        <v>A0698:(株)エフオンメニューC</v>
      </c>
      <c r="S1112" s="181">
        <f t="shared" si="53"/>
        <v>2.6200000000000003E-4</v>
      </c>
    </row>
    <row r="1113" spans="2:19">
      <c r="B1113" s="121"/>
      <c r="C1113" s="490"/>
      <c r="D1113" s="490" t="str">
        <f t="shared" si="51"/>
        <v/>
      </c>
      <c r="I1113" s="125" t="s">
        <v>1378</v>
      </c>
      <c r="J1113" s="125" t="s">
        <v>1888</v>
      </c>
      <c r="K1113" s="125" t="s">
        <v>915</v>
      </c>
      <c r="L1113" s="125">
        <v>3.48E-4</v>
      </c>
      <c r="M1113" s="182">
        <v>3.48E-4</v>
      </c>
      <c r="N1113" s="182">
        <v>3.48E-4</v>
      </c>
      <c r="O1113" s="182">
        <v>3.48E-4</v>
      </c>
      <c r="P1113" s="182">
        <v>3.48E-4</v>
      </c>
      <c r="R1113" s="155" t="str">
        <f t="shared" si="52"/>
        <v>A0698:(株)エフオンメニューD</v>
      </c>
      <c r="S1113" s="181">
        <f t="shared" si="53"/>
        <v>3.48E-4</v>
      </c>
    </row>
    <row r="1114" spans="2:19">
      <c r="B1114" s="121"/>
      <c r="C1114" s="490"/>
      <c r="D1114" s="490" t="str">
        <f t="shared" si="51"/>
        <v/>
      </c>
      <c r="I1114" s="125" t="s">
        <v>1378</v>
      </c>
      <c r="J1114" s="125" t="s">
        <v>1888</v>
      </c>
      <c r="K1114" s="125" t="s">
        <v>1998</v>
      </c>
      <c r="L1114" s="125">
        <v>1.01E-4</v>
      </c>
      <c r="M1114" s="182">
        <v>1.01E-4</v>
      </c>
      <c r="N1114" s="182">
        <v>1.01E-4</v>
      </c>
      <c r="O1114" s="182">
        <v>1.01E-4</v>
      </c>
      <c r="P1114" s="182">
        <v>1.01E-4</v>
      </c>
      <c r="R1114" s="155" t="str">
        <f t="shared" si="52"/>
        <v>A0698:(株)エフオン(参考値)事業者全体</v>
      </c>
      <c r="S1114" s="181">
        <f t="shared" si="53"/>
        <v>1.01E-4</v>
      </c>
    </row>
    <row r="1115" spans="2:19">
      <c r="B1115" s="121"/>
      <c r="C1115" s="490"/>
      <c r="D1115" s="490" t="str">
        <f t="shared" si="51"/>
        <v/>
      </c>
      <c r="I1115" s="125" t="s">
        <v>1379</v>
      </c>
      <c r="J1115" s="125" t="s">
        <v>1889</v>
      </c>
      <c r="K1115" s="125"/>
      <c r="L1115" s="125">
        <v>3.2000000000000003E-4</v>
      </c>
      <c r="M1115" s="182">
        <v>3.2000000000000003E-4</v>
      </c>
      <c r="N1115" s="182">
        <v>3.2000000000000003E-4</v>
      </c>
      <c r="O1115" s="182">
        <v>3.2000000000000003E-4</v>
      </c>
      <c r="P1115" s="182">
        <v>3.2000000000000003E-4</v>
      </c>
      <c r="R1115" s="155" t="str">
        <f t="shared" si="52"/>
        <v>A0699:(株)岡崎さくら電力</v>
      </c>
      <c r="S1115" s="181">
        <f t="shared" si="53"/>
        <v>3.2000000000000003E-4</v>
      </c>
    </row>
    <row r="1116" spans="2:19">
      <c r="B1116" s="121"/>
      <c r="C1116" s="490"/>
      <c r="D1116" s="490" t="str">
        <f t="shared" si="51"/>
        <v/>
      </c>
      <c r="I1116" s="125" t="s">
        <v>1380</v>
      </c>
      <c r="J1116" s="125" t="s">
        <v>1890</v>
      </c>
      <c r="K1116" s="125"/>
      <c r="L1116" s="125">
        <v>4.2499999999999998E-4</v>
      </c>
      <c r="M1116" s="182">
        <v>4.2499999999999998E-4</v>
      </c>
      <c r="N1116" s="182">
        <v>4.2499999999999998E-4</v>
      </c>
      <c r="O1116" s="182">
        <v>4.2499999999999998E-4</v>
      </c>
      <c r="P1116" s="182">
        <v>4.2499999999999998E-4</v>
      </c>
      <c r="R1116" s="155" t="str">
        <f t="shared" si="52"/>
        <v>A0702:旭マルヰ(株)(旧：旭マルヰガス(株))</v>
      </c>
      <c r="S1116" s="181">
        <f t="shared" si="53"/>
        <v>4.2499999999999998E-4</v>
      </c>
    </row>
    <row r="1117" spans="2:19">
      <c r="B1117" s="121"/>
      <c r="C1117" s="490"/>
      <c r="D1117" s="490" t="str">
        <f t="shared" si="51"/>
        <v/>
      </c>
      <c r="I1117" s="125" t="s">
        <v>1381</v>
      </c>
      <c r="J1117" s="125" t="s">
        <v>1891</v>
      </c>
      <c r="K1117" s="125"/>
      <c r="L1117" s="125">
        <v>0</v>
      </c>
      <c r="M1117" s="182">
        <v>0</v>
      </c>
      <c r="N1117" s="182">
        <v>0</v>
      </c>
      <c r="O1117" s="182">
        <v>0</v>
      </c>
      <c r="P1117" s="182">
        <v>0</v>
      </c>
      <c r="R1117" s="155" t="str">
        <f t="shared" si="52"/>
        <v>A0703:ENEOSリニューアブル・エナジー・ソリューションズ(株)(旧：JREトレーディング(株))</v>
      </c>
      <c r="S1117" s="181">
        <f t="shared" si="53"/>
        <v>0</v>
      </c>
    </row>
    <row r="1118" spans="2:19">
      <c r="B1118" s="121"/>
      <c r="C1118" s="490"/>
      <c r="D1118" s="490" t="str">
        <f t="shared" si="51"/>
        <v/>
      </c>
      <c r="I1118" s="125" t="s">
        <v>1382</v>
      </c>
      <c r="J1118" s="125" t="s">
        <v>1892</v>
      </c>
      <c r="K1118" s="125"/>
      <c r="L1118" s="125">
        <v>3.86E-4</v>
      </c>
      <c r="M1118" s="182">
        <v>3.86E-4</v>
      </c>
      <c r="N1118" s="182">
        <v>3.86E-4</v>
      </c>
      <c r="O1118" s="182">
        <v>3.86E-4</v>
      </c>
      <c r="P1118" s="182">
        <v>3.86E-4</v>
      </c>
      <c r="R1118" s="155" t="str">
        <f t="shared" si="52"/>
        <v>A0704:Castleton Commodities Japan合同会社</v>
      </c>
      <c r="S1118" s="181">
        <f t="shared" si="53"/>
        <v>3.86E-4</v>
      </c>
    </row>
    <row r="1119" spans="2:19">
      <c r="B1119" s="121"/>
      <c r="C1119" s="490"/>
      <c r="D1119" s="490" t="str">
        <f t="shared" si="51"/>
        <v/>
      </c>
      <c r="I1119" s="125" t="s">
        <v>1383</v>
      </c>
      <c r="J1119" s="125" t="s">
        <v>1893</v>
      </c>
      <c r="K1119" s="125"/>
      <c r="L1119" s="125">
        <v>2.04E-4</v>
      </c>
      <c r="M1119" s="182">
        <v>2.04E-4</v>
      </c>
      <c r="N1119" s="182">
        <v>2.04E-4</v>
      </c>
      <c r="O1119" s="182">
        <v>2.04E-4</v>
      </c>
      <c r="P1119" s="182">
        <v>2.04E-4</v>
      </c>
      <c r="R1119" s="155" t="str">
        <f t="shared" si="52"/>
        <v>A0705:神戸電力(株)</v>
      </c>
      <c r="S1119" s="181">
        <f t="shared" si="53"/>
        <v>2.04E-4</v>
      </c>
    </row>
    <row r="1120" spans="2:19">
      <c r="B1120" s="121"/>
      <c r="C1120" s="490"/>
      <c r="D1120" s="490" t="str">
        <f t="shared" si="51"/>
        <v/>
      </c>
      <c r="I1120" s="125" t="s">
        <v>1384</v>
      </c>
      <c r="J1120" s="125" t="s">
        <v>1894</v>
      </c>
      <c r="K1120" s="125"/>
      <c r="L1120" s="125">
        <v>4.2200000000000001E-4</v>
      </c>
      <c r="M1120" s="182">
        <v>4.2200000000000001E-4</v>
      </c>
      <c r="N1120" s="182">
        <v>4.2200000000000001E-4</v>
      </c>
      <c r="O1120" s="182">
        <v>4.2200000000000001E-4</v>
      </c>
      <c r="P1120" s="182">
        <v>4.2200000000000001E-4</v>
      </c>
      <c r="R1120" s="155" t="str">
        <f t="shared" si="52"/>
        <v>A0707:Valhall合同会社</v>
      </c>
      <c r="S1120" s="181">
        <f t="shared" si="53"/>
        <v>4.2200000000000001E-4</v>
      </c>
    </row>
    <row r="1121" spans="2:19">
      <c r="B1121" s="121"/>
      <c r="C1121" s="490"/>
      <c r="D1121" s="490" t="str">
        <f t="shared" si="51"/>
        <v/>
      </c>
      <c r="I1121" s="125" t="s">
        <v>1385</v>
      </c>
      <c r="J1121" s="125" t="s">
        <v>1895</v>
      </c>
      <c r="K1121" s="125"/>
      <c r="L1121" s="125">
        <v>5.6099999999999998E-4</v>
      </c>
      <c r="M1121" s="182">
        <v>5.6099999999999998E-4</v>
      </c>
      <c r="N1121" s="182">
        <v>5.6099999999999998E-4</v>
      </c>
      <c r="O1121" s="182">
        <v>5.6099999999999998E-4</v>
      </c>
      <c r="P1121" s="182">
        <v>5.6099999999999998E-4</v>
      </c>
      <c r="R1121" s="155" t="str">
        <f t="shared" si="52"/>
        <v>A0708:エア・ウォーター・ライフソリューション(株)</v>
      </c>
      <c r="S1121" s="181">
        <f t="shared" si="53"/>
        <v>5.6099999999999998E-4</v>
      </c>
    </row>
    <row r="1122" spans="2:19">
      <c r="B1122" s="121"/>
      <c r="C1122" s="490"/>
      <c r="D1122" s="490" t="str">
        <f t="shared" si="51"/>
        <v/>
      </c>
      <c r="I1122" s="125" t="s">
        <v>1386</v>
      </c>
      <c r="J1122" s="125" t="s">
        <v>1896</v>
      </c>
      <c r="K1122" s="125" t="s">
        <v>652</v>
      </c>
      <c r="L1122" s="125">
        <v>3.4499999999999998E-4</v>
      </c>
      <c r="M1122" s="182">
        <v>3.4499999999999998E-4</v>
      </c>
      <c r="N1122" s="182">
        <v>3.4499999999999998E-4</v>
      </c>
      <c r="O1122" s="182">
        <v>3.4499999999999998E-4</v>
      </c>
      <c r="P1122" s="182">
        <v>3.4499999999999998E-4</v>
      </c>
      <c r="R1122" s="155" t="str">
        <f t="shared" si="52"/>
        <v>A0709:生活協同組合ひろしまメニューA</v>
      </c>
      <c r="S1122" s="181">
        <f t="shared" si="53"/>
        <v>3.4499999999999998E-4</v>
      </c>
    </row>
    <row r="1123" spans="2:19">
      <c r="B1123" s="121"/>
      <c r="C1123" s="490"/>
      <c r="D1123" s="490" t="str">
        <f t="shared" si="51"/>
        <v/>
      </c>
      <c r="I1123" s="125" t="s">
        <v>1386</v>
      </c>
      <c r="J1123" s="125" t="s">
        <v>1896</v>
      </c>
      <c r="K1123" s="125" t="s">
        <v>729</v>
      </c>
      <c r="L1123" s="125">
        <v>2.7099999999999997E-4</v>
      </c>
      <c r="M1123" s="182">
        <v>2.7099999999999997E-4</v>
      </c>
      <c r="N1123" s="182">
        <v>2.7099999999999997E-4</v>
      </c>
      <c r="O1123" s="182">
        <v>2.7099999999999997E-4</v>
      </c>
      <c r="P1123" s="182">
        <v>2.7099999999999997E-4</v>
      </c>
      <c r="R1123" s="155" t="str">
        <f t="shared" si="52"/>
        <v>A0709:生活協同組合ひろしまメニューB</v>
      </c>
      <c r="S1123" s="181">
        <f t="shared" si="53"/>
        <v>2.7099999999999997E-4</v>
      </c>
    </row>
    <row r="1124" spans="2:19">
      <c r="B1124" s="121"/>
      <c r="C1124" s="490"/>
      <c r="D1124" s="490" t="str">
        <f t="shared" si="51"/>
        <v/>
      </c>
      <c r="I1124" s="125" t="s">
        <v>1386</v>
      </c>
      <c r="J1124" s="125" t="s">
        <v>1896</v>
      </c>
      <c r="K1124" s="125" t="s">
        <v>1998</v>
      </c>
      <c r="L1124" s="125">
        <v>2.72E-4</v>
      </c>
      <c r="M1124" s="182">
        <v>2.72E-4</v>
      </c>
      <c r="N1124" s="182">
        <v>2.72E-4</v>
      </c>
      <c r="O1124" s="182">
        <v>2.72E-4</v>
      </c>
      <c r="P1124" s="182">
        <v>2.72E-4</v>
      </c>
      <c r="R1124" s="155" t="str">
        <f t="shared" si="52"/>
        <v>A0709:生活協同組合ひろしま(参考値)事業者全体</v>
      </c>
      <c r="S1124" s="181">
        <f t="shared" si="53"/>
        <v>2.72E-4</v>
      </c>
    </row>
    <row r="1125" spans="2:19">
      <c r="B1125" s="121"/>
      <c r="C1125" s="490"/>
      <c r="D1125" s="490" t="str">
        <f t="shared" si="51"/>
        <v/>
      </c>
      <c r="I1125" s="125" t="s">
        <v>1387</v>
      </c>
      <c r="J1125" s="125" t="s">
        <v>1897</v>
      </c>
      <c r="K1125" s="125"/>
      <c r="L1125" s="125">
        <v>6.3299999999999999E-4</v>
      </c>
      <c r="M1125" s="182">
        <v>6.3299999999999999E-4</v>
      </c>
      <c r="N1125" s="182">
        <v>6.3299999999999999E-4</v>
      </c>
      <c r="O1125" s="182">
        <v>6.3299999999999999E-4</v>
      </c>
      <c r="P1125" s="182">
        <v>6.3299999999999999E-4</v>
      </c>
      <c r="R1125" s="155" t="str">
        <f t="shared" si="52"/>
        <v>A0711:(株)RenoLabo</v>
      </c>
      <c r="S1125" s="181">
        <f t="shared" si="53"/>
        <v>6.3299999999999999E-4</v>
      </c>
    </row>
    <row r="1126" spans="2:19">
      <c r="B1126" s="121"/>
      <c r="C1126" s="490"/>
      <c r="D1126" s="490" t="str">
        <f t="shared" si="51"/>
        <v/>
      </c>
      <c r="I1126" s="125" t="s">
        <v>1388</v>
      </c>
      <c r="J1126" s="125" t="s">
        <v>1898</v>
      </c>
      <c r="K1126" s="125"/>
      <c r="L1126" s="125">
        <v>1.07E-4</v>
      </c>
      <c r="M1126" s="182">
        <v>1.07E-4</v>
      </c>
      <c r="N1126" s="182">
        <v>1.07E-4</v>
      </c>
      <c r="O1126" s="182">
        <v>1.07E-4</v>
      </c>
      <c r="P1126" s="182">
        <v>1.07E-4</v>
      </c>
      <c r="R1126" s="155" t="str">
        <f t="shared" si="52"/>
        <v>A0712:アークエルテクノロジーズ(株)</v>
      </c>
      <c r="S1126" s="181">
        <f t="shared" si="53"/>
        <v>1.07E-4</v>
      </c>
    </row>
    <row r="1127" spans="2:19">
      <c r="B1127" s="121"/>
      <c r="C1127" s="490"/>
      <c r="D1127" s="490" t="str">
        <f t="shared" si="51"/>
        <v/>
      </c>
      <c r="I1127" s="125" t="s">
        <v>1389</v>
      </c>
      <c r="J1127" s="125" t="s">
        <v>1899</v>
      </c>
      <c r="K1127" s="125"/>
      <c r="L1127" s="125">
        <v>6.0400000000000004E-4</v>
      </c>
      <c r="M1127" s="182">
        <v>6.0400000000000004E-4</v>
      </c>
      <c r="N1127" s="182">
        <v>6.0400000000000004E-4</v>
      </c>
      <c r="O1127" s="182">
        <v>6.0400000000000004E-4</v>
      </c>
      <c r="P1127" s="182">
        <v>6.0400000000000004E-4</v>
      </c>
      <c r="R1127" s="155" t="str">
        <f t="shared" si="52"/>
        <v>A0714:エルメック(株)</v>
      </c>
      <c r="S1127" s="181">
        <f t="shared" si="53"/>
        <v>6.0400000000000004E-4</v>
      </c>
    </row>
    <row r="1128" spans="2:19">
      <c r="B1128" s="121"/>
      <c r="C1128" s="490"/>
      <c r="D1128" s="490" t="str">
        <f t="shared" si="51"/>
        <v/>
      </c>
      <c r="I1128" s="125" t="s">
        <v>1390</v>
      </c>
      <c r="J1128" s="125" t="s">
        <v>1900</v>
      </c>
      <c r="K1128" s="125"/>
      <c r="L1128" s="125">
        <v>4.4099999999999999E-4</v>
      </c>
      <c r="M1128" s="182">
        <v>4.4099999999999999E-4</v>
      </c>
      <c r="N1128" s="182">
        <v>4.4099999999999999E-4</v>
      </c>
      <c r="O1128" s="182">
        <v>4.4099999999999999E-4</v>
      </c>
      <c r="P1128" s="182">
        <v>4.4099999999999999E-4</v>
      </c>
      <c r="R1128" s="155" t="str">
        <f t="shared" si="52"/>
        <v>A0715:(株)オズエナジー</v>
      </c>
      <c r="S1128" s="181">
        <f t="shared" si="53"/>
        <v>4.4099999999999999E-4</v>
      </c>
    </row>
    <row r="1129" spans="2:19">
      <c r="B1129" s="121"/>
      <c r="C1129" s="490"/>
      <c r="D1129" s="490" t="str">
        <f t="shared" si="51"/>
        <v/>
      </c>
      <c r="I1129" s="125" t="s">
        <v>1391</v>
      </c>
      <c r="J1129" s="125" t="s">
        <v>1901</v>
      </c>
      <c r="K1129" s="125"/>
      <c r="L1129" s="125">
        <v>4.2700000000000002E-4</v>
      </c>
      <c r="M1129" s="182">
        <v>4.2700000000000002E-4</v>
      </c>
      <c r="N1129" s="182">
        <v>4.2700000000000002E-4</v>
      </c>
      <c r="O1129" s="182">
        <v>4.2700000000000002E-4</v>
      </c>
      <c r="P1129" s="182">
        <v>4.2700000000000002E-4</v>
      </c>
      <c r="R1129" s="155" t="str">
        <f t="shared" si="52"/>
        <v>A0716:レモンガス(株)</v>
      </c>
      <c r="S1129" s="181">
        <f t="shared" si="53"/>
        <v>4.2700000000000002E-4</v>
      </c>
    </row>
    <row r="1130" spans="2:19">
      <c r="B1130" s="121"/>
      <c r="C1130" s="490"/>
      <c r="D1130" s="490" t="str">
        <f t="shared" si="51"/>
        <v/>
      </c>
      <c r="I1130" s="125" t="s">
        <v>1392</v>
      </c>
      <c r="J1130" s="125" t="s">
        <v>1902</v>
      </c>
      <c r="K1130" s="125"/>
      <c r="L1130" s="125">
        <v>3.0600000000000001E-4</v>
      </c>
      <c r="M1130" s="182">
        <v>3.0600000000000001E-4</v>
      </c>
      <c r="N1130" s="182">
        <v>3.0600000000000001E-4</v>
      </c>
      <c r="O1130" s="182">
        <v>3.0600000000000001E-4</v>
      </c>
      <c r="P1130" s="182">
        <v>3.0600000000000001E-4</v>
      </c>
      <c r="R1130" s="155" t="str">
        <f t="shared" si="52"/>
        <v>A0718:(株)日本海水</v>
      </c>
      <c r="S1130" s="181">
        <f t="shared" si="53"/>
        <v>3.0600000000000001E-4</v>
      </c>
    </row>
    <row r="1131" spans="2:19">
      <c r="B1131" s="121"/>
      <c r="C1131" s="490"/>
      <c r="D1131" s="490" t="str">
        <f t="shared" si="51"/>
        <v/>
      </c>
      <c r="I1131" s="125" t="s">
        <v>1393</v>
      </c>
      <c r="J1131" s="125" t="s">
        <v>1903</v>
      </c>
      <c r="K1131" s="125" t="s">
        <v>652</v>
      </c>
      <c r="L1131" s="125">
        <v>0</v>
      </c>
      <c r="M1131" s="182">
        <v>0</v>
      </c>
      <c r="N1131" s="182">
        <v>0</v>
      </c>
      <c r="O1131" s="182">
        <v>0</v>
      </c>
      <c r="P1131" s="182">
        <v>0</v>
      </c>
      <c r="R1131" s="155" t="str">
        <f t="shared" si="52"/>
        <v>A0720:しろくま電力(株)メニューA</v>
      </c>
      <c r="S1131" s="181">
        <f t="shared" si="53"/>
        <v>0</v>
      </c>
    </row>
    <row r="1132" spans="2:19">
      <c r="B1132" s="121"/>
      <c r="C1132" s="490"/>
      <c r="D1132" s="490" t="str">
        <f t="shared" si="51"/>
        <v/>
      </c>
      <c r="I1132" s="125" t="s">
        <v>1393</v>
      </c>
      <c r="J1132" s="125" t="s">
        <v>1903</v>
      </c>
      <c r="K1132" s="125" t="s">
        <v>729</v>
      </c>
      <c r="L1132" s="125">
        <v>3.9899999999999999E-4</v>
      </c>
      <c r="M1132" s="182">
        <v>3.9899999999999999E-4</v>
      </c>
      <c r="N1132" s="182">
        <v>3.9899999999999999E-4</v>
      </c>
      <c r="O1132" s="182">
        <v>3.9899999999999999E-4</v>
      </c>
      <c r="P1132" s="182">
        <v>3.9899999999999999E-4</v>
      </c>
      <c r="R1132" s="155" t="str">
        <f t="shared" si="52"/>
        <v>A0720:しろくま電力(株)メニューB</v>
      </c>
      <c r="S1132" s="181">
        <f t="shared" si="53"/>
        <v>3.9899999999999999E-4</v>
      </c>
    </row>
    <row r="1133" spans="2:19">
      <c r="B1133" s="121"/>
      <c r="C1133" s="490"/>
      <c r="D1133" s="490" t="str">
        <f t="shared" si="51"/>
        <v/>
      </c>
      <c r="I1133" s="125" t="s">
        <v>1393</v>
      </c>
      <c r="J1133" s="125" t="s">
        <v>1903</v>
      </c>
      <c r="K1133" s="125" t="s">
        <v>730</v>
      </c>
      <c r="L1133" s="125">
        <v>5.3200000000000003E-4</v>
      </c>
      <c r="M1133" s="182">
        <v>5.3200000000000003E-4</v>
      </c>
      <c r="N1133" s="182">
        <v>5.3200000000000003E-4</v>
      </c>
      <c r="O1133" s="182">
        <v>5.3200000000000003E-4</v>
      </c>
      <c r="P1133" s="182">
        <v>5.3200000000000003E-4</v>
      </c>
      <c r="R1133" s="155" t="str">
        <f t="shared" si="52"/>
        <v>A0720:しろくま電力(株)メニューC</v>
      </c>
      <c r="S1133" s="181">
        <f t="shared" si="53"/>
        <v>5.3200000000000003E-4</v>
      </c>
    </row>
    <row r="1134" spans="2:19">
      <c r="B1134" s="121"/>
      <c r="C1134" s="490"/>
      <c r="D1134" s="490" t="str">
        <f t="shared" ref="D1134:D1197" si="54">IF(B1134="","",B1134&amp;":"&amp;C1134)</f>
        <v/>
      </c>
      <c r="I1134" s="125" t="s">
        <v>1393</v>
      </c>
      <c r="J1134" s="125" t="s">
        <v>1903</v>
      </c>
      <c r="K1134" s="125" t="s">
        <v>1998</v>
      </c>
      <c r="L1134" s="125">
        <v>1.5699999999999999E-4</v>
      </c>
      <c r="M1134" s="182">
        <v>1.5699999999999999E-4</v>
      </c>
      <c r="N1134" s="182">
        <v>1.5699999999999999E-4</v>
      </c>
      <c r="O1134" s="182">
        <v>1.5699999999999999E-4</v>
      </c>
      <c r="P1134" s="182">
        <v>1.5699999999999999E-4</v>
      </c>
      <c r="R1134" s="155" t="str">
        <f t="shared" si="52"/>
        <v>A0720:しろくま電力(株)(参考値)事業者全体</v>
      </c>
      <c r="S1134" s="181">
        <f t="shared" si="53"/>
        <v>1.5699999999999999E-4</v>
      </c>
    </row>
    <row r="1135" spans="2:19">
      <c r="B1135" s="121"/>
      <c r="C1135" s="490"/>
      <c r="D1135" s="490" t="str">
        <f t="shared" si="54"/>
        <v/>
      </c>
      <c r="I1135" s="125" t="s">
        <v>1394</v>
      </c>
      <c r="J1135" s="125" t="s">
        <v>1904</v>
      </c>
      <c r="K1135" s="125"/>
      <c r="L1135" s="125">
        <v>4.8899999999999996E-4</v>
      </c>
      <c r="M1135" s="182">
        <v>4.8899999999999996E-4</v>
      </c>
      <c r="N1135" s="182">
        <v>4.8899999999999996E-4</v>
      </c>
      <c r="O1135" s="182">
        <v>4.8899999999999996E-4</v>
      </c>
      <c r="P1135" s="182">
        <v>4.8899999999999996E-4</v>
      </c>
      <c r="R1135" s="155" t="str">
        <f t="shared" si="52"/>
        <v>A0721:中小企業支援(株)</v>
      </c>
      <c r="S1135" s="181">
        <f t="shared" si="53"/>
        <v>4.8899999999999996E-4</v>
      </c>
    </row>
    <row r="1136" spans="2:19">
      <c r="B1136" s="121"/>
      <c r="C1136" s="490"/>
      <c r="D1136" s="490" t="str">
        <f t="shared" si="54"/>
        <v/>
      </c>
      <c r="I1136" s="125" t="s">
        <v>1395</v>
      </c>
      <c r="J1136" s="125" t="s">
        <v>1905</v>
      </c>
      <c r="K1136" s="125"/>
      <c r="L1136" s="125">
        <v>6.1799999999999995E-4</v>
      </c>
      <c r="M1136" s="182">
        <v>6.1799999999999995E-4</v>
      </c>
      <c r="N1136" s="182">
        <v>6.1799999999999995E-4</v>
      </c>
      <c r="O1136" s="182">
        <v>6.1799999999999995E-4</v>
      </c>
      <c r="P1136" s="182">
        <v>6.1799999999999995E-4</v>
      </c>
      <c r="R1136" s="155" t="str">
        <f t="shared" si="52"/>
        <v>A0722:サントラベラーズサービス有限会社</v>
      </c>
      <c r="S1136" s="181">
        <f t="shared" si="53"/>
        <v>6.1799999999999995E-4</v>
      </c>
    </row>
    <row r="1137" spans="2:19">
      <c r="B1137" s="121"/>
      <c r="C1137" s="490"/>
      <c r="D1137" s="490" t="str">
        <f t="shared" si="54"/>
        <v/>
      </c>
      <c r="I1137" s="125" t="s">
        <v>1396</v>
      </c>
      <c r="J1137" s="125" t="s">
        <v>1906</v>
      </c>
      <c r="K1137" s="125"/>
      <c r="L1137" s="125">
        <v>3.8299999999999999E-4</v>
      </c>
      <c r="M1137" s="182">
        <v>3.8299999999999999E-4</v>
      </c>
      <c r="N1137" s="182">
        <v>3.8299999999999999E-4</v>
      </c>
      <c r="O1137" s="182">
        <v>3.8299999999999999E-4</v>
      </c>
      <c r="P1137" s="182">
        <v>3.8299999999999999E-4</v>
      </c>
      <c r="R1137" s="155" t="str">
        <f t="shared" si="52"/>
        <v>A0726:八千代エンジニヤリング(株)</v>
      </c>
      <c r="S1137" s="181">
        <f t="shared" si="53"/>
        <v>3.8299999999999999E-4</v>
      </c>
    </row>
    <row r="1138" spans="2:19">
      <c r="B1138" s="121"/>
      <c r="C1138" s="490"/>
      <c r="D1138" s="490" t="str">
        <f t="shared" si="54"/>
        <v/>
      </c>
      <c r="I1138" s="125" t="s">
        <v>1397</v>
      </c>
      <c r="J1138" s="125" t="s">
        <v>1907</v>
      </c>
      <c r="K1138" s="125" t="s">
        <v>652</v>
      </c>
      <c r="L1138" s="125">
        <v>0</v>
      </c>
      <c r="M1138" s="182">
        <v>0</v>
      </c>
      <c r="N1138" s="182">
        <v>0</v>
      </c>
      <c r="O1138" s="182">
        <v>0</v>
      </c>
      <c r="P1138" s="182">
        <v>0</v>
      </c>
      <c r="R1138" s="155" t="str">
        <f t="shared" si="52"/>
        <v>A0729:神楽電力(株)メニューA</v>
      </c>
      <c r="S1138" s="181">
        <f t="shared" si="53"/>
        <v>0</v>
      </c>
    </row>
    <row r="1139" spans="2:19">
      <c r="B1139" s="121"/>
      <c r="C1139" s="490"/>
      <c r="D1139" s="490" t="str">
        <f t="shared" si="54"/>
        <v/>
      </c>
      <c r="I1139" s="125" t="s">
        <v>1397</v>
      </c>
      <c r="J1139" s="125" t="s">
        <v>1907</v>
      </c>
      <c r="K1139" s="125" t="s">
        <v>729</v>
      </c>
      <c r="L1139" s="125">
        <v>0</v>
      </c>
      <c r="M1139" s="182">
        <v>0</v>
      </c>
      <c r="N1139" s="182">
        <v>0</v>
      </c>
      <c r="O1139" s="182">
        <v>0</v>
      </c>
      <c r="P1139" s="182">
        <v>0</v>
      </c>
      <c r="R1139" s="155" t="str">
        <f t="shared" si="52"/>
        <v>A0729:神楽電力(株)メニューB</v>
      </c>
      <c r="S1139" s="181">
        <f t="shared" si="53"/>
        <v>0</v>
      </c>
    </row>
    <row r="1140" spans="2:19">
      <c r="B1140" s="121"/>
      <c r="C1140" s="490"/>
      <c r="D1140" s="490" t="str">
        <f t="shared" si="54"/>
        <v/>
      </c>
      <c r="I1140" s="125" t="s">
        <v>1397</v>
      </c>
      <c r="J1140" s="125" t="s">
        <v>1907</v>
      </c>
      <c r="K1140" s="125" t="s">
        <v>730</v>
      </c>
      <c r="L1140" s="125">
        <v>5.9400000000000002E-4</v>
      </c>
      <c r="M1140" s="182">
        <v>5.9400000000000002E-4</v>
      </c>
      <c r="N1140" s="182">
        <v>5.9400000000000002E-4</v>
      </c>
      <c r="O1140" s="182">
        <v>5.9400000000000002E-4</v>
      </c>
      <c r="P1140" s="182">
        <v>5.9400000000000002E-4</v>
      </c>
      <c r="R1140" s="155" t="str">
        <f t="shared" si="52"/>
        <v>A0729:神楽電力(株)メニューC</v>
      </c>
      <c r="S1140" s="181">
        <f t="shared" si="53"/>
        <v>5.9400000000000002E-4</v>
      </c>
    </row>
    <row r="1141" spans="2:19">
      <c r="B1141" s="121"/>
      <c r="C1141" s="490"/>
      <c r="D1141" s="490" t="str">
        <f t="shared" si="54"/>
        <v/>
      </c>
      <c r="I1141" s="125" t="s">
        <v>1397</v>
      </c>
      <c r="J1141" s="125" t="s">
        <v>1907</v>
      </c>
      <c r="K1141" s="125" t="s">
        <v>1998</v>
      </c>
      <c r="L1141" s="125">
        <v>2.0799999999999999E-4</v>
      </c>
      <c r="M1141" s="182">
        <v>2.0799999999999999E-4</v>
      </c>
      <c r="N1141" s="182">
        <v>2.0799999999999999E-4</v>
      </c>
      <c r="O1141" s="182">
        <v>2.0799999999999999E-4</v>
      </c>
      <c r="P1141" s="182">
        <v>2.0799999999999999E-4</v>
      </c>
      <c r="R1141" s="155" t="str">
        <f t="shared" si="52"/>
        <v>A0729:神楽電力(株)(参考値)事業者全体</v>
      </c>
      <c r="S1141" s="181">
        <f t="shared" si="53"/>
        <v>2.0799999999999999E-4</v>
      </c>
    </row>
    <row r="1142" spans="2:19">
      <c r="B1142" s="121"/>
      <c r="C1142" s="490"/>
      <c r="D1142" s="490" t="str">
        <f t="shared" si="54"/>
        <v/>
      </c>
      <c r="I1142" s="125" t="s">
        <v>1398</v>
      </c>
      <c r="J1142" s="125" t="s">
        <v>1908</v>
      </c>
      <c r="K1142" s="125"/>
      <c r="L1142" s="125">
        <v>4.3300000000000001E-4</v>
      </c>
      <c r="M1142" s="182">
        <v>4.3300000000000001E-4</v>
      </c>
      <c r="N1142" s="182">
        <v>4.3300000000000001E-4</v>
      </c>
      <c r="O1142" s="182">
        <v>4.3300000000000001E-4</v>
      </c>
      <c r="P1142" s="182">
        <v>4.3300000000000001E-4</v>
      </c>
      <c r="R1142" s="155" t="str">
        <f t="shared" si="52"/>
        <v>A0730:ゆきぐに新電力(株)</v>
      </c>
      <c r="S1142" s="181">
        <f t="shared" si="53"/>
        <v>4.3300000000000001E-4</v>
      </c>
    </row>
    <row r="1143" spans="2:19">
      <c r="B1143" s="121"/>
      <c r="C1143" s="490"/>
      <c r="D1143" s="490" t="str">
        <f t="shared" si="54"/>
        <v/>
      </c>
      <c r="I1143" s="125" t="s">
        <v>1399</v>
      </c>
      <c r="J1143" s="125" t="s">
        <v>1909</v>
      </c>
      <c r="K1143" s="125"/>
      <c r="L1143" s="125">
        <v>3.0000000000000001E-6</v>
      </c>
      <c r="M1143" s="182">
        <v>3.0000000000000001E-6</v>
      </c>
      <c r="N1143" s="182">
        <v>3.0000000000000001E-6</v>
      </c>
      <c r="O1143" s="182">
        <v>3.0000000000000001E-6</v>
      </c>
      <c r="P1143" s="182">
        <v>3.0000000000000001E-6</v>
      </c>
      <c r="R1143" s="155" t="str">
        <f t="shared" si="52"/>
        <v>A0732:(株)ながさきサステナエナジー</v>
      </c>
      <c r="S1143" s="181">
        <f t="shared" si="53"/>
        <v>3.0000000000000001E-6</v>
      </c>
    </row>
    <row r="1144" spans="2:19">
      <c r="B1144" s="121"/>
      <c r="C1144" s="490"/>
      <c r="D1144" s="490" t="str">
        <f t="shared" si="54"/>
        <v/>
      </c>
      <c r="I1144" s="125" t="s">
        <v>1400</v>
      </c>
      <c r="J1144" s="125" t="s">
        <v>1910</v>
      </c>
      <c r="K1144" s="125"/>
      <c r="L1144" s="125">
        <v>3.6299999999999999E-4</v>
      </c>
      <c r="M1144" s="182">
        <v>3.6299999999999999E-4</v>
      </c>
      <c r="N1144" s="182">
        <v>3.6299999999999999E-4</v>
      </c>
      <c r="O1144" s="182">
        <v>3.6299999999999999E-4</v>
      </c>
      <c r="P1144" s="182">
        <v>3.6299999999999999E-4</v>
      </c>
      <c r="R1144" s="155" t="str">
        <f t="shared" si="52"/>
        <v>A0733:葛尾創生電力(株)</v>
      </c>
      <c r="S1144" s="181">
        <f t="shared" si="53"/>
        <v>3.6299999999999999E-4</v>
      </c>
    </row>
    <row r="1145" spans="2:19">
      <c r="B1145" s="121"/>
      <c r="C1145" s="490"/>
      <c r="D1145" s="490" t="str">
        <f t="shared" si="54"/>
        <v/>
      </c>
      <c r="I1145" s="125" t="s">
        <v>1401</v>
      </c>
      <c r="J1145" s="125" t="s">
        <v>1911</v>
      </c>
      <c r="K1145" s="125" t="s">
        <v>652</v>
      </c>
      <c r="L1145" s="125">
        <v>0</v>
      </c>
      <c r="M1145" s="182">
        <v>0</v>
      </c>
      <c r="N1145" s="182">
        <v>0</v>
      </c>
      <c r="O1145" s="182">
        <v>0</v>
      </c>
      <c r="P1145" s="182">
        <v>0</v>
      </c>
      <c r="R1145" s="155" t="str">
        <f t="shared" si="52"/>
        <v>A0737:(株)EFでんき(旧：(株)ライフエナジー)メニューA</v>
      </c>
      <c r="S1145" s="181">
        <f t="shared" si="53"/>
        <v>0</v>
      </c>
    </row>
    <row r="1146" spans="2:19">
      <c r="B1146" s="121"/>
      <c r="C1146" s="490"/>
      <c r="D1146" s="490" t="str">
        <f t="shared" si="54"/>
        <v/>
      </c>
      <c r="I1146" s="125" t="s">
        <v>1401</v>
      </c>
      <c r="J1146" s="125" t="s">
        <v>1911</v>
      </c>
      <c r="K1146" s="125" t="s">
        <v>729</v>
      </c>
      <c r="L1146" s="125">
        <v>1.2400000000000001E-4</v>
      </c>
      <c r="M1146" s="182">
        <v>1.2400000000000001E-4</v>
      </c>
      <c r="N1146" s="182">
        <v>1.2400000000000001E-4</v>
      </c>
      <c r="O1146" s="182">
        <v>1.2400000000000001E-4</v>
      </c>
      <c r="P1146" s="182">
        <v>1.2400000000000001E-4</v>
      </c>
      <c r="R1146" s="155" t="str">
        <f t="shared" si="52"/>
        <v>A0737:(株)EFでんき(旧：(株)ライフエナジー)メニューB</v>
      </c>
      <c r="S1146" s="181">
        <f t="shared" si="53"/>
        <v>1.2400000000000001E-4</v>
      </c>
    </row>
    <row r="1147" spans="2:19">
      <c r="B1147" s="121"/>
      <c r="C1147" s="490"/>
      <c r="D1147" s="490" t="str">
        <f t="shared" si="54"/>
        <v/>
      </c>
      <c r="I1147" s="125" t="s">
        <v>1401</v>
      </c>
      <c r="J1147" s="125" t="s">
        <v>1911</v>
      </c>
      <c r="K1147" s="125" t="s">
        <v>730</v>
      </c>
      <c r="L1147" s="125">
        <v>0</v>
      </c>
      <c r="M1147" s="182">
        <v>0</v>
      </c>
      <c r="N1147" s="182">
        <v>0</v>
      </c>
      <c r="O1147" s="182">
        <v>0</v>
      </c>
      <c r="P1147" s="182">
        <v>0</v>
      </c>
      <c r="R1147" s="155" t="str">
        <f t="shared" si="52"/>
        <v>A0737:(株)EFでんき(旧：(株)ライフエナジー)メニューC</v>
      </c>
      <c r="S1147" s="181">
        <f t="shared" si="53"/>
        <v>0</v>
      </c>
    </row>
    <row r="1148" spans="2:19">
      <c r="B1148" s="121"/>
      <c r="C1148" s="490"/>
      <c r="D1148" s="490" t="str">
        <f t="shared" si="54"/>
        <v/>
      </c>
      <c r="I1148" s="125" t="s">
        <v>1401</v>
      </c>
      <c r="J1148" s="125" t="s">
        <v>1911</v>
      </c>
      <c r="K1148" s="125" t="s">
        <v>1998</v>
      </c>
      <c r="L1148" s="125">
        <v>0</v>
      </c>
      <c r="M1148" s="182">
        <v>0</v>
      </c>
      <c r="N1148" s="182">
        <v>0</v>
      </c>
      <c r="O1148" s="182">
        <v>0</v>
      </c>
      <c r="P1148" s="182">
        <v>0</v>
      </c>
      <c r="R1148" s="155" t="str">
        <f t="shared" si="52"/>
        <v>A0737:(株)EFでんき(旧：(株)ライフエナジー)(参考値)事業者全体</v>
      </c>
      <c r="S1148" s="181">
        <f t="shared" si="53"/>
        <v>0</v>
      </c>
    </row>
    <row r="1149" spans="2:19">
      <c r="B1149" s="121"/>
      <c r="C1149" s="490"/>
      <c r="D1149" s="490" t="str">
        <f t="shared" si="54"/>
        <v/>
      </c>
      <c r="I1149" s="125" t="s">
        <v>1402</v>
      </c>
      <c r="J1149" s="125" t="s">
        <v>1912</v>
      </c>
      <c r="K1149" s="125"/>
      <c r="L1149" s="125">
        <v>4.2999999999999999E-4</v>
      </c>
      <c r="M1149" s="182">
        <v>4.2999999999999999E-4</v>
      </c>
      <c r="N1149" s="182">
        <v>4.2999999999999999E-4</v>
      </c>
      <c r="O1149" s="182">
        <v>4.2999999999999999E-4</v>
      </c>
      <c r="P1149" s="182">
        <v>4.2999999999999999E-4</v>
      </c>
      <c r="R1149" s="155" t="str">
        <f t="shared" si="52"/>
        <v>A0738:(株)グルーヴエナジー</v>
      </c>
      <c r="S1149" s="181">
        <f t="shared" si="53"/>
        <v>4.2999999999999999E-4</v>
      </c>
    </row>
    <row r="1150" spans="2:19">
      <c r="B1150" s="121"/>
      <c r="C1150" s="490"/>
      <c r="D1150" s="490" t="str">
        <f t="shared" si="54"/>
        <v/>
      </c>
      <c r="I1150" s="125" t="s">
        <v>1403</v>
      </c>
      <c r="J1150" s="125" t="s">
        <v>1913</v>
      </c>
      <c r="K1150" s="125"/>
      <c r="L1150" s="125">
        <v>5.1199999999999998E-4</v>
      </c>
      <c r="M1150" s="182">
        <v>5.1199999999999998E-4</v>
      </c>
      <c r="N1150" s="182">
        <v>5.1199999999999998E-4</v>
      </c>
      <c r="O1150" s="182">
        <v>5.1199999999999998E-4</v>
      </c>
      <c r="P1150" s="182">
        <v>5.1199999999999998E-4</v>
      </c>
      <c r="R1150" s="155" t="str">
        <f t="shared" si="52"/>
        <v>A0739:高知ニューエナジー(株)</v>
      </c>
      <c r="S1150" s="181">
        <f t="shared" si="53"/>
        <v>5.1199999999999998E-4</v>
      </c>
    </row>
    <row r="1151" spans="2:19">
      <c r="B1151" s="121"/>
      <c r="C1151" s="490"/>
      <c r="D1151" s="490" t="str">
        <f t="shared" si="54"/>
        <v/>
      </c>
      <c r="I1151" s="125" t="s">
        <v>1404</v>
      </c>
      <c r="J1151" s="125" t="s">
        <v>1914</v>
      </c>
      <c r="K1151" s="125"/>
      <c r="L1151" s="125">
        <v>4.64E-4</v>
      </c>
      <c r="M1151" s="182">
        <v>4.64E-4</v>
      </c>
      <c r="N1151" s="182">
        <v>4.64E-4</v>
      </c>
      <c r="O1151" s="182">
        <v>4.64E-4</v>
      </c>
      <c r="P1151" s="182">
        <v>4.64E-4</v>
      </c>
      <c r="R1151" s="155" t="str">
        <f t="shared" si="52"/>
        <v>A0740:もみじ電力(株)</v>
      </c>
      <c r="S1151" s="181">
        <f t="shared" si="53"/>
        <v>4.64E-4</v>
      </c>
    </row>
    <row r="1152" spans="2:19">
      <c r="B1152" s="121"/>
      <c r="C1152" s="490"/>
      <c r="D1152" s="490" t="str">
        <f t="shared" si="54"/>
        <v/>
      </c>
      <c r="I1152" s="125" t="s">
        <v>1405</v>
      </c>
      <c r="J1152" s="125" t="s">
        <v>1915</v>
      </c>
      <c r="K1152" s="125"/>
      <c r="L1152" s="125">
        <v>5.1199999999999998E-4</v>
      </c>
      <c r="M1152" s="182">
        <v>5.1199999999999998E-4</v>
      </c>
      <c r="N1152" s="182">
        <v>5.1199999999999998E-4</v>
      </c>
      <c r="O1152" s="182">
        <v>5.1199999999999998E-4</v>
      </c>
      <c r="P1152" s="182">
        <v>5.1199999999999998E-4</v>
      </c>
      <c r="R1152" s="155" t="str">
        <f t="shared" si="52"/>
        <v>A0742:(株)縁人</v>
      </c>
      <c r="S1152" s="181">
        <f t="shared" si="53"/>
        <v>5.1199999999999998E-4</v>
      </c>
    </row>
    <row r="1153" spans="2:19">
      <c r="B1153" s="121"/>
      <c r="C1153" s="490"/>
      <c r="D1153" s="490" t="str">
        <f t="shared" si="54"/>
        <v/>
      </c>
      <c r="I1153" s="125" t="s">
        <v>1406</v>
      </c>
      <c r="J1153" s="125" t="s">
        <v>1916</v>
      </c>
      <c r="K1153" s="125"/>
      <c r="L1153" s="125">
        <v>4.55E-4</v>
      </c>
      <c r="M1153" s="182">
        <v>4.55E-4</v>
      </c>
      <c r="N1153" s="182">
        <v>4.55E-4</v>
      </c>
      <c r="O1153" s="182">
        <v>4.55E-4</v>
      </c>
      <c r="P1153" s="182">
        <v>4.55E-4</v>
      </c>
      <c r="R1153" s="155" t="str">
        <f t="shared" si="52"/>
        <v>A0743:T＆Tエナジー(株)</v>
      </c>
      <c r="S1153" s="181">
        <f t="shared" si="53"/>
        <v>4.55E-4</v>
      </c>
    </row>
    <row r="1154" spans="2:19">
      <c r="B1154" s="121"/>
      <c r="C1154" s="490"/>
      <c r="D1154" s="490" t="str">
        <f t="shared" si="54"/>
        <v/>
      </c>
      <c r="I1154" s="125" t="s">
        <v>1407</v>
      </c>
      <c r="J1154" s="125" t="s">
        <v>1917</v>
      </c>
      <c r="K1154" s="125" t="s">
        <v>652</v>
      </c>
      <c r="L1154" s="125">
        <v>0</v>
      </c>
      <c r="M1154" s="182">
        <v>0</v>
      </c>
      <c r="N1154" s="182">
        <v>0</v>
      </c>
      <c r="O1154" s="182">
        <v>0</v>
      </c>
      <c r="P1154" s="182">
        <v>0</v>
      </c>
      <c r="R1154" s="155" t="str">
        <f t="shared" si="52"/>
        <v>A0744:(株)ルークメニューA</v>
      </c>
      <c r="S1154" s="181">
        <f t="shared" si="53"/>
        <v>0</v>
      </c>
    </row>
    <row r="1155" spans="2:19">
      <c r="B1155" s="121"/>
      <c r="C1155" s="490"/>
      <c r="D1155" s="490" t="str">
        <f t="shared" si="54"/>
        <v/>
      </c>
      <c r="I1155" s="125" t="s">
        <v>1407</v>
      </c>
      <c r="J1155" s="125" t="s">
        <v>1917</v>
      </c>
      <c r="K1155" s="125" t="s">
        <v>729</v>
      </c>
      <c r="L1155" s="125">
        <v>4.2999999999999999E-4</v>
      </c>
      <c r="M1155" s="182">
        <v>4.2999999999999999E-4</v>
      </c>
      <c r="N1155" s="182">
        <v>4.2999999999999999E-4</v>
      </c>
      <c r="O1155" s="182">
        <v>4.2999999999999999E-4</v>
      </c>
      <c r="P1155" s="182">
        <v>4.2999999999999999E-4</v>
      </c>
      <c r="R1155" s="155" t="str">
        <f t="shared" si="52"/>
        <v>A0744:(株)ルークメニューB</v>
      </c>
      <c r="S1155" s="181">
        <f t="shared" si="53"/>
        <v>4.2999999999999999E-4</v>
      </c>
    </row>
    <row r="1156" spans="2:19">
      <c r="B1156" s="121"/>
      <c r="C1156" s="490"/>
      <c r="D1156" s="490" t="str">
        <f t="shared" si="54"/>
        <v/>
      </c>
      <c r="I1156" s="125" t="s">
        <v>1407</v>
      </c>
      <c r="J1156" s="125" t="s">
        <v>1917</v>
      </c>
      <c r="K1156" s="125" t="s">
        <v>1998</v>
      </c>
      <c r="L1156" s="125">
        <v>4.0900000000000002E-4</v>
      </c>
      <c r="M1156" s="182">
        <v>4.0900000000000002E-4</v>
      </c>
      <c r="N1156" s="182">
        <v>4.0900000000000002E-4</v>
      </c>
      <c r="O1156" s="182">
        <v>4.0900000000000002E-4</v>
      </c>
      <c r="P1156" s="182">
        <v>4.0900000000000002E-4</v>
      </c>
      <c r="R1156" s="155" t="str">
        <f t="shared" si="52"/>
        <v>A0744:(株)ルーク(参考値)事業者全体</v>
      </c>
      <c r="S1156" s="181">
        <f t="shared" si="53"/>
        <v>4.0900000000000002E-4</v>
      </c>
    </row>
    <row r="1157" spans="2:19">
      <c r="B1157" s="121"/>
      <c r="C1157" s="490"/>
      <c r="D1157" s="490" t="str">
        <f t="shared" si="54"/>
        <v/>
      </c>
      <c r="I1157" s="125" t="s">
        <v>1408</v>
      </c>
      <c r="J1157" s="125" t="s">
        <v>1918</v>
      </c>
      <c r="K1157" s="125"/>
      <c r="L1157" s="125">
        <v>0</v>
      </c>
      <c r="M1157" s="182">
        <v>0</v>
      </c>
      <c r="N1157" s="182">
        <v>0</v>
      </c>
      <c r="O1157" s="182">
        <v>0</v>
      </c>
      <c r="P1157" s="182">
        <v>0</v>
      </c>
      <c r="R1157" s="155" t="str">
        <f t="shared" ref="R1157:R1220" si="55">I1157&amp;":"&amp;J1157&amp;K1157</f>
        <v>A0746:かけがわ報徳パワー(株)</v>
      </c>
      <c r="S1157" s="181">
        <f t="shared" si="53"/>
        <v>0</v>
      </c>
    </row>
    <row r="1158" spans="2:19">
      <c r="B1158" s="121"/>
      <c r="C1158" s="490"/>
      <c r="D1158" s="490" t="str">
        <f t="shared" si="54"/>
        <v/>
      </c>
      <c r="I1158" s="125" t="s">
        <v>1409</v>
      </c>
      <c r="J1158" s="125" t="s">
        <v>1919</v>
      </c>
      <c r="K1158" s="125"/>
      <c r="L1158" s="125">
        <v>6.2100000000000002E-4</v>
      </c>
      <c r="M1158" s="182">
        <v>6.2100000000000002E-4</v>
      </c>
      <c r="N1158" s="182">
        <v>6.2100000000000002E-4</v>
      </c>
      <c r="O1158" s="182">
        <v>6.2100000000000002E-4</v>
      </c>
      <c r="P1158" s="182">
        <v>6.2100000000000002E-4</v>
      </c>
      <c r="R1158" s="155" t="str">
        <f t="shared" si="55"/>
        <v>A0747:SustainableEnergy(株)</v>
      </c>
      <c r="S1158" s="181">
        <f t="shared" si="53"/>
        <v>6.2100000000000002E-4</v>
      </c>
    </row>
    <row r="1159" spans="2:19">
      <c r="B1159" s="121"/>
      <c r="C1159" s="490"/>
      <c r="D1159" s="490" t="str">
        <f t="shared" si="54"/>
        <v/>
      </c>
      <c r="I1159" s="125" t="s">
        <v>1410</v>
      </c>
      <c r="J1159" s="125" t="s">
        <v>1920</v>
      </c>
      <c r="K1159" s="125"/>
      <c r="L1159" s="125">
        <v>2.4600000000000002E-4</v>
      </c>
      <c r="M1159" s="182">
        <v>2.4600000000000002E-4</v>
      </c>
      <c r="N1159" s="182">
        <v>2.4600000000000002E-4</v>
      </c>
      <c r="O1159" s="182">
        <v>2.4600000000000002E-4</v>
      </c>
      <c r="P1159" s="182">
        <v>2.4600000000000002E-4</v>
      </c>
      <c r="R1159" s="155" t="str">
        <f t="shared" si="55"/>
        <v>A0748:穂の国とよはし電力(株)</v>
      </c>
      <c r="S1159" s="181">
        <f t="shared" si="53"/>
        <v>2.4600000000000002E-4</v>
      </c>
    </row>
    <row r="1160" spans="2:19">
      <c r="B1160" s="121"/>
      <c r="C1160" s="490"/>
      <c r="D1160" s="490" t="str">
        <f t="shared" si="54"/>
        <v/>
      </c>
      <c r="I1160" s="125" t="s">
        <v>1411</v>
      </c>
      <c r="J1160" s="125" t="s">
        <v>1921</v>
      </c>
      <c r="K1160" s="125"/>
      <c r="L1160" s="125">
        <v>5.6499999999999996E-4</v>
      </c>
      <c r="M1160" s="182">
        <v>5.6499999999999996E-4</v>
      </c>
      <c r="N1160" s="182">
        <v>5.6499999999999996E-4</v>
      </c>
      <c r="O1160" s="182">
        <v>5.6499999999999996E-4</v>
      </c>
      <c r="P1160" s="182">
        <v>5.6499999999999996E-4</v>
      </c>
      <c r="R1160" s="155" t="str">
        <f t="shared" si="55"/>
        <v>A0752:イワタニセントラル北海道(株)</v>
      </c>
      <c r="S1160" s="181">
        <f t="shared" si="53"/>
        <v>5.6499999999999996E-4</v>
      </c>
    </row>
    <row r="1161" spans="2:19">
      <c r="B1161" s="121"/>
      <c r="C1161" s="490"/>
      <c r="D1161" s="490" t="str">
        <f t="shared" si="54"/>
        <v/>
      </c>
      <c r="I1161" s="125" t="s">
        <v>1412</v>
      </c>
      <c r="J1161" s="125" t="s">
        <v>1922</v>
      </c>
      <c r="K1161" s="125" t="s">
        <v>652</v>
      </c>
      <c r="L1161" s="125">
        <v>2.63E-4</v>
      </c>
      <c r="M1161" s="182">
        <v>2.63E-4</v>
      </c>
      <c r="N1161" s="182">
        <v>2.63E-4</v>
      </c>
      <c r="O1161" s="182">
        <v>2.63E-4</v>
      </c>
      <c r="P1161" s="182">
        <v>2.63E-4</v>
      </c>
      <c r="R1161" s="155" t="str">
        <f t="shared" si="55"/>
        <v>A0753:ホームタウンエナジー(株)メニューA</v>
      </c>
      <c r="S1161" s="181">
        <f t="shared" si="53"/>
        <v>2.63E-4</v>
      </c>
    </row>
    <row r="1162" spans="2:19">
      <c r="B1162" s="121"/>
      <c r="C1162" s="490"/>
      <c r="D1162" s="490" t="str">
        <f t="shared" si="54"/>
        <v/>
      </c>
      <c r="I1162" s="125" t="s">
        <v>1412</v>
      </c>
      <c r="J1162" s="125" t="s">
        <v>1922</v>
      </c>
      <c r="K1162" s="125" t="s">
        <v>729</v>
      </c>
      <c r="L1162" s="125">
        <v>5.7899999999999998E-4</v>
      </c>
      <c r="M1162" s="182">
        <v>5.7899999999999998E-4</v>
      </c>
      <c r="N1162" s="182">
        <v>5.7899999999999998E-4</v>
      </c>
      <c r="O1162" s="182">
        <v>5.7899999999999998E-4</v>
      </c>
      <c r="P1162" s="182">
        <v>5.7899999999999998E-4</v>
      </c>
      <c r="R1162" s="155" t="str">
        <f t="shared" si="55"/>
        <v>A0753:ホームタウンエナジー(株)メニューB</v>
      </c>
      <c r="S1162" s="181">
        <f t="shared" ref="S1162:S1225" si="56">HLOOKUP($S$8,$L$8:$P$2000,ROW()-7,FALSE)</f>
        <v>5.7899999999999998E-4</v>
      </c>
    </row>
    <row r="1163" spans="2:19">
      <c r="B1163" s="121"/>
      <c r="C1163" s="490"/>
      <c r="D1163" s="490" t="str">
        <f t="shared" si="54"/>
        <v/>
      </c>
      <c r="I1163" s="125" t="s">
        <v>1412</v>
      </c>
      <c r="J1163" s="125" t="s">
        <v>1922</v>
      </c>
      <c r="K1163" s="125" t="s">
        <v>1998</v>
      </c>
      <c r="L1163" s="125">
        <v>5.4600000000000004E-4</v>
      </c>
      <c r="M1163" s="182">
        <v>5.4600000000000004E-4</v>
      </c>
      <c r="N1163" s="182">
        <v>5.4600000000000004E-4</v>
      </c>
      <c r="O1163" s="182">
        <v>5.4600000000000004E-4</v>
      </c>
      <c r="P1163" s="182">
        <v>5.4600000000000004E-4</v>
      </c>
      <c r="R1163" s="155" t="str">
        <f t="shared" si="55"/>
        <v>A0753:ホームタウンエナジー(株)(参考値)事業者全体</v>
      </c>
      <c r="S1163" s="181">
        <f t="shared" si="56"/>
        <v>5.4600000000000004E-4</v>
      </c>
    </row>
    <row r="1164" spans="2:19">
      <c r="B1164" s="121"/>
      <c r="C1164" s="490"/>
      <c r="D1164" s="490" t="str">
        <f t="shared" si="54"/>
        <v/>
      </c>
      <c r="I1164" s="125" t="s">
        <v>1413</v>
      </c>
      <c r="J1164" s="125" t="s">
        <v>1923</v>
      </c>
      <c r="K1164" s="125"/>
      <c r="L1164" s="125">
        <v>6.6200000000000005E-4</v>
      </c>
      <c r="M1164" s="182">
        <v>6.6200000000000005E-4</v>
      </c>
      <c r="N1164" s="182">
        <v>6.6200000000000005E-4</v>
      </c>
      <c r="O1164" s="182">
        <v>6.6200000000000005E-4</v>
      </c>
      <c r="P1164" s="182">
        <v>6.6200000000000005E-4</v>
      </c>
      <c r="R1164" s="155" t="str">
        <f t="shared" si="55"/>
        <v>A0754:(株)彩の国でんき</v>
      </c>
      <c r="S1164" s="181">
        <f t="shared" si="56"/>
        <v>6.6200000000000005E-4</v>
      </c>
    </row>
    <row r="1165" spans="2:19">
      <c r="B1165" s="121"/>
      <c r="C1165" s="490"/>
      <c r="D1165" s="490" t="str">
        <f t="shared" si="54"/>
        <v/>
      </c>
      <c r="I1165" s="125" t="s">
        <v>1414</v>
      </c>
      <c r="J1165" s="125" t="s">
        <v>1924</v>
      </c>
      <c r="K1165" s="125"/>
      <c r="L1165" s="125">
        <v>5.8299999999999997E-4</v>
      </c>
      <c r="M1165" s="182">
        <v>5.8299999999999997E-4</v>
      </c>
      <c r="N1165" s="182">
        <v>5.8299999999999997E-4</v>
      </c>
      <c r="O1165" s="182">
        <v>5.8299999999999997E-4</v>
      </c>
      <c r="P1165" s="182">
        <v>5.8299999999999997E-4</v>
      </c>
      <c r="R1165" s="155" t="str">
        <f t="shared" si="55"/>
        <v>A0758:(株)みやきエネルギー</v>
      </c>
      <c r="S1165" s="181">
        <f t="shared" si="56"/>
        <v>5.8299999999999997E-4</v>
      </c>
    </row>
    <row r="1166" spans="2:19">
      <c r="B1166" s="121"/>
      <c r="C1166" s="490"/>
      <c r="D1166" s="490" t="str">
        <f t="shared" si="54"/>
        <v/>
      </c>
      <c r="I1166" s="125" t="s">
        <v>1415</v>
      </c>
      <c r="J1166" s="125" t="s">
        <v>1925</v>
      </c>
      <c r="K1166" s="125"/>
      <c r="L1166" s="125">
        <v>5.5400000000000002E-4</v>
      </c>
      <c r="M1166" s="182">
        <v>5.5400000000000002E-4</v>
      </c>
      <c r="N1166" s="182">
        <v>5.5400000000000002E-4</v>
      </c>
      <c r="O1166" s="182">
        <v>5.5400000000000002E-4</v>
      </c>
      <c r="P1166" s="182">
        <v>5.5400000000000002E-4</v>
      </c>
      <c r="R1166" s="155" t="str">
        <f t="shared" si="55"/>
        <v>A0759:(株)クリーンベンチャー21</v>
      </c>
      <c r="S1166" s="181">
        <f t="shared" si="56"/>
        <v>5.5400000000000002E-4</v>
      </c>
    </row>
    <row r="1167" spans="2:19">
      <c r="B1167" s="121"/>
      <c r="C1167" s="490"/>
      <c r="D1167" s="490" t="str">
        <f t="shared" si="54"/>
        <v/>
      </c>
      <c r="I1167" s="125" t="s">
        <v>1416</v>
      </c>
      <c r="J1167" s="125" t="s">
        <v>1926</v>
      </c>
      <c r="K1167" s="125"/>
      <c r="L1167" s="125">
        <v>6.0300000000000002E-4</v>
      </c>
      <c r="M1167" s="182">
        <v>6.0300000000000002E-4</v>
      </c>
      <c r="N1167" s="182">
        <v>6.0300000000000002E-4</v>
      </c>
      <c r="O1167" s="182">
        <v>6.0300000000000002E-4</v>
      </c>
      <c r="P1167" s="182">
        <v>6.0300000000000002E-4</v>
      </c>
      <c r="R1167" s="155" t="str">
        <f t="shared" si="55"/>
        <v>A0760:三河商事(株)</v>
      </c>
      <c r="S1167" s="181">
        <f t="shared" si="56"/>
        <v>6.0300000000000002E-4</v>
      </c>
    </row>
    <row r="1168" spans="2:19">
      <c r="B1168" s="121"/>
      <c r="C1168" s="490"/>
      <c r="D1168" s="490" t="str">
        <f t="shared" si="54"/>
        <v/>
      </c>
      <c r="I1168" s="125" t="s">
        <v>1417</v>
      </c>
      <c r="J1168" s="125" t="s">
        <v>1927</v>
      </c>
      <c r="K1168" s="125"/>
      <c r="L1168" s="125">
        <v>5.8100000000000003E-4</v>
      </c>
      <c r="M1168" s="182">
        <v>5.8100000000000003E-4</v>
      </c>
      <c r="N1168" s="182">
        <v>5.8100000000000003E-4</v>
      </c>
      <c r="O1168" s="182">
        <v>5.8100000000000003E-4</v>
      </c>
      <c r="P1168" s="182">
        <v>5.8100000000000003E-4</v>
      </c>
      <c r="R1168" s="155" t="str">
        <f t="shared" si="55"/>
        <v>A0764:沖縄新エネ開発(株)</v>
      </c>
      <c r="S1168" s="181">
        <f t="shared" si="56"/>
        <v>5.8100000000000003E-4</v>
      </c>
    </row>
    <row r="1169" spans="2:19">
      <c r="B1169" s="121"/>
      <c r="C1169" s="490"/>
      <c r="D1169" s="490" t="str">
        <f t="shared" si="54"/>
        <v/>
      </c>
      <c r="I1169" s="125" t="s">
        <v>1418</v>
      </c>
      <c r="J1169" s="125" t="s">
        <v>1928</v>
      </c>
      <c r="K1169" s="125"/>
      <c r="L1169" s="125">
        <v>4.0099999999999999E-4</v>
      </c>
      <c r="M1169" s="182">
        <v>4.0099999999999999E-4</v>
      </c>
      <c r="N1169" s="182">
        <v>4.0099999999999999E-4</v>
      </c>
      <c r="O1169" s="182">
        <v>4.0099999999999999E-4</v>
      </c>
      <c r="P1169" s="182">
        <v>4.0099999999999999E-4</v>
      </c>
      <c r="R1169" s="155" t="str">
        <f t="shared" si="55"/>
        <v>A0770:(株)ほくだん</v>
      </c>
      <c r="S1169" s="181">
        <f t="shared" si="56"/>
        <v>4.0099999999999999E-4</v>
      </c>
    </row>
    <row r="1170" spans="2:19">
      <c r="B1170" s="121"/>
      <c r="C1170" s="490"/>
      <c r="D1170" s="490" t="str">
        <f t="shared" si="54"/>
        <v/>
      </c>
      <c r="I1170" s="125" t="s">
        <v>1419</v>
      </c>
      <c r="J1170" s="125" t="s">
        <v>1929</v>
      </c>
      <c r="K1170" s="125"/>
      <c r="L1170" s="125">
        <v>4.06E-4</v>
      </c>
      <c r="M1170" s="182">
        <v>4.06E-4</v>
      </c>
      <c r="N1170" s="182">
        <v>4.06E-4</v>
      </c>
      <c r="O1170" s="182">
        <v>4.06E-4</v>
      </c>
      <c r="P1170" s="182">
        <v>4.06E-4</v>
      </c>
      <c r="R1170" s="155" t="str">
        <f t="shared" si="55"/>
        <v>A0772:(株)エスコ</v>
      </c>
      <c r="S1170" s="181">
        <f t="shared" si="56"/>
        <v>4.06E-4</v>
      </c>
    </row>
    <row r="1171" spans="2:19">
      <c r="B1171" s="121"/>
      <c r="C1171" s="490"/>
      <c r="D1171" s="490" t="str">
        <f t="shared" si="54"/>
        <v/>
      </c>
      <c r="I1171" s="125" t="s">
        <v>1420</v>
      </c>
      <c r="J1171" s="125" t="s">
        <v>1930</v>
      </c>
      <c r="K1171" s="125"/>
      <c r="L1171" s="125">
        <v>3.88E-4</v>
      </c>
      <c r="M1171" s="182">
        <v>3.88E-4</v>
      </c>
      <c r="N1171" s="182">
        <v>3.88E-4</v>
      </c>
      <c r="O1171" s="182">
        <v>3.88E-4</v>
      </c>
      <c r="P1171" s="182">
        <v>3.88E-4</v>
      </c>
      <c r="R1171" s="155" t="str">
        <f t="shared" si="55"/>
        <v>A0773:(株)Qvou</v>
      </c>
      <c r="S1171" s="181">
        <f t="shared" si="56"/>
        <v>3.88E-4</v>
      </c>
    </row>
    <row r="1172" spans="2:19">
      <c r="B1172" s="121"/>
      <c r="C1172" s="490"/>
      <c r="D1172" s="490" t="str">
        <f t="shared" si="54"/>
        <v/>
      </c>
      <c r="I1172" s="125" t="s">
        <v>1421</v>
      </c>
      <c r="J1172" s="125" t="s">
        <v>1931</v>
      </c>
      <c r="K1172" s="125" t="s">
        <v>652</v>
      </c>
      <c r="L1172" s="125">
        <v>0</v>
      </c>
      <c r="M1172" s="182">
        <v>0</v>
      </c>
      <c r="N1172" s="182">
        <v>0</v>
      </c>
      <c r="O1172" s="182">
        <v>0</v>
      </c>
      <c r="P1172" s="182">
        <v>0</v>
      </c>
      <c r="R1172" s="155" t="str">
        <f t="shared" si="55"/>
        <v>A0777:住友商事(株)メニューA</v>
      </c>
      <c r="S1172" s="181">
        <f t="shared" si="56"/>
        <v>0</v>
      </c>
    </row>
    <row r="1173" spans="2:19">
      <c r="B1173" s="121"/>
      <c r="C1173" s="490"/>
      <c r="D1173" s="490" t="str">
        <f t="shared" si="54"/>
        <v/>
      </c>
      <c r="I1173" s="125" t="s">
        <v>1421</v>
      </c>
      <c r="J1173" s="125" t="s">
        <v>1931</v>
      </c>
      <c r="K1173" s="125" t="s">
        <v>729</v>
      </c>
      <c r="L1173" s="125">
        <v>3.77E-4</v>
      </c>
      <c r="M1173" s="182">
        <v>3.77E-4</v>
      </c>
      <c r="N1173" s="182">
        <v>3.77E-4</v>
      </c>
      <c r="O1173" s="182">
        <v>3.77E-4</v>
      </c>
      <c r="P1173" s="182">
        <v>3.77E-4</v>
      </c>
      <c r="R1173" s="155" t="str">
        <f t="shared" si="55"/>
        <v>A0777:住友商事(株)メニューB</v>
      </c>
      <c r="S1173" s="181">
        <f t="shared" si="56"/>
        <v>3.77E-4</v>
      </c>
    </row>
    <row r="1174" spans="2:19">
      <c r="B1174" s="121"/>
      <c r="C1174" s="490"/>
      <c r="D1174" s="490" t="str">
        <f t="shared" si="54"/>
        <v/>
      </c>
      <c r="I1174" s="125" t="s">
        <v>1421</v>
      </c>
      <c r="J1174" s="125" t="s">
        <v>1931</v>
      </c>
      <c r="K1174" s="125" t="s">
        <v>1998</v>
      </c>
      <c r="L1174" s="125">
        <v>3.6999999999999999E-4</v>
      </c>
      <c r="M1174" s="182">
        <v>3.6999999999999999E-4</v>
      </c>
      <c r="N1174" s="182">
        <v>3.6999999999999999E-4</v>
      </c>
      <c r="O1174" s="182">
        <v>3.6999999999999999E-4</v>
      </c>
      <c r="P1174" s="182">
        <v>3.6999999999999999E-4</v>
      </c>
      <c r="R1174" s="155" t="str">
        <f t="shared" si="55"/>
        <v>A0777:住友商事(株)(参考値)事業者全体</v>
      </c>
      <c r="S1174" s="181">
        <f t="shared" si="56"/>
        <v>3.6999999999999999E-4</v>
      </c>
    </row>
    <row r="1175" spans="2:19">
      <c r="B1175" s="121"/>
      <c r="C1175" s="490"/>
      <c r="D1175" s="490" t="str">
        <f t="shared" si="54"/>
        <v/>
      </c>
      <c r="I1175" s="125" t="s">
        <v>1422</v>
      </c>
      <c r="J1175" s="125" t="s">
        <v>1932</v>
      </c>
      <c r="K1175" s="125"/>
      <c r="L1175" s="125">
        <v>6.2699999999999995E-4</v>
      </c>
      <c r="M1175" s="182">
        <v>6.2699999999999995E-4</v>
      </c>
      <c r="N1175" s="182">
        <v>6.2699999999999995E-4</v>
      </c>
      <c r="O1175" s="182">
        <v>6.2699999999999995E-4</v>
      </c>
      <c r="P1175" s="182">
        <v>6.2699999999999995E-4</v>
      </c>
      <c r="R1175" s="155" t="str">
        <f t="shared" si="55"/>
        <v>A0781:(株)丸の内電力</v>
      </c>
      <c r="S1175" s="181">
        <f t="shared" si="56"/>
        <v>6.2699999999999995E-4</v>
      </c>
    </row>
    <row r="1176" spans="2:19">
      <c r="B1176" s="121"/>
      <c r="C1176" s="490"/>
      <c r="D1176" s="490" t="str">
        <f t="shared" si="54"/>
        <v/>
      </c>
      <c r="I1176" s="125" t="s">
        <v>1423</v>
      </c>
      <c r="J1176" s="125" t="s">
        <v>1933</v>
      </c>
      <c r="K1176" s="125"/>
      <c r="L1176" s="125">
        <v>4.6799999999999999E-4</v>
      </c>
      <c r="M1176" s="182">
        <v>4.6799999999999999E-4</v>
      </c>
      <c r="N1176" s="182">
        <v>4.6799999999999999E-4</v>
      </c>
      <c r="O1176" s="182">
        <v>4.6799999999999999E-4</v>
      </c>
      <c r="P1176" s="182">
        <v>4.6799999999999999E-4</v>
      </c>
      <c r="R1176" s="155" t="str">
        <f t="shared" si="55"/>
        <v>A0783:(株)中京電力</v>
      </c>
      <c r="S1176" s="181">
        <f t="shared" si="56"/>
        <v>4.6799999999999999E-4</v>
      </c>
    </row>
    <row r="1177" spans="2:19">
      <c r="B1177" s="121"/>
      <c r="C1177" s="490"/>
      <c r="D1177" s="490" t="str">
        <f t="shared" si="54"/>
        <v/>
      </c>
      <c r="I1177" s="125" t="s">
        <v>1424</v>
      </c>
      <c r="J1177" s="125" t="s">
        <v>1934</v>
      </c>
      <c r="K1177" s="125"/>
      <c r="L1177" s="125">
        <v>4.7600000000000002E-4</v>
      </c>
      <c r="M1177" s="182">
        <v>4.7600000000000002E-4</v>
      </c>
      <c r="N1177" s="182">
        <v>4.7600000000000002E-4</v>
      </c>
      <c r="O1177" s="182">
        <v>4.7600000000000002E-4</v>
      </c>
      <c r="P1177" s="182">
        <v>4.7600000000000002E-4</v>
      </c>
      <c r="R1177" s="155" t="str">
        <f t="shared" si="55"/>
        <v>A0785:(株)クオリティプラス</v>
      </c>
      <c r="S1177" s="181">
        <f t="shared" si="56"/>
        <v>4.7600000000000002E-4</v>
      </c>
    </row>
    <row r="1178" spans="2:19">
      <c r="B1178" s="121"/>
      <c r="C1178" s="490"/>
      <c r="D1178" s="490" t="str">
        <f t="shared" si="54"/>
        <v/>
      </c>
      <c r="I1178" s="125" t="s">
        <v>1425</v>
      </c>
      <c r="J1178" s="125" t="s">
        <v>1935</v>
      </c>
      <c r="K1178" s="125" t="s">
        <v>652</v>
      </c>
      <c r="L1178" s="125">
        <v>4.0999999999999999E-4</v>
      </c>
      <c r="M1178" s="182">
        <v>4.0999999999999999E-4</v>
      </c>
      <c r="N1178" s="182">
        <v>4.0999999999999999E-4</v>
      </c>
      <c r="O1178" s="182">
        <v>4.0999999999999999E-4</v>
      </c>
      <c r="P1178" s="182">
        <v>4.0999999999999999E-4</v>
      </c>
      <c r="R1178" s="155" t="str">
        <f t="shared" si="55"/>
        <v>A0786:Y.W.C.(株)メニューA</v>
      </c>
      <c r="S1178" s="181">
        <f t="shared" si="56"/>
        <v>4.0999999999999999E-4</v>
      </c>
    </row>
    <row r="1179" spans="2:19">
      <c r="B1179" s="121"/>
      <c r="C1179" s="490"/>
      <c r="D1179" s="490" t="str">
        <f t="shared" si="54"/>
        <v/>
      </c>
      <c r="I1179" s="125" t="s">
        <v>1425</v>
      </c>
      <c r="J1179" s="125" t="s">
        <v>1935</v>
      </c>
      <c r="K1179" s="125" t="s">
        <v>729</v>
      </c>
      <c r="L1179" s="125">
        <v>4.2499999999999998E-4</v>
      </c>
      <c r="M1179" s="182">
        <v>4.2499999999999998E-4</v>
      </c>
      <c r="N1179" s="182">
        <v>4.2499999999999998E-4</v>
      </c>
      <c r="O1179" s="182">
        <v>4.2499999999999998E-4</v>
      </c>
      <c r="P1179" s="182">
        <v>4.2499999999999998E-4</v>
      </c>
      <c r="R1179" s="155" t="str">
        <f t="shared" si="55"/>
        <v>A0786:Y.W.C.(株)メニューB</v>
      </c>
      <c r="S1179" s="181">
        <f t="shared" si="56"/>
        <v>4.2499999999999998E-4</v>
      </c>
    </row>
    <row r="1180" spans="2:19">
      <c r="B1180" s="121"/>
      <c r="C1180" s="490"/>
      <c r="D1180" s="490" t="str">
        <f t="shared" si="54"/>
        <v/>
      </c>
      <c r="I1180" s="125" t="s">
        <v>1425</v>
      </c>
      <c r="J1180" s="125" t="s">
        <v>1935</v>
      </c>
      <c r="K1180" s="125" t="s">
        <v>1998</v>
      </c>
      <c r="L1180" s="125">
        <v>4.2099999999999999E-4</v>
      </c>
      <c r="M1180" s="182">
        <v>4.2099999999999999E-4</v>
      </c>
      <c r="N1180" s="182">
        <v>4.2099999999999999E-4</v>
      </c>
      <c r="O1180" s="182">
        <v>4.2099999999999999E-4</v>
      </c>
      <c r="P1180" s="182">
        <v>4.2099999999999999E-4</v>
      </c>
      <c r="R1180" s="155" t="str">
        <f t="shared" si="55"/>
        <v>A0786:Y.W.C.(株)(参考値)事業者全体</v>
      </c>
      <c r="S1180" s="181">
        <f t="shared" si="56"/>
        <v>4.2099999999999999E-4</v>
      </c>
    </row>
    <row r="1181" spans="2:19">
      <c r="B1181" s="121"/>
      <c r="C1181" s="490"/>
      <c r="D1181" s="490" t="str">
        <f t="shared" si="54"/>
        <v/>
      </c>
      <c r="I1181" s="125" t="s">
        <v>1426</v>
      </c>
      <c r="J1181" s="125" t="s">
        <v>1936</v>
      </c>
      <c r="K1181" s="125"/>
      <c r="L1181" s="125">
        <v>6.2299999999999996E-4</v>
      </c>
      <c r="M1181" s="182">
        <v>6.2299999999999996E-4</v>
      </c>
      <c r="N1181" s="182">
        <v>6.2299999999999996E-4</v>
      </c>
      <c r="O1181" s="182">
        <v>6.2299999999999996E-4</v>
      </c>
      <c r="P1181" s="182">
        <v>6.2299999999999996E-4</v>
      </c>
      <c r="R1181" s="155" t="str">
        <f t="shared" si="55"/>
        <v>A0792:(株)MTエナジー</v>
      </c>
      <c r="S1181" s="181">
        <f t="shared" si="56"/>
        <v>6.2299999999999996E-4</v>
      </c>
    </row>
    <row r="1182" spans="2:19">
      <c r="B1182" s="121"/>
      <c r="C1182" s="490"/>
      <c r="D1182" s="490" t="str">
        <f t="shared" si="54"/>
        <v/>
      </c>
      <c r="I1182" s="125" t="s">
        <v>1427</v>
      </c>
      <c r="J1182" s="125" t="s">
        <v>1937</v>
      </c>
      <c r="K1182" s="125" t="s">
        <v>652</v>
      </c>
      <c r="L1182" s="125">
        <v>0</v>
      </c>
      <c r="M1182" s="182">
        <v>0</v>
      </c>
      <c r="N1182" s="182">
        <v>0</v>
      </c>
      <c r="O1182" s="182">
        <v>0</v>
      </c>
      <c r="P1182" s="182">
        <v>0</v>
      </c>
      <c r="R1182" s="155" t="str">
        <f t="shared" si="55"/>
        <v>A0793:TGオクトパスエナジー(株)メニューA</v>
      </c>
      <c r="S1182" s="181">
        <f t="shared" si="56"/>
        <v>0</v>
      </c>
    </row>
    <row r="1183" spans="2:19">
      <c r="B1183" s="121"/>
      <c r="C1183" s="490"/>
      <c r="D1183" s="490" t="str">
        <f t="shared" si="54"/>
        <v/>
      </c>
      <c r="I1183" s="125" t="s">
        <v>1427</v>
      </c>
      <c r="J1183" s="125" t="s">
        <v>1937</v>
      </c>
      <c r="K1183" s="125" t="s">
        <v>729</v>
      </c>
      <c r="L1183" s="125">
        <v>2.9999999999999997E-4</v>
      </c>
      <c r="M1183" s="182">
        <v>2.9999999999999997E-4</v>
      </c>
      <c r="N1183" s="182">
        <v>2.9999999999999997E-4</v>
      </c>
      <c r="O1183" s="182">
        <v>2.9999999999999997E-4</v>
      </c>
      <c r="P1183" s="182">
        <v>2.9999999999999997E-4</v>
      </c>
      <c r="R1183" s="155" t="str">
        <f t="shared" si="55"/>
        <v>A0793:TGオクトパスエナジー(株)メニューB</v>
      </c>
      <c r="S1183" s="181">
        <f t="shared" si="56"/>
        <v>2.9999999999999997E-4</v>
      </c>
    </row>
    <row r="1184" spans="2:19">
      <c r="B1184" s="121"/>
      <c r="C1184" s="490"/>
      <c r="D1184" s="490" t="str">
        <f t="shared" si="54"/>
        <v/>
      </c>
      <c r="I1184" s="125" t="s">
        <v>1427</v>
      </c>
      <c r="J1184" s="125" t="s">
        <v>1937</v>
      </c>
      <c r="K1184" s="125" t="s">
        <v>1998</v>
      </c>
      <c r="L1184" s="125">
        <v>4.6E-5</v>
      </c>
      <c r="M1184" s="182">
        <v>4.6E-5</v>
      </c>
      <c r="N1184" s="182">
        <v>4.6E-5</v>
      </c>
      <c r="O1184" s="182">
        <v>4.6E-5</v>
      </c>
      <c r="P1184" s="182">
        <v>4.6E-5</v>
      </c>
      <c r="R1184" s="155" t="str">
        <f t="shared" si="55"/>
        <v>A0793:TGオクトパスエナジー(株)(参考値)事業者全体</v>
      </c>
      <c r="S1184" s="181">
        <f t="shared" si="56"/>
        <v>4.6E-5</v>
      </c>
    </row>
    <row r="1185" spans="2:19">
      <c r="B1185" s="121"/>
      <c r="C1185" s="490"/>
      <c r="D1185" s="490" t="str">
        <f t="shared" si="54"/>
        <v/>
      </c>
      <c r="I1185" s="125" t="s">
        <v>1428</v>
      </c>
      <c r="J1185" s="125" t="s">
        <v>1938</v>
      </c>
      <c r="K1185" s="125" t="s">
        <v>652</v>
      </c>
      <c r="L1185" s="125">
        <v>0</v>
      </c>
      <c r="M1185" s="182">
        <v>0</v>
      </c>
      <c r="N1185" s="182">
        <v>0</v>
      </c>
      <c r="O1185" s="182">
        <v>0</v>
      </c>
      <c r="P1185" s="182">
        <v>0</v>
      </c>
      <c r="R1185" s="155" t="str">
        <f t="shared" si="55"/>
        <v>A0796:東北電力フロンティア(株)メニューA</v>
      </c>
      <c r="S1185" s="181">
        <f t="shared" si="56"/>
        <v>0</v>
      </c>
    </row>
    <row r="1186" spans="2:19">
      <c r="B1186" s="121"/>
      <c r="C1186" s="490"/>
      <c r="D1186" s="490" t="str">
        <f t="shared" si="54"/>
        <v/>
      </c>
      <c r="I1186" s="125" t="s">
        <v>1428</v>
      </c>
      <c r="J1186" s="125" t="s">
        <v>1938</v>
      </c>
      <c r="K1186" s="125" t="s">
        <v>729</v>
      </c>
      <c r="L1186" s="125">
        <v>5.2899999999999996E-4</v>
      </c>
      <c r="M1186" s="182">
        <v>5.2899999999999996E-4</v>
      </c>
      <c r="N1186" s="182">
        <v>5.2899999999999996E-4</v>
      </c>
      <c r="O1186" s="182">
        <v>5.2899999999999996E-4</v>
      </c>
      <c r="P1186" s="182">
        <v>5.2899999999999996E-4</v>
      </c>
      <c r="R1186" s="155" t="str">
        <f t="shared" si="55"/>
        <v>A0796:東北電力フロンティア(株)メニューB</v>
      </c>
      <c r="S1186" s="181">
        <f t="shared" si="56"/>
        <v>5.2899999999999996E-4</v>
      </c>
    </row>
    <row r="1187" spans="2:19">
      <c r="B1187" s="121"/>
      <c r="C1187" s="490"/>
      <c r="D1187" s="490" t="str">
        <f t="shared" si="54"/>
        <v/>
      </c>
      <c r="I1187" s="125" t="s">
        <v>1428</v>
      </c>
      <c r="J1187" s="125" t="s">
        <v>1938</v>
      </c>
      <c r="K1187" s="125" t="s">
        <v>1998</v>
      </c>
      <c r="L1187" s="125">
        <v>5.2700000000000002E-4</v>
      </c>
      <c r="M1187" s="182">
        <v>5.2700000000000002E-4</v>
      </c>
      <c r="N1187" s="182">
        <v>5.2700000000000002E-4</v>
      </c>
      <c r="O1187" s="182">
        <v>5.2700000000000002E-4</v>
      </c>
      <c r="P1187" s="182">
        <v>5.2700000000000002E-4</v>
      </c>
      <c r="R1187" s="155" t="str">
        <f t="shared" si="55"/>
        <v>A0796:東北電力フロンティア(株)(参考値)事業者全体</v>
      </c>
      <c r="S1187" s="181">
        <f t="shared" si="56"/>
        <v>5.2700000000000002E-4</v>
      </c>
    </row>
    <row r="1188" spans="2:19">
      <c r="B1188" s="121"/>
      <c r="C1188" s="490"/>
      <c r="D1188" s="490" t="str">
        <f t="shared" si="54"/>
        <v/>
      </c>
      <c r="I1188" s="125" t="s">
        <v>1429</v>
      </c>
      <c r="J1188" s="125" t="s">
        <v>1939</v>
      </c>
      <c r="K1188" s="125"/>
      <c r="L1188" s="125">
        <v>4.3300000000000001E-4</v>
      </c>
      <c r="M1188" s="182">
        <v>4.3300000000000001E-4</v>
      </c>
      <c r="N1188" s="182">
        <v>4.3300000000000001E-4</v>
      </c>
      <c r="O1188" s="182">
        <v>4.3300000000000001E-4</v>
      </c>
      <c r="P1188" s="182">
        <v>4.3300000000000001E-4</v>
      </c>
      <c r="R1188" s="155" t="str">
        <f t="shared" si="55"/>
        <v>A0798:(株)ファラデー</v>
      </c>
      <c r="S1188" s="181">
        <f t="shared" si="56"/>
        <v>4.3300000000000001E-4</v>
      </c>
    </row>
    <row r="1189" spans="2:19">
      <c r="B1189" s="121"/>
      <c r="C1189" s="490"/>
      <c r="D1189" s="490" t="str">
        <f t="shared" si="54"/>
        <v/>
      </c>
      <c r="I1189" s="125" t="s">
        <v>1430</v>
      </c>
      <c r="J1189" s="125" t="s">
        <v>1940</v>
      </c>
      <c r="K1189" s="125"/>
      <c r="L1189" s="125">
        <v>0</v>
      </c>
      <c r="M1189" s="182">
        <v>0</v>
      </c>
      <c r="N1189" s="182">
        <v>0</v>
      </c>
      <c r="O1189" s="182">
        <v>0</v>
      </c>
      <c r="P1189" s="182">
        <v>0</v>
      </c>
      <c r="R1189" s="155" t="str">
        <f t="shared" si="55"/>
        <v>A0799:三菱HCキャピタルエナジー(株)</v>
      </c>
      <c r="S1189" s="181">
        <f t="shared" si="56"/>
        <v>0</v>
      </c>
    </row>
    <row r="1190" spans="2:19">
      <c r="B1190" s="121"/>
      <c r="C1190" s="490"/>
      <c r="D1190" s="490" t="str">
        <f t="shared" si="54"/>
        <v/>
      </c>
      <c r="I1190" s="125" t="s">
        <v>1431</v>
      </c>
      <c r="J1190" s="125" t="s">
        <v>1941</v>
      </c>
      <c r="K1190" s="125"/>
      <c r="L1190" s="125">
        <v>6.3199999999999997E-4</v>
      </c>
      <c r="M1190" s="182">
        <v>6.3199999999999997E-4</v>
      </c>
      <c r="N1190" s="182">
        <v>6.3199999999999997E-4</v>
      </c>
      <c r="O1190" s="182">
        <v>6.3199999999999997E-4</v>
      </c>
      <c r="P1190" s="182">
        <v>6.3199999999999997E-4</v>
      </c>
      <c r="R1190" s="155" t="str">
        <f t="shared" si="55"/>
        <v>A0800:(株)Meisin</v>
      </c>
      <c r="S1190" s="181">
        <f t="shared" si="56"/>
        <v>6.3199999999999997E-4</v>
      </c>
    </row>
    <row r="1191" spans="2:19">
      <c r="B1191" s="121"/>
      <c r="C1191" s="490"/>
      <c r="D1191" s="490" t="str">
        <f t="shared" si="54"/>
        <v/>
      </c>
      <c r="I1191" s="125" t="s">
        <v>1432</v>
      </c>
      <c r="J1191" s="125" t="s">
        <v>1942</v>
      </c>
      <c r="K1191" s="125"/>
      <c r="L1191" s="125">
        <v>3.9999999999999998E-6</v>
      </c>
      <c r="M1191" s="182">
        <v>3.9999999999999998E-6</v>
      </c>
      <c r="N1191" s="182">
        <v>3.9999999999999998E-6</v>
      </c>
      <c r="O1191" s="182">
        <v>3.9999999999999998E-6</v>
      </c>
      <c r="P1191" s="182">
        <v>3.9999999999999998E-6</v>
      </c>
      <c r="R1191" s="155" t="str">
        <f t="shared" si="55"/>
        <v>A0802:大塚ビジネスサポート(株)</v>
      </c>
      <c r="S1191" s="181">
        <f t="shared" si="56"/>
        <v>3.9999999999999998E-6</v>
      </c>
    </row>
    <row r="1192" spans="2:19">
      <c r="B1192" s="121"/>
      <c r="C1192" s="490"/>
      <c r="D1192" s="490" t="str">
        <f t="shared" si="54"/>
        <v/>
      </c>
      <c r="I1192" s="125" t="s">
        <v>1433</v>
      </c>
      <c r="J1192" s="125" t="s">
        <v>1943</v>
      </c>
      <c r="K1192" s="125"/>
      <c r="L1192" s="125">
        <v>7.1199999999999996E-4</v>
      </c>
      <c r="M1192" s="182">
        <v>7.1199999999999996E-4</v>
      </c>
      <c r="N1192" s="182">
        <v>7.1199999999999996E-4</v>
      </c>
      <c r="O1192" s="182">
        <v>7.1199999999999996E-4</v>
      </c>
      <c r="P1192" s="182">
        <v>7.1199999999999996E-4</v>
      </c>
      <c r="R1192" s="155" t="str">
        <f t="shared" si="55"/>
        <v>A0803:出雲ケーブルビジョン(株)</v>
      </c>
      <c r="S1192" s="181">
        <f t="shared" si="56"/>
        <v>7.1199999999999996E-4</v>
      </c>
    </row>
    <row r="1193" spans="2:19">
      <c r="B1193" s="121"/>
      <c r="C1193" s="490"/>
      <c r="D1193" s="490" t="str">
        <f t="shared" si="54"/>
        <v/>
      </c>
      <c r="I1193" s="125" t="s">
        <v>1434</v>
      </c>
      <c r="J1193" s="125" t="s">
        <v>1944</v>
      </c>
      <c r="K1193" s="125"/>
      <c r="L1193" s="125">
        <v>9.8999999999999994E-5</v>
      </c>
      <c r="M1193" s="182">
        <v>9.8999999999999994E-5</v>
      </c>
      <c r="N1193" s="182">
        <v>9.8999999999999994E-5</v>
      </c>
      <c r="O1193" s="182">
        <v>9.8999999999999994E-5</v>
      </c>
      <c r="P1193" s="182">
        <v>9.8999999999999994E-5</v>
      </c>
      <c r="R1193" s="155" t="str">
        <f t="shared" si="55"/>
        <v>A0806:いずも縁結び電力(株)</v>
      </c>
      <c r="S1193" s="181">
        <f t="shared" si="56"/>
        <v>9.8999999999999994E-5</v>
      </c>
    </row>
    <row r="1194" spans="2:19">
      <c r="B1194" s="121"/>
      <c r="C1194" s="490"/>
      <c r="D1194" s="490" t="str">
        <f t="shared" si="54"/>
        <v/>
      </c>
      <c r="I1194" s="125" t="s">
        <v>1435</v>
      </c>
      <c r="J1194" s="125" t="s">
        <v>1945</v>
      </c>
      <c r="K1194" s="125" t="s">
        <v>652</v>
      </c>
      <c r="L1194" s="125">
        <v>2.6600000000000001E-4</v>
      </c>
      <c r="M1194" s="182">
        <v>2.6600000000000001E-4</v>
      </c>
      <c r="N1194" s="182">
        <v>2.6600000000000001E-4</v>
      </c>
      <c r="O1194" s="182">
        <v>2.6600000000000001E-4</v>
      </c>
      <c r="P1194" s="182">
        <v>2.6600000000000001E-4</v>
      </c>
      <c r="R1194" s="155" t="str">
        <f t="shared" si="55"/>
        <v>A0807:恵那電力(株)メニューA</v>
      </c>
      <c r="S1194" s="181">
        <f t="shared" si="56"/>
        <v>2.6600000000000001E-4</v>
      </c>
    </row>
    <row r="1195" spans="2:19">
      <c r="B1195" s="121"/>
      <c r="C1195" s="490"/>
      <c r="D1195" s="490" t="str">
        <f t="shared" si="54"/>
        <v/>
      </c>
      <c r="I1195" s="125" t="s">
        <v>1435</v>
      </c>
      <c r="J1195" s="125" t="s">
        <v>1945</v>
      </c>
      <c r="K1195" s="125" t="s">
        <v>729</v>
      </c>
      <c r="L1195" s="125">
        <v>3.4499999999999998E-4</v>
      </c>
      <c r="M1195" s="182">
        <v>3.4499999999999998E-4</v>
      </c>
      <c r="N1195" s="182">
        <v>3.4499999999999998E-4</v>
      </c>
      <c r="O1195" s="182">
        <v>3.4499999999999998E-4</v>
      </c>
      <c r="P1195" s="182">
        <v>3.4499999999999998E-4</v>
      </c>
      <c r="R1195" s="155" t="str">
        <f t="shared" si="55"/>
        <v>A0807:恵那電力(株)メニューB</v>
      </c>
      <c r="S1195" s="181">
        <f t="shared" si="56"/>
        <v>3.4499999999999998E-4</v>
      </c>
    </row>
    <row r="1196" spans="2:19">
      <c r="B1196" s="121"/>
      <c r="C1196" s="490"/>
      <c r="D1196" s="490" t="str">
        <f t="shared" si="54"/>
        <v/>
      </c>
      <c r="I1196" s="125" t="s">
        <v>1435</v>
      </c>
      <c r="J1196" s="125" t="s">
        <v>1945</v>
      </c>
      <c r="K1196" s="125" t="s">
        <v>1998</v>
      </c>
      <c r="L1196" s="125">
        <v>3.3599999999999998E-4</v>
      </c>
      <c r="M1196" s="182">
        <v>3.3599999999999998E-4</v>
      </c>
      <c r="N1196" s="182">
        <v>3.3599999999999998E-4</v>
      </c>
      <c r="O1196" s="182">
        <v>3.3599999999999998E-4</v>
      </c>
      <c r="P1196" s="182">
        <v>3.3599999999999998E-4</v>
      </c>
      <c r="R1196" s="155" t="str">
        <f t="shared" si="55"/>
        <v>A0807:恵那電力(株)(参考値)事業者全体</v>
      </c>
      <c r="S1196" s="181">
        <f t="shared" si="56"/>
        <v>3.3599999999999998E-4</v>
      </c>
    </row>
    <row r="1197" spans="2:19">
      <c r="B1197" s="121"/>
      <c r="C1197" s="490"/>
      <c r="D1197" s="490" t="str">
        <f t="shared" si="54"/>
        <v/>
      </c>
      <c r="I1197" s="125" t="s">
        <v>1436</v>
      </c>
      <c r="J1197" s="125" t="s">
        <v>1946</v>
      </c>
      <c r="K1197" s="125" t="s">
        <v>652</v>
      </c>
      <c r="L1197" s="125">
        <v>0</v>
      </c>
      <c r="M1197" s="182">
        <v>0</v>
      </c>
      <c r="N1197" s="182">
        <v>0</v>
      </c>
      <c r="O1197" s="182">
        <v>0</v>
      </c>
      <c r="P1197" s="182">
        <v>0</v>
      </c>
      <c r="R1197" s="155" t="str">
        <f t="shared" si="55"/>
        <v>A0808:宇都宮ライトパワー(株)メニューA</v>
      </c>
      <c r="S1197" s="181">
        <f t="shared" si="56"/>
        <v>0</v>
      </c>
    </row>
    <row r="1198" spans="2:19">
      <c r="B1198" s="121"/>
      <c r="C1198" s="490"/>
      <c r="D1198" s="490" t="str">
        <f t="shared" ref="D1198:D1261" si="57">IF(B1198="","",B1198&amp;":"&amp;C1198)</f>
        <v/>
      </c>
      <c r="I1198" s="125" t="s">
        <v>1436</v>
      </c>
      <c r="J1198" s="125" t="s">
        <v>1946</v>
      </c>
      <c r="K1198" s="125" t="s">
        <v>729</v>
      </c>
      <c r="L1198" s="125">
        <v>3.6099999999999999E-4</v>
      </c>
      <c r="M1198" s="182">
        <v>3.6099999999999999E-4</v>
      </c>
      <c r="N1198" s="182">
        <v>3.6099999999999999E-4</v>
      </c>
      <c r="O1198" s="182">
        <v>3.6099999999999999E-4</v>
      </c>
      <c r="P1198" s="182">
        <v>3.6099999999999999E-4</v>
      </c>
      <c r="R1198" s="155" t="str">
        <f t="shared" si="55"/>
        <v>A0808:宇都宮ライトパワー(株)メニューB</v>
      </c>
      <c r="S1198" s="181">
        <f t="shared" si="56"/>
        <v>3.6099999999999999E-4</v>
      </c>
    </row>
    <row r="1199" spans="2:19">
      <c r="B1199" s="121"/>
      <c r="C1199" s="490"/>
      <c r="D1199" s="490" t="str">
        <f t="shared" si="57"/>
        <v/>
      </c>
      <c r="I1199" s="125" t="s">
        <v>1436</v>
      </c>
      <c r="J1199" s="125" t="s">
        <v>1946</v>
      </c>
      <c r="K1199" s="125" t="s">
        <v>1998</v>
      </c>
      <c r="L1199" s="125">
        <v>3.1100000000000002E-4</v>
      </c>
      <c r="M1199" s="182">
        <v>3.1100000000000002E-4</v>
      </c>
      <c r="N1199" s="182">
        <v>3.1100000000000002E-4</v>
      </c>
      <c r="O1199" s="182">
        <v>3.1100000000000002E-4</v>
      </c>
      <c r="P1199" s="182">
        <v>3.1100000000000002E-4</v>
      </c>
      <c r="R1199" s="155" t="str">
        <f t="shared" si="55"/>
        <v>A0808:宇都宮ライトパワー(株)(参考値)事業者全体</v>
      </c>
      <c r="S1199" s="181">
        <f t="shared" si="56"/>
        <v>3.1100000000000002E-4</v>
      </c>
    </row>
    <row r="1200" spans="2:19">
      <c r="B1200" s="121"/>
      <c r="C1200" s="490"/>
      <c r="D1200" s="490" t="str">
        <f t="shared" si="57"/>
        <v/>
      </c>
      <c r="I1200" s="125" t="s">
        <v>1437</v>
      </c>
      <c r="J1200" s="125" t="s">
        <v>1947</v>
      </c>
      <c r="K1200" s="125"/>
      <c r="L1200" s="125">
        <v>4.75E-4</v>
      </c>
      <c r="M1200" s="182">
        <v>4.75E-4</v>
      </c>
      <c r="N1200" s="182">
        <v>4.75E-4</v>
      </c>
      <c r="O1200" s="182">
        <v>4.75E-4</v>
      </c>
      <c r="P1200" s="182">
        <v>4.75E-4</v>
      </c>
      <c r="R1200" s="155" t="str">
        <f t="shared" si="55"/>
        <v>A0809:帯広電力(株)</v>
      </c>
      <c r="S1200" s="181">
        <f t="shared" si="56"/>
        <v>4.75E-4</v>
      </c>
    </row>
    <row r="1201" spans="2:19">
      <c r="B1201" s="121"/>
      <c r="C1201" s="490"/>
      <c r="D1201" s="490" t="str">
        <f t="shared" si="57"/>
        <v/>
      </c>
      <c r="I1201" s="125" t="s">
        <v>1438</v>
      </c>
      <c r="J1201" s="125" t="s">
        <v>1948</v>
      </c>
      <c r="K1201" s="125"/>
      <c r="L1201" s="125">
        <v>4.73E-4</v>
      </c>
      <c r="M1201" s="182">
        <v>4.73E-4</v>
      </c>
      <c r="N1201" s="182">
        <v>4.73E-4</v>
      </c>
      <c r="O1201" s="182">
        <v>4.73E-4</v>
      </c>
      <c r="P1201" s="182">
        <v>4.73E-4</v>
      </c>
      <c r="R1201" s="155" t="str">
        <f t="shared" si="55"/>
        <v>A0810:フジ物産(株)</v>
      </c>
      <c r="S1201" s="181">
        <f t="shared" si="56"/>
        <v>4.73E-4</v>
      </c>
    </row>
    <row r="1202" spans="2:19">
      <c r="B1202" s="121"/>
      <c r="C1202" s="490"/>
      <c r="D1202" s="490" t="str">
        <f t="shared" si="57"/>
        <v/>
      </c>
      <c r="I1202" s="125" t="s">
        <v>1439</v>
      </c>
      <c r="J1202" s="125" t="s">
        <v>1949</v>
      </c>
      <c r="K1202" s="125" t="s">
        <v>652</v>
      </c>
      <c r="L1202" s="125">
        <v>0</v>
      </c>
      <c r="M1202" s="182">
        <v>0</v>
      </c>
      <c r="N1202" s="182">
        <v>0</v>
      </c>
      <c r="O1202" s="182">
        <v>0</v>
      </c>
      <c r="P1202" s="182">
        <v>0</v>
      </c>
      <c r="R1202" s="155" t="str">
        <f t="shared" si="55"/>
        <v>A0812:金沢エナジー(株)メニューA</v>
      </c>
      <c r="S1202" s="181">
        <f t="shared" si="56"/>
        <v>0</v>
      </c>
    </row>
    <row r="1203" spans="2:19">
      <c r="B1203" s="121"/>
      <c r="C1203" s="490"/>
      <c r="D1203" s="490" t="str">
        <f t="shared" si="57"/>
        <v/>
      </c>
      <c r="I1203" s="125" t="s">
        <v>1439</v>
      </c>
      <c r="J1203" s="125" t="s">
        <v>1949</v>
      </c>
      <c r="K1203" s="125" t="s">
        <v>729</v>
      </c>
      <c r="L1203" s="125">
        <v>3.88E-4</v>
      </c>
      <c r="M1203" s="182">
        <v>3.88E-4</v>
      </c>
      <c r="N1203" s="182">
        <v>3.88E-4</v>
      </c>
      <c r="O1203" s="182">
        <v>3.88E-4</v>
      </c>
      <c r="P1203" s="182">
        <v>3.88E-4</v>
      </c>
      <c r="R1203" s="155" t="str">
        <f t="shared" si="55"/>
        <v>A0812:金沢エナジー(株)メニューB</v>
      </c>
      <c r="S1203" s="181">
        <f t="shared" si="56"/>
        <v>3.88E-4</v>
      </c>
    </row>
    <row r="1204" spans="2:19">
      <c r="B1204" s="121"/>
      <c r="C1204" s="490"/>
      <c r="D1204" s="490" t="str">
        <f t="shared" si="57"/>
        <v/>
      </c>
      <c r="I1204" s="125" t="s">
        <v>1439</v>
      </c>
      <c r="J1204" s="125" t="s">
        <v>1949</v>
      </c>
      <c r="K1204" s="125" t="s">
        <v>1998</v>
      </c>
      <c r="L1204" s="125">
        <v>3.3100000000000002E-4</v>
      </c>
      <c r="M1204" s="182">
        <v>3.3100000000000002E-4</v>
      </c>
      <c r="N1204" s="182">
        <v>3.3100000000000002E-4</v>
      </c>
      <c r="O1204" s="182">
        <v>3.3100000000000002E-4</v>
      </c>
      <c r="P1204" s="182">
        <v>3.3100000000000002E-4</v>
      </c>
      <c r="R1204" s="155" t="str">
        <f t="shared" si="55"/>
        <v>A0812:金沢エナジー(株)(参考値)事業者全体</v>
      </c>
      <c r="S1204" s="181">
        <f t="shared" si="56"/>
        <v>3.3100000000000002E-4</v>
      </c>
    </row>
    <row r="1205" spans="2:19">
      <c r="B1205" s="121"/>
      <c r="C1205" s="490"/>
      <c r="D1205" s="490" t="str">
        <f t="shared" si="57"/>
        <v/>
      </c>
      <c r="I1205" s="125" t="s">
        <v>1440</v>
      </c>
      <c r="J1205" s="125" t="s">
        <v>1950</v>
      </c>
      <c r="K1205" s="125"/>
      <c r="L1205" s="125">
        <v>4.4299999999999998E-4</v>
      </c>
      <c r="M1205" s="182">
        <v>4.4299999999999998E-4</v>
      </c>
      <c r="N1205" s="182">
        <v>4.4299999999999998E-4</v>
      </c>
      <c r="O1205" s="182">
        <v>4.4299999999999998E-4</v>
      </c>
      <c r="P1205" s="182">
        <v>4.4299999999999998E-4</v>
      </c>
      <c r="R1205" s="155" t="str">
        <f t="shared" si="55"/>
        <v>A0817:(株)なんとエナジー</v>
      </c>
      <c r="S1205" s="181">
        <f t="shared" si="56"/>
        <v>4.4299999999999998E-4</v>
      </c>
    </row>
    <row r="1206" spans="2:19">
      <c r="B1206" s="121"/>
      <c r="C1206" s="490"/>
      <c r="D1206" s="490" t="str">
        <f t="shared" si="57"/>
        <v/>
      </c>
      <c r="I1206" s="125" t="s">
        <v>1441</v>
      </c>
      <c r="J1206" s="125" t="s">
        <v>1951</v>
      </c>
      <c r="K1206" s="125"/>
      <c r="L1206" s="125">
        <v>0</v>
      </c>
      <c r="M1206" s="182">
        <v>0</v>
      </c>
      <c r="N1206" s="182">
        <v>0</v>
      </c>
      <c r="O1206" s="182">
        <v>0</v>
      </c>
      <c r="P1206" s="182">
        <v>0</v>
      </c>
      <c r="R1206" s="155" t="str">
        <f t="shared" si="55"/>
        <v>A0819:(株)ボーダレス・ジャパン</v>
      </c>
      <c r="S1206" s="181">
        <f t="shared" si="56"/>
        <v>0</v>
      </c>
    </row>
    <row r="1207" spans="2:19">
      <c r="B1207" s="121"/>
      <c r="C1207" s="490"/>
      <c r="D1207" s="490" t="str">
        <f t="shared" si="57"/>
        <v/>
      </c>
      <c r="I1207" s="125" t="s">
        <v>1442</v>
      </c>
      <c r="J1207" s="125" t="s">
        <v>1952</v>
      </c>
      <c r="K1207" s="125" t="s">
        <v>652</v>
      </c>
      <c r="L1207" s="125">
        <v>0</v>
      </c>
      <c r="M1207" s="182">
        <v>0</v>
      </c>
      <c r="N1207" s="182">
        <v>0</v>
      </c>
      <c r="O1207" s="182">
        <v>0</v>
      </c>
      <c r="P1207" s="182">
        <v>0</v>
      </c>
      <c r="R1207" s="155" t="str">
        <f t="shared" si="55"/>
        <v>A0820:(株)ワットメニューA</v>
      </c>
      <c r="S1207" s="181">
        <f t="shared" si="56"/>
        <v>0</v>
      </c>
    </row>
    <row r="1208" spans="2:19">
      <c r="B1208" s="121"/>
      <c r="C1208" s="490"/>
      <c r="D1208" s="490" t="str">
        <f t="shared" si="57"/>
        <v/>
      </c>
      <c r="I1208" s="125" t="s">
        <v>1442</v>
      </c>
      <c r="J1208" s="125" t="s">
        <v>1952</v>
      </c>
      <c r="K1208" s="125" t="s">
        <v>729</v>
      </c>
      <c r="L1208" s="125">
        <v>0</v>
      </c>
      <c r="M1208" s="182">
        <v>0</v>
      </c>
      <c r="N1208" s="182">
        <v>0</v>
      </c>
      <c r="O1208" s="182">
        <v>0</v>
      </c>
      <c r="P1208" s="182">
        <v>0</v>
      </c>
      <c r="R1208" s="155" t="str">
        <f t="shared" si="55"/>
        <v>A0820:(株)ワットメニューB</v>
      </c>
      <c r="S1208" s="181">
        <f t="shared" si="56"/>
        <v>0</v>
      </c>
    </row>
    <row r="1209" spans="2:19">
      <c r="B1209" s="121"/>
      <c r="C1209" s="490"/>
      <c r="D1209" s="490" t="str">
        <f t="shared" si="57"/>
        <v/>
      </c>
      <c r="I1209" s="125" t="s">
        <v>1442</v>
      </c>
      <c r="J1209" s="125" t="s">
        <v>1952</v>
      </c>
      <c r="K1209" s="125" t="s">
        <v>1998</v>
      </c>
      <c r="L1209" s="125">
        <v>0</v>
      </c>
      <c r="M1209" s="182">
        <v>0</v>
      </c>
      <c r="N1209" s="182">
        <v>0</v>
      </c>
      <c r="O1209" s="182">
        <v>0</v>
      </c>
      <c r="P1209" s="182">
        <v>0</v>
      </c>
      <c r="R1209" s="155" t="str">
        <f t="shared" si="55"/>
        <v>A0820:(株)ワット(参考値)事業者全体</v>
      </c>
      <c r="S1209" s="181">
        <f t="shared" si="56"/>
        <v>0</v>
      </c>
    </row>
    <row r="1210" spans="2:19">
      <c r="B1210" s="121"/>
      <c r="C1210" s="490"/>
      <c r="D1210" s="490" t="str">
        <f t="shared" si="57"/>
        <v/>
      </c>
      <c r="I1210" s="125" t="s">
        <v>1443</v>
      </c>
      <c r="J1210" s="125" t="s">
        <v>1953</v>
      </c>
      <c r="K1210" s="125"/>
      <c r="L1210" s="125">
        <v>5.7399999999999997E-4</v>
      </c>
      <c r="M1210" s="182">
        <v>5.7399999999999997E-4</v>
      </c>
      <c r="N1210" s="182">
        <v>5.7399999999999997E-4</v>
      </c>
      <c r="O1210" s="182">
        <v>5.7399999999999997E-4</v>
      </c>
      <c r="P1210" s="182">
        <v>5.7399999999999997E-4</v>
      </c>
      <c r="R1210" s="155" t="str">
        <f t="shared" si="55"/>
        <v>A0821:ジケイ・スペース(株)</v>
      </c>
      <c r="S1210" s="181">
        <f t="shared" si="56"/>
        <v>5.7399999999999997E-4</v>
      </c>
    </row>
    <row r="1211" spans="2:19">
      <c r="B1211" s="121"/>
      <c r="C1211" s="490"/>
      <c r="D1211" s="490" t="str">
        <f t="shared" si="57"/>
        <v/>
      </c>
      <c r="I1211" s="125" t="s">
        <v>1444</v>
      </c>
      <c r="J1211" s="125" t="s">
        <v>1954</v>
      </c>
      <c r="K1211" s="125" t="s">
        <v>652</v>
      </c>
      <c r="L1211" s="125">
        <v>0</v>
      </c>
      <c r="M1211" s="182">
        <v>0</v>
      </c>
      <c r="N1211" s="182">
        <v>0</v>
      </c>
      <c r="O1211" s="182">
        <v>0</v>
      </c>
      <c r="P1211" s="182">
        <v>0</v>
      </c>
      <c r="R1211" s="155" t="str">
        <f t="shared" si="55"/>
        <v>A0822:広島ガス(株)メニューA</v>
      </c>
      <c r="S1211" s="181">
        <f t="shared" si="56"/>
        <v>0</v>
      </c>
    </row>
    <row r="1212" spans="2:19">
      <c r="B1212" s="121"/>
      <c r="C1212" s="490"/>
      <c r="D1212" s="490" t="str">
        <f t="shared" si="57"/>
        <v/>
      </c>
      <c r="I1212" s="125" t="s">
        <v>1444</v>
      </c>
      <c r="J1212" s="125" t="s">
        <v>1954</v>
      </c>
      <c r="K1212" s="125" t="s">
        <v>729</v>
      </c>
      <c r="L1212" s="125">
        <v>4.6200000000000001E-4</v>
      </c>
      <c r="M1212" s="182">
        <v>4.6200000000000001E-4</v>
      </c>
      <c r="N1212" s="182">
        <v>4.6200000000000001E-4</v>
      </c>
      <c r="O1212" s="182">
        <v>4.6200000000000001E-4</v>
      </c>
      <c r="P1212" s="182">
        <v>4.6200000000000001E-4</v>
      </c>
      <c r="R1212" s="155" t="str">
        <f t="shared" si="55"/>
        <v>A0822:広島ガス(株)メニューB</v>
      </c>
      <c r="S1212" s="181">
        <f t="shared" si="56"/>
        <v>4.6200000000000001E-4</v>
      </c>
    </row>
    <row r="1213" spans="2:19">
      <c r="B1213" s="121"/>
      <c r="C1213" s="490"/>
      <c r="D1213" s="490" t="str">
        <f t="shared" si="57"/>
        <v/>
      </c>
      <c r="I1213" s="125" t="s">
        <v>1444</v>
      </c>
      <c r="J1213" s="125" t="s">
        <v>1954</v>
      </c>
      <c r="K1213" s="125" t="s">
        <v>1998</v>
      </c>
      <c r="L1213" s="125">
        <v>0</v>
      </c>
      <c r="M1213" s="182">
        <v>0</v>
      </c>
      <c r="N1213" s="182">
        <v>0</v>
      </c>
      <c r="O1213" s="182">
        <v>0</v>
      </c>
      <c r="P1213" s="182">
        <v>0</v>
      </c>
      <c r="R1213" s="155" t="str">
        <f t="shared" si="55"/>
        <v>A0822:広島ガス(株)(参考値)事業者全体</v>
      </c>
      <c r="S1213" s="181">
        <f t="shared" si="56"/>
        <v>0</v>
      </c>
    </row>
    <row r="1214" spans="2:19">
      <c r="B1214" s="121"/>
      <c r="C1214" s="490"/>
      <c r="D1214" s="490" t="str">
        <f t="shared" si="57"/>
        <v/>
      </c>
      <c r="I1214" s="125" t="s">
        <v>1445</v>
      </c>
      <c r="J1214" s="125" t="s">
        <v>1955</v>
      </c>
      <c r="K1214" s="125"/>
      <c r="L1214" s="125">
        <v>6.38E-4</v>
      </c>
      <c r="M1214" s="182">
        <v>6.38E-4</v>
      </c>
      <c r="N1214" s="182">
        <v>6.38E-4</v>
      </c>
      <c r="O1214" s="182">
        <v>6.38E-4</v>
      </c>
      <c r="P1214" s="182">
        <v>6.38E-4</v>
      </c>
      <c r="R1214" s="155" t="str">
        <f t="shared" si="55"/>
        <v>A0824:(株)IQg</v>
      </c>
      <c r="S1214" s="181">
        <f t="shared" si="56"/>
        <v>6.38E-4</v>
      </c>
    </row>
    <row r="1215" spans="2:19">
      <c r="B1215" s="121"/>
      <c r="C1215" s="490"/>
      <c r="D1215" s="490" t="str">
        <f t="shared" si="57"/>
        <v/>
      </c>
      <c r="I1215" s="125" t="s">
        <v>1446</v>
      </c>
      <c r="J1215" s="125" t="s">
        <v>1956</v>
      </c>
      <c r="K1215" s="125"/>
      <c r="L1215" s="125">
        <v>4.7600000000000002E-4</v>
      </c>
      <c r="M1215" s="182">
        <v>4.7600000000000002E-4</v>
      </c>
      <c r="N1215" s="182">
        <v>4.7600000000000002E-4</v>
      </c>
      <c r="O1215" s="182">
        <v>4.7600000000000002E-4</v>
      </c>
      <c r="P1215" s="182">
        <v>4.7600000000000002E-4</v>
      </c>
      <c r="R1215" s="155" t="str">
        <f t="shared" si="55"/>
        <v>A0825:最適でんき(株)（旧：エナジーサプライ(株)）</v>
      </c>
      <c r="S1215" s="181">
        <f t="shared" si="56"/>
        <v>4.7600000000000002E-4</v>
      </c>
    </row>
    <row r="1216" spans="2:19">
      <c r="B1216" s="121"/>
      <c r="C1216" s="490"/>
      <c r="D1216" s="490" t="str">
        <f t="shared" si="57"/>
        <v/>
      </c>
      <c r="I1216" s="125" t="s">
        <v>1447</v>
      </c>
      <c r="J1216" s="125" t="s">
        <v>1957</v>
      </c>
      <c r="K1216" s="125" t="s">
        <v>652</v>
      </c>
      <c r="L1216" s="125">
        <v>0</v>
      </c>
      <c r="M1216" s="182">
        <v>0</v>
      </c>
      <c r="N1216" s="182">
        <v>0</v>
      </c>
      <c r="O1216" s="182">
        <v>0</v>
      </c>
      <c r="P1216" s="182">
        <v>0</v>
      </c>
      <c r="R1216" s="155" t="str">
        <f t="shared" si="55"/>
        <v>A0826:(株)FPSメニューA</v>
      </c>
      <c r="S1216" s="181">
        <f t="shared" si="56"/>
        <v>0</v>
      </c>
    </row>
    <row r="1217" spans="2:19">
      <c r="B1217" s="121"/>
      <c r="C1217" s="490"/>
      <c r="D1217" s="490" t="str">
        <f t="shared" si="57"/>
        <v/>
      </c>
      <c r="I1217" s="125" t="s">
        <v>1447</v>
      </c>
      <c r="J1217" s="125" t="s">
        <v>1957</v>
      </c>
      <c r="K1217" s="125" t="s">
        <v>729</v>
      </c>
      <c r="L1217" s="125">
        <v>0</v>
      </c>
      <c r="M1217" s="182">
        <v>0</v>
      </c>
      <c r="N1217" s="182">
        <v>0</v>
      </c>
      <c r="O1217" s="182">
        <v>0</v>
      </c>
      <c r="P1217" s="182">
        <v>0</v>
      </c>
      <c r="R1217" s="155" t="str">
        <f t="shared" si="55"/>
        <v>A0826:(株)FPSメニューB</v>
      </c>
      <c r="S1217" s="181">
        <f t="shared" si="56"/>
        <v>0</v>
      </c>
    </row>
    <row r="1218" spans="2:19">
      <c r="B1218" s="121"/>
      <c r="C1218" s="490"/>
      <c r="D1218" s="490" t="str">
        <f t="shared" si="57"/>
        <v/>
      </c>
      <c r="I1218" s="125" t="s">
        <v>1447</v>
      </c>
      <c r="J1218" s="125" t="s">
        <v>1957</v>
      </c>
      <c r="K1218" s="125" t="s">
        <v>730</v>
      </c>
      <c r="L1218" s="125">
        <v>1.6699999999999999E-4</v>
      </c>
      <c r="M1218" s="182">
        <v>1.6699999999999999E-4</v>
      </c>
      <c r="N1218" s="182">
        <v>1.6699999999999999E-4</v>
      </c>
      <c r="O1218" s="182">
        <v>1.6699999999999999E-4</v>
      </c>
      <c r="P1218" s="182">
        <v>1.6699999999999999E-4</v>
      </c>
      <c r="R1218" s="155" t="str">
        <f t="shared" si="55"/>
        <v>A0826:(株)FPSメニューC</v>
      </c>
      <c r="S1218" s="181">
        <f t="shared" si="56"/>
        <v>1.6699999999999999E-4</v>
      </c>
    </row>
    <row r="1219" spans="2:19">
      <c r="B1219" s="121"/>
      <c r="C1219" s="490"/>
      <c r="D1219" s="490" t="str">
        <f t="shared" si="57"/>
        <v/>
      </c>
      <c r="I1219" s="125" t="s">
        <v>1447</v>
      </c>
      <c r="J1219" s="125" t="s">
        <v>1957</v>
      </c>
      <c r="K1219" s="125" t="s">
        <v>915</v>
      </c>
      <c r="L1219" s="125">
        <v>2.13E-4</v>
      </c>
      <c r="M1219" s="182">
        <v>2.13E-4</v>
      </c>
      <c r="N1219" s="182">
        <v>2.13E-4</v>
      </c>
      <c r="O1219" s="182">
        <v>2.13E-4</v>
      </c>
      <c r="P1219" s="182">
        <v>2.13E-4</v>
      </c>
      <c r="R1219" s="155" t="str">
        <f t="shared" si="55"/>
        <v>A0826:(株)FPSメニューD</v>
      </c>
      <c r="S1219" s="181">
        <f t="shared" si="56"/>
        <v>2.13E-4</v>
      </c>
    </row>
    <row r="1220" spans="2:19">
      <c r="B1220" s="121"/>
      <c r="C1220" s="490"/>
      <c r="D1220" s="490" t="str">
        <f t="shared" si="57"/>
        <v/>
      </c>
      <c r="I1220" s="125" t="s">
        <v>1447</v>
      </c>
      <c r="J1220" s="125" t="s">
        <v>1957</v>
      </c>
      <c r="K1220" s="125" t="s">
        <v>916</v>
      </c>
      <c r="L1220" s="125">
        <v>3.0499999999999999E-4</v>
      </c>
      <c r="M1220" s="182">
        <v>3.0499999999999999E-4</v>
      </c>
      <c r="N1220" s="182">
        <v>3.0499999999999999E-4</v>
      </c>
      <c r="O1220" s="182">
        <v>3.0499999999999999E-4</v>
      </c>
      <c r="P1220" s="182">
        <v>3.0499999999999999E-4</v>
      </c>
      <c r="R1220" s="155" t="str">
        <f t="shared" si="55"/>
        <v>A0826:(株)FPSメニューE</v>
      </c>
      <c r="S1220" s="181">
        <f t="shared" si="56"/>
        <v>3.0499999999999999E-4</v>
      </c>
    </row>
    <row r="1221" spans="2:19">
      <c r="B1221" s="121"/>
      <c r="C1221" s="490"/>
      <c r="D1221" s="490" t="str">
        <f t="shared" si="57"/>
        <v/>
      </c>
      <c r="I1221" s="125" t="s">
        <v>1447</v>
      </c>
      <c r="J1221" s="125" t="s">
        <v>1957</v>
      </c>
      <c r="K1221" s="125" t="s">
        <v>1999</v>
      </c>
      <c r="L1221" s="125">
        <v>3.97E-4</v>
      </c>
      <c r="M1221" s="182">
        <v>3.97E-4</v>
      </c>
      <c r="N1221" s="182">
        <v>3.97E-4</v>
      </c>
      <c r="O1221" s="182">
        <v>3.97E-4</v>
      </c>
      <c r="P1221" s="182">
        <v>3.97E-4</v>
      </c>
      <c r="R1221" s="155" t="str">
        <f t="shared" ref="R1221:R1284" si="58">I1221&amp;":"&amp;J1221&amp;K1221</f>
        <v>A0826:(株)FPSメニューF</v>
      </c>
      <c r="S1221" s="181">
        <f t="shared" si="56"/>
        <v>3.97E-4</v>
      </c>
    </row>
    <row r="1222" spans="2:19">
      <c r="B1222" s="121"/>
      <c r="C1222" s="490"/>
      <c r="D1222" s="490" t="str">
        <f t="shared" si="57"/>
        <v/>
      </c>
      <c r="I1222" s="125" t="s">
        <v>1447</v>
      </c>
      <c r="J1222" s="125" t="s">
        <v>1957</v>
      </c>
      <c r="K1222" s="125" t="s">
        <v>2000</v>
      </c>
      <c r="L1222" s="125">
        <v>4.57E-4</v>
      </c>
      <c r="M1222" s="182">
        <v>4.57E-4</v>
      </c>
      <c r="N1222" s="182">
        <v>4.57E-4</v>
      </c>
      <c r="O1222" s="182">
        <v>4.57E-4</v>
      </c>
      <c r="P1222" s="182">
        <v>4.57E-4</v>
      </c>
      <c r="R1222" s="155" t="str">
        <f t="shared" si="58"/>
        <v>A0826:(株)FPSメニューG</v>
      </c>
      <c r="S1222" s="181">
        <f t="shared" si="56"/>
        <v>4.57E-4</v>
      </c>
    </row>
    <row r="1223" spans="2:19">
      <c r="B1223" s="121"/>
      <c r="C1223" s="490"/>
      <c r="D1223" s="490" t="str">
        <f t="shared" si="57"/>
        <v/>
      </c>
      <c r="I1223" s="125" t="s">
        <v>1447</v>
      </c>
      <c r="J1223" s="125" t="s">
        <v>1957</v>
      </c>
      <c r="K1223" s="125" t="s">
        <v>1998</v>
      </c>
      <c r="L1223" s="125">
        <v>4.2499999999999998E-4</v>
      </c>
      <c r="M1223" s="182">
        <v>4.2499999999999998E-4</v>
      </c>
      <c r="N1223" s="182">
        <v>4.2499999999999998E-4</v>
      </c>
      <c r="O1223" s="182">
        <v>4.2499999999999998E-4</v>
      </c>
      <c r="P1223" s="182">
        <v>4.2499999999999998E-4</v>
      </c>
      <c r="R1223" s="155" t="str">
        <f t="shared" si="58"/>
        <v>A0826:(株)FPS(参考値)事業者全体</v>
      </c>
      <c r="S1223" s="181">
        <f t="shared" si="56"/>
        <v>4.2499999999999998E-4</v>
      </c>
    </row>
    <row r="1224" spans="2:19">
      <c r="B1224" s="121"/>
      <c r="C1224" s="490"/>
      <c r="D1224" s="490" t="str">
        <f t="shared" si="57"/>
        <v/>
      </c>
      <c r="I1224" s="125" t="s">
        <v>1448</v>
      </c>
      <c r="J1224" s="125" t="s">
        <v>1958</v>
      </c>
      <c r="K1224" s="125"/>
      <c r="L1224" s="125">
        <v>5.7399999999999997E-4</v>
      </c>
      <c r="M1224" s="182">
        <v>5.7399999999999997E-4</v>
      </c>
      <c r="N1224" s="182">
        <v>5.7399999999999997E-4</v>
      </c>
      <c r="O1224" s="182">
        <v>5.7399999999999997E-4</v>
      </c>
      <c r="P1224" s="182">
        <v>5.7399999999999997E-4</v>
      </c>
      <c r="R1224" s="155" t="str">
        <f t="shared" si="58"/>
        <v>A0827:大熊るるるん電力(株)</v>
      </c>
      <c r="S1224" s="181">
        <f t="shared" si="56"/>
        <v>5.7399999999999997E-4</v>
      </c>
    </row>
    <row r="1225" spans="2:19">
      <c r="B1225" s="121"/>
      <c r="C1225" s="490"/>
      <c r="D1225" s="490" t="str">
        <f t="shared" si="57"/>
        <v/>
      </c>
      <c r="I1225" s="125" t="s">
        <v>1449</v>
      </c>
      <c r="J1225" s="125" t="s">
        <v>1959</v>
      </c>
      <c r="K1225" s="125" t="s">
        <v>652</v>
      </c>
      <c r="L1225" s="125">
        <v>5.3899999999999998E-4</v>
      </c>
      <c r="M1225" s="182">
        <v>5.3899999999999998E-4</v>
      </c>
      <c r="N1225" s="182">
        <v>5.3899999999999998E-4</v>
      </c>
      <c r="O1225" s="182">
        <v>5.3899999999999998E-4</v>
      </c>
      <c r="P1225" s="182">
        <v>5.3899999999999998E-4</v>
      </c>
      <c r="R1225" s="155" t="str">
        <f t="shared" si="58"/>
        <v>A0829:(株)レックスメニューA</v>
      </c>
      <c r="S1225" s="181">
        <f t="shared" si="56"/>
        <v>5.3899999999999998E-4</v>
      </c>
    </row>
    <row r="1226" spans="2:19">
      <c r="B1226" s="121"/>
      <c r="C1226" s="490"/>
      <c r="D1226" s="490" t="str">
        <f t="shared" si="57"/>
        <v/>
      </c>
      <c r="I1226" s="125" t="s">
        <v>1449</v>
      </c>
      <c r="J1226" s="125" t="s">
        <v>1959</v>
      </c>
      <c r="K1226" s="125" t="s">
        <v>1998</v>
      </c>
      <c r="L1226" s="125">
        <v>5.4699999999999996E-4</v>
      </c>
      <c r="M1226" s="182">
        <v>5.4699999999999996E-4</v>
      </c>
      <c r="N1226" s="182">
        <v>5.4699999999999996E-4</v>
      </c>
      <c r="O1226" s="182">
        <v>5.4699999999999996E-4</v>
      </c>
      <c r="P1226" s="182">
        <v>5.4699999999999996E-4</v>
      </c>
      <c r="R1226" s="155" t="str">
        <f t="shared" si="58"/>
        <v>A0829:(株)レックス(参考値)事業者全体</v>
      </c>
      <c r="S1226" s="181">
        <f t="shared" ref="S1226:S1289" si="59">HLOOKUP($S$8,$L$8:$P$2000,ROW()-7,FALSE)</f>
        <v>5.4699999999999996E-4</v>
      </c>
    </row>
    <row r="1227" spans="2:19">
      <c r="B1227" s="121"/>
      <c r="C1227" s="490"/>
      <c r="D1227" s="490" t="str">
        <f t="shared" si="57"/>
        <v/>
      </c>
      <c r="I1227" s="125" t="s">
        <v>1450</v>
      </c>
      <c r="J1227" s="125" t="s">
        <v>1960</v>
      </c>
      <c r="K1227" s="125" t="s">
        <v>652</v>
      </c>
      <c r="L1227" s="125">
        <v>0</v>
      </c>
      <c r="M1227" s="182">
        <v>0</v>
      </c>
      <c r="N1227" s="182">
        <v>0</v>
      </c>
      <c r="O1227" s="182">
        <v>0</v>
      </c>
      <c r="P1227" s="182">
        <v>0</v>
      </c>
      <c r="R1227" s="155" t="str">
        <f t="shared" si="58"/>
        <v>A0831:おきたま新電力(株)メニューA</v>
      </c>
      <c r="S1227" s="181">
        <f t="shared" si="59"/>
        <v>0</v>
      </c>
    </row>
    <row r="1228" spans="2:19">
      <c r="B1228" s="121"/>
      <c r="C1228" s="490"/>
      <c r="D1228" s="490" t="str">
        <f t="shared" si="57"/>
        <v/>
      </c>
      <c r="I1228" s="125" t="s">
        <v>1450</v>
      </c>
      <c r="J1228" s="125" t="s">
        <v>1960</v>
      </c>
      <c r="K1228" s="125" t="s">
        <v>729</v>
      </c>
      <c r="L1228" s="125">
        <v>5.9800000000000001E-4</v>
      </c>
      <c r="M1228" s="182">
        <v>5.9800000000000001E-4</v>
      </c>
      <c r="N1228" s="182">
        <v>5.9800000000000001E-4</v>
      </c>
      <c r="O1228" s="182">
        <v>5.9800000000000001E-4</v>
      </c>
      <c r="P1228" s="182">
        <v>5.9800000000000001E-4</v>
      </c>
      <c r="R1228" s="155" t="str">
        <f t="shared" si="58"/>
        <v>A0831:おきたま新電力(株)メニューB</v>
      </c>
      <c r="S1228" s="181">
        <f t="shared" si="59"/>
        <v>5.9800000000000001E-4</v>
      </c>
    </row>
    <row r="1229" spans="2:19">
      <c r="B1229" s="121"/>
      <c r="C1229" s="490"/>
      <c r="D1229" s="490" t="str">
        <f t="shared" si="57"/>
        <v/>
      </c>
      <c r="I1229" s="125" t="s">
        <v>1450</v>
      </c>
      <c r="J1229" s="125" t="s">
        <v>1960</v>
      </c>
      <c r="K1229" s="125" t="s">
        <v>1998</v>
      </c>
      <c r="L1229" s="125">
        <v>5.1800000000000001E-4</v>
      </c>
      <c r="M1229" s="182">
        <v>5.1800000000000001E-4</v>
      </c>
      <c r="N1229" s="182">
        <v>5.1800000000000001E-4</v>
      </c>
      <c r="O1229" s="182">
        <v>5.1800000000000001E-4</v>
      </c>
      <c r="P1229" s="182">
        <v>5.1800000000000001E-4</v>
      </c>
      <c r="R1229" s="155" t="str">
        <f t="shared" si="58"/>
        <v>A0831:おきたま新電力(株)(参考値)事業者全体</v>
      </c>
      <c r="S1229" s="181">
        <f t="shared" si="59"/>
        <v>5.1800000000000001E-4</v>
      </c>
    </row>
    <row r="1230" spans="2:19">
      <c r="B1230" s="121"/>
      <c r="C1230" s="490"/>
      <c r="D1230" s="490" t="str">
        <f t="shared" si="57"/>
        <v/>
      </c>
      <c r="I1230" s="125" t="s">
        <v>1451</v>
      </c>
      <c r="J1230" s="125" t="s">
        <v>1961</v>
      </c>
      <c r="K1230" s="125"/>
      <c r="L1230" s="125">
        <v>4.8899999999999996E-4</v>
      </c>
      <c r="M1230" s="182">
        <v>4.8899999999999996E-4</v>
      </c>
      <c r="N1230" s="182">
        <v>4.8899999999999996E-4</v>
      </c>
      <c r="O1230" s="182">
        <v>4.8899999999999996E-4</v>
      </c>
      <c r="P1230" s="182">
        <v>4.8899999999999996E-4</v>
      </c>
      <c r="R1230" s="155" t="str">
        <f t="shared" si="58"/>
        <v>A0835:河原実業(株)</v>
      </c>
      <c r="S1230" s="181">
        <f t="shared" si="59"/>
        <v>4.8899999999999996E-4</v>
      </c>
    </row>
    <row r="1231" spans="2:19">
      <c r="B1231" s="121"/>
      <c r="C1231" s="490"/>
      <c r="D1231" s="490" t="str">
        <f t="shared" si="57"/>
        <v/>
      </c>
      <c r="I1231" s="125" t="s">
        <v>1452</v>
      </c>
      <c r="J1231" s="125" t="s">
        <v>1962</v>
      </c>
      <c r="K1231" s="125"/>
      <c r="L1231" s="125">
        <v>4.2200000000000001E-4</v>
      </c>
      <c r="M1231" s="182">
        <v>4.2200000000000001E-4</v>
      </c>
      <c r="N1231" s="182">
        <v>4.2200000000000001E-4</v>
      </c>
      <c r="O1231" s="182">
        <v>4.2200000000000001E-4</v>
      </c>
      <c r="P1231" s="182">
        <v>4.2200000000000001E-4</v>
      </c>
      <c r="R1231" s="155" t="str">
        <f t="shared" si="58"/>
        <v>A0838:(株)stc</v>
      </c>
      <c r="S1231" s="181">
        <f t="shared" si="59"/>
        <v>4.2200000000000001E-4</v>
      </c>
    </row>
    <row r="1232" spans="2:19">
      <c r="B1232" s="121"/>
      <c r="C1232" s="490"/>
      <c r="D1232" s="490" t="str">
        <f t="shared" si="57"/>
        <v/>
      </c>
      <c r="I1232" s="125" t="s">
        <v>1453</v>
      </c>
      <c r="J1232" s="125" t="s">
        <v>1963</v>
      </c>
      <c r="K1232" s="125" t="s">
        <v>652</v>
      </c>
      <c r="L1232" s="125">
        <v>2.0000000000000002E-5</v>
      </c>
      <c r="M1232" s="182">
        <v>2.0000000000000002E-5</v>
      </c>
      <c r="N1232" s="182">
        <v>2.0000000000000002E-5</v>
      </c>
      <c r="O1232" s="182">
        <v>2.0000000000000002E-5</v>
      </c>
      <c r="P1232" s="182">
        <v>2.0000000000000002E-5</v>
      </c>
      <c r="R1232" s="155" t="str">
        <f t="shared" si="58"/>
        <v>A0839:(株)工営エナジーメニューA</v>
      </c>
      <c r="S1232" s="181">
        <f t="shared" si="59"/>
        <v>2.0000000000000002E-5</v>
      </c>
    </row>
    <row r="1233" spans="2:19">
      <c r="B1233" s="121"/>
      <c r="C1233" s="490"/>
      <c r="D1233" s="490" t="str">
        <f t="shared" si="57"/>
        <v/>
      </c>
      <c r="I1233" s="125" t="s">
        <v>1453</v>
      </c>
      <c r="J1233" s="125" t="s">
        <v>1963</v>
      </c>
      <c r="K1233" s="125" t="s">
        <v>1998</v>
      </c>
      <c r="L1233" s="125">
        <v>2.0000000000000002E-5</v>
      </c>
      <c r="M1233" s="182">
        <v>2.0000000000000002E-5</v>
      </c>
      <c r="N1233" s="182">
        <v>2.0000000000000002E-5</v>
      </c>
      <c r="O1233" s="182">
        <v>2.0000000000000002E-5</v>
      </c>
      <c r="P1233" s="182">
        <v>2.0000000000000002E-5</v>
      </c>
      <c r="R1233" s="155" t="str">
        <f t="shared" si="58"/>
        <v>A0839:(株)工営エナジー(参考値)事業者全体</v>
      </c>
      <c r="S1233" s="181">
        <f t="shared" si="59"/>
        <v>2.0000000000000002E-5</v>
      </c>
    </row>
    <row r="1234" spans="2:19">
      <c r="B1234" s="121"/>
      <c r="C1234" s="490"/>
      <c r="D1234" s="490" t="str">
        <f t="shared" si="57"/>
        <v/>
      </c>
      <c r="I1234" s="125" t="s">
        <v>1454</v>
      </c>
      <c r="J1234" s="125" t="s">
        <v>1964</v>
      </c>
      <c r="K1234" s="125"/>
      <c r="L1234" s="125">
        <v>8.8999999999999995E-5</v>
      </c>
      <c r="M1234" s="182">
        <v>8.8999999999999995E-5</v>
      </c>
      <c r="N1234" s="182">
        <v>8.8999999999999995E-5</v>
      </c>
      <c r="O1234" s="182">
        <v>8.8999999999999995E-5</v>
      </c>
      <c r="P1234" s="182">
        <v>8.8999999999999995E-5</v>
      </c>
      <c r="R1234" s="155" t="str">
        <f t="shared" si="58"/>
        <v>A0840:アースシグナルソリューションズ(株)</v>
      </c>
      <c r="S1234" s="181">
        <f t="shared" si="59"/>
        <v>8.8999999999999995E-5</v>
      </c>
    </row>
    <row r="1235" spans="2:19">
      <c r="B1235" s="121"/>
      <c r="C1235" s="490"/>
      <c r="D1235" s="490" t="str">
        <f t="shared" si="57"/>
        <v/>
      </c>
      <c r="I1235" s="125" t="s">
        <v>1455</v>
      </c>
      <c r="J1235" s="125" t="s">
        <v>1965</v>
      </c>
      <c r="K1235" s="125"/>
      <c r="L1235" s="125">
        <v>2.8899999999999998E-4</v>
      </c>
      <c r="M1235" s="182">
        <v>2.8899999999999998E-4</v>
      </c>
      <c r="N1235" s="182">
        <v>2.8899999999999998E-4</v>
      </c>
      <c r="O1235" s="182">
        <v>2.8899999999999998E-4</v>
      </c>
      <c r="P1235" s="182">
        <v>2.8899999999999998E-4</v>
      </c>
      <c r="R1235" s="155" t="str">
        <f t="shared" si="58"/>
        <v>A0843:シントウエナジー(株)</v>
      </c>
      <c r="S1235" s="181">
        <f t="shared" si="59"/>
        <v>2.8899999999999998E-4</v>
      </c>
    </row>
    <row r="1236" spans="2:19">
      <c r="B1236" s="121"/>
      <c r="C1236" s="490"/>
      <c r="D1236" s="490" t="str">
        <f t="shared" si="57"/>
        <v/>
      </c>
      <c r="I1236" s="125" t="s">
        <v>1456</v>
      </c>
      <c r="J1236" s="125" t="s">
        <v>1966</v>
      </c>
      <c r="K1236" s="125"/>
      <c r="L1236" s="125">
        <v>2.22E-4</v>
      </c>
      <c r="M1236" s="182">
        <v>2.22E-4</v>
      </c>
      <c r="N1236" s="182">
        <v>2.22E-4</v>
      </c>
      <c r="O1236" s="182">
        <v>2.22E-4</v>
      </c>
      <c r="P1236" s="182">
        <v>2.22E-4</v>
      </c>
      <c r="R1236" s="155" t="str">
        <f t="shared" si="58"/>
        <v>A0844:那須野ヶ原みらい電力(株)</v>
      </c>
      <c r="S1236" s="181">
        <f t="shared" si="59"/>
        <v>2.22E-4</v>
      </c>
    </row>
    <row r="1237" spans="2:19">
      <c r="B1237" s="121"/>
      <c r="C1237" s="490"/>
      <c r="D1237" s="490" t="str">
        <f t="shared" si="57"/>
        <v/>
      </c>
      <c r="I1237" s="125" t="s">
        <v>1457</v>
      </c>
      <c r="J1237" s="125" t="s">
        <v>1967</v>
      </c>
      <c r="K1237" s="125"/>
      <c r="L1237" s="125">
        <v>5.7899999999999998E-4</v>
      </c>
      <c r="M1237" s="182">
        <v>5.7899999999999998E-4</v>
      </c>
      <c r="N1237" s="182">
        <v>5.7899999999999998E-4</v>
      </c>
      <c r="O1237" s="182">
        <v>5.7899999999999998E-4</v>
      </c>
      <c r="P1237" s="182">
        <v>5.7899999999999998E-4</v>
      </c>
      <c r="R1237" s="155" t="str">
        <f t="shared" si="58"/>
        <v>A0847:柏崎あい・あーるエナジー(株)</v>
      </c>
      <c r="S1237" s="181">
        <f t="shared" si="59"/>
        <v>5.7899999999999998E-4</v>
      </c>
    </row>
    <row r="1238" spans="2:19">
      <c r="B1238" s="121"/>
      <c r="C1238" s="490"/>
      <c r="D1238" s="490" t="str">
        <f t="shared" si="57"/>
        <v/>
      </c>
      <c r="I1238" s="125" t="s">
        <v>1458</v>
      </c>
      <c r="J1238" s="125" t="s">
        <v>1968</v>
      </c>
      <c r="K1238" s="125" t="s">
        <v>652</v>
      </c>
      <c r="L1238" s="125">
        <v>0</v>
      </c>
      <c r="M1238" s="182">
        <v>0</v>
      </c>
      <c r="N1238" s="182">
        <v>0</v>
      </c>
      <c r="O1238" s="182">
        <v>0</v>
      </c>
      <c r="P1238" s="182">
        <v>0</v>
      </c>
      <c r="R1238" s="155" t="str">
        <f t="shared" si="58"/>
        <v>A0849:京セラ(株)メニューA</v>
      </c>
      <c r="S1238" s="181">
        <f t="shared" si="59"/>
        <v>0</v>
      </c>
    </row>
    <row r="1239" spans="2:19">
      <c r="B1239" s="121"/>
      <c r="C1239" s="490"/>
      <c r="D1239" s="490" t="str">
        <f t="shared" si="57"/>
        <v/>
      </c>
      <c r="I1239" s="125" t="s">
        <v>1458</v>
      </c>
      <c r="J1239" s="125" t="s">
        <v>1968</v>
      </c>
      <c r="K1239" s="125" t="s">
        <v>1998</v>
      </c>
      <c r="L1239" s="125">
        <v>0</v>
      </c>
      <c r="M1239" s="182">
        <v>0</v>
      </c>
      <c r="N1239" s="182">
        <v>0</v>
      </c>
      <c r="O1239" s="182">
        <v>0</v>
      </c>
      <c r="P1239" s="182">
        <v>0</v>
      </c>
      <c r="R1239" s="155" t="str">
        <f t="shared" si="58"/>
        <v>A0849:京セラ(株)(参考値)事業者全体</v>
      </c>
      <c r="S1239" s="181">
        <f t="shared" si="59"/>
        <v>0</v>
      </c>
    </row>
    <row r="1240" spans="2:19">
      <c r="B1240" s="121"/>
      <c r="C1240" s="490"/>
      <c r="D1240" s="490" t="str">
        <f t="shared" si="57"/>
        <v/>
      </c>
      <c r="I1240" s="125" t="s">
        <v>1459</v>
      </c>
      <c r="J1240" s="125" t="s">
        <v>1969</v>
      </c>
      <c r="K1240" s="125"/>
      <c r="L1240" s="125">
        <v>4.28E-4</v>
      </c>
      <c r="M1240" s="182">
        <v>4.28E-4</v>
      </c>
      <c r="N1240" s="182">
        <v>4.28E-4</v>
      </c>
      <c r="O1240" s="182">
        <v>4.28E-4</v>
      </c>
      <c r="P1240" s="182">
        <v>4.28E-4</v>
      </c>
      <c r="R1240" s="155" t="str">
        <f t="shared" si="58"/>
        <v>A0851:(株)鳥取みらい電力</v>
      </c>
      <c r="S1240" s="181">
        <f t="shared" si="59"/>
        <v>4.28E-4</v>
      </c>
    </row>
    <row r="1241" spans="2:19">
      <c r="B1241" s="121"/>
      <c r="C1241" s="490"/>
      <c r="D1241" s="490" t="str">
        <f t="shared" si="57"/>
        <v/>
      </c>
      <c r="I1241" s="125" t="s">
        <v>1460</v>
      </c>
      <c r="J1241" s="125" t="s">
        <v>1970</v>
      </c>
      <c r="K1241" s="125"/>
      <c r="L1241" s="125">
        <v>2.31E-4</v>
      </c>
      <c r="M1241" s="182">
        <v>2.31E-4</v>
      </c>
      <c r="N1241" s="182">
        <v>2.31E-4</v>
      </c>
      <c r="O1241" s="182">
        <v>2.31E-4</v>
      </c>
      <c r="P1241" s="182">
        <v>2.31E-4</v>
      </c>
      <c r="R1241" s="155" t="str">
        <f t="shared" si="58"/>
        <v>A0852:鈴鹿グリーンエナジー(株)</v>
      </c>
      <c r="S1241" s="181">
        <f t="shared" si="59"/>
        <v>2.31E-4</v>
      </c>
    </row>
    <row r="1242" spans="2:19">
      <c r="B1242" s="121"/>
      <c r="C1242" s="490"/>
      <c r="D1242" s="490" t="str">
        <f t="shared" si="57"/>
        <v/>
      </c>
      <c r="I1242" s="125" t="s">
        <v>1461</v>
      </c>
      <c r="J1242" s="125" t="s">
        <v>1971</v>
      </c>
      <c r="K1242" s="125"/>
      <c r="L1242" s="125">
        <v>0</v>
      </c>
      <c r="M1242" s="182">
        <v>0</v>
      </c>
      <c r="N1242" s="182">
        <v>0</v>
      </c>
      <c r="O1242" s="182">
        <v>0</v>
      </c>
      <c r="P1242" s="182">
        <v>0</v>
      </c>
      <c r="R1242" s="155" t="str">
        <f t="shared" si="58"/>
        <v>A0853:一般社団法人東北自動車産業グリーンエネルギー普及協会</v>
      </c>
      <c r="S1242" s="181">
        <f t="shared" si="59"/>
        <v>0</v>
      </c>
    </row>
    <row r="1243" spans="2:19">
      <c r="B1243" s="121"/>
      <c r="C1243" s="490"/>
      <c r="D1243" s="490" t="str">
        <f t="shared" si="57"/>
        <v/>
      </c>
      <c r="I1243" s="125" t="s">
        <v>1462</v>
      </c>
      <c r="J1243" s="125" t="s">
        <v>1972</v>
      </c>
      <c r="K1243" s="125" t="s">
        <v>652</v>
      </c>
      <c r="L1243" s="125">
        <v>3.0400000000000002E-4</v>
      </c>
      <c r="M1243" s="182">
        <v>3.0400000000000002E-4</v>
      </c>
      <c r="N1243" s="182">
        <v>3.0400000000000002E-4</v>
      </c>
      <c r="O1243" s="182">
        <v>3.0400000000000002E-4</v>
      </c>
      <c r="P1243" s="182">
        <v>3.0400000000000002E-4</v>
      </c>
      <c r="R1243" s="155" t="str">
        <f t="shared" si="58"/>
        <v>A0854:刈谷知立みらい電力(株)メニューA</v>
      </c>
      <c r="S1243" s="181">
        <f t="shared" si="59"/>
        <v>3.0400000000000002E-4</v>
      </c>
    </row>
    <row r="1244" spans="2:19">
      <c r="B1244" s="121"/>
      <c r="C1244" s="490"/>
      <c r="D1244" s="490" t="str">
        <f t="shared" si="57"/>
        <v/>
      </c>
      <c r="I1244" s="125" t="s">
        <v>1462</v>
      </c>
      <c r="J1244" s="125" t="s">
        <v>1972</v>
      </c>
      <c r="K1244" s="125" t="s">
        <v>1998</v>
      </c>
      <c r="L1244" s="125">
        <v>3.0400000000000002E-4</v>
      </c>
      <c r="M1244" s="182">
        <v>3.0400000000000002E-4</v>
      </c>
      <c r="N1244" s="182">
        <v>3.0400000000000002E-4</v>
      </c>
      <c r="O1244" s="182">
        <v>3.0400000000000002E-4</v>
      </c>
      <c r="P1244" s="182">
        <v>3.0400000000000002E-4</v>
      </c>
      <c r="R1244" s="155" t="str">
        <f t="shared" si="58"/>
        <v>A0854:刈谷知立みらい電力(株)(参考値)事業者全体</v>
      </c>
      <c r="S1244" s="181">
        <f t="shared" si="59"/>
        <v>3.0400000000000002E-4</v>
      </c>
    </row>
    <row r="1245" spans="2:19">
      <c r="B1245" s="121"/>
      <c r="C1245" s="490"/>
      <c r="D1245" s="490" t="str">
        <f t="shared" si="57"/>
        <v/>
      </c>
      <c r="I1245" s="125" t="s">
        <v>1463</v>
      </c>
      <c r="J1245" s="125" t="s">
        <v>1973</v>
      </c>
      <c r="K1245" s="125" t="s">
        <v>652</v>
      </c>
      <c r="L1245" s="125">
        <v>2.9500000000000001E-4</v>
      </c>
      <c r="M1245" s="182">
        <v>2.9500000000000001E-4</v>
      </c>
      <c r="N1245" s="182">
        <v>2.9500000000000001E-4</v>
      </c>
      <c r="O1245" s="182">
        <v>2.9500000000000001E-4</v>
      </c>
      <c r="P1245" s="182">
        <v>2.9500000000000001E-4</v>
      </c>
      <c r="R1245" s="155" t="str">
        <f t="shared" si="58"/>
        <v>A0857:(株)パワーエックスメニューA</v>
      </c>
      <c r="S1245" s="181">
        <f t="shared" si="59"/>
        <v>2.9500000000000001E-4</v>
      </c>
    </row>
    <row r="1246" spans="2:19">
      <c r="B1246" s="121"/>
      <c r="C1246" s="490"/>
      <c r="D1246" s="490" t="str">
        <f t="shared" si="57"/>
        <v/>
      </c>
      <c r="I1246" s="125" t="s">
        <v>1463</v>
      </c>
      <c r="J1246" s="125" t="s">
        <v>1973</v>
      </c>
      <c r="K1246" s="125" t="s">
        <v>729</v>
      </c>
      <c r="L1246" s="125">
        <v>4.2999999999999999E-4</v>
      </c>
      <c r="M1246" s="182">
        <v>4.2999999999999999E-4</v>
      </c>
      <c r="N1246" s="182">
        <v>4.2999999999999999E-4</v>
      </c>
      <c r="O1246" s="182">
        <v>4.2999999999999999E-4</v>
      </c>
      <c r="P1246" s="182">
        <v>4.2999999999999999E-4</v>
      </c>
      <c r="R1246" s="155" t="str">
        <f t="shared" si="58"/>
        <v>A0857:(株)パワーエックスメニューB</v>
      </c>
      <c r="S1246" s="181">
        <f t="shared" si="59"/>
        <v>4.2999999999999999E-4</v>
      </c>
    </row>
    <row r="1247" spans="2:19">
      <c r="B1247" s="121"/>
      <c r="C1247" s="490"/>
      <c r="D1247" s="490" t="str">
        <f t="shared" si="57"/>
        <v/>
      </c>
      <c r="I1247" s="125" t="s">
        <v>1463</v>
      </c>
      <c r="J1247" s="125" t="s">
        <v>1973</v>
      </c>
      <c r="K1247" s="125" t="s">
        <v>730</v>
      </c>
      <c r="L1247" s="125">
        <v>4.2200000000000001E-4</v>
      </c>
      <c r="M1247" s="182">
        <v>4.2200000000000001E-4</v>
      </c>
      <c r="N1247" s="182">
        <v>4.2200000000000001E-4</v>
      </c>
      <c r="O1247" s="182">
        <v>4.2200000000000001E-4</v>
      </c>
      <c r="P1247" s="182">
        <v>4.2200000000000001E-4</v>
      </c>
      <c r="R1247" s="155" t="str">
        <f t="shared" si="58"/>
        <v>A0857:(株)パワーエックスメニューC</v>
      </c>
      <c r="S1247" s="181">
        <f t="shared" si="59"/>
        <v>4.2200000000000001E-4</v>
      </c>
    </row>
    <row r="1248" spans="2:19">
      <c r="B1248" s="121"/>
      <c r="C1248" s="490"/>
      <c r="D1248" s="490" t="str">
        <f t="shared" si="57"/>
        <v/>
      </c>
      <c r="I1248" s="125" t="s">
        <v>1463</v>
      </c>
      <c r="J1248" s="125" t="s">
        <v>1973</v>
      </c>
      <c r="K1248" s="125" t="s">
        <v>1998</v>
      </c>
      <c r="L1248" s="125">
        <v>1.023E-3</v>
      </c>
      <c r="M1248" s="182">
        <v>1.023E-3</v>
      </c>
      <c r="N1248" s="182">
        <v>1.023E-3</v>
      </c>
      <c r="O1248" s="182">
        <v>1.023E-3</v>
      </c>
      <c r="P1248" s="182">
        <v>1.023E-3</v>
      </c>
      <c r="R1248" s="155" t="str">
        <f t="shared" si="58"/>
        <v>A0857:(株)パワーエックス(参考値)事業者全体</v>
      </c>
      <c r="S1248" s="181">
        <f t="shared" si="59"/>
        <v>1.023E-3</v>
      </c>
    </row>
    <row r="1249" spans="2:19">
      <c r="B1249" s="121"/>
      <c r="C1249" s="490"/>
      <c r="D1249" s="490" t="str">
        <f t="shared" si="57"/>
        <v/>
      </c>
      <c r="I1249" s="125" t="s">
        <v>1464</v>
      </c>
      <c r="J1249" s="125" t="s">
        <v>1974</v>
      </c>
      <c r="K1249" s="125" t="s">
        <v>652</v>
      </c>
      <c r="L1249" s="125">
        <v>0</v>
      </c>
      <c r="M1249" s="182">
        <v>0</v>
      </c>
      <c r="N1249" s="182">
        <v>0</v>
      </c>
      <c r="O1249" s="182">
        <v>0</v>
      </c>
      <c r="P1249" s="182">
        <v>0</v>
      </c>
      <c r="R1249" s="155" t="str">
        <f t="shared" si="58"/>
        <v>A0859:いちのみや未来エネルギー(株)メニューA</v>
      </c>
      <c r="S1249" s="181">
        <f t="shared" si="59"/>
        <v>0</v>
      </c>
    </row>
    <row r="1250" spans="2:19">
      <c r="B1250" s="121"/>
      <c r="C1250" s="490"/>
      <c r="D1250" s="490" t="str">
        <f t="shared" si="57"/>
        <v/>
      </c>
      <c r="I1250" s="125" t="s">
        <v>1464</v>
      </c>
      <c r="J1250" s="125" t="s">
        <v>1974</v>
      </c>
      <c r="K1250" s="125" t="s">
        <v>1998</v>
      </c>
      <c r="L1250" s="125">
        <v>0</v>
      </c>
      <c r="M1250" s="182">
        <v>0</v>
      </c>
      <c r="N1250" s="182">
        <v>0</v>
      </c>
      <c r="O1250" s="182">
        <v>0</v>
      </c>
      <c r="P1250" s="182">
        <v>0</v>
      </c>
      <c r="R1250" s="155" t="str">
        <f t="shared" si="58"/>
        <v>A0859:いちのみや未来エネルギー(株)(参考値)事業者全体</v>
      </c>
      <c r="S1250" s="181">
        <f t="shared" si="59"/>
        <v>0</v>
      </c>
    </row>
    <row r="1251" spans="2:19">
      <c r="B1251" s="121"/>
      <c r="C1251" s="490"/>
      <c r="D1251" s="490" t="str">
        <f t="shared" si="57"/>
        <v/>
      </c>
      <c r="I1251" s="125" t="s">
        <v>1465</v>
      </c>
      <c r="J1251" s="125" t="s">
        <v>1975</v>
      </c>
      <c r="K1251" s="125"/>
      <c r="L1251" s="125">
        <v>6.2500000000000001E-4</v>
      </c>
      <c r="M1251" s="182">
        <v>6.2500000000000001E-4</v>
      </c>
      <c r="N1251" s="182">
        <v>6.2500000000000001E-4</v>
      </c>
      <c r="O1251" s="182">
        <v>6.2500000000000001E-4</v>
      </c>
      <c r="P1251" s="182">
        <v>6.2500000000000001E-4</v>
      </c>
      <c r="R1251" s="155" t="str">
        <f t="shared" si="58"/>
        <v>A0860:岡谷酸素(株)</v>
      </c>
      <c r="S1251" s="181">
        <f t="shared" si="59"/>
        <v>6.2500000000000001E-4</v>
      </c>
    </row>
    <row r="1252" spans="2:19">
      <c r="B1252" s="121"/>
      <c r="C1252" s="490"/>
      <c r="D1252" s="490" t="str">
        <f t="shared" si="57"/>
        <v/>
      </c>
      <c r="I1252" s="125" t="s">
        <v>1466</v>
      </c>
      <c r="J1252" s="125" t="s">
        <v>1976</v>
      </c>
      <c r="K1252" s="125"/>
      <c r="L1252" s="125">
        <v>6.1600000000000001E-4</v>
      </c>
      <c r="M1252" s="182">
        <v>6.1600000000000001E-4</v>
      </c>
      <c r="N1252" s="182">
        <v>6.1600000000000001E-4</v>
      </c>
      <c r="O1252" s="182">
        <v>6.1600000000000001E-4</v>
      </c>
      <c r="P1252" s="182">
        <v>6.1600000000000001E-4</v>
      </c>
      <c r="R1252" s="155" t="str">
        <f t="shared" si="58"/>
        <v>A0863:(株)絆</v>
      </c>
      <c r="S1252" s="181">
        <f t="shared" si="59"/>
        <v>6.1600000000000001E-4</v>
      </c>
    </row>
    <row r="1253" spans="2:19">
      <c r="B1253" s="121"/>
      <c r="C1253" s="490"/>
      <c r="D1253" s="490" t="str">
        <f t="shared" si="57"/>
        <v/>
      </c>
      <c r="I1253" s="125" t="s">
        <v>1467</v>
      </c>
      <c r="J1253" s="125" t="s">
        <v>1977</v>
      </c>
      <c r="K1253" s="125" t="s">
        <v>652</v>
      </c>
      <c r="L1253" s="125">
        <v>1.2899999999999999E-4</v>
      </c>
      <c r="M1253" s="182">
        <v>1.2899999999999999E-4</v>
      </c>
      <c r="N1253" s="182">
        <v>1.2899999999999999E-4</v>
      </c>
      <c r="O1253" s="182">
        <v>1.2899999999999999E-4</v>
      </c>
      <c r="P1253" s="182">
        <v>1.2899999999999999E-4</v>
      </c>
      <c r="R1253" s="155" t="str">
        <f t="shared" si="58"/>
        <v>A0865:東北エネルギーサービス(株)メニューA</v>
      </c>
      <c r="S1253" s="181">
        <f t="shared" si="59"/>
        <v>1.2899999999999999E-4</v>
      </c>
    </row>
    <row r="1254" spans="2:19">
      <c r="B1254" s="121"/>
      <c r="C1254" s="490"/>
      <c r="D1254" s="490" t="str">
        <f t="shared" si="57"/>
        <v/>
      </c>
      <c r="I1254" s="125" t="s">
        <v>1467</v>
      </c>
      <c r="J1254" s="125" t="s">
        <v>1977</v>
      </c>
      <c r="K1254" s="125" t="s">
        <v>729</v>
      </c>
      <c r="L1254" s="125">
        <v>1.4799999999999999E-4</v>
      </c>
      <c r="M1254" s="182">
        <v>1.4799999999999999E-4</v>
      </c>
      <c r="N1254" s="182">
        <v>1.4799999999999999E-4</v>
      </c>
      <c r="O1254" s="182">
        <v>1.4799999999999999E-4</v>
      </c>
      <c r="P1254" s="182">
        <v>1.4799999999999999E-4</v>
      </c>
      <c r="R1254" s="155" t="str">
        <f t="shared" si="58"/>
        <v>A0865:東北エネルギーサービス(株)メニューB</v>
      </c>
      <c r="S1254" s="181">
        <f t="shared" si="59"/>
        <v>1.4799999999999999E-4</v>
      </c>
    </row>
    <row r="1255" spans="2:19">
      <c r="B1255" s="121"/>
      <c r="C1255" s="490"/>
      <c r="D1255" s="490" t="str">
        <f t="shared" si="57"/>
        <v/>
      </c>
      <c r="I1255" s="125" t="s">
        <v>1467</v>
      </c>
      <c r="J1255" s="125" t="s">
        <v>1977</v>
      </c>
      <c r="K1255" s="125" t="s">
        <v>730</v>
      </c>
      <c r="L1255" s="125">
        <v>9.7999999999999997E-5</v>
      </c>
      <c r="M1255" s="182">
        <v>9.7999999999999997E-5</v>
      </c>
      <c r="N1255" s="182">
        <v>9.7999999999999997E-5</v>
      </c>
      <c r="O1255" s="182">
        <v>9.7999999999999997E-5</v>
      </c>
      <c r="P1255" s="182">
        <v>9.7999999999999997E-5</v>
      </c>
      <c r="R1255" s="155" t="str">
        <f t="shared" si="58"/>
        <v>A0865:東北エネルギーサービス(株)メニューC</v>
      </c>
      <c r="S1255" s="181">
        <f t="shared" si="59"/>
        <v>9.7999999999999997E-5</v>
      </c>
    </row>
    <row r="1256" spans="2:19">
      <c r="B1256" s="121"/>
      <c r="C1256" s="490"/>
      <c r="D1256" s="490" t="str">
        <f t="shared" si="57"/>
        <v/>
      </c>
      <c r="I1256" s="125" t="s">
        <v>1467</v>
      </c>
      <c r="J1256" s="125" t="s">
        <v>1977</v>
      </c>
      <c r="K1256" s="125" t="s">
        <v>1998</v>
      </c>
      <c r="L1256" s="125">
        <v>1.2300000000000001E-4</v>
      </c>
      <c r="M1256" s="182">
        <v>1.2300000000000001E-4</v>
      </c>
      <c r="N1256" s="182">
        <v>1.2300000000000001E-4</v>
      </c>
      <c r="O1256" s="182">
        <v>1.2300000000000001E-4</v>
      </c>
      <c r="P1256" s="182">
        <v>1.2300000000000001E-4</v>
      </c>
      <c r="R1256" s="155" t="str">
        <f t="shared" si="58"/>
        <v>A0865:東北エネルギーサービス(株)(参考値)事業者全体</v>
      </c>
      <c r="S1256" s="181">
        <f t="shared" si="59"/>
        <v>1.2300000000000001E-4</v>
      </c>
    </row>
    <row r="1257" spans="2:19">
      <c r="B1257" s="121"/>
      <c r="C1257" s="490"/>
      <c r="D1257" s="490" t="str">
        <f t="shared" si="57"/>
        <v/>
      </c>
      <c r="I1257" s="125" t="s">
        <v>1468</v>
      </c>
      <c r="J1257" s="125" t="s">
        <v>1978</v>
      </c>
      <c r="K1257" s="125"/>
      <c r="L1257" s="125">
        <v>2.41E-4</v>
      </c>
      <c r="M1257" s="182">
        <v>2.41E-4</v>
      </c>
      <c r="N1257" s="182">
        <v>2.41E-4</v>
      </c>
      <c r="O1257" s="182">
        <v>2.41E-4</v>
      </c>
      <c r="P1257" s="182">
        <v>2.41E-4</v>
      </c>
      <c r="R1257" s="155" t="str">
        <f t="shared" si="58"/>
        <v>A0866:(株)いなしきエナジー</v>
      </c>
      <c r="S1257" s="181">
        <f t="shared" si="59"/>
        <v>2.41E-4</v>
      </c>
    </row>
    <row r="1258" spans="2:19">
      <c r="B1258" s="121"/>
      <c r="C1258" s="490"/>
      <c r="D1258" s="490" t="str">
        <f t="shared" si="57"/>
        <v/>
      </c>
      <c r="I1258" s="125" t="s">
        <v>1469</v>
      </c>
      <c r="J1258" s="125" t="s">
        <v>1979</v>
      </c>
      <c r="K1258" s="125"/>
      <c r="L1258" s="125">
        <v>9.3999999999999994E-5</v>
      </c>
      <c r="M1258" s="182">
        <v>9.3999999999999994E-5</v>
      </c>
      <c r="N1258" s="182">
        <v>9.3999999999999994E-5</v>
      </c>
      <c r="O1258" s="182">
        <v>9.3999999999999994E-5</v>
      </c>
      <c r="P1258" s="182">
        <v>9.3999999999999994E-5</v>
      </c>
      <c r="R1258" s="155" t="str">
        <f t="shared" si="58"/>
        <v>A0867:ながのスマートパワー(株)</v>
      </c>
      <c r="S1258" s="181">
        <f t="shared" si="59"/>
        <v>9.3999999999999994E-5</v>
      </c>
    </row>
    <row r="1259" spans="2:19">
      <c r="B1259" s="121"/>
      <c r="C1259" s="490"/>
      <c r="D1259" s="490" t="str">
        <f t="shared" si="57"/>
        <v/>
      </c>
      <c r="I1259" s="125" t="s">
        <v>1470</v>
      </c>
      <c r="J1259" s="125" t="s">
        <v>1980</v>
      </c>
      <c r="K1259" s="125"/>
      <c r="L1259" s="125">
        <v>5.1099999999999995E-4</v>
      </c>
      <c r="M1259" s="182">
        <v>5.1099999999999995E-4</v>
      </c>
      <c r="N1259" s="182">
        <v>5.1099999999999995E-4</v>
      </c>
      <c r="O1259" s="182">
        <v>5.1099999999999995E-4</v>
      </c>
      <c r="P1259" s="182">
        <v>5.1099999999999995E-4</v>
      </c>
      <c r="R1259" s="155" t="str">
        <f t="shared" si="58"/>
        <v>A0868:(株)ホクレン油機サービス</v>
      </c>
      <c r="S1259" s="181">
        <f t="shared" si="59"/>
        <v>5.1099999999999995E-4</v>
      </c>
    </row>
    <row r="1260" spans="2:19">
      <c r="B1260" s="121"/>
      <c r="C1260" s="490"/>
      <c r="D1260" s="490" t="str">
        <f t="shared" si="57"/>
        <v/>
      </c>
      <c r="I1260" s="125" t="s">
        <v>1471</v>
      </c>
      <c r="J1260" s="125" t="s">
        <v>1981</v>
      </c>
      <c r="K1260" s="125" t="s">
        <v>652</v>
      </c>
      <c r="L1260" s="125">
        <v>0</v>
      </c>
      <c r="M1260" s="182">
        <v>0</v>
      </c>
      <c r="N1260" s="182">
        <v>0</v>
      </c>
      <c r="O1260" s="182">
        <v>0</v>
      </c>
      <c r="P1260" s="182">
        <v>0</v>
      </c>
      <c r="R1260" s="155" t="str">
        <f t="shared" si="58"/>
        <v>A0869:(株)JR東日本商事メニューA</v>
      </c>
      <c r="S1260" s="181">
        <f t="shared" si="59"/>
        <v>0</v>
      </c>
    </row>
    <row r="1261" spans="2:19">
      <c r="B1261" s="121"/>
      <c r="C1261" s="490"/>
      <c r="D1261" s="490" t="str">
        <f t="shared" si="57"/>
        <v/>
      </c>
      <c r="I1261" s="125" t="s">
        <v>1471</v>
      </c>
      <c r="J1261" s="125" t="s">
        <v>1981</v>
      </c>
      <c r="K1261" s="125" t="s">
        <v>729</v>
      </c>
      <c r="L1261" s="125">
        <v>5.8799999999999998E-4</v>
      </c>
      <c r="M1261" s="182">
        <v>5.8799999999999998E-4</v>
      </c>
      <c r="N1261" s="182">
        <v>5.8799999999999998E-4</v>
      </c>
      <c r="O1261" s="182">
        <v>5.8799999999999998E-4</v>
      </c>
      <c r="P1261" s="182">
        <v>5.8799999999999998E-4</v>
      </c>
      <c r="R1261" s="155" t="str">
        <f t="shared" si="58"/>
        <v>A0869:(株)JR東日本商事メニューB</v>
      </c>
      <c r="S1261" s="181">
        <f t="shared" si="59"/>
        <v>5.8799999999999998E-4</v>
      </c>
    </row>
    <row r="1262" spans="2:19">
      <c r="B1262" s="121"/>
      <c r="C1262" s="490"/>
      <c r="D1262" s="490" t="str">
        <f t="shared" ref="D1262:D1325" si="60">IF(B1262="","",B1262&amp;":"&amp;C1262)</f>
        <v/>
      </c>
      <c r="I1262" s="125" t="s">
        <v>1471</v>
      </c>
      <c r="J1262" s="125" t="s">
        <v>1981</v>
      </c>
      <c r="K1262" s="125" t="s">
        <v>1998</v>
      </c>
      <c r="L1262" s="125">
        <v>3.1E-4</v>
      </c>
      <c r="M1262" s="182">
        <v>3.1E-4</v>
      </c>
      <c r="N1262" s="182">
        <v>3.1E-4</v>
      </c>
      <c r="O1262" s="182">
        <v>3.1E-4</v>
      </c>
      <c r="P1262" s="182">
        <v>3.1E-4</v>
      </c>
      <c r="R1262" s="155" t="str">
        <f t="shared" si="58"/>
        <v>A0869:(株)JR東日本商事(参考値)事業者全体</v>
      </c>
      <c r="S1262" s="181">
        <f t="shared" si="59"/>
        <v>3.1E-4</v>
      </c>
    </row>
    <row r="1263" spans="2:19">
      <c r="B1263" s="121"/>
      <c r="C1263" s="490"/>
      <c r="D1263" s="490" t="str">
        <f t="shared" si="60"/>
        <v/>
      </c>
      <c r="I1263" s="125" t="s">
        <v>1472</v>
      </c>
      <c r="J1263" s="125" t="s">
        <v>1982</v>
      </c>
      <c r="K1263" s="125"/>
      <c r="L1263" s="125">
        <v>3.0600000000000001E-4</v>
      </c>
      <c r="M1263" s="182">
        <v>3.0600000000000001E-4</v>
      </c>
      <c r="N1263" s="182">
        <v>3.0600000000000001E-4</v>
      </c>
      <c r="O1263" s="182">
        <v>3.0600000000000001E-4</v>
      </c>
      <c r="P1263" s="182">
        <v>3.0600000000000001E-4</v>
      </c>
      <c r="R1263" s="155" t="str">
        <f t="shared" si="58"/>
        <v>A0870:岡山ガス(株)</v>
      </c>
      <c r="S1263" s="181">
        <f t="shared" si="59"/>
        <v>3.0600000000000001E-4</v>
      </c>
    </row>
    <row r="1264" spans="2:19">
      <c r="B1264" s="121"/>
      <c r="C1264" s="490"/>
      <c r="D1264" s="490" t="str">
        <f t="shared" si="60"/>
        <v/>
      </c>
      <c r="I1264" s="125" t="s">
        <v>1473</v>
      </c>
      <c r="J1264" s="125" t="s">
        <v>1983</v>
      </c>
      <c r="K1264" s="125"/>
      <c r="L1264" s="125">
        <v>4.66E-4</v>
      </c>
      <c r="M1264" s="182">
        <v>4.66E-4</v>
      </c>
      <c r="N1264" s="182">
        <v>4.66E-4</v>
      </c>
      <c r="O1264" s="182">
        <v>4.66E-4</v>
      </c>
      <c r="P1264" s="182">
        <v>4.66E-4</v>
      </c>
      <c r="R1264" s="155" t="str">
        <f t="shared" si="58"/>
        <v>A0871:合同会社グリーンパワーリテイリング</v>
      </c>
      <c r="S1264" s="181">
        <f t="shared" si="59"/>
        <v>4.66E-4</v>
      </c>
    </row>
    <row r="1265" spans="2:19">
      <c r="B1265" s="121"/>
      <c r="C1265" s="490"/>
      <c r="D1265" s="490" t="str">
        <f t="shared" si="60"/>
        <v/>
      </c>
      <c r="I1265" s="125" t="s">
        <v>1474</v>
      </c>
      <c r="J1265" s="125" t="s">
        <v>1984</v>
      </c>
      <c r="K1265" s="125" t="s">
        <v>652</v>
      </c>
      <c r="L1265" s="125">
        <v>2.5000000000000001E-4</v>
      </c>
      <c r="M1265" s="182">
        <v>2.5000000000000001E-4</v>
      </c>
      <c r="N1265" s="182">
        <v>2.5000000000000001E-4</v>
      </c>
      <c r="O1265" s="182">
        <v>2.5000000000000001E-4</v>
      </c>
      <c r="P1265" s="182">
        <v>2.5000000000000001E-4</v>
      </c>
      <c r="R1265" s="155" t="str">
        <f t="shared" si="58"/>
        <v>A0873:川崎未来エナジー(株)メニューA</v>
      </c>
      <c r="S1265" s="181">
        <f t="shared" si="59"/>
        <v>2.5000000000000001E-4</v>
      </c>
    </row>
    <row r="1266" spans="2:19">
      <c r="B1266" s="121"/>
      <c r="C1266" s="490"/>
      <c r="D1266" s="490" t="str">
        <f t="shared" si="60"/>
        <v/>
      </c>
      <c r="I1266" s="125" t="s">
        <v>1474</v>
      </c>
      <c r="J1266" s="125" t="s">
        <v>1984</v>
      </c>
      <c r="K1266" s="125" t="s">
        <v>1998</v>
      </c>
      <c r="L1266" s="125">
        <v>0</v>
      </c>
      <c r="M1266" s="182">
        <v>0</v>
      </c>
      <c r="N1266" s="182">
        <v>0</v>
      </c>
      <c r="O1266" s="182">
        <v>0</v>
      </c>
      <c r="P1266" s="182">
        <v>0</v>
      </c>
      <c r="R1266" s="155" t="str">
        <f t="shared" si="58"/>
        <v>A0873:川崎未来エナジー(株)(参考値)事業者全体</v>
      </c>
      <c r="S1266" s="181">
        <f t="shared" si="59"/>
        <v>0</v>
      </c>
    </row>
    <row r="1267" spans="2:19">
      <c r="B1267" s="121"/>
      <c r="C1267" s="490"/>
      <c r="D1267" s="490" t="str">
        <f t="shared" si="60"/>
        <v/>
      </c>
      <c r="I1267" s="125" t="s">
        <v>1475</v>
      </c>
      <c r="J1267" s="125" t="s">
        <v>1985</v>
      </c>
      <c r="K1267" s="125"/>
      <c r="L1267" s="125">
        <v>4.7100000000000006E-4</v>
      </c>
      <c r="M1267" s="182">
        <v>4.7100000000000006E-4</v>
      </c>
      <c r="N1267" s="182">
        <v>4.7100000000000006E-4</v>
      </c>
      <c r="O1267" s="182">
        <v>4.7100000000000006E-4</v>
      </c>
      <c r="P1267" s="182">
        <v>4.7100000000000006E-4</v>
      </c>
      <c r="R1267" s="155" t="str">
        <f t="shared" si="58"/>
        <v>A0874:(株)いずみみらい</v>
      </c>
      <c r="S1267" s="181">
        <f t="shared" si="59"/>
        <v>4.7100000000000006E-4</v>
      </c>
    </row>
    <row r="1268" spans="2:19">
      <c r="B1268" s="121"/>
      <c r="C1268" s="490"/>
      <c r="D1268" s="490" t="str">
        <f t="shared" si="60"/>
        <v/>
      </c>
      <c r="I1268" s="125" t="s">
        <v>1476</v>
      </c>
      <c r="J1268" s="125" t="s">
        <v>1986</v>
      </c>
      <c r="K1268" s="125" t="s">
        <v>652</v>
      </c>
      <c r="L1268" s="125">
        <v>4.2700000000000002E-4</v>
      </c>
      <c r="M1268" s="182">
        <v>4.2700000000000002E-4</v>
      </c>
      <c r="N1268" s="182">
        <v>4.2700000000000002E-4</v>
      </c>
      <c r="O1268" s="182">
        <v>4.2700000000000002E-4</v>
      </c>
      <c r="P1268" s="182">
        <v>4.2700000000000002E-4</v>
      </c>
      <c r="R1268" s="155" t="str">
        <f t="shared" si="58"/>
        <v>A0877:(株)アット東京メニューA</v>
      </c>
      <c r="S1268" s="181">
        <f t="shared" si="59"/>
        <v>4.2700000000000002E-4</v>
      </c>
    </row>
    <row r="1269" spans="2:19">
      <c r="B1269" s="121"/>
      <c r="C1269" s="490"/>
      <c r="D1269" s="490" t="str">
        <f t="shared" si="60"/>
        <v/>
      </c>
      <c r="I1269" s="125" t="s">
        <v>1476</v>
      </c>
      <c r="J1269" s="125" t="s">
        <v>1986</v>
      </c>
      <c r="K1269" s="125" t="s">
        <v>729</v>
      </c>
      <c r="L1269" s="125">
        <v>4.4499999999999997E-4</v>
      </c>
      <c r="M1269" s="182">
        <v>4.4499999999999997E-4</v>
      </c>
      <c r="N1269" s="182">
        <v>4.4499999999999997E-4</v>
      </c>
      <c r="O1269" s="182">
        <v>4.4499999999999997E-4</v>
      </c>
      <c r="P1269" s="182">
        <v>4.4499999999999997E-4</v>
      </c>
      <c r="R1269" s="155" t="str">
        <f t="shared" si="58"/>
        <v>A0877:(株)アット東京メニューB</v>
      </c>
      <c r="S1269" s="181">
        <f t="shared" si="59"/>
        <v>4.4499999999999997E-4</v>
      </c>
    </row>
    <row r="1270" spans="2:19">
      <c r="B1270" s="121"/>
      <c r="C1270" s="490"/>
      <c r="D1270" s="490" t="str">
        <f t="shared" si="60"/>
        <v/>
      </c>
      <c r="I1270" s="125" t="s">
        <v>1476</v>
      </c>
      <c r="J1270" s="125" t="s">
        <v>1986</v>
      </c>
      <c r="K1270" s="125" t="s">
        <v>1998</v>
      </c>
      <c r="L1270" s="125">
        <v>4.3100000000000001E-4</v>
      </c>
      <c r="M1270" s="182">
        <v>4.3100000000000001E-4</v>
      </c>
      <c r="N1270" s="182">
        <v>4.3100000000000001E-4</v>
      </c>
      <c r="O1270" s="182">
        <v>4.3100000000000001E-4</v>
      </c>
      <c r="P1270" s="182">
        <v>4.3100000000000001E-4</v>
      </c>
      <c r="R1270" s="155" t="str">
        <f t="shared" si="58"/>
        <v>A0877:(株)アット東京(参考値)事業者全体</v>
      </c>
      <c r="S1270" s="181">
        <f t="shared" si="59"/>
        <v>4.3100000000000001E-4</v>
      </c>
    </row>
    <row r="1271" spans="2:19">
      <c r="B1271" s="121"/>
      <c r="C1271" s="490"/>
      <c r="D1271" s="490" t="str">
        <f t="shared" si="60"/>
        <v/>
      </c>
      <c r="I1271" s="125" t="s">
        <v>1477</v>
      </c>
      <c r="J1271" s="125" t="s">
        <v>1987</v>
      </c>
      <c r="K1271" s="125"/>
      <c r="L1271" s="125">
        <v>4.1899999999999999E-4</v>
      </c>
      <c r="M1271" s="182">
        <v>4.1899999999999999E-4</v>
      </c>
      <c r="N1271" s="182">
        <v>4.1899999999999999E-4</v>
      </c>
      <c r="O1271" s="182">
        <v>4.1899999999999999E-4</v>
      </c>
      <c r="P1271" s="182">
        <v>4.1899999999999999E-4</v>
      </c>
      <c r="R1271" s="155" t="str">
        <f t="shared" si="58"/>
        <v>A0880:(株)つるエネルギー</v>
      </c>
      <c r="S1271" s="181">
        <f t="shared" si="59"/>
        <v>4.1899999999999999E-4</v>
      </c>
    </row>
    <row r="1272" spans="2:19">
      <c r="B1272" s="121"/>
      <c r="C1272" s="490"/>
      <c r="D1272" s="490" t="str">
        <f t="shared" si="60"/>
        <v/>
      </c>
      <c r="I1272" s="125" t="s">
        <v>1478</v>
      </c>
      <c r="J1272" s="125" t="s">
        <v>1988</v>
      </c>
      <c r="K1272" s="125"/>
      <c r="L1272" s="125">
        <v>4.4700000000000002E-4</v>
      </c>
      <c r="M1272" s="182">
        <v>4.4700000000000002E-4</v>
      </c>
      <c r="N1272" s="182">
        <v>4.4700000000000002E-4</v>
      </c>
      <c r="O1272" s="182">
        <v>4.4700000000000002E-4</v>
      </c>
      <c r="P1272" s="182">
        <v>4.4700000000000002E-4</v>
      </c>
      <c r="R1272" s="155" t="str">
        <f t="shared" si="58"/>
        <v>A0881:川重商事(株)</v>
      </c>
      <c r="S1272" s="181">
        <f t="shared" si="59"/>
        <v>4.4700000000000002E-4</v>
      </c>
    </row>
    <row r="1273" spans="2:19">
      <c r="B1273" s="121"/>
      <c r="C1273" s="490"/>
      <c r="D1273" s="490" t="str">
        <f t="shared" si="60"/>
        <v/>
      </c>
      <c r="I1273" s="125" t="s">
        <v>1479</v>
      </c>
      <c r="J1273" s="125" t="s">
        <v>1989</v>
      </c>
      <c r="K1273" s="125" t="s">
        <v>652</v>
      </c>
      <c r="L1273" s="125">
        <v>0</v>
      </c>
      <c r="M1273" s="182">
        <v>0</v>
      </c>
      <c r="N1273" s="182">
        <v>0</v>
      </c>
      <c r="O1273" s="182">
        <v>0</v>
      </c>
      <c r="P1273" s="182">
        <v>0</v>
      </c>
      <c r="R1273" s="155" t="str">
        <f t="shared" si="58"/>
        <v>A0882:(株)JERA CrossメニューA</v>
      </c>
      <c r="S1273" s="181">
        <f t="shared" si="59"/>
        <v>0</v>
      </c>
    </row>
    <row r="1274" spans="2:19">
      <c r="B1274" s="121"/>
      <c r="C1274" s="490"/>
      <c r="D1274" s="490" t="str">
        <f t="shared" si="60"/>
        <v/>
      </c>
      <c r="I1274" s="125" t="s">
        <v>1479</v>
      </c>
      <c r="J1274" s="125" t="s">
        <v>1989</v>
      </c>
      <c r="K1274" s="125" t="s">
        <v>729</v>
      </c>
      <c r="L1274" s="125">
        <v>0</v>
      </c>
      <c r="M1274" s="182">
        <v>0</v>
      </c>
      <c r="N1274" s="182">
        <v>0</v>
      </c>
      <c r="O1274" s="182">
        <v>0</v>
      </c>
      <c r="P1274" s="182">
        <v>0</v>
      </c>
      <c r="R1274" s="155" t="str">
        <f t="shared" si="58"/>
        <v>A0882:(株)JERA CrossメニューB</v>
      </c>
      <c r="S1274" s="181">
        <f t="shared" si="59"/>
        <v>0</v>
      </c>
    </row>
    <row r="1275" spans="2:19">
      <c r="B1275" s="121"/>
      <c r="C1275" s="490"/>
      <c r="D1275" s="490" t="str">
        <f t="shared" si="60"/>
        <v/>
      </c>
      <c r="I1275" s="125" t="s">
        <v>1479</v>
      </c>
      <c r="J1275" s="125" t="s">
        <v>1989</v>
      </c>
      <c r="K1275" s="125" t="s">
        <v>730</v>
      </c>
      <c r="L1275" s="125">
        <v>3.77E-4</v>
      </c>
      <c r="M1275" s="182">
        <v>3.77E-4</v>
      </c>
      <c r="N1275" s="182">
        <v>3.77E-4</v>
      </c>
      <c r="O1275" s="182">
        <v>3.77E-4</v>
      </c>
      <c r="P1275" s="182">
        <v>3.77E-4</v>
      </c>
      <c r="R1275" s="155" t="str">
        <f t="shared" si="58"/>
        <v>A0882:(株)JERA CrossメニューC</v>
      </c>
      <c r="S1275" s="181">
        <f t="shared" si="59"/>
        <v>3.77E-4</v>
      </c>
    </row>
    <row r="1276" spans="2:19">
      <c r="B1276" s="121"/>
      <c r="C1276" s="490"/>
      <c r="D1276" s="490" t="str">
        <f t="shared" si="60"/>
        <v/>
      </c>
      <c r="I1276" s="125" t="s">
        <v>1479</v>
      </c>
      <c r="J1276" s="125" t="s">
        <v>1989</v>
      </c>
      <c r="K1276" s="125" t="s">
        <v>1998</v>
      </c>
      <c r="L1276" s="125">
        <v>4.2200000000000001E-4</v>
      </c>
      <c r="M1276" s="182">
        <v>4.2200000000000001E-4</v>
      </c>
      <c r="N1276" s="182">
        <v>4.2200000000000001E-4</v>
      </c>
      <c r="O1276" s="182">
        <v>4.2200000000000001E-4</v>
      </c>
      <c r="P1276" s="182">
        <v>4.2200000000000001E-4</v>
      </c>
      <c r="R1276" s="155" t="str">
        <f t="shared" si="58"/>
        <v>A0882:(株)JERA Cross(参考値)事業者全体</v>
      </c>
      <c r="S1276" s="181">
        <f t="shared" si="59"/>
        <v>4.2200000000000001E-4</v>
      </c>
    </row>
    <row r="1277" spans="2:19">
      <c r="B1277" s="121"/>
      <c r="C1277" s="490"/>
      <c r="D1277" s="490" t="str">
        <f t="shared" si="60"/>
        <v/>
      </c>
      <c r="I1277" s="125" t="s">
        <v>1480</v>
      </c>
      <c r="J1277" s="125" t="s">
        <v>1990</v>
      </c>
      <c r="K1277" s="125" t="s">
        <v>652</v>
      </c>
      <c r="L1277" s="125">
        <v>0</v>
      </c>
      <c r="M1277" s="182">
        <v>0</v>
      </c>
      <c r="N1277" s="182">
        <v>0</v>
      </c>
      <c r="O1277" s="182">
        <v>0</v>
      </c>
      <c r="P1277" s="182">
        <v>0</v>
      </c>
      <c r="R1277" s="155" t="str">
        <f t="shared" si="58"/>
        <v>A0883:飛騨高山電力(株)メニューA</v>
      </c>
      <c r="S1277" s="181">
        <f t="shared" si="59"/>
        <v>0</v>
      </c>
    </row>
    <row r="1278" spans="2:19">
      <c r="B1278" s="121"/>
      <c r="C1278" s="490"/>
      <c r="D1278" s="490" t="str">
        <f t="shared" si="60"/>
        <v/>
      </c>
      <c r="I1278" s="125" t="s">
        <v>1480</v>
      </c>
      <c r="J1278" s="125" t="s">
        <v>1990</v>
      </c>
      <c r="K1278" s="125" t="s">
        <v>1998</v>
      </c>
      <c r="L1278" s="125">
        <v>6.3599999999999996E-4</v>
      </c>
      <c r="M1278" s="182">
        <v>6.3599999999999996E-4</v>
      </c>
      <c r="N1278" s="182">
        <v>6.3599999999999996E-4</v>
      </c>
      <c r="O1278" s="182">
        <v>6.3599999999999996E-4</v>
      </c>
      <c r="P1278" s="182">
        <v>6.3599999999999996E-4</v>
      </c>
      <c r="R1278" s="155" t="str">
        <f t="shared" si="58"/>
        <v>A0883:飛騨高山電力(株)(参考値)事業者全体</v>
      </c>
      <c r="S1278" s="181">
        <f t="shared" si="59"/>
        <v>6.3599999999999996E-4</v>
      </c>
    </row>
    <row r="1279" spans="2:19">
      <c r="B1279" s="121"/>
      <c r="C1279" s="490"/>
      <c r="D1279" s="490" t="str">
        <f t="shared" si="60"/>
        <v/>
      </c>
      <c r="I1279" s="125" t="s">
        <v>1481</v>
      </c>
      <c r="J1279" s="125" t="s">
        <v>1991</v>
      </c>
      <c r="K1279" s="125"/>
      <c r="L1279" s="125">
        <v>9.3899999999999995E-4</v>
      </c>
      <c r="M1279" s="182">
        <v>9.3899999999999995E-4</v>
      </c>
      <c r="N1279" s="182">
        <v>9.3899999999999995E-4</v>
      </c>
      <c r="O1279" s="182">
        <v>9.3899999999999995E-4</v>
      </c>
      <c r="P1279" s="182">
        <v>9.3899999999999995E-4</v>
      </c>
      <c r="R1279" s="155" t="str">
        <f t="shared" si="58"/>
        <v>A0886:(株)リボンエナジー</v>
      </c>
      <c r="S1279" s="181">
        <f t="shared" si="59"/>
        <v>9.3899999999999995E-4</v>
      </c>
    </row>
    <row r="1280" spans="2:19">
      <c r="B1280" s="121"/>
      <c r="C1280" s="490"/>
      <c r="D1280" s="490" t="str">
        <f t="shared" si="60"/>
        <v/>
      </c>
      <c r="I1280" s="125" t="s">
        <v>1482</v>
      </c>
      <c r="J1280" s="125" t="s">
        <v>1992</v>
      </c>
      <c r="K1280" s="125"/>
      <c r="L1280" s="125">
        <v>5.5099999999999995E-4</v>
      </c>
      <c r="M1280" s="182">
        <v>5.5099999999999995E-4</v>
      </c>
      <c r="N1280" s="182">
        <v>5.5099999999999995E-4</v>
      </c>
      <c r="O1280" s="182">
        <v>5.5099999999999995E-4</v>
      </c>
      <c r="P1280" s="182">
        <v>5.5099999999999995E-4</v>
      </c>
      <c r="R1280" s="155" t="str">
        <f t="shared" si="58"/>
        <v>A0888:(株)大崎クリエーション</v>
      </c>
      <c r="S1280" s="181">
        <f t="shared" si="59"/>
        <v>5.5099999999999995E-4</v>
      </c>
    </row>
    <row r="1281" spans="2:19">
      <c r="B1281" s="121"/>
      <c r="C1281" s="490"/>
      <c r="D1281" s="490" t="str">
        <f t="shared" si="60"/>
        <v/>
      </c>
      <c r="I1281" s="125" t="s">
        <v>1483</v>
      </c>
      <c r="J1281" s="125" t="s">
        <v>1993</v>
      </c>
      <c r="K1281" s="125" t="s">
        <v>652</v>
      </c>
      <c r="L1281" s="125">
        <v>0</v>
      </c>
      <c r="M1281" s="182">
        <v>0</v>
      </c>
      <c r="N1281" s="182">
        <v>0</v>
      </c>
      <c r="O1281" s="182">
        <v>0</v>
      </c>
      <c r="P1281" s="182">
        <v>0</v>
      </c>
      <c r="R1281" s="155" t="str">
        <f t="shared" si="58"/>
        <v>A0890:(株)UPXメニューA</v>
      </c>
      <c r="S1281" s="181">
        <f t="shared" si="59"/>
        <v>0</v>
      </c>
    </row>
    <row r="1282" spans="2:19">
      <c r="B1282" s="121"/>
      <c r="C1282" s="490"/>
      <c r="D1282" s="490" t="str">
        <f t="shared" si="60"/>
        <v/>
      </c>
      <c r="I1282" s="125" t="s">
        <v>1483</v>
      </c>
      <c r="J1282" s="125" t="s">
        <v>1993</v>
      </c>
      <c r="K1282" s="125" t="s">
        <v>729</v>
      </c>
      <c r="L1282" s="125">
        <v>3.9599999999999998E-4</v>
      </c>
      <c r="M1282" s="182">
        <v>3.9599999999999998E-4</v>
      </c>
      <c r="N1282" s="182">
        <v>3.9599999999999998E-4</v>
      </c>
      <c r="O1282" s="182">
        <v>3.9599999999999998E-4</v>
      </c>
      <c r="P1282" s="182">
        <v>3.9599999999999998E-4</v>
      </c>
      <c r="R1282" s="155" t="str">
        <f t="shared" si="58"/>
        <v>A0890:(株)UPXメニューB</v>
      </c>
      <c r="S1282" s="181">
        <f t="shared" si="59"/>
        <v>3.9599999999999998E-4</v>
      </c>
    </row>
    <row r="1283" spans="2:19">
      <c r="B1283" s="121"/>
      <c r="C1283" s="490"/>
      <c r="D1283" s="490" t="str">
        <f t="shared" si="60"/>
        <v/>
      </c>
      <c r="I1283" s="125" t="s">
        <v>1483</v>
      </c>
      <c r="J1283" s="125" t="s">
        <v>1993</v>
      </c>
      <c r="K1283" s="125" t="s">
        <v>730</v>
      </c>
      <c r="L1283" s="125">
        <v>4.8799999999999999E-4</v>
      </c>
      <c r="M1283" s="182">
        <v>4.8799999999999999E-4</v>
      </c>
      <c r="N1283" s="182">
        <v>4.8799999999999999E-4</v>
      </c>
      <c r="O1283" s="182">
        <v>4.8799999999999999E-4</v>
      </c>
      <c r="P1283" s="182">
        <v>4.8799999999999999E-4</v>
      </c>
      <c r="R1283" s="155" t="str">
        <f t="shared" si="58"/>
        <v>A0890:(株)UPXメニューC</v>
      </c>
      <c r="S1283" s="181">
        <f t="shared" si="59"/>
        <v>4.8799999999999999E-4</v>
      </c>
    </row>
    <row r="1284" spans="2:19">
      <c r="B1284" s="121"/>
      <c r="C1284" s="490"/>
      <c r="D1284" s="490" t="str">
        <f t="shared" si="60"/>
        <v/>
      </c>
      <c r="I1284" s="125" t="s">
        <v>1483</v>
      </c>
      <c r="J1284" s="125" t="s">
        <v>1993</v>
      </c>
      <c r="K1284" s="125" t="s">
        <v>1998</v>
      </c>
      <c r="L1284" s="125">
        <v>4.6500000000000003E-4</v>
      </c>
      <c r="M1284" s="182">
        <v>4.6500000000000003E-4</v>
      </c>
      <c r="N1284" s="182">
        <v>4.6500000000000003E-4</v>
      </c>
      <c r="O1284" s="182">
        <v>4.6500000000000003E-4</v>
      </c>
      <c r="P1284" s="182">
        <v>4.6500000000000003E-4</v>
      </c>
      <c r="R1284" s="155" t="str">
        <f t="shared" si="58"/>
        <v>A0890:(株)UPX(参考値)事業者全体</v>
      </c>
      <c r="S1284" s="181">
        <f t="shared" si="59"/>
        <v>4.6500000000000003E-4</v>
      </c>
    </row>
    <row r="1285" spans="2:19">
      <c r="B1285" s="121"/>
      <c r="C1285" s="490"/>
      <c r="D1285" s="490" t="str">
        <f t="shared" si="60"/>
        <v/>
      </c>
      <c r="I1285" s="125" t="s">
        <v>1484</v>
      </c>
      <c r="J1285" s="125" t="s">
        <v>1994</v>
      </c>
      <c r="K1285" s="125" t="s">
        <v>652</v>
      </c>
      <c r="L1285" s="125">
        <v>3.7599999999999998E-4</v>
      </c>
      <c r="M1285" s="182">
        <v>3.7599999999999998E-4</v>
      </c>
      <c r="N1285" s="182">
        <v>3.7599999999999998E-4</v>
      </c>
      <c r="O1285" s="182">
        <v>3.7599999999999998E-4</v>
      </c>
      <c r="P1285" s="182">
        <v>3.7599999999999998E-4</v>
      </c>
      <c r="R1285" s="155" t="str">
        <f t="shared" ref="R1285:R1348" si="61">I1285&amp;":"&amp;J1285&amp;K1285</f>
        <v>A0893:Miraiつのエナジー(株)メニューA</v>
      </c>
      <c r="S1285" s="181">
        <f t="shared" si="59"/>
        <v>3.7599999999999998E-4</v>
      </c>
    </row>
    <row r="1286" spans="2:19">
      <c r="B1286" s="121"/>
      <c r="C1286" s="490"/>
      <c r="D1286" s="490" t="str">
        <f t="shared" si="60"/>
        <v/>
      </c>
      <c r="I1286" s="125" t="s">
        <v>1484</v>
      </c>
      <c r="J1286" s="125" t="s">
        <v>1994</v>
      </c>
      <c r="K1286" s="125" t="s">
        <v>1998</v>
      </c>
      <c r="L1286" s="125">
        <v>3.7599999999999998E-4</v>
      </c>
      <c r="M1286" s="182">
        <v>3.7599999999999998E-4</v>
      </c>
      <c r="N1286" s="182">
        <v>3.7599999999999998E-4</v>
      </c>
      <c r="O1286" s="182">
        <v>3.7599999999999998E-4</v>
      </c>
      <c r="P1286" s="182">
        <v>3.7599999999999998E-4</v>
      </c>
      <c r="R1286" s="155" t="str">
        <f t="shared" si="61"/>
        <v>A0893:Miraiつのエナジー(株)(参考値)事業者全体</v>
      </c>
      <c r="S1286" s="181">
        <f t="shared" si="59"/>
        <v>3.7599999999999998E-4</v>
      </c>
    </row>
    <row r="1287" spans="2:19">
      <c r="B1287" s="121"/>
      <c r="C1287" s="490"/>
      <c r="D1287" s="490" t="str">
        <f t="shared" si="60"/>
        <v/>
      </c>
      <c r="I1287" s="125" t="s">
        <v>1485</v>
      </c>
      <c r="J1287" s="125" t="s">
        <v>1995</v>
      </c>
      <c r="K1287" s="125"/>
      <c r="L1287" s="125">
        <v>4.8700000000000007E-4</v>
      </c>
      <c r="M1287" s="182">
        <v>4.8700000000000007E-4</v>
      </c>
      <c r="N1287" s="182">
        <v>4.8700000000000007E-4</v>
      </c>
      <c r="O1287" s="182">
        <v>4.8700000000000007E-4</v>
      </c>
      <c r="P1287" s="182">
        <v>4.8700000000000007E-4</v>
      </c>
      <c r="R1287" s="155" t="str">
        <f t="shared" si="61"/>
        <v>A0903:山口グリーンエネルギー(株)</v>
      </c>
      <c r="S1287" s="181">
        <f t="shared" si="59"/>
        <v>4.8700000000000007E-4</v>
      </c>
    </row>
    <row r="1288" spans="2:19">
      <c r="B1288" s="121"/>
      <c r="C1288" s="490"/>
      <c r="D1288" s="490" t="str">
        <f t="shared" si="60"/>
        <v/>
      </c>
      <c r="I1288" s="125" t="s">
        <v>1486</v>
      </c>
      <c r="J1288" s="125" t="s">
        <v>1996</v>
      </c>
      <c r="K1288" s="125" t="s">
        <v>652</v>
      </c>
      <c r="L1288" s="125">
        <v>0</v>
      </c>
      <c r="M1288" s="182">
        <v>0</v>
      </c>
      <c r="N1288" s="182">
        <v>0</v>
      </c>
      <c r="O1288" s="182">
        <v>0</v>
      </c>
      <c r="P1288" s="182">
        <v>0</v>
      </c>
      <c r="R1288" s="155" t="str">
        <f t="shared" si="61"/>
        <v>A0905:(株)はちまんたいジオパワーメニューA</v>
      </c>
      <c r="S1288" s="181">
        <f t="shared" si="59"/>
        <v>0</v>
      </c>
    </row>
    <row r="1289" spans="2:19">
      <c r="B1289" s="121"/>
      <c r="C1289" s="490"/>
      <c r="D1289" s="490" t="str">
        <f t="shared" si="60"/>
        <v/>
      </c>
      <c r="I1289" s="125" t="s">
        <v>1486</v>
      </c>
      <c r="J1289" s="125" t="s">
        <v>1996</v>
      </c>
      <c r="K1289" s="125" t="s">
        <v>729</v>
      </c>
      <c r="L1289" s="125">
        <v>6.3100000000000005E-4</v>
      </c>
      <c r="M1289" s="182">
        <v>6.3100000000000005E-4</v>
      </c>
      <c r="N1289" s="182">
        <v>6.3100000000000005E-4</v>
      </c>
      <c r="O1289" s="182">
        <v>6.3100000000000005E-4</v>
      </c>
      <c r="P1289" s="182">
        <v>6.3100000000000005E-4</v>
      </c>
      <c r="R1289" s="155" t="str">
        <f t="shared" si="61"/>
        <v>A0905:(株)はちまんたいジオパワーメニューB</v>
      </c>
      <c r="S1289" s="181">
        <f t="shared" si="59"/>
        <v>6.3100000000000005E-4</v>
      </c>
    </row>
    <row r="1290" spans="2:19">
      <c r="B1290" s="121"/>
      <c r="C1290" s="490"/>
      <c r="D1290" s="490" t="str">
        <f t="shared" si="60"/>
        <v/>
      </c>
      <c r="I1290" s="125" t="s">
        <v>1486</v>
      </c>
      <c r="J1290" s="125" t="s">
        <v>1996</v>
      </c>
      <c r="K1290" s="125" t="s">
        <v>1998</v>
      </c>
      <c r="L1290" s="125">
        <v>5.5999999999999999E-5</v>
      </c>
      <c r="M1290" s="182">
        <v>5.5999999999999999E-5</v>
      </c>
      <c r="N1290" s="182">
        <v>5.5999999999999999E-5</v>
      </c>
      <c r="O1290" s="182">
        <v>5.5999999999999999E-5</v>
      </c>
      <c r="P1290" s="182">
        <v>5.5999999999999999E-5</v>
      </c>
      <c r="R1290" s="155" t="str">
        <f t="shared" si="61"/>
        <v>A0905:(株)はちまんたいジオパワー(参考値)事業者全体</v>
      </c>
      <c r="S1290" s="181">
        <f t="shared" ref="S1290:S1353" si="62">HLOOKUP($S$8,$L$8:$P$2000,ROW()-7,FALSE)</f>
        <v>5.5999999999999999E-5</v>
      </c>
    </row>
    <row r="1291" spans="2:19">
      <c r="B1291" s="121"/>
      <c r="C1291" s="490"/>
      <c r="D1291" s="490" t="str">
        <f t="shared" si="60"/>
        <v/>
      </c>
      <c r="I1291" s="125" t="s">
        <v>1487</v>
      </c>
      <c r="J1291" s="125" t="s">
        <v>1997</v>
      </c>
      <c r="K1291" s="125"/>
      <c r="L1291" s="125">
        <v>6.1700000000000004E-4</v>
      </c>
      <c r="M1291" s="182">
        <v>6.1700000000000004E-4</v>
      </c>
      <c r="N1291" s="182">
        <v>6.1700000000000004E-4</v>
      </c>
      <c r="O1291" s="182">
        <v>6.1700000000000004E-4</v>
      </c>
      <c r="P1291" s="182">
        <v>6.1700000000000004E-4</v>
      </c>
      <c r="R1291" s="155" t="str">
        <f t="shared" si="61"/>
        <v>A0906:(株)アイモバイル</v>
      </c>
      <c r="S1291" s="181">
        <f t="shared" si="62"/>
        <v>6.1700000000000004E-4</v>
      </c>
    </row>
    <row r="1292" spans="2:19">
      <c r="B1292" s="121"/>
      <c r="C1292" s="490"/>
      <c r="D1292" s="490" t="str">
        <f t="shared" si="60"/>
        <v/>
      </c>
      <c r="I1292" s="125"/>
      <c r="J1292" s="125"/>
      <c r="K1292" s="125"/>
      <c r="L1292" s="125"/>
      <c r="M1292" s="182"/>
      <c r="N1292" s="182"/>
      <c r="O1292" s="182"/>
      <c r="P1292" s="182"/>
      <c r="R1292" s="155" t="str">
        <f t="shared" si="61"/>
        <v>:</v>
      </c>
      <c r="S1292" s="181">
        <f t="shared" si="62"/>
        <v>0</v>
      </c>
    </row>
    <row r="1293" spans="2:19">
      <c r="B1293" s="121"/>
      <c r="C1293" s="490"/>
      <c r="D1293" s="490" t="str">
        <f t="shared" si="60"/>
        <v/>
      </c>
      <c r="I1293" s="125"/>
      <c r="J1293" s="125"/>
      <c r="K1293" s="125"/>
      <c r="L1293" s="125"/>
      <c r="M1293" s="182"/>
      <c r="N1293" s="182"/>
      <c r="O1293" s="182"/>
      <c r="P1293" s="182"/>
      <c r="R1293" s="155" t="str">
        <f t="shared" si="61"/>
        <v>:</v>
      </c>
      <c r="S1293" s="181">
        <f t="shared" si="62"/>
        <v>0</v>
      </c>
    </row>
    <row r="1294" spans="2:19">
      <c r="B1294" s="121"/>
      <c r="C1294" s="490"/>
      <c r="D1294" s="490" t="str">
        <f t="shared" si="60"/>
        <v/>
      </c>
      <c r="I1294" s="125"/>
      <c r="J1294" s="125"/>
      <c r="K1294" s="125"/>
      <c r="L1294" s="125"/>
      <c r="M1294" s="182"/>
      <c r="N1294" s="182"/>
      <c r="O1294" s="182"/>
      <c r="P1294" s="182"/>
      <c r="R1294" s="155" t="str">
        <f t="shared" si="61"/>
        <v>:</v>
      </c>
      <c r="S1294" s="181">
        <f t="shared" si="62"/>
        <v>0</v>
      </c>
    </row>
    <row r="1295" spans="2:19">
      <c r="B1295" s="121"/>
      <c r="C1295" s="490"/>
      <c r="D1295" s="490" t="str">
        <f t="shared" si="60"/>
        <v/>
      </c>
      <c r="I1295" s="125"/>
      <c r="J1295" s="125"/>
      <c r="K1295" s="125"/>
      <c r="L1295" s="125"/>
      <c r="M1295" s="182"/>
      <c r="N1295" s="182"/>
      <c r="O1295" s="182"/>
      <c r="P1295" s="182"/>
      <c r="R1295" s="155" t="str">
        <f t="shared" si="61"/>
        <v>:</v>
      </c>
      <c r="S1295" s="181">
        <f t="shared" si="62"/>
        <v>0</v>
      </c>
    </row>
    <row r="1296" spans="2:19">
      <c r="B1296" s="121"/>
      <c r="C1296" s="490"/>
      <c r="D1296" s="490" t="str">
        <f t="shared" si="60"/>
        <v/>
      </c>
      <c r="I1296" s="125"/>
      <c r="J1296" s="125"/>
      <c r="K1296" s="125"/>
      <c r="L1296" s="125"/>
      <c r="M1296" s="182"/>
      <c r="N1296" s="182"/>
      <c r="O1296" s="182"/>
      <c r="P1296" s="182"/>
      <c r="R1296" s="155" t="str">
        <f t="shared" si="61"/>
        <v>:</v>
      </c>
      <c r="S1296" s="181">
        <f t="shared" si="62"/>
        <v>0</v>
      </c>
    </row>
    <row r="1297" spans="2:19">
      <c r="B1297" s="121"/>
      <c r="C1297" s="490"/>
      <c r="D1297" s="490" t="str">
        <f t="shared" si="60"/>
        <v/>
      </c>
      <c r="I1297" s="125"/>
      <c r="J1297" s="125"/>
      <c r="K1297" s="125"/>
      <c r="L1297" s="125"/>
      <c r="M1297" s="182"/>
      <c r="N1297" s="182"/>
      <c r="O1297" s="182"/>
      <c r="P1297" s="182"/>
      <c r="R1297" s="155" t="str">
        <f t="shared" si="61"/>
        <v>:</v>
      </c>
      <c r="S1297" s="181">
        <f t="shared" si="62"/>
        <v>0</v>
      </c>
    </row>
    <row r="1298" spans="2:19">
      <c r="B1298" s="121"/>
      <c r="C1298" s="490"/>
      <c r="D1298" s="490" t="str">
        <f t="shared" si="60"/>
        <v/>
      </c>
      <c r="I1298" s="125"/>
      <c r="J1298" s="125"/>
      <c r="K1298" s="125"/>
      <c r="L1298" s="125"/>
      <c r="M1298" s="182"/>
      <c r="N1298" s="182"/>
      <c r="O1298" s="182"/>
      <c r="P1298" s="182"/>
      <c r="R1298" s="155" t="str">
        <f t="shared" si="61"/>
        <v>:</v>
      </c>
      <c r="S1298" s="181">
        <f t="shared" si="62"/>
        <v>0</v>
      </c>
    </row>
    <row r="1299" spans="2:19">
      <c r="B1299" s="121"/>
      <c r="C1299" s="490"/>
      <c r="D1299" s="490" t="str">
        <f t="shared" si="60"/>
        <v/>
      </c>
      <c r="I1299" s="125"/>
      <c r="J1299" s="125"/>
      <c r="K1299" s="125"/>
      <c r="L1299" s="125"/>
      <c r="M1299" s="182"/>
      <c r="N1299" s="182"/>
      <c r="O1299" s="182"/>
      <c r="P1299" s="182"/>
      <c r="R1299" s="155" t="str">
        <f t="shared" si="61"/>
        <v>:</v>
      </c>
      <c r="S1299" s="181">
        <f t="shared" si="62"/>
        <v>0</v>
      </c>
    </row>
    <row r="1300" spans="2:19">
      <c r="B1300" s="121"/>
      <c r="C1300" s="490"/>
      <c r="D1300" s="490" t="str">
        <f t="shared" si="60"/>
        <v/>
      </c>
      <c r="I1300" s="125"/>
      <c r="J1300" s="125"/>
      <c r="K1300" s="125"/>
      <c r="L1300" s="125"/>
      <c r="M1300" s="182"/>
      <c r="N1300" s="182"/>
      <c r="O1300" s="182"/>
      <c r="P1300" s="182"/>
      <c r="R1300" s="155" t="str">
        <f t="shared" si="61"/>
        <v>:</v>
      </c>
      <c r="S1300" s="181">
        <f t="shared" si="62"/>
        <v>0</v>
      </c>
    </row>
    <row r="1301" spans="2:19">
      <c r="B1301" s="121"/>
      <c r="C1301" s="490"/>
      <c r="D1301" s="490" t="str">
        <f t="shared" si="60"/>
        <v/>
      </c>
      <c r="I1301" s="125"/>
      <c r="J1301" s="125"/>
      <c r="K1301" s="125"/>
      <c r="L1301" s="125"/>
      <c r="M1301" s="182"/>
      <c r="N1301" s="182"/>
      <c r="O1301" s="182"/>
      <c r="P1301" s="182"/>
      <c r="R1301" s="155" t="str">
        <f t="shared" si="61"/>
        <v>:</v>
      </c>
      <c r="S1301" s="181">
        <f t="shared" si="62"/>
        <v>0</v>
      </c>
    </row>
    <row r="1302" spans="2:19">
      <c r="B1302" s="121"/>
      <c r="C1302" s="490"/>
      <c r="D1302" s="490" t="str">
        <f t="shared" si="60"/>
        <v/>
      </c>
      <c r="I1302" s="125"/>
      <c r="J1302" s="125"/>
      <c r="K1302" s="125"/>
      <c r="L1302" s="125"/>
      <c r="M1302" s="182"/>
      <c r="N1302" s="182"/>
      <c r="O1302" s="182"/>
      <c r="P1302" s="182"/>
      <c r="R1302" s="155" t="str">
        <f t="shared" si="61"/>
        <v>:</v>
      </c>
      <c r="S1302" s="181">
        <f t="shared" si="62"/>
        <v>0</v>
      </c>
    </row>
    <row r="1303" spans="2:19">
      <c r="B1303" s="121"/>
      <c r="C1303" s="490"/>
      <c r="D1303" s="490" t="str">
        <f t="shared" si="60"/>
        <v/>
      </c>
      <c r="I1303" s="125"/>
      <c r="J1303" s="125"/>
      <c r="K1303" s="125"/>
      <c r="L1303" s="125"/>
      <c r="M1303" s="182"/>
      <c r="N1303" s="182"/>
      <c r="O1303" s="182"/>
      <c r="P1303" s="182"/>
      <c r="R1303" s="155" t="str">
        <f t="shared" si="61"/>
        <v>:</v>
      </c>
      <c r="S1303" s="181">
        <f t="shared" si="62"/>
        <v>0</v>
      </c>
    </row>
    <row r="1304" spans="2:19">
      <c r="B1304" s="121"/>
      <c r="C1304" s="490"/>
      <c r="D1304" s="490" t="str">
        <f t="shared" si="60"/>
        <v/>
      </c>
      <c r="I1304" s="125"/>
      <c r="J1304" s="125"/>
      <c r="K1304" s="125"/>
      <c r="L1304" s="125"/>
      <c r="M1304" s="182"/>
      <c r="N1304" s="182"/>
      <c r="O1304" s="182"/>
      <c r="P1304" s="182"/>
      <c r="R1304" s="155" t="str">
        <f t="shared" si="61"/>
        <v>:</v>
      </c>
      <c r="S1304" s="181">
        <f t="shared" si="62"/>
        <v>0</v>
      </c>
    </row>
    <row r="1305" spans="2:19">
      <c r="B1305" s="121"/>
      <c r="C1305" s="490"/>
      <c r="D1305" s="490" t="str">
        <f t="shared" si="60"/>
        <v/>
      </c>
      <c r="I1305" s="125"/>
      <c r="J1305" s="125"/>
      <c r="K1305" s="125"/>
      <c r="L1305" s="125"/>
      <c r="M1305" s="182"/>
      <c r="N1305" s="182"/>
      <c r="O1305" s="182"/>
      <c r="P1305" s="182"/>
      <c r="R1305" s="155" t="str">
        <f t="shared" si="61"/>
        <v>:</v>
      </c>
      <c r="S1305" s="181">
        <f t="shared" si="62"/>
        <v>0</v>
      </c>
    </row>
    <row r="1306" spans="2:19">
      <c r="B1306" s="121"/>
      <c r="C1306" s="490"/>
      <c r="D1306" s="490" t="str">
        <f t="shared" si="60"/>
        <v/>
      </c>
      <c r="I1306" s="125"/>
      <c r="J1306" s="125"/>
      <c r="K1306" s="125"/>
      <c r="L1306" s="125"/>
      <c r="M1306" s="182"/>
      <c r="N1306" s="182"/>
      <c r="O1306" s="182"/>
      <c r="P1306" s="182"/>
      <c r="R1306" s="155" t="str">
        <f t="shared" si="61"/>
        <v>:</v>
      </c>
      <c r="S1306" s="181">
        <f t="shared" si="62"/>
        <v>0</v>
      </c>
    </row>
    <row r="1307" spans="2:19">
      <c r="B1307" s="121"/>
      <c r="C1307" s="490"/>
      <c r="D1307" s="490" t="str">
        <f t="shared" si="60"/>
        <v/>
      </c>
      <c r="I1307" s="125"/>
      <c r="J1307" s="125"/>
      <c r="K1307" s="125"/>
      <c r="L1307" s="125"/>
      <c r="M1307" s="182"/>
      <c r="N1307" s="182"/>
      <c r="O1307" s="182"/>
      <c r="P1307" s="182"/>
      <c r="R1307" s="155" t="str">
        <f t="shared" si="61"/>
        <v>:</v>
      </c>
      <c r="S1307" s="181">
        <f t="shared" si="62"/>
        <v>0</v>
      </c>
    </row>
    <row r="1308" spans="2:19">
      <c r="B1308" s="121"/>
      <c r="C1308" s="490"/>
      <c r="D1308" s="490" t="str">
        <f t="shared" si="60"/>
        <v/>
      </c>
      <c r="I1308" s="125"/>
      <c r="J1308" s="125"/>
      <c r="K1308" s="125"/>
      <c r="L1308" s="125"/>
      <c r="M1308" s="182"/>
      <c r="N1308" s="182"/>
      <c r="O1308" s="182"/>
      <c r="P1308" s="182"/>
      <c r="R1308" s="155" t="str">
        <f t="shared" si="61"/>
        <v>:</v>
      </c>
      <c r="S1308" s="181">
        <f t="shared" si="62"/>
        <v>0</v>
      </c>
    </row>
    <row r="1309" spans="2:19">
      <c r="B1309" s="121"/>
      <c r="C1309" s="490"/>
      <c r="D1309" s="490" t="str">
        <f t="shared" si="60"/>
        <v/>
      </c>
      <c r="I1309" s="125"/>
      <c r="J1309" s="125"/>
      <c r="K1309" s="125"/>
      <c r="L1309" s="125"/>
      <c r="M1309" s="182"/>
      <c r="N1309" s="182"/>
      <c r="O1309" s="182"/>
      <c r="P1309" s="182"/>
      <c r="R1309" s="155" t="str">
        <f t="shared" si="61"/>
        <v>:</v>
      </c>
      <c r="S1309" s="181">
        <f t="shared" si="62"/>
        <v>0</v>
      </c>
    </row>
    <row r="1310" spans="2:19">
      <c r="B1310" s="121"/>
      <c r="C1310" s="490"/>
      <c r="D1310" s="490" t="str">
        <f t="shared" si="60"/>
        <v/>
      </c>
      <c r="I1310" s="125"/>
      <c r="J1310" s="125"/>
      <c r="K1310" s="125"/>
      <c r="L1310" s="125"/>
      <c r="M1310" s="182"/>
      <c r="N1310" s="182"/>
      <c r="O1310" s="182"/>
      <c r="P1310" s="182"/>
      <c r="R1310" s="155" t="str">
        <f t="shared" si="61"/>
        <v>:</v>
      </c>
      <c r="S1310" s="181">
        <f t="shared" si="62"/>
        <v>0</v>
      </c>
    </row>
    <row r="1311" spans="2:19">
      <c r="B1311" s="121"/>
      <c r="C1311" s="490"/>
      <c r="D1311" s="490" t="str">
        <f t="shared" si="60"/>
        <v/>
      </c>
      <c r="I1311" s="125"/>
      <c r="J1311" s="125"/>
      <c r="K1311" s="125"/>
      <c r="L1311" s="125"/>
      <c r="M1311" s="182"/>
      <c r="N1311" s="182"/>
      <c r="O1311" s="182"/>
      <c r="P1311" s="182"/>
      <c r="R1311" s="155" t="str">
        <f t="shared" si="61"/>
        <v>:</v>
      </c>
      <c r="S1311" s="181">
        <f t="shared" si="62"/>
        <v>0</v>
      </c>
    </row>
    <row r="1312" spans="2:19">
      <c r="B1312" s="121"/>
      <c r="C1312" s="490"/>
      <c r="D1312" s="490" t="str">
        <f t="shared" si="60"/>
        <v/>
      </c>
      <c r="I1312" s="125"/>
      <c r="J1312" s="125"/>
      <c r="K1312" s="125"/>
      <c r="L1312" s="125"/>
      <c r="M1312" s="182"/>
      <c r="N1312" s="182"/>
      <c r="O1312" s="182"/>
      <c r="P1312" s="182"/>
      <c r="R1312" s="155" t="str">
        <f t="shared" si="61"/>
        <v>:</v>
      </c>
      <c r="S1312" s="181">
        <f t="shared" si="62"/>
        <v>0</v>
      </c>
    </row>
    <row r="1313" spans="2:19">
      <c r="B1313" s="121"/>
      <c r="C1313" s="490"/>
      <c r="D1313" s="490" t="str">
        <f t="shared" si="60"/>
        <v/>
      </c>
      <c r="I1313" s="125"/>
      <c r="J1313" s="125"/>
      <c r="K1313" s="125"/>
      <c r="L1313" s="125"/>
      <c r="M1313" s="182"/>
      <c r="N1313" s="182"/>
      <c r="O1313" s="182"/>
      <c r="P1313" s="182"/>
      <c r="R1313" s="155" t="str">
        <f t="shared" si="61"/>
        <v>:</v>
      </c>
      <c r="S1313" s="181">
        <f t="shared" si="62"/>
        <v>0</v>
      </c>
    </row>
    <row r="1314" spans="2:19">
      <c r="B1314" s="121"/>
      <c r="C1314" s="490"/>
      <c r="D1314" s="490" t="str">
        <f t="shared" si="60"/>
        <v/>
      </c>
      <c r="I1314" s="125"/>
      <c r="J1314" s="125"/>
      <c r="K1314" s="125"/>
      <c r="L1314" s="125"/>
      <c r="M1314" s="182"/>
      <c r="N1314" s="182"/>
      <c r="O1314" s="182"/>
      <c r="P1314" s="182"/>
      <c r="R1314" s="155" t="str">
        <f t="shared" si="61"/>
        <v>:</v>
      </c>
      <c r="S1314" s="181">
        <f t="shared" si="62"/>
        <v>0</v>
      </c>
    </row>
    <row r="1315" spans="2:19">
      <c r="B1315" s="121"/>
      <c r="C1315" s="490"/>
      <c r="D1315" s="490" t="str">
        <f t="shared" si="60"/>
        <v/>
      </c>
      <c r="I1315" s="125"/>
      <c r="J1315" s="125"/>
      <c r="K1315" s="125"/>
      <c r="L1315" s="125"/>
      <c r="M1315" s="182"/>
      <c r="N1315" s="182"/>
      <c r="O1315" s="182"/>
      <c r="P1315" s="182"/>
      <c r="R1315" s="155" t="str">
        <f t="shared" si="61"/>
        <v>:</v>
      </c>
      <c r="S1315" s="181">
        <f t="shared" si="62"/>
        <v>0</v>
      </c>
    </row>
    <row r="1316" spans="2:19">
      <c r="B1316" s="121"/>
      <c r="C1316" s="490"/>
      <c r="D1316" s="490" t="str">
        <f t="shared" si="60"/>
        <v/>
      </c>
      <c r="I1316" s="125"/>
      <c r="J1316" s="125"/>
      <c r="K1316" s="125"/>
      <c r="L1316" s="125"/>
      <c r="M1316" s="182"/>
      <c r="N1316" s="182"/>
      <c r="O1316" s="182"/>
      <c r="P1316" s="182"/>
      <c r="R1316" s="155" t="str">
        <f t="shared" si="61"/>
        <v>:</v>
      </c>
      <c r="S1316" s="181">
        <f t="shared" si="62"/>
        <v>0</v>
      </c>
    </row>
    <row r="1317" spans="2:19">
      <c r="B1317" s="121"/>
      <c r="C1317" s="490"/>
      <c r="D1317" s="490" t="str">
        <f t="shared" si="60"/>
        <v/>
      </c>
      <c r="I1317" s="125"/>
      <c r="J1317" s="125"/>
      <c r="K1317" s="125"/>
      <c r="L1317" s="125"/>
      <c r="M1317" s="182"/>
      <c r="N1317" s="182"/>
      <c r="O1317" s="182"/>
      <c r="P1317" s="182"/>
      <c r="R1317" s="155" t="str">
        <f t="shared" si="61"/>
        <v>:</v>
      </c>
      <c r="S1317" s="181">
        <f t="shared" si="62"/>
        <v>0</v>
      </c>
    </row>
    <row r="1318" spans="2:19">
      <c r="B1318" s="121"/>
      <c r="C1318" s="490"/>
      <c r="D1318" s="490" t="str">
        <f t="shared" si="60"/>
        <v/>
      </c>
      <c r="I1318" s="125"/>
      <c r="J1318" s="125"/>
      <c r="K1318" s="125"/>
      <c r="L1318" s="125"/>
      <c r="M1318" s="182"/>
      <c r="N1318" s="182"/>
      <c r="O1318" s="182"/>
      <c r="P1318" s="182"/>
      <c r="R1318" s="155" t="str">
        <f t="shared" si="61"/>
        <v>:</v>
      </c>
      <c r="S1318" s="181">
        <f t="shared" si="62"/>
        <v>0</v>
      </c>
    </row>
    <row r="1319" spans="2:19">
      <c r="B1319" s="121"/>
      <c r="C1319" s="490"/>
      <c r="D1319" s="490" t="str">
        <f t="shared" si="60"/>
        <v/>
      </c>
      <c r="I1319" s="125"/>
      <c r="J1319" s="125"/>
      <c r="K1319" s="125"/>
      <c r="L1319" s="125"/>
      <c r="M1319" s="182"/>
      <c r="N1319" s="182"/>
      <c r="O1319" s="182"/>
      <c r="P1319" s="182"/>
      <c r="R1319" s="155" t="str">
        <f t="shared" si="61"/>
        <v>:</v>
      </c>
      <c r="S1319" s="181">
        <f t="shared" si="62"/>
        <v>0</v>
      </c>
    </row>
    <row r="1320" spans="2:19">
      <c r="B1320" s="121"/>
      <c r="C1320" s="490"/>
      <c r="D1320" s="490" t="str">
        <f t="shared" si="60"/>
        <v/>
      </c>
      <c r="I1320" s="125"/>
      <c r="J1320" s="125"/>
      <c r="K1320" s="125"/>
      <c r="L1320" s="125"/>
      <c r="M1320" s="182"/>
      <c r="N1320" s="182"/>
      <c r="O1320" s="182"/>
      <c r="P1320" s="182"/>
      <c r="R1320" s="155" t="str">
        <f t="shared" si="61"/>
        <v>:</v>
      </c>
      <c r="S1320" s="181">
        <f t="shared" si="62"/>
        <v>0</v>
      </c>
    </row>
    <row r="1321" spans="2:19">
      <c r="B1321" s="121"/>
      <c r="C1321" s="490"/>
      <c r="D1321" s="490" t="str">
        <f t="shared" si="60"/>
        <v/>
      </c>
      <c r="I1321" s="125"/>
      <c r="J1321" s="125"/>
      <c r="K1321" s="125"/>
      <c r="L1321" s="125"/>
      <c r="M1321" s="182"/>
      <c r="N1321" s="182"/>
      <c r="O1321" s="182"/>
      <c r="P1321" s="182"/>
      <c r="R1321" s="155" t="str">
        <f t="shared" si="61"/>
        <v>:</v>
      </c>
      <c r="S1321" s="181">
        <f t="shared" si="62"/>
        <v>0</v>
      </c>
    </row>
    <row r="1322" spans="2:19">
      <c r="B1322" s="121"/>
      <c r="C1322" s="490"/>
      <c r="D1322" s="490" t="str">
        <f t="shared" si="60"/>
        <v/>
      </c>
      <c r="I1322" s="125"/>
      <c r="J1322" s="125"/>
      <c r="K1322" s="125"/>
      <c r="L1322" s="125"/>
      <c r="M1322" s="182"/>
      <c r="N1322" s="182"/>
      <c r="O1322" s="182"/>
      <c r="P1322" s="182"/>
      <c r="R1322" s="155" t="str">
        <f t="shared" si="61"/>
        <v>:</v>
      </c>
      <c r="S1322" s="181">
        <f t="shared" si="62"/>
        <v>0</v>
      </c>
    </row>
    <row r="1323" spans="2:19">
      <c r="B1323" s="121"/>
      <c r="C1323" s="490"/>
      <c r="D1323" s="490" t="str">
        <f t="shared" si="60"/>
        <v/>
      </c>
      <c r="I1323" s="125"/>
      <c r="J1323" s="125"/>
      <c r="K1323" s="125"/>
      <c r="L1323" s="125"/>
      <c r="M1323" s="182"/>
      <c r="N1323" s="182"/>
      <c r="O1323" s="182"/>
      <c r="P1323" s="182"/>
      <c r="R1323" s="155" t="str">
        <f t="shared" si="61"/>
        <v>:</v>
      </c>
      <c r="S1323" s="181">
        <f t="shared" si="62"/>
        <v>0</v>
      </c>
    </row>
    <row r="1324" spans="2:19">
      <c r="B1324" s="121"/>
      <c r="C1324" s="490"/>
      <c r="D1324" s="490" t="str">
        <f t="shared" si="60"/>
        <v/>
      </c>
      <c r="I1324" s="125"/>
      <c r="J1324" s="125"/>
      <c r="K1324" s="125"/>
      <c r="L1324" s="125"/>
      <c r="M1324" s="182"/>
      <c r="N1324" s="182"/>
      <c r="O1324" s="182"/>
      <c r="P1324" s="182"/>
      <c r="R1324" s="155" t="str">
        <f t="shared" si="61"/>
        <v>:</v>
      </c>
      <c r="S1324" s="181">
        <f t="shared" si="62"/>
        <v>0</v>
      </c>
    </row>
    <row r="1325" spans="2:19">
      <c r="B1325" s="121"/>
      <c r="C1325" s="490"/>
      <c r="D1325" s="490" t="str">
        <f t="shared" si="60"/>
        <v/>
      </c>
      <c r="I1325" s="125"/>
      <c r="J1325" s="125"/>
      <c r="K1325" s="125"/>
      <c r="L1325" s="125"/>
      <c r="M1325" s="182"/>
      <c r="N1325" s="182"/>
      <c r="O1325" s="182"/>
      <c r="P1325" s="182"/>
      <c r="R1325" s="155" t="str">
        <f t="shared" si="61"/>
        <v>:</v>
      </c>
      <c r="S1325" s="181">
        <f t="shared" si="62"/>
        <v>0</v>
      </c>
    </row>
    <row r="1326" spans="2:19">
      <c r="B1326" s="121"/>
      <c r="C1326" s="490"/>
      <c r="D1326" s="490" t="str">
        <f t="shared" ref="D1326:D1389" si="63">IF(B1326="","",B1326&amp;":"&amp;C1326)</f>
        <v/>
      </c>
      <c r="I1326" s="125"/>
      <c r="J1326" s="125"/>
      <c r="K1326" s="125"/>
      <c r="L1326" s="125"/>
      <c r="M1326" s="182"/>
      <c r="N1326" s="182"/>
      <c r="O1326" s="182"/>
      <c r="P1326" s="182"/>
      <c r="R1326" s="155" t="str">
        <f t="shared" si="61"/>
        <v>:</v>
      </c>
      <c r="S1326" s="181">
        <f t="shared" si="62"/>
        <v>0</v>
      </c>
    </row>
    <row r="1327" spans="2:19">
      <c r="B1327" s="121"/>
      <c r="C1327" s="490"/>
      <c r="D1327" s="490" t="str">
        <f t="shared" si="63"/>
        <v/>
      </c>
      <c r="I1327" s="125"/>
      <c r="J1327" s="125"/>
      <c r="K1327" s="125"/>
      <c r="L1327" s="125"/>
      <c r="M1327" s="182"/>
      <c r="N1327" s="182"/>
      <c r="O1327" s="182"/>
      <c r="P1327" s="182"/>
      <c r="R1327" s="155" t="str">
        <f t="shared" si="61"/>
        <v>:</v>
      </c>
      <c r="S1327" s="181">
        <f t="shared" si="62"/>
        <v>0</v>
      </c>
    </row>
    <row r="1328" spans="2:19">
      <c r="B1328" s="121"/>
      <c r="C1328" s="490"/>
      <c r="D1328" s="490" t="str">
        <f t="shared" si="63"/>
        <v/>
      </c>
      <c r="I1328" s="125"/>
      <c r="J1328" s="125"/>
      <c r="K1328" s="125"/>
      <c r="L1328" s="125"/>
      <c r="M1328" s="182"/>
      <c r="N1328" s="182"/>
      <c r="O1328" s="182"/>
      <c r="P1328" s="182"/>
      <c r="R1328" s="155" t="str">
        <f t="shared" si="61"/>
        <v>:</v>
      </c>
      <c r="S1328" s="181">
        <f t="shared" si="62"/>
        <v>0</v>
      </c>
    </row>
    <row r="1329" spans="2:19">
      <c r="B1329" s="121"/>
      <c r="C1329" s="490"/>
      <c r="D1329" s="490" t="str">
        <f t="shared" si="63"/>
        <v/>
      </c>
      <c r="I1329" s="125"/>
      <c r="J1329" s="125"/>
      <c r="K1329" s="125"/>
      <c r="L1329" s="125"/>
      <c r="M1329" s="182"/>
      <c r="N1329" s="182"/>
      <c r="O1329" s="182"/>
      <c r="P1329" s="182"/>
      <c r="R1329" s="155" t="str">
        <f t="shared" si="61"/>
        <v>:</v>
      </c>
      <c r="S1329" s="181">
        <f t="shared" si="62"/>
        <v>0</v>
      </c>
    </row>
    <row r="1330" spans="2:19">
      <c r="B1330" s="121"/>
      <c r="C1330" s="490"/>
      <c r="D1330" s="490" t="str">
        <f t="shared" si="63"/>
        <v/>
      </c>
      <c r="I1330" s="125"/>
      <c r="J1330" s="125"/>
      <c r="K1330" s="125"/>
      <c r="L1330" s="125"/>
      <c r="M1330" s="182"/>
      <c r="N1330" s="182"/>
      <c r="O1330" s="182"/>
      <c r="P1330" s="182"/>
      <c r="R1330" s="155" t="str">
        <f t="shared" si="61"/>
        <v>:</v>
      </c>
      <c r="S1330" s="181">
        <f t="shared" si="62"/>
        <v>0</v>
      </c>
    </row>
    <row r="1331" spans="2:19">
      <c r="B1331" s="121"/>
      <c r="C1331" s="490"/>
      <c r="D1331" s="490" t="str">
        <f t="shared" si="63"/>
        <v/>
      </c>
      <c r="I1331" s="125"/>
      <c r="J1331" s="125"/>
      <c r="K1331" s="125"/>
      <c r="L1331" s="125"/>
      <c r="M1331" s="182"/>
      <c r="N1331" s="182"/>
      <c r="O1331" s="182"/>
      <c r="P1331" s="182"/>
      <c r="R1331" s="155" t="str">
        <f t="shared" si="61"/>
        <v>:</v>
      </c>
      <c r="S1331" s="181">
        <f t="shared" si="62"/>
        <v>0</v>
      </c>
    </row>
    <row r="1332" spans="2:19">
      <c r="B1332" s="121"/>
      <c r="C1332" s="490"/>
      <c r="D1332" s="490" t="str">
        <f t="shared" si="63"/>
        <v/>
      </c>
      <c r="I1332" s="125"/>
      <c r="J1332" s="125"/>
      <c r="K1332" s="125"/>
      <c r="L1332" s="125"/>
      <c r="M1332" s="182"/>
      <c r="N1332" s="182"/>
      <c r="O1332" s="182"/>
      <c r="P1332" s="182"/>
      <c r="R1332" s="155" t="str">
        <f t="shared" si="61"/>
        <v>:</v>
      </c>
      <c r="S1332" s="181">
        <f t="shared" si="62"/>
        <v>0</v>
      </c>
    </row>
    <row r="1333" spans="2:19">
      <c r="B1333" s="121"/>
      <c r="C1333" s="490"/>
      <c r="D1333" s="490" t="str">
        <f t="shared" si="63"/>
        <v/>
      </c>
      <c r="I1333" s="125"/>
      <c r="J1333" s="125"/>
      <c r="K1333" s="125"/>
      <c r="L1333" s="125"/>
      <c r="M1333" s="182"/>
      <c r="N1333" s="182"/>
      <c r="O1333" s="182"/>
      <c r="P1333" s="182"/>
      <c r="R1333" s="155" t="str">
        <f t="shared" si="61"/>
        <v>:</v>
      </c>
      <c r="S1333" s="181">
        <f t="shared" si="62"/>
        <v>0</v>
      </c>
    </row>
    <row r="1334" spans="2:19">
      <c r="B1334" s="121"/>
      <c r="C1334" s="490"/>
      <c r="D1334" s="490" t="str">
        <f t="shared" si="63"/>
        <v/>
      </c>
      <c r="I1334" s="125"/>
      <c r="J1334" s="125"/>
      <c r="K1334" s="125"/>
      <c r="L1334" s="125"/>
      <c r="M1334" s="182"/>
      <c r="N1334" s="182"/>
      <c r="O1334" s="182"/>
      <c r="P1334" s="182"/>
      <c r="R1334" s="155" t="str">
        <f t="shared" si="61"/>
        <v>:</v>
      </c>
      <c r="S1334" s="181">
        <f t="shared" si="62"/>
        <v>0</v>
      </c>
    </row>
    <row r="1335" spans="2:19">
      <c r="B1335" s="121"/>
      <c r="C1335" s="490"/>
      <c r="D1335" s="490" t="str">
        <f t="shared" si="63"/>
        <v/>
      </c>
      <c r="I1335" s="125"/>
      <c r="J1335" s="125"/>
      <c r="K1335" s="125"/>
      <c r="L1335" s="125"/>
      <c r="M1335" s="182"/>
      <c r="N1335" s="182"/>
      <c r="O1335" s="182"/>
      <c r="P1335" s="182"/>
      <c r="R1335" s="155" t="str">
        <f t="shared" si="61"/>
        <v>:</v>
      </c>
      <c r="S1335" s="181">
        <f t="shared" si="62"/>
        <v>0</v>
      </c>
    </row>
    <row r="1336" spans="2:19">
      <c r="B1336" s="121"/>
      <c r="C1336" s="490"/>
      <c r="D1336" s="490" t="str">
        <f t="shared" si="63"/>
        <v/>
      </c>
      <c r="I1336" s="125"/>
      <c r="J1336" s="125"/>
      <c r="K1336" s="125"/>
      <c r="L1336" s="125"/>
      <c r="M1336" s="182"/>
      <c r="N1336" s="182"/>
      <c r="O1336" s="182"/>
      <c r="P1336" s="182"/>
      <c r="R1336" s="155" t="str">
        <f t="shared" si="61"/>
        <v>:</v>
      </c>
      <c r="S1336" s="181">
        <f t="shared" si="62"/>
        <v>0</v>
      </c>
    </row>
    <row r="1337" spans="2:19">
      <c r="B1337" s="121"/>
      <c r="C1337" s="490"/>
      <c r="D1337" s="490" t="str">
        <f t="shared" si="63"/>
        <v/>
      </c>
      <c r="I1337" s="125"/>
      <c r="J1337" s="125"/>
      <c r="K1337" s="125"/>
      <c r="L1337" s="125"/>
      <c r="M1337" s="182"/>
      <c r="N1337" s="182"/>
      <c r="O1337" s="182"/>
      <c r="P1337" s="182"/>
      <c r="R1337" s="155" t="str">
        <f t="shared" si="61"/>
        <v>:</v>
      </c>
      <c r="S1337" s="181">
        <f t="shared" si="62"/>
        <v>0</v>
      </c>
    </row>
    <row r="1338" spans="2:19">
      <c r="B1338" s="121"/>
      <c r="C1338" s="490"/>
      <c r="D1338" s="490" t="str">
        <f t="shared" si="63"/>
        <v/>
      </c>
      <c r="I1338" s="125"/>
      <c r="J1338" s="125"/>
      <c r="K1338" s="125"/>
      <c r="L1338" s="125"/>
      <c r="M1338" s="182"/>
      <c r="N1338" s="182"/>
      <c r="O1338" s="182"/>
      <c r="P1338" s="182"/>
      <c r="R1338" s="155" t="str">
        <f t="shared" si="61"/>
        <v>:</v>
      </c>
      <c r="S1338" s="181">
        <f t="shared" si="62"/>
        <v>0</v>
      </c>
    </row>
    <row r="1339" spans="2:19">
      <c r="B1339" s="121"/>
      <c r="C1339" s="490"/>
      <c r="D1339" s="490" t="str">
        <f t="shared" si="63"/>
        <v/>
      </c>
      <c r="I1339" s="125"/>
      <c r="J1339" s="125"/>
      <c r="K1339" s="125"/>
      <c r="L1339" s="125"/>
      <c r="M1339" s="182"/>
      <c r="N1339" s="182"/>
      <c r="O1339" s="182"/>
      <c r="P1339" s="182"/>
      <c r="R1339" s="155" t="str">
        <f t="shared" si="61"/>
        <v>:</v>
      </c>
      <c r="S1339" s="181">
        <f t="shared" si="62"/>
        <v>0</v>
      </c>
    </row>
    <row r="1340" spans="2:19">
      <c r="B1340" s="121"/>
      <c r="C1340" s="490"/>
      <c r="D1340" s="490" t="str">
        <f t="shared" si="63"/>
        <v/>
      </c>
      <c r="I1340" s="125"/>
      <c r="J1340" s="125"/>
      <c r="K1340" s="125"/>
      <c r="L1340" s="125"/>
      <c r="M1340" s="182"/>
      <c r="N1340" s="182"/>
      <c r="O1340" s="182"/>
      <c r="P1340" s="182"/>
      <c r="R1340" s="155" t="str">
        <f t="shared" si="61"/>
        <v>:</v>
      </c>
      <c r="S1340" s="181">
        <f t="shared" si="62"/>
        <v>0</v>
      </c>
    </row>
    <row r="1341" spans="2:19">
      <c r="B1341" s="121"/>
      <c r="C1341" s="490"/>
      <c r="D1341" s="490" t="str">
        <f t="shared" si="63"/>
        <v/>
      </c>
      <c r="I1341" s="125"/>
      <c r="J1341" s="125"/>
      <c r="K1341" s="125"/>
      <c r="L1341" s="125"/>
      <c r="M1341" s="182"/>
      <c r="N1341" s="182"/>
      <c r="O1341" s="182"/>
      <c r="P1341" s="182"/>
      <c r="R1341" s="155" t="str">
        <f t="shared" si="61"/>
        <v>:</v>
      </c>
      <c r="S1341" s="181">
        <f t="shared" si="62"/>
        <v>0</v>
      </c>
    </row>
    <row r="1342" spans="2:19">
      <c r="B1342" s="121"/>
      <c r="C1342" s="490"/>
      <c r="D1342" s="490" t="str">
        <f t="shared" si="63"/>
        <v/>
      </c>
      <c r="I1342" s="125"/>
      <c r="J1342" s="125"/>
      <c r="K1342" s="125"/>
      <c r="L1342" s="125"/>
      <c r="M1342" s="182"/>
      <c r="N1342" s="182"/>
      <c r="O1342" s="182"/>
      <c r="P1342" s="182"/>
      <c r="R1342" s="155" t="str">
        <f t="shared" si="61"/>
        <v>:</v>
      </c>
      <c r="S1342" s="181">
        <f t="shared" si="62"/>
        <v>0</v>
      </c>
    </row>
    <row r="1343" spans="2:19">
      <c r="B1343" s="121"/>
      <c r="C1343" s="490"/>
      <c r="D1343" s="490" t="str">
        <f t="shared" si="63"/>
        <v/>
      </c>
      <c r="I1343" s="125"/>
      <c r="J1343" s="125"/>
      <c r="K1343" s="125"/>
      <c r="L1343" s="125"/>
      <c r="M1343" s="182"/>
      <c r="N1343" s="182"/>
      <c r="O1343" s="182"/>
      <c r="P1343" s="182"/>
      <c r="R1343" s="155" t="str">
        <f t="shared" si="61"/>
        <v>:</v>
      </c>
      <c r="S1343" s="181">
        <f t="shared" si="62"/>
        <v>0</v>
      </c>
    </row>
    <row r="1344" spans="2:19">
      <c r="B1344" s="121"/>
      <c r="C1344" s="490"/>
      <c r="D1344" s="490" t="str">
        <f t="shared" si="63"/>
        <v/>
      </c>
      <c r="I1344" s="125"/>
      <c r="J1344" s="125"/>
      <c r="K1344" s="125"/>
      <c r="L1344" s="125"/>
      <c r="M1344" s="182"/>
      <c r="N1344" s="182"/>
      <c r="O1344" s="182"/>
      <c r="P1344" s="182"/>
      <c r="R1344" s="155" t="str">
        <f t="shared" si="61"/>
        <v>:</v>
      </c>
      <c r="S1344" s="181">
        <f t="shared" si="62"/>
        <v>0</v>
      </c>
    </row>
    <row r="1345" spans="2:19">
      <c r="B1345" s="121"/>
      <c r="C1345" s="490"/>
      <c r="D1345" s="490" t="str">
        <f t="shared" si="63"/>
        <v/>
      </c>
      <c r="I1345" s="125"/>
      <c r="J1345" s="125"/>
      <c r="K1345" s="125"/>
      <c r="L1345" s="125"/>
      <c r="M1345" s="182"/>
      <c r="N1345" s="182"/>
      <c r="O1345" s="182"/>
      <c r="P1345" s="182"/>
      <c r="R1345" s="155" t="str">
        <f t="shared" si="61"/>
        <v>:</v>
      </c>
      <c r="S1345" s="181">
        <f t="shared" si="62"/>
        <v>0</v>
      </c>
    </row>
    <row r="1346" spans="2:19">
      <c r="B1346" s="121"/>
      <c r="C1346" s="490"/>
      <c r="D1346" s="490" t="str">
        <f t="shared" si="63"/>
        <v/>
      </c>
      <c r="I1346" s="125"/>
      <c r="J1346" s="125"/>
      <c r="K1346" s="125"/>
      <c r="L1346" s="125"/>
      <c r="M1346" s="182"/>
      <c r="N1346" s="182"/>
      <c r="O1346" s="182"/>
      <c r="P1346" s="182"/>
      <c r="R1346" s="155" t="str">
        <f t="shared" si="61"/>
        <v>:</v>
      </c>
      <c r="S1346" s="181">
        <f t="shared" si="62"/>
        <v>0</v>
      </c>
    </row>
    <row r="1347" spans="2:19">
      <c r="B1347" s="121"/>
      <c r="C1347" s="490"/>
      <c r="D1347" s="490" t="str">
        <f t="shared" si="63"/>
        <v/>
      </c>
      <c r="I1347" s="125"/>
      <c r="J1347" s="125"/>
      <c r="K1347" s="125"/>
      <c r="L1347" s="125"/>
      <c r="M1347" s="182"/>
      <c r="N1347" s="182"/>
      <c r="O1347" s="182"/>
      <c r="P1347" s="182"/>
      <c r="R1347" s="155" t="str">
        <f t="shared" si="61"/>
        <v>:</v>
      </c>
      <c r="S1347" s="181">
        <f t="shared" si="62"/>
        <v>0</v>
      </c>
    </row>
    <row r="1348" spans="2:19">
      <c r="B1348" s="121"/>
      <c r="C1348" s="490"/>
      <c r="D1348" s="490" t="str">
        <f t="shared" si="63"/>
        <v/>
      </c>
      <c r="I1348" s="125"/>
      <c r="J1348" s="125"/>
      <c r="K1348" s="125"/>
      <c r="L1348" s="125"/>
      <c r="M1348" s="182"/>
      <c r="N1348" s="182"/>
      <c r="O1348" s="182"/>
      <c r="P1348" s="182"/>
      <c r="R1348" s="155" t="str">
        <f t="shared" si="61"/>
        <v>:</v>
      </c>
      <c r="S1348" s="181">
        <f t="shared" si="62"/>
        <v>0</v>
      </c>
    </row>
    <row r="1349" spans="2:19">
      <c r="B1349" s="121"/>
      <c r="C1349" s="490"/>
      <c r="D1349" s="490" t="str">
        <f t="shared" si="63"/>
        <v/>
      </c>
      <c r="I1349" s="125"/>
      <c r="J1349" s="125"/>
      <c r="K1349" s="125"/>
      <c r="L1349" s="125"/>
      <c r="M1349" s="182"/>
      <c r="N1349" s="182"/>
      <c r="O1349" s="182"/>
      <c r="P1349" s="182"/>
      <c r="R1349" s="155" t="str">
        <f t="shared" ref="R1349:R1356" si="64">I1349&amp;":"&amp;J1349&amp;K1349</f>
        <v>:</v>
      </c>
      <c r="S1349" s="181">
        <f t="shared" si="62"/>
        <v>0</v>
      </c>
    </row>
    <row r="1350" spans="2:19">
      <c r="B1350" s="121"/>
      <c r="C1350" s="490"/>
      <c r="D1350" s="490" t="str">
        <f t="shared" si="63"/>
        <v/>
      </c>
      <c r="I1350" s="125"/>
      <c r="J1350" s="125"/>
      <c r="K1350" s="125"/>
      <c r="L1350" s="125"/>
      <c r="M1350" s="182"/>
      <c r="N1350" s="182"/>
      <c r="O1350" s="182"/>
      <c r="P1350" s="182"/>
      <c r="R1350" s="155" t="str">
        <f t="shared" si="64"/>
        <v>:</v>
      </c>
      <c r="S1350" s="181">
        <f t="shared" si="62"/>
        <v>0</v>
      </c>
    </row>
    <row r="1351" spans="2:19">
      <c r="B1351" s="121"/>
      <c r="C1351" s="490"/>
      <c r="D1351" s="490" t="str">
        <f t="shared" si="63"/>
        <v/>
      </c>
      <c r="I1351" s="125"/>
      <c r="J1351" s="125"/>
      <c r="K1351" s="125"/>
      <c r="L1351" s="125"/>
      <c r="M1351" s="182"/>
      <c r="N1351" s="182"/>
      <c r="O1351" s="182"/>
      <c r="P1351" s="182"/>
      <c r="R1351" s="155" t="str">
        <f t="shared" si="64"/>
        <v>:</v>
      </c>
      <c r="S1351" s="181">
        <f t="shared" si="62"/>
        <v>0</v>
      </c>
    </row>
    <row r="1352" spans="2:19">
      <c r="B1352" s="121"/>
      <c r="C1352" s="490"/>
      <c r="D1352" s="490" t="str">
        <f t="shared" si="63"/>
        <v/>
      </c>
      <c r="I1352" s="125"/>
      <c r="J1352" s="125"/>
      <c r="K1352" s="125"/>
      <c r="L1352" s="125"/>
      <c r="M1352" s="182"/>
      <c r="N1352" s="182"/>
      <c r="O1352" s="182"/>
      <c r="P1352" s="182"/>
      <c r="R1352" s="155" t="str">
        <f t="shared" si="64"/>
        <v>:</v>
      </c>
      <c r="S1352" s="181">
        <f t="shared" si="62"/>
        <v>0</v>
      </c>
    </row>
    <row r="1353" spans="2:19">
      <c r="B1353" s="121"/>
      <c r="C1353" s="490"/>
      <c r="D1353" s="490" t="str">
        <f t="shared" si="63"/>
        <v/>
      </c>
      <c r="I1353" s="125"/>
      <c r="J1353" s="125"/>
      <c r="K1353" s="125"/>
      <c r="L1353" s="125"/>
      <c r="M1353" s="182"/>
      <c r="N1353" s="182"/>
      <c r="O1353" s="182"/>
      <c r="P1353" s="182"/>
      <c r="R1353" s="155" t="str">
        <f t="shared" si="64"/>
        <v>:</v>
      </c>
      <c r="S1353" s="181">
        <f t="shared" si="62"/>
        <v>0</v>
      </c>
    </row>
    <row r="1354" spans="2:19">
      <c r="B1354" s="121"/>
      <c r="C1354" s="490"/>
      <c r="D1354" s="490" t="str">
        <f t="shared" si="63"/>
        <v/>
      </c>
      <c r="I1354" s="125"/>
      <c r="J1354" s="125"/>
      <c r="K1354" s="125"/>
      <c r="L1354" s="125"/>
      <c r="M1354" s="182"/>
      <c r="N1354" s="182"/>
      <c r="O1354" s="182"/>
      <c r="P1354" s="182"/>
      <c r="R1354" s="155" t="str">
        <f t="shared" si="64"/>
        <v>:</v>
      </c>
      <c r="S1354" s="181">
        <f t="shared" ref="S1354:S1417" si="65">HLOOKUP($S$8,$L$8:$P$2000,ROW()-7,FALSE)</f>
        <v>0</v>
      </c>
    </row>
    <row r="1355" spans="2:19">
      <c r="B1355" s="121"/>
      <c r="C1355" s="490"/>
      <c r="D1355" s="490" t="str">
        <f t="shared" si="63"/>
        <v/>
      </c>
      <c r="I1355" s="125"/>
      <c r="J1355" s="125"/>
      <c r="K1355" s="125"/>
      <c r="L1355" s="125"/>
      <c r="M1355" s="182"/>
      <c r="N1355" s="182"/>
      <c r="O1355" s="182"/>
      <c r="P1355" s="182"/>
      <c r="R1355" s="155" t="str">
        <f t="shared" si="64"/>
        <v>:</v>
      </c>
      <c r="S1355" s="181">
        <f t="shared" si="65"/>
        <v>0</v>
      </c>
    </row>
    <row r="1356" spans="2:19">
      <c r="B1356" s="121"/>
      <c r="C1356" s="490"/>
      <c r="D1356" s="490" t="str">
        <f t="shared" si="63"/>
        <v/>
      </c>
      <c r="I1356" s="128"/>
      <c r="J1356" s="128"/>
      <c r="K1356" s="128"/>
      <c r="L1356" s="128"/>
      <c r="M1356" s="389"/>
      <c r="N1356" s="389"/>
      <c r="O1356" s="389"/>
      <c r="P1356" s="389"/>
      <c r="R1356" s="390" t="str">
        <f t="shared" si="64"/>
        <v>:</v>
      </c>
      <c r="S1356" s="181">
        <f t="shared" si="65"/>
        <v>0</v>
      </c>
    </row>
    <row r="1357" spans="2:19">
      <c r="B1357" s="121"/>
      <c r="C1357" s="490"/>
      <c r="D1357" s="490" t="str">
        <f t="shared" si="63"/>
        <v/>
      </c>
      <c r="I1357" s="128"/>
      <c r="J1357" s="128"/>
      <c r="K1357" s="128"/>
      <c r="L1357" s="128"/>
      <c r="M1357" s="389"/>
      <c r="N1357" s="389"/>
      <c r="O1357" s="389"/>
      <c r="P1357" s="389"/>
      <c r="R1357" s="390" t="str">
        <f t="shared" ref="R1357:R1420" si="66">I1357&amp;":"&amp;J1357&amp;K1357</f>
        <v>:</v>
      </c>
      <c r="S1357" s="181">
        <f t="shared" si="65"/>
        <v>0</v>
      </c>
    </row>
    <row r="1358" spans="2:19">
      <c r="B1358" s="121"/>
      <c r="C1358" s="490"/>
      <c r="D1358" s="490" t="str">
        <f t="shared" si="63"/>
        <v/>
      </c>
      <c r="I1358" s="128"/>
      <c r="J1358" s="128"/>
      <c r="K1358" s="128"/>
      <c r="L1358" s="128"/>
      <c r="M1358" s="389"/>
      <c r="N1358" s="389"/>
      <c r="O1358" s="389"/>
      <c r="P1358" s="389"/>
      <c r="R1358" s="390" t="str">
        <f t="shared" si="66"/>
        <v>:</v>
      </c>
      <c r="S1358" s="181">
        <f t="shared" si="65"/>
        <v>0</v>
      </c>
    </row>
    <row r="1359" spans="2:19">
      <c r="B1359" s="121"/>
      <c r="C1359" s="490"/>
      <c r="D1359" s="490" t="str">
        <f t="shared" si="63"/>
        <v/>
      </c>
      <c r="I1359" s="128"/>
      <c r="J1359" s="128"/>
      <c r="K1359" s="128"/>
      <c r="L1359" s="128"/>
      <c r="M1359" s="389"/>
      <c r="N1359" s="389"/>
      <c r="O1359" s="389"/>
      <c r="P1359" s="389"/>
      <c r="R1359" s="390" t="str">
        <f t="shared" si="66"/>
        <v>:</v>
      </c>
      <c r="S1359" s="181">
        <f t="shared" si="65"/>
        <v>0</v>
      </c>
    </row>
    <row r="1360" spans="2:19">
      <c r="B1360" s="121"/>
      <c r="C1360" s="490"/>
      <c r="D1360" s="490" t="str">
        <f t="shared" si="63"/>
        <v/>
      </c>
      <c r="I1360" s="128"/>
      <c r="J1360" s="128"/>
      <c r="K1360" s="128"/>
      <c r="L1360" s="128"/>
      <c r="M1360" s="389"/>
      <c r="N1360" s="389"/>
      <c r="O1360" s="389"/>
      <c r="P1360" s="389"/>
      <c r="R1360" s="390" t="str">
        <f t="shared" si="66"/>
        <v>:</v>
      </c>
      <c r="S1360" s="181">
        <f t="shared" si="65"/>
        <v>0</v>
      </c>
    </row>
    <row r="1361" spans="2:19">
      <c r="B1361" s="121"/>
      <c r="C1361" s="490"/>
      <c r="D1361" s="490" t="str">
        <f t="shared" si="63"/>
        <v/>
      </c>
      <c r="I1361" s="128"/>
      <c r="J1361" s="128"/>
      <c r="K1361" s="128"/>
      <c r="L1361" s="128"/>
      <c r="M1361" s="389"/>
      <c r="N1361" s="389"/>
      <c r="O1361" s="389"/>
      <c r="P1361" s="389"/>
      <c r="R1361" s="390" t="str">
        <f t="shared" si="66"/>
        <v>:</v>
      </c>
      <c r="S1361" s="181">
        <f t="shared" si="65"/>
        <v>0</v>
      </c>
    </row>
    <row r="1362" spans="2:19">
      <c r="B1362" s="121"/>
      <c r="C1362" s="490"/>
      <c r="D1362" s="490" t="str">
        <f t="shared" si="63"/>
        <v/>
      </c>
      <c r="I1362" s="128"/>
      <c r="J1362" s="128"/>
      <c r="K1362" s="128"/>
      <c r="L1362" s="128"/>
      <c r="M1362" s="389"/>
      <c r="N1362" s="389"/>
      <c r="O1362" s="389"/>
      <c r="P1362" s="389"/>
      <c r="R1362" s="390" t="str">
        <f t="shared" si="66"/>
        <v>:</v>
      </c>
      <c r="S1362" s="181">
        <f t="shared" si="65"/>
        <v>0</v>
      </c>
    </row>
    <row r="1363" spans="2:19">
      <c r="B1363" s="121"/>
      <c r="C1363" s="490"/>
      <c r="D1363" s="490" t="str">
        <f t="shared" si="63"/>
        <v/>
      </c>
      <c r="I1363" s="128"/>
      <c r="J1363" s="128"/>
      <c r="K1363" s="128"/>
      <c r="L1363" s="128"/>
      <c r="M1363" s="389"/>
      <c r="N1363" s="389"/>
      <c r="O1363" s="389"/>
      <c r="P1363" s="389"/>
      <c r="R1363" s="390" t="str">
        <f t="shared" si="66"/>
        <v>:</v>
      </c>
      <c r="S1363" s="181">
        <f t="shared" si="65"/>
        <v>0</v>
      </c>
    </row>
    <row r="1364" spans="2:19">
      <c r="B1364" s="121"/>
      <c r="C1364" s="490"/>
      <c r="D1364" s="490" t="str">
        <f t="shared" si="63"/>
        <v/>
      </c>
      <c r="I1364" s="128"/>
      <c r="J1364" s="128"/>
      <c r="K1364" s="128"/>
      <c r="L1364" s="128"/>
      <c r="M1364" s="389"/>
      <c r="N1364" s="389"/>
      <c r="O1364" s="389"/>
      <c r="P1364" s="389"/>
      <c r="R1364" s="390" t="str">
        <f t="shared" si="66"/>
        <v>:</v>
      </c>
      <c r="S1364" s="181">
        <f t="shared" si="65"/>
        <v>0</v>
      </c>
    </row>
    <row r="1365" spans="2:19">
      <c r="B1365" s="121"/>
      <c r="C1365" s="490"/>
      <c r="D1365" s="490" t="str">
        <f t="shared" si="63"/>
        <v/>
      </c>
      <c r="I1365" s="128"/>
      <c r="J1365" s="128"/>
      <c r="K1365" s="128"/>
      <c r="L1365" s="128"/>
      <c r="M1365" s="389"/>
      <c r="N1365" s="389"/>
      <c r="O1365" s="389"/>
      <c r="P1365" s="389"/>
      <c r="R1365" s="390" t="str">
        <f t="shared" si="66"/>
        <v>:</v>
      </c>
      <c r="S1365" s="181">
        <f t="shared" si="65"/>
        <v>0</v>
      </c>
    </row>
    <row r="1366" spans="2:19">
      <c r="B1366" s="121"/>
      <c r="C1366" s="490"/>
      <c r="D1366" s="490" t="str">
        <f t="shared" si="63"/>
        <v/>
      </c>
      <c r="I1366" s="128"/>
      <c r="J1366" s="128"/>
      <c r="K1366" s="128"/>
      <c r="L1366" s="128"/>
      <c r="M1366" s="389"/>
      <c r="N1366" s="389"/>
      <c r="O1366" s="389"/>
      <c r="P1366" s="389"/>
      <c r="R1366" s="390" t="str">
        <f t="shared" si="66"/>
        <v>:</v>
      </c>
      <c r="S1366" s="181">
        <f t="shared" si="65"/>
        <v>0</v>
      </c>
    </row>
    <row r="1367" spans="2:19">
      <c r="B1367" s="121"/>
      <c r="C1367" s="490"/>
      <c r="D1367" s="490" t="str">
        <f t="shared" si="63"/>
        <v/>
      </c>
      <c r="I1367" s="128"/>
      <c r="J1367" s="128"/>
      <c r="K1367" s="128"/>
      <c r="L1367" s="128"/>
      <c r="M1367" s="389"/>
      <c r="N1367" s="389"/>
      <c r="O1367" s="389"/>
      <c r="P1367" s="389"/>
      <c r="R1367" s="390" t="str">
        <f t="shared" si="66"/>
        <v>:</v>
      </c>
      <c r="S1367" s="181">
        <f t="shared" si="65"/>
        <v>0</v>
      </c>
    </row>
    <row r="1368" spans="2:19">
      <c r="B1368" s="121"/>
      <c r="C1368" s="490"/>
      <c r="D1368" s="490" t="str">
        <f t="shared" si="63"/>
        <v/>
      </c>
      <c r="I1368" s="128"/>
      <c r="J1368" s="128"/>
      <c r="K1368" s="128"/>
      <c r="L1368" s="128"/>
      <c r="M1368" s="389"/>
      <c r="N1368" s="389"/>
      <c r="O1368" s="389"/>
      <c r="P1368" s="389"/>
      <c r="R1368" s="390" t="str">
        <f t="shared" si="66"/>
        <v>:</v>
      </c>
      <c r="S1368" s="181">
        <f t="shared" si="65"/>
        <v>0</v>
      </c>
    </row>
    <row r="1369" spans="2:19">
      <c r="B1369" s="121"/>
      <c r="C1369" s="490"/>
      <c r="D1369" s="490" t="str">
        <f t="shared" si="63"/>
        <v/>
      </c>
      <c r="I1369" s="128"/>
      <c r="J1369" s="128"/>
      <c r="K1369" s="128"/>
      <c r="L1369" s="128"/>
      <c r="M1369" s="389"/>
      <c r="N1369" s="389"/>
      <c r="O1369" s="389"/>
      <c r="P1369" s="389"/>
      <c r="R1369" s="390" t="str">
        <f t="shared" si="66"/>
        <v>:</v>
      </c>
      <c r="S1369" s="181">
        <f t="shared" si="65"/>
        <v>0</v>
      </c>
    </row>
    <row r="1370" spans="2:19">
      <c r="B1370" s="121"/>
      <c r="C1370" s="490"/>
      <c r="D1370" s="490" t="str">
        <f t="shared" si="63"/>
        <v/>
      </c>
      <c r="I1370" s="128"/>
      <c r="J1370" s="128"/>
      <c r="K1370" s="128"/>
      <c r="L1370" s="128"/>
      <c r="M1370" s="389"/>
      <c r="N1370" s="389"/>
      <c r="O1370" s="389"/>
      <c r="P1370" s="389"/>
      <c r="R1370" s="390" t="str">
        <f t="shared" si="66"/>
        <v>:</v>
      </c>
      <c r="S1370" s="181">
        <f t="shared" si="65"/>
        <v>0</v>
      </c>
    </row>
    <row r="1371" spans="2:19">
      <c r="B1371" s="121"/>
      <c r="C1371" s="490"/>
      <c r="D1371" s="490" t="str">
        <f t="shared" si="63"/>
        <v/>
      </c>
      <c r="I1371" s="128"/>
      <c r="J1371" s="128"/>
      <c r="K1371" s="128"/>
      <c r="L1371" s="128"/>
      <c r="M1371" s="389"/>
      <c r="N1371" s="389"/>
      <c r="O1371" s="389"/>
      <c r="P1371" s="389"/>
      <c r="R1371" s="390" t="str">
        <f t="shared" si="66"/>
        <v>:</v>
      </c>
      <c r="S1371" s="181">
        <f t="shared" si="65"/>
        <v>0</v>
      </c>
    </row>
    <row r="1372" spans="2:19">
      <c r="B1372" s="121"/>
      <c r="C1372" s="490"/>
      <c r="D1372" s="490" t="str">
        <f t="shared" si="63"/>
        <v/>
      </c>
      <c r="I1372" s="128"/>
      <c r="J1372" s="128"/>
      <c r="K1372" s="128"/>
      <c r="L1372" s="128"/>
      <c r="M1372" s="389"/>
      <c r="N1372" s="389"/>
      <c r="O1372" s="389"/>
      <c r="P1372" s="389"/>
      <c r="R1372" s="390" t="str">
        <f t="shared" si="66"/>
        <v>:</v>
      </c>
      <c r="S1372" s="181">
        <f t="shared" si="65"/>
        <v>0</v>
      </c>
    </row>
    <row r="1373" spans="2:19">
      <c r="B1373" s="121"/>
      <c r="C1373" s="490"/>
      <c r="D1373" s="490" t="str">
        <f t="shared" si="63"/>
        <v/>
      </c>
      <c r="I1373" s="128"/>
      <c r="J1373" s="128"/>
      <c r="K1373" s="128"/>
      <c r="L1373" s="128"/>
      <c r="M1373" s="389"/>
      <c r="N1373" s="389"/>
      <c r="O1373" s="389"/>
      <c r="P1373" s="389"/>
      <c r="R1373" s="390" t="str">
        <f t="shared" si="66"/>
        <v>:</v>
      </c>
      <c r="S1373" s="181">
        <f t="shared" si="65"/>
        <v>0</v>
      </c>
    </row>
    <row r="1374" spans="2:19">
      <c r="B1374" s="121"/>
      <c r="C1374" s="490"/>
      <c r="D1374" s="490" t="str">
        <f t="shared" si="63"/>
        <v/>
      </c>
      <c r="I1374" s="128"/>
      <c r="J1374" s="128"/>
      <c r="K1374" s="128"/>
      <c r="L1374" s="128"/>
      <c r="M1374" s="389"/>
      <c r="N1374" s="389"/>
      <c r="O1374" s="389"/>
      <c r="P1374" s="389"/>
      <c r="R1374" s="390" t="str">
        <f t="shared" si="66"/>
        <v>:</v>
      </c>
      <c r="S1374" s="181">
        <f t="shared" si="65"/>
        <v>0</v>
      </c>
    </row>
    <row r="1375" spans="2:19">
      <c r="B1375" s="121"/>
      <c r="C1375" s="490"/>
      <c r="D1375" s="490" t="str">
        <f t="shared" si="63"/>
        <v/>
      </c>
      <c r="I1375" s="128"/>
      <c r="J1375" s="128"/>
      <c r="K1375" s="128"/>
      <c r="L1375" s="128"/>
      <c r="M1375" s="389"/>
      <c r="N1375" s="389"/>
      <c r="O1375" s="389"/>
      <c r="P1375" s="389"/>
      <c r="R1375" s="390" t="str">
        <f t="shared" si="66"/>
        <v>:</v>
      </c>
      <c r="S1375" s="181">
        <f t="shared" si="65"/>
        <v>0</v>
      </c>
    </row>
    <row r="1376" spans="2:19">
      <c r="B1376" s="121"/>
      <c r="C1376" s="490"/>
      <c r="D1376" s="490" t="str">
        <f t="shared" si="63"/>
        <v/>
      </c>
      <c r="I1376" s="128"/>
      <c r="J1376" s="128"/>
      <c r="K1376" s="128"/>
      <c r="L1376" s="128"/>
      <c r="M1376" s="389"/>
      <c r="N1376" s="389"/>
      <c r="O1376" s="389"/>
      <c r="P1376" s="389"/>
      <c r="R1376" s="390" t="str">
        <f t="shared" si="66"/>
        <v>:</v>
      </c>
      <c r="S1376" s="181">
        <f t="shared" si="65"/>
        <v>0</v>
      </c>
    </row>
    <row r="1377" spans="2:19">
      <c r="B1377" s="121"/>
      <c r="C1377" s="490"/>
      <c r="D1377" s="490" t="str">
        <f t="shared" si="63"/>
        <v/>
      </c>
      <c r="I1377" s="128"/>
      <c r="J1377" s="128"/>
      <c r="K1377" s="128"/>
      <c r="L1377" s="128"/>
      <c r="M1377" s="389"/>
      <c r="N1377" s="389"/>
      <c r="O1377" s="389"/>
      <c r="P1377" s="389"/>
      <c r="R1377" s="390" t="str">
        <f t="shared" si="66"/>
        <v>:</v>
      </c>
      <c r="S1377" s="181">
        <f t="shared" si="65"/>
        <v>0</v>
      </c>
    </row>
    <row r="1378" spans="2:19">
      <c r="B1378" s="121"/>
      <c r="C1378" s="490"/>
      <c r="D1378" s="490" t="str">
        <f t="shared" si="63"/>
        <v/>
      </c>
      <c r="I1378" s="128"/>
      <c r="J1378" s="128"/>
      <c r="K1378" s="128"/>
      <c r="L1378" s="128"/>
      <c r="M1378" s="389"/>
      <c r="N1378" s="389"/>
      <c r="O1378" s="389"/>
      <c r="P1378" s="389"/>
      <c r="R1378" s="390" t="str">
        <f t="shared" si="66"/>
        <v>:</v>
      </c>
      <c r="S1378" s="181">
        <f t="shared" si="65"/>
        <v>0</v>
      </c>
    </row>
    <row r="1379" spans="2:19">
      <c r="B1379" s="121"/>
      <c r="C1379" s="490"/>
      <c r="D1379" s="490" t="str">
        <f t="shared" si="63"/>
        <v/>
      </c>
      <c r="I1379" s="128"/>
      <c r="J1379" s="128"/>
      <c r="K1379" s="128"/>
      <c r="L1379" s="128"/>
      <c r="M1379" s="389"/>
      <c r="N1379" s="389"/>
      <c r="O1379" s="389"/>
      <c r="P1379" s="389"/>
      <c r="R1379" s="390" t="str">
        <f t="shared" si="66"/>
        <v>:</v>
      </c>
      <c r="S1379" s="181">
        <f t="shared" si="65"/>
        <v>0</v>
      </c>
    </row>
    <row r="1380" spans="2:19">
      <c r="B1380" s="121"/>
      <c r="C1380" s="490"/>
      <c r="D1380" s="490" t="str">
        <f t="shared" si="63"/>
        <v/>
      </c>
      <c r="I1380" s="128"/>
      <c r="J1380" s="128"/>
      <c r="K1380" s="128"/>
      <c r="L1380" s="128"/>
      <c r="M1380" s="389"/>
      <c r="N1380" s="389"/>
      <c r="O1380" s="389"/>
      <c r="P1380" s="389"/>
      <c r="R1380" s="390" t="str">
        <f t="shared" si="66"/>
        <v>:</v>
      </c>
      <c r="S1380" s="181">
        <f t="shared" si="65"/>
        <v>0</v>
      </c>
    </row>
    <row r="1381" spans="2:19">
      <c r="B1381" s="121"/>
      <c r="C1381" s="490"/>
      <c r="D1381" s="490" t="str">
        <f t="shared" si="63"/>
        <v/>
      </c>
      <c r="I1381" s="128"/>
      <c r="J1381" s="128"/>
      <c r="K1381" s="128"/>
      <c r="L1381" s="128"/>
      <c r="M1381" s="389"/>
      <c r="N1381" s="389"/>
      <c r="O1381" s="389"/>
      <c r="P1381" s="389"/>
      <c r="R1381" s="390" t="str">
        <f t="shared" si="66"/>
        <v>:</v>
      </c>
      <c r="S1381" s="181">
        <f t="shared" si="65"/>
        <v>0</v>
      </c>
    </row>
    <row r="1382" spans="2:19">
      <c r="B1382" s="121"/>
      <c r="C1382" s="490"/>
      <c r="D1382" s="490" t="str">
        <f t="shared" si="63"/>
        <v/>
      </c>
      <c r="I1382" s="128"/>
      <c r="J1382" s="128"/>
      <c r="K1382" s="128"/>
      <c r="L1382" s="128"/>
      <c r="M1382" s="389"/>
      <c r="N1382" s="389"/>
      <c r="O1382" s="389"/>
      <c r="P1382" s="389"/>
      <c r="R1382" s="390" t="str">
        <f t="shared" si="66"/>
        <v>:</v>
      </c>
      <c r="S1382" s="181">
        <f t="shared" si="65"/>
        <v>0</v>
      </c>
    </row>
    <row r="1383" spans="2:19">
      <c r="B1383" s="121"/>
      <c r="C1383" s="490"/>
      <c r="D1383" s="490" t="str">
        <f t="shared" si="63"/>
        <v/>
      </c>
      <c r="I1383" s="128"/>
      <c r="J1383" s="128"/>
      <c r="K1383" s="128"/>
      <c r="L1383" s="128"/>
      <c r="M1383" s="389"/>
      <c r="N1383" s="389"/>
      <c r="O1383" s="389"/>
      <c r="P1383" s="389"/>
      <c r="R1383" s="390" t="str">
        <f t="shared" si="66"/>
        <v>:</v>
      </c>
      <c r="S1383" s="181">
        <f t="shared" si="65"/>
        <v>0</v>
      </c>
    </row>
    <row r="1384" spans="2:19">
      <c r="B1384" s="121"/>
      <c r="C1384" s="490"/>
      <c r="D1384" s="490" t="str">
        <f t="shared" si="63"/>
        <v/>
      </c>
      <c r="I1384" s="128"/>
      <c r="J1384" s="128"/>
      <c r="K1384" s="128"/>
      <c r="L1384" s="128"/>
      <c r="M1384" s="389"/>
      <c r="N1384" s="389"/>
      <c r="O1384" s="389"/>
      <c r="P1384" s="389"/>
      <c r="R1384" s="390" t="str">
        <f t="shared" si="66"/>
        <v>:</v>
      </c>
      <c r="S1384" s="181">
        <f t="shared" si="65"/>
        <v>0</v>
      </c>
    </row>
    <row r="1385" spans="2:19">
      <c r="B1385" s="121"/>
      <c r="C1385" s="490"/>
      <c r="D1385" s="490" t="str">
        <f t="shared" si="63"/>
        <v/>
      </c>
      <c r="I1385" s="128"/>
      <c r="J1385" s="128"/>
      <c r="K1385" s="128"/>
      <c r="L1385" s="128"/>
      <c r="M1385" s="389"/>
      <c r="N1385" s="389"/>
      <c r="O1385" s="389"/>
      <c r="P1385" s="389"/>
      <c r="R1385" s="390" t="str">
        <f t="shared" si="66"/>
        <v>:</v>
      </c>
      <c r="S1385" s="181">
        <f t="shared" si="65"/>
        <v>0</v>
      </c>
    </row>
    <row r="1386" spans="2:19">
      <c r="B1386" s="121"/>
      <c r="C1386" s="490"/>
      <c r="D1386" s="490" t="str">
        <f t="shared" si="63"/>
        <v/>
      </c>
      <c r="I1386" s="128"/>
      <c r="J1386" s="128"/>
      <c r="K1386" s="128"/>
      <c r="L1386" s="128"/>
      <c r="M1386" s="389"/>
      <c r="N1386" s="389"/>
      <c r="O1386" s="389"/>
      <c r="P1386" s="389"/>
      <c r="R1386" s="390" t="str">
        <f t="shared" si="66"/>
        <v>:</v>
      </c>
      <c r="S1386" s="181">
        <f t="shared" si="65"/>
        <v>0</v>
      </c>
    </row>
    <row r="1387" spans="2:19">
      <c r="B1387" s="121"/>
      <c r="C1387" s="490"/>
      <c r="D1387" s="490" t="str">
        <f t="shared" si="63"/>
        <v/>
      </c>
      <c r="I1387" s="128"/>
      <c r="J1387" s="128"/>
      <c r="K1387" s="128"/>
      <c r="L1387" s="128"/>
      <c r="M1387" s="389"/>
      <c r="N1387" s="389"/>
      <c r="O1387" s="389"/>
      <c r="P1387" s="389"/>
      <c r="R1387" s="390" t="str">
        <f t="shared" si="66"/>
        <v>:</v>
      </c>
      <c r="S1387" s="181">
        <f t="shared" si="65"/>
        <v>0</v>
      </c>
    </row>
    <row r="1388" spans="2:19">
      <c r="B1388" s="121"/>
      <c r="C1388" s="490"/>
      <c r="D1388" s="490" t="str">
        <f t="shared" si="63"/>
        <v/>
      </c>
      <c r="I1388" s="128"/>
      <c r="J1388" s="128"/>
      <c r="K1388" s="128"/>
      <c r="L1388" s="128"/>
      <c r="M1388" s="389"/>
      <c r="N1388" s="389"/>
      <c r="O1388" s="389"/>
      <c r="P1388" s="389"/>
      <c r="R1388" s="390" t="str">
        <f t="shared" si="66"/>
        <v>:</v>
      </c>
      <c r="S1388" s="181">
        <f t="shared" si="65"/>
        <v>0</v>
      </c>
    </row>
    <row r="1389" spans="2:19">
      <c r="B1389" s="121"/>
      <c r="C1389" s="490"/>
      <c r="D1389" s="490" t="str">
        <f t="shared" si="63"/>
        <v/>
      </c>
      <c r="I1389" s="128"/>
      <c r="J1389" s="128"/>
      <c r="K1389" s="128"/>
      <c r="L1389" s="128"/>
      <c r="M1389" s="389"/>
      <c r="N1389" s="389"/>
      <c r="O1389" s="389"/>
      <c r="P1389" s="389"/>
      <c r="R1389" s="390" t="str">
        <f t="shared" si="66"/>
        <v>:</v>
      </c>
      <c r="S1389" s="181">
        <f t="shared" si="65"/>
        <v>0</v>
      </c>
    </row>
    <row r="1390" spans="2:19">
      <c r="B1390" s="121"/>
      <c r="C1390" s="490"/>
      <c r="D1390" s="490" t="str">
        <f t="shared" ref="D1390:D1453" si="67">IF(B1390="","",B1390&amp;":"&amp;C1390)</f>
        <v/>
      </c>
      <c r="I1390" s="128"/>
      <c r="J1390" s="128"/>
      <c r="K1390" s="128"/>
      <c r="L1390" s="128"/>
      <c r="M1390" s="389"/>
      <c r="N1390" s="389"/>
      <c r="O1390" s="389"/>
      <c r="P1390" s="389"/>
      <c r="R1390" s="390" t="str">
        <f t="shared" si="66"/>
        <v>:</v>
      </c>
      <c r="S1390" s="181">
        <f t="shared" si="65"/>
        <v>0</v>
      </c>
    </row>
    <row r="1391" spans="2:19">
      <c r="B1391" s="121"/>
      <c r="C1391" s="490"/>
      <c r="D1391" s="490" t="str">
        <f t="shared" si="67"/>
        <v/>
      </c>
      <c r="I1391" s="128"/>
      <c r="J1391" s="128"/>
      <c r="K1391" s="128"/>
      <c r="L1391" s="128"/>
      <c r="M1391" s="389"/>
      <c r="N1391" s="389"/>
      <c r="O1391" s="389"/>
      <c r="P1391" s="389"/>
      <c r="R1391" s="390" t="str">
        <f t="shared" si="66"/>
        <v>:</v>
      </c>
      <c r="S1391" s="181">
        <f t="shared" si="65"/>
        <v>0</v>
      </c>
    </row>
    <row r="1392" spans="2:19">
      <c r="B1392" s="121"/>
      <c r="C1392" s="490"/>
      <c r="D1392" s="490" t="str">
        <f t="shared" si="67"/>
        <v/>
      </c>
      <c r="I1392" s="128"/>
      <c r="J1392" s="128"/>
      <c r="K1392" s="128"/>
      <c r="L1392" s="128"/>
      <c r="M1392" s="389"/>
      <c r="N1392" s="389"/>
      <c r="O1392" s="389"/>
      <c r="P1392" s="389"/>
      <c r="R1392" s="390" t="str">
        <f t="shared" si="66"/>
        <v>:</v>
      </c>
      <c r="S1392" s="181">
        <f t="shared" si="65"/>
        <v>0</v>
      </c>
    </row>
    <row r="1393" spans="2:19">
      <c r="B1393" s="121"/>
      <c r="C1393" s="490"/>
      <c r="D1393" s="490" t="str">
        <f t="shared" si="67"/>
        <v/>
      </c>
      <c r="I1393" s="128"/>
      <c r="J1393" s="128"/>
      <c r="K1393" s="128"/>
      <c r="L1393" s="128"/>
      <c r="M1393" s="389"/>
      <c r="N1393" s="389"/>
      <c r="O1393" s="389"/>
      <c r="P1393" s="389"/>
      <c r="R1393" s="390" t="str">
        <f t="shared" si="66"/>
        <v>:</v>
      </c>
      <c r="S1393" s="181">
        <f t="shared" si="65"/>
        <v>0</v>
      </c>
    </row>
    <row r="1394" spans="2:19">
      <c r="B1394" s="121"/>
      <c r="C1394" s="490"/>
      <c r="D1394" s="490" t="str">
        <f t="shared" si="67"/>
        <v/>
      </c>
      <c r="I1394" s="128"/>
      <c r="J1394" s="128"/>
      <c r="K1394" s="128"/>
      <c r="L1394" s="128"/>
      <c r="M1394" s="389"/>
      <c r="N1394" s="389"/>
      <c r="O1394" s="389"/>
      <c r="P1394" s="389"/>
      <c r="R1394" s="390" t="str">
        <f t="shared" si="66"/>
        <v>:</v>
      </c>
      <c r="S1394" s="181">
        <f t="shared" si="65"/>
        <v>0</v>
      </c>
    </row>
    <row r="1395" spans="2:19">
      <c r="B1395" s="121"/>
      <c r="C1395" s="490"/>
      <c r="D1395" s="490" t="str">
        <f t="shared" si="67"/>
        <v/>
      </c>
      <c r="I1395" s="128"/>
      <c r="J1395" s="128"/>
      <c r="K1395" s="128"/>
      <c r="L1395" s="128"/>
      <c r="M1395" s="389"/>
      <c r="N1395" s="389"/>
      <c r="O1395" s="389"/>
      <c r="P1395" s="389"/>
      <c r="R1395" s="390" t="str">
        <f t="shared" si="66"/>
        <v>:</v>
      </c>
      <c r="S1395" s="181">
        <f t="shared" si="65"/>
        <v>0</v>
      </c>
    </row>
    <row r="1396" spans="2:19">
      <c r="B1396" s="121"/>
      <c r="C1396" s="490"/>
      <c r="D1396" s="490" t="str">
        <f t="shared" si="67"/>
        <v/>
      </c>
      <c r="I1396" s="128"/>
      <c r="J1396" s="128"/>
      <c r="K1396" s="128"/>
      <c r="L1396" s="128"/>
      <c r="M1396" s="389"/>
      <c r="N1396" s="389"/>
      <c r="O1396" s="389"/>
      <c r="P1396" s="389"/>
      <c r="R1396" s="390" t="str">
        <f t="shared" si="66"/>
        <v>:</v>
      </c>
      <c r="S1396" s="181">
        <f t="shared" si="65"/>
        <v>0</v>
      </c>
    </row>
    <row r="1397" spans="2:19">
      <c r="B1397" s="121"/>
      <c r="C1397" s="490"/>
      <c r="D1397" s="490" t="str">
        <f t="shared" si="67"/>
        <v/>
      </c>
      <c r="I1397" s="128"/>
      <c r="J1397" s="128"/>
      <c r="K1397" s="128"/>
      <c r="L1397" s="128"/>
      <c r="M1397" s="389"/>
      <c r="N1397" s="389"/>
      <c r="O1397" s="389"/>
      <c r="P1397" s="389"/>
      <c r="R1397" s="390" t="str">
        <f t="shared" si="66"/>
        <v>:</v>
      </c>
      <c r="S1397" s="181">
        <f t="shared" si="65"/>
        <v>0</v>
      </c>
    </row>
    <row r="1398" spans="2:19">
      <c r="B1398" s="121"/>
      <c r="C1398" s="490"/>
      <c r="D1398" s="490" t="str">
        <f t="shared" si="67"/>
        <v/>
      </c>
      <c r="I1398" s="128"/>
      <c r="J1398" s="128"/>
      <c r="K1398" s="128"/>
      <c r="L1398" s="128"/>
      <c r="M1398" s="389"/>
      <c r="N1398" s="389"/>
      <c r="O1398" s="389"/>
      <c r="P1398" s="389"/>
      <c r="R1398" s="390" t="str">
        <f t="shared" si="66"/>
        <v>:</v>
      </c>
      <c r="S1398" s="181">
        <f t="shared" si="65"/>
        <v>0</v>
      </c>
    </row>
    <row r="1399" spans="2:19">
      <c r="B1399" s="121"/>
      <c r="C1399" s="490"/>
      <c r="D1399" s="490" t="str">
        <f t="shared" si="67"/>
        <v/>
      </c>
      <c r="I1399" s="128"/>
      <c r="J1399" s="128"/>
      <c r="K1399" s="128"/>
      <c r="L1399" s="128"/>
      <c r="M1399" s="389"/>
      <c r="N1399" s="389"/>
      <c r="O1399" s="389"/>
      <c r="P1399" s="389"/>
      <c r="R1399" s="390" t="str">
        <f t="shared" si="66"/>
        <v>:</v>
      </c>
      <c r="S1399" s="181">
        <f t="shared" si="65"/>
        <v>0</v>
      </c>
    </row>
    <row r="1400" spans="2:19">
      <c r="B1400" s="121"/>
      <c r="C1400" s="490"/>
      <c r="D1400" s="490" t="str">
        <f t="shared" si="67"/>
        <v/>
      </c>
      <c r="I1400" s="128"/>
      <c r="J1400" s="128"/>
      <c r="K1400" s="128"/>
      <c r="L1400" s="128"/>
      <c r="M1400" s="389"/>
      <c r="N1400" s="389"/>
      <c r="O1400" s="389"/>
      <c r="P1400" s="389"/>
      <c r="R1400" s="390" t="str">
        <f t="shared" si="66"/>
        <v>:</v>
      </c>
      <c r="S1400" s="181">
        <f t="shared" si="65"/>
        <v>0</v>
      </c>
    </row>
    <row r="1401" spans="2:19">
      <c r="B1401" s="121"/>
      <c r="C1401" s="490"/>
      <c r="D1401" s="490" t="str">
        <f t="shared" si="67"/>
        <v/>
      </c>
      <c r="I1401" s="128"/>
      <c r="J1401" s="128"/>
      <c r="K1401" s="128"/>
      <c r="L1401" s="128"/>
      <c r="M1401" s="389"/>
      <c r="N1401" s="389"/>
      <c r="O1401" s="389"/>
      <c r="P1401" s="389"/>
      <c r="R1401" s="390" t="str">
        <f t="shared" si="66"/>
        <v>:</v>
      </c>
      <c r="S1401" s="181">
        <f t="shared" si="65"/>
        <v>0</v>
      </c>
    </row>
    <row r="1402" spans="2:19">
      <c r="B1402" s="121"/>
      <c r="C1402" s="490"/>
      <c r="D1402" s="490" t="str">
        <f t="shared" si="67"/>
        <v/>
      </c>
      <c r="I1402" s="128"/>
      <c r="J1402" s="128"/>
      <c r="K1402" s="128"/>
      <c r="L1402" s="128"/>
      <c r="M1402" s="389"/>
      <c r="N1402" s="389"/>
      <c r="O1402" s="389"/>
      <c r="P1402" s="389"/>
      <c r="R1402" s="390" t="str">
        <f t="shared" si="66"/>
        <v>:</v>
      </c>
      <c r="S1402" s="181">
        <f t="shared" si="65"/>
        <v>0</v>
      </c>
    </row>
    <row r="1403" spans="2:19">
      <c r="B1403" s="121"/>
      <c r="C1403" s="490"/>
      <c r="D1403" s="490" t="str">
        <f t="shared" si="67"/>
        <v/>
      </c>
      <c r="I1403" s="128"/>
      <c r="J1403" s="128"/>
      <c r="K1403" s="128"/>
      <c r="L1403" s="128"/>
      <c r="M1403" s="389"/>
      <c r="N1403" s="389"/>
      <c r="O1403" s="389"/>
      <c r="P1403" s="389"/>
      <c r="R1403" s="390" t="str">
        <f t="shared" si="66"/>
        <v>:</v>
      </c>
      <c r="S1403" s="181">
        <f t="shared" si="65"/>
        <v>0</v>
      </c>
    </row>
    <row r="1404" spans="2:19">
      <c r="B1404" s="121"/>
      <c r="C1404" s="490"/>
      <c r="D1404" s="490" t="str">
        <f t="shared" si="67"/>
        <v/>
      </c>
      <c r="I1404" s="128"/>
      <c r="J1404" s="128"/>
      <c r="K1404" s="128"/>
      <c r="L1404" s="128"/>
      <c r="M1404" s="389"/>
      <c r="N1404" s="389"/>
      <c r="O1404" s="389"/>
      <c r="P1404" s="389"/>
      <c r="R1404" s="390" t="str">
        <f t="shared" si="66"/>
        <v>:</v>
      </c>
      <c r="S1404" s="181">
        <f t="shared" si="65"/>
        <v>0</v>
      </c>
    </row>
    <row r="1405" spans="2:19">
      <c r="B1405" s="121"/>
      <c r="C1405" s="490"/>
      <c r="D1405" s="490" t="str">
        <f t="shared" si="67"/>
        <v/>
      </c>
      <c r="I1405" s="128"/>
      <c r="J1405" s="128"/>
      <c r="K1405" s="128"/>
      <c r="L1405" s="128"/>
      <c r="M1405" s="389"/>
      <c r="N1405" s="389"/>
      <c r="O1405" s="389"/>
      <c r="P1405" s="389"/>
      <c r="R1405" s="390" t="str">
        <f t="shared" si="66"/>
        <v>:</v>
      </c>
      <c r="S1405" s="181">
        <f t="shared" si="65"/>
        <v>0</v>
      </c>
    </row>
    <row r="1406" spans="2:19">
      <c r="B1406" s="121"/>
      <c r="C1406" s="490"/>
      <c r="D1406" s="490" t="str">
        <f t="shared" si="67"/>
        <v/>
      </c>
      <c r="I1406" s="128"/>
      <c r="J1406" s="128"/>
      <c r="K1406" s="128"/>
      <c r="L1406" s="128"/>
      <c r="M1406" s="389"/>
      <c r="N1406" s="389"/>
      <c r="O1406" s="389"/>
      <c r="P1406" s="389"/>
      <c r="R1406" s="390" t="str">
        <f t="shared" si="66"/>
        <v>:</v>
      </c>
      <c r="S1406" s="181">
        <f t="shared" si="65"/>
        <v>0</v>
      </c>
    </row>
    <row r="1407" spans="2:19">
      <c r="B1407" s="121"/>
      <c r="C1407" s="490"/>
      <c r="D1407" s="490" t="str">
        <f t="shared" si="67"/>
        <v/>
      </c>
      <c r="I1407" s="128"/>
      <c r="J1407" s="128"/>
      <c r="K1407" s="128"/>
      <c r="L1407" s="128"/>
      <c r="M1407" s="389"/>
      <c r="N1407" s="389"/>
      <c r="O1407" s="389"/>
      <c r="P1407" s="389"/>
      <c r="R1407" s="390" t="str">
        <f t="shared" si="66"/>
        <v>:</v>
      </c>
      <c r="S1407" s="181">
        <f t="shared" si="65"/>
        <v>0</v>
      </c>
    </row>
    <row r="1408" spans="2:19">
      <c r="B1408" s="121"/>
      <c r="C1408" s="490"/>
      <c r="D1408" s="490" t="str">
        <f t="shared" si="67"/>
        <v/>
      </c>
      <c r="I1408" s="128"/>
      <c r="J1408" s="128"/>
      <c r="K1408" s="128"/>
      <c r="L1408" s="128"/>
      <c r="M1408" s="389"/>
      <c r="N1408" s="389"/>
      <c r="O1408" s="389"/>
      <c r="P1408" s="389"/>
      <c r="R1408" s="390" t="str">
        <f t="shared" si="66"/>
        <v>:</v>
      </c>
      <c r="S1408" s="181">
        <f t="shared" si="65"/>
        <v>0</v>
      </c>
    </row>
    <row r="1409" spans="2:19">
      <c r="B1409" s="121"/>
      <c r="C1409" s="490"/>
      <c r="D1409" s="490" t="str">
        <f t="shared" si="67"/>
        <v/>
      </c>
      <c r="I1409" s="128"/>
      <c r="J1409" s="128"/>
      <c r="K1409" s="128"/>
      <c r="L1409" s="128"/>
      <c r="M1409" s="389"/>
      <c r="N1409" s="389"/>
      <c r="O1409" s="389"/>
      <c r="P1409" s="389"/>
      <c r="R1409" s="390" t="str">
        <f t="shared" si="66"/>
        <v>:</v>
      </c>
      <c r="S1409" s="181">
        <f t="shared" si="65"/>
        <v>0</v>
      </c>
    </row>
    <row r="1410" spans="2:19">
      <c r="B1410" s="121"/>
      <c r="C1410" s="490"/>
      <c r="D1410" s="490" t="str">
        <f t="shared" si="67"/>
        <v/>
      </c>
      <c r="I1410" s="128"/>
      <c r="J1410" s="128"/>
      <c r="K1410" s="128"/>
      <c r="L1410" s="128"/>
      <c r="M1410" s="389"/>
      <c r="N1410" s="389"/>
      <c r="O1410" s="389"/>
      <c r="P1410" s="389"/>
      <c r="R1410" s="390" t="str">
        <f t="shared" si="66"/>
        <v>:</v>
      </c>
      <c r="S1410" s="181">
        <f t="shared" si="65"/>
        <v>0</v>
      </c>
    </row>
    <row r="1411" spans="2:19">
      <c r="B1411" s="121"/>
      <c r="C1411" s="490"/>
      <c r="D1411" s="490" t="str">
        <f t="shared" si="67"/>
        <v/>
      </c>
      <c r="I1411" s="128"/>
      <c r="J1411" s="128"/>
      <c r="K1411" s="128"/>
      <c r="L1411" s="128"/>
      <c r="M1411" s="389"/>
      <c r="N1411" s="389"/>
      <c r="O1411" s="389"/>
      <c r="P1411" s="389"/>
      <c r="R1411" s="390" t="str">
        <f t="shared" si="66"/>
        <v>:</v>
      </c>
      <c r="S1411" s="181">
        <f t="shared" si="65"/>
        <v>0</v>
      </c>
    </row>
    <row r="1412" spans="2:19">
      <c r="B1412" s="121"/>
      <c r="C1412" s="490"/>
      <c r="D1412" s="490" t="str">
        <f t="shared" si="67"/>
        <v/>
      </c>
      <c r="I1412" s="128"/>
      <c r="J1412" s="128"/>
      <c r="K1412" s="128"/>
      <c r="L1412" s="128"/>
      <c r="M1412" s="389"/>
      <c r="N1412" s="389"/>
      <c r="O1412" s="389"/>
      <c r="P1412" s="389"/>
      <c r="R1412" s="390" t="str">
        <f t="shared" si="66"/>
        <v>:</v>
      </c>
      <c r="S1412" s="181">
        <f t="shared" si="65"/>
        <v>0</v>
      </c>
    </row>
    <row r="1413" spans="2:19">
      <c r="B1413" s="121"/>
      <c r="C1413" s="490"/>
      <c r="D1413" s="490" t="str">
        <f t="shared" si="67"/>
        <v/>
      </c>
      <c r="I1413" s="128"/>
      <c r="J1413" s="128"/>
      <c r="K1413" s="128"/>
      <c r="L1413" s="128"/>
      <c r="M1413" s="389"/>
      <c r="N1413" s="389"/>
      <c r="O1413" s="389"/>
      <c r="P1413" s="389"/>
      <c r="R1413" s="390" t="str">
        <f t="shared" si="66"/>
        <v>:</v>
      </c>
      <c r="S1413" s="181">
        <f t="shared" si="65"/>
        <v>0</v>
      </c>
    </row>
    <row r="1414" spans="2:19">
      <c r="B1414" s="121"/>
      <c r="C1414" s="490"/>
      <c r="D1414" s="490" t="str">
        <f t="shared" si="67"/>
        <v/>
      </c>
      <c r="I1414" s="128"/>
      <c r="J1414" s="128"/>
      <c r="K1414" s="128"/>
      <c r="L1414" s="128"/>
      <c r="M1414" s="389"/>
      <c r="N1414" s="389"/>
      <c r="O1414" s="389"/>
      <c r="P1414" s="389"/>
      <c r="R1414" s="390" t="str">
        <f t="shared" si="66"/>
        <v>:</v>
      </c>
      <c r="S1414" s="181">
        <f t="shared" si="65"/>
        <v>0</v>
      </c>
    </row>
    <row r="1415" spans="2:19">
      <c r="B1415" s="121"/>
      <c r="C1415" s="490"/>
      <c r="D1415" s="490" t="str">
        <f t="shared" si="67"/>
        <v/>
      </c>
      <c r="I1415" s="128"/>
      <c r="J1415" s="128"/>
      <c r="K1415" s="128"/>
      <c r="L1415" s="128"/>
      <c r="M1415" s="389"/>
      <c r="N1415" s="389"/>
      <c r="O1415" s="389"/>
      <c r="P1415" s="389"/>
      <c r="R1415" s="390" t="str">
        <f t="shared" si="66"/>
        <v>:</v>
      </c>
      <c r="S1415" s="181">
        <f t="shared" si="65"/>
        <v>0</v>
      </c>
    </row>
    <row r="1416" spans="2:19">
      <c r="B1416" s="121"/>
      <c r="C1416" s="490"/>
      <c r="D1416" s="490" t="str">
        <f t="shared" si="67"/>
        <v/>
      </c>
      <c r="I1416" s="128"/>
      <c r="J1416" s="128"/>
      <c r="K1416" s="128"/>
      <c r="L1416" s="128"/>
      <c r="M1416" s="389"/>
      <c r="N1416" s="389"/>
      <c r="O1416" s="389"/>
      <c r="P1416" s="389"/>
      <c r="R1416" s="390" t="str">
        <f t="shared" si="66"/>
        <v>:</v>
      </c>
      <c r="S1416" s="181">
        <f t="shared" si="65"/>
        <v>0</v>
      </c>
    </row>
    <row r="1417" spans="2:19">
      <c r="B1417" s="121"/>
      <c r="C1417" s="490"/>
      <c r="D1417" s="490" t="str">
        <f t="shared" si="67"/>
        <v/>
      </c>
      <c r="I1417" s="128"/>
      <c r="J1417" s="128"/>
      <c r="K1417" s="128"/>
      <c r="L1417" s="128"/>
      <c r="M1417" s="389"/>
      <c r="N1417" s="389"/>
      <c r="O1417" s="389"/>
      <c r="P1417" s="389"/>
      <c r="R1417" s="390" t="str">
        <f t="shared" si="66"/>
        <v>:</v>
      </c>
      <c r="S1417" s="181">
        <f t="shared" si="65"/>
        <v>0</v>
      </c>
    </row>
    <row r="1418" spans="2:19">
      <c r="B1418" s="121"/>
      <c r="C1418" s="490"/>
      <c r="D1418" s="490" t="str">
        <f t="shared" si="67"/>
        <v/>
      </c>
      <c r="I1418" s="128"/>
      <c r="J1418" s="128"/>
      <c r="K1418" s="128"/>
      <c r="L1418" s="128"/>
      <c r="M1418" s="389"/>
      <c r="N1418" s="389"/>
      <c r="O1418" s="389"/>
      <c r="P1418" s="389"/>
      <c r="R1418" s="390" t="str">
        <f t="shared" si="66"/>
        <v>:</v>
      </c>
      <c r="S1418" s="181">
        <f t="shared" ref="S1418:S1481" si="68">HLOOKUP($S$8,$L$8:$P$2000,ROW()-7,FALSE)</f>
        <v>0</v>
      </c>
    </row>
    <row r="1419" spans="2:19">
      <c r="B1419" s="121"/>
      <c r="C1419" s="490"/>
      <c r="D1419" s="490" t="str">
        <f t="shared" si="67"/>
        <v/>
      </c>
      <c r="I1419" s="128"/>
      <c r="J1419" s="128"/>
      <c r="K1419" s="128"/>
      <c r="L1419" s="128"/>
      <c r="M1419" s="389"/>
      <c r="N1419" s="389"/>
      <c r="O1419" s="389"/>
      <c r="P1419" s="389"/>
      <c r="R1419" s="390" t="str">
        <f t="shared" si="66"/>
        <v>:</v>
      </c>
      <c r="S1419" s="181">
        <f t="shared" si="68"/>
        <v>0</v>
      </c>
    </row>
    <row r="1420" spans="2:19">
      <c r="B1420" s="121"/>
      <c r="C1420" s="490"/>
      <c r="D1420" s="490" t="str">
        <f t="shared" si="67"/>
        <v/>
      </c>
      <c r="I1420" s="128"/>
      <c r="J1420" s="128"/>
      <c r="K1420" s="128"/>
      <c r="L1420" s="128"/>
      <c r="M1420" s="389"/>
      <c r="N1420" s="389"/>
      <c r="O1420" s="389"/>
      <c r="P1420" s="389"/>
      <c r="R1420" s="390" t="str">
        <f t="shared" si="66"/>
        <v>:</v>
      </c>
      <c r="S1420" s="181">
        <f t="shared" si="68"/>
        <v>0</v>
      </c>
    </row>
    <row r="1421" spans="2:19">
      <c r="B1421" s="121"/>
      <c r="C1421" s="490"/>
      <c r="D1421" s="490" t="str">
        <f t="shared" si="67"/>
        <v/>
      </c>
      <c r="I1421" s="128"/>
      <c r="J1421" s="128"/>
      <c r="K1421" s="128"/>
      <c r="L1421" s="128"/>
      <c r="M1421" s="389"/>
      <c r="N1421" s="389"/>
      <c r="O1421" s="389"/>
      <c r="P1421" s="389"/>
      <c r="R1421" s="390" t="str">
        <f t="shared" ref="R1421:R1484" si="69">I1421&amp;":"&amp;J1421&amp;K1421</f>
        <v>:</v>
      </c>
      <c r="S1421" s="181">
        <f t="shared" si="68"/>
        <v>0</v>
      </c>
    </row>
    <row r="1422" spans="2:19">
      <c r="B1422" s="121"/>
      <c r="C1422" s="490"/>
      <c r="D1422" s="490" t="str">
        <f t="shared" si="67"/>
        <v/>
      </c>
      <c r="I1422" s="128"/>
      <c r="J1422" s="128"/>
      <c r="K1422" s="128"/>
      <c r="L1422" s="128"/>
      <c r="M1422" s="389"/>
      <c r="N1422" s="389"/>
      <c r="O1422" s="389"/>
      <c r="P1422" s="389"/>
      <c r="R1422" s="390" t="str">
        <f t="shared" si="69"/>
        <v>:</v>
      </c>
      <c r="S1422" s="181">
        <f t="shared" si="68"/>
        <v>0</v>
      </c>
    </row>
    <row r="1423" spans="2:19">
      <c r="B1423" s="121"/>
      <c r="C1423" s="490"/>
      <c r="D1423" s="490" t="str">
        <f t="shared" si="67"/>
        <v/>
      </c>
      <c r="I1423" s="128"/>
      <c r="J1423" s="128"/>
      <c r="K1423" s="128"/>
      <c r="L1423" s="128"/>
      <c r="M1423" s="389"/>
      <c r="N1423" s="389"/>
      <c r="O1423" s="389"/>
      <c r="P1423" s="389"/>
      <c r="R1423" s="390" t="str">
        <f t="shared" si="69"/>
        <v>:</v>
      </c>
      <c r="S1423" s="181">
        <f t="shared" si="68"/>
        <v>0</v>
      </c>
    </row>
    <row r="1424" spans="2:19">
      <c r="B1424" s="121"/>
      <c r="C1424" s="490"/>
      <c r="D1424" s="490" t="str">
        <f t="shared" si="67"/>
        <v/>
      </c>
      <c r="I1424" s="128"/>
      <c r="J1424" s="128"/>
      <c r="K1424" s="128"/>
      <c r="L1424" s="128"/>
      <c r="M1424" s="389"/>
      <c r="N1424" s="389"/>
      <c r="O1424" s="389"/>
      <c r="P1424" s="389"/>
      <c r="R1424" s="390" t="str">
        <f t="shared" si="69"/>
        <v>:</v>
      </c>
      <c r="S1424" s="181">
        <f t="shared" si="68"/>
        <v>0</v>
      </c>
    </row>
    <row r="1425" spans="2:19">
      <c r="B1425" s="121"/>
      <c r="C1425" s="490"/>
      <c r="D1425" s="490" t="str">
        <f t="shared" si="67"/>
        <v/>
      </c>
      <c r="I1425" s="128"/>
      <c r="J1425" s="128"/>
      <c r="K1425" s="128"/>
      <c r="L1425" s="128"/>
      <c r="M1425" s="389"/>
      <c r="N1425" s="389"/>
      <c r="O1425" s="389"/>
      <c r="P1425" s="389"/>
      <c r="R1425" s="390" t="str">
        <f t="shared" si="69"/>
        <v>:</v>
      </c>
      <c r="S1425" s="181">
        <f t="shared" si="68"/>
        <v>0</v>
      </c>
    </row>
    <row r="1426" spans="2:19">
      <c r="B1426" s="121"/>
      <c r="C1426" s="490"/>
      <c r="D1426" s="490" t="str">
        <f t="shared" si="67"/>
        <v/>
      </c>
      <c r="I1426" s="128"/>
      <c r="J1426" s="128"/>
      <c r="K1426" s="128"/>
      <c r="L1426" s="128"/>
      <c r="M1426" s="389"/>
      <c r="N1426" s="389"/>
      <c r="O1426" s="389"/>
      <c r="P1426" s="389"/>
      <c r="R1426" s="390" t="str">
        <f t="shared" si="69"/>
        <v>:</v>
      </c>
      <c r="S1426" s="181">
        <f t="shared" si="68"/>
        <v>0</v>
      </c>
    </row>
    <row r="1427" spans="2:19">
      <c r="B1427" s="121"/>
      <c r="C1427" s="490"/>
      <c r="D1427" s="490" t="str">
        <f t="shared" si="67"/>
        <v/>
      </c>
      <c r="I1427" s="128"/>
      <c r="J1427" s="128"/>
      <c r="K1427" s="128"/>
      <c r="L1427" s="128"/>
      <c r="M1427" s="389"/>
      <c r="N1427" s="389"/>
      <c r="O1427" s="389"/>
      <c r="P1427" s="389"/>
      <c r="R1427" s="390" t="str">
        <f t="shared" si="69"/>
        <v>:</v>
      </c>
      <c r="S1427" s="181">
        <f t="shared" si="68"/>
        <v>0</v>
      </c>
    </row>
    <row r="1428" spans="2:19">
      <c r="B1428" s="121"/>
      <c r="C1428" s="490"/>
      <c r="D1428" s="490" t="str">
        <f t="shared" si="67"/>
        <v/>
      </c>
      <c r="I1428" s="128"/>
      <c r="J1428" s="128"/>
      <c r="K1428" s="128"/>
      <c r="L1428" s="128"/>
      <c r="M1428" s="389"/>
      <c r="N1428" s="389"/>
      <c r="O1428" s="389"/>
      <c r="P1428" s="389"/>
      <c r="R1428" s="390" t="str">
        <f t="shared" si="69"/>
        <v>:</v>
      </c>
      <c r="S1428" s="181">
        <f t="shared" si="68"/>
        <v>0</v>
      </c>
    </row>
    <row r="1429" spans="2:19">
      <c r="B1429" s="121"/>
      <c r="C1429" s="490"/>
      <c r="D1429" s="490" t="str">
        <f t="shared" si="67"/>
        <v/>
      </c>
      <c r="I1429" s="128"/>
      <c r="J1429" s="128"/>
      <c r="K1429" s="128"/>
      <c r="L1429" s="128"/>
      <c r="M1429" s="389"/>
      <c r="N1429" s="389"/>
      <c r="O1429" s="389"/>
      <c r="P1429" s="389"/>
      <c r="R1429" s="390" t="str">
        <f t="shared" si="69"/>
        <v>:</v>
      </c>
      <c r="S1429" s="181">
        <f t="shared" si="68"/>
        <v>0</v>
      </c>
    </row>
    <row r="1430" spans="2:19">
      <c r="B1430" s="121"/>
      <c r="C1430" s="490"/>
      <c r="D1430" s="490" t="str">
        <f t="shared" si="67"/>
        <v/>
      </c>
      <c r="I1430" s="128"/>
      <c r="J1430" s="128"/>
      <c r="K1430" s="128"/>
      <c r="L1430" s="128"/>
      <c r="M1430" s="389"/>
      <c r="N1430" s="389"/>
      <c r="O1430" s="389"/>
      <c r="P1430" s="389"/>
      <c r="R1430" s="390" t="str">
        <f t="shared" si="69"/>
        <v>:</v>
      </c>
      <c r="S1430" s="181">
        <f t="shared" si="68"/>
        <v>0</v>
      </c>
    </row>
    <row r="1431" spans="2:19">
      <c r="B1431" s="121"/>
      <c r="C1431" s="490"/>
      <c r="D1431" s="490" t="str">
        <f t="shared" si="67"/>
        <v/>
      </c>
      <c r="I1431" s="128"/>
      <c r="J1431" s="128"/>
      <c r="K1431" s="128"/>
      <c r="L1431" s="128"/>
      <c r="M1431" s="389"/>
      <c r="N1431" s="389"/>
      <c r="O1431" s="389"/>
      <c r="P1431" s="389"/>
      <c r="R1431" s="390" t="str">
        <f t="shared" si="69"/>
        <v>:</v>
      </c>
      <c r="S1431" s="181">
        <f t="shared" si="68"/>
        <v>0</v>
      </c>
    </row>
    <row r="1432" spans="2:19">
      <c r="B1432" s="121"/>
      <c r="C1432" s="490"/>
      <c r="D1432" s="490" t="str">
        <f t="shared" si="67"/>
        <v/>
      </c>
      <c r="I1432" s="128"/>
      <c r="J1432" s="128"/>
      <c r="K1432" s="128"/>
      <c r="L1432" s="128"/>
      <c r="M1432" s="389"/>
      <c r="N1432" s="389"/>
      <c r="O1432" s="389"/>
      <c r="P1432" s="389"/>
      <c r="R1432" s="390" t="str">
        <f t="shared" si="69"/>
        <v>:</v>
      </c>
      <c r="S1432" s="181">
        <f t="shared" si="68"/>
        <v>0</v>
      </c>
    </row>
    <row r="1433" spans="2:19">
      <c r="B1433" s="121"/>
      <c r="C1433" s="490"/>
      <c r="D1433" s="490" t="str">
        <f t="shared" si="67"/>
        <v/>
      </c>
      <c r="I1433" s="128"/>
      <c r="J1433" s="128"/>
      <c r="K1433" s="128"/>
      <c r="L1433" s="128"/>
      <c r="M1433" s="389"/>
      <c r="N1433" s="389"/>
      <c r="O1433" s="389"/>
      <c r="P1433" s="389"/>
      <c r="R1433" s="390" t="str">
        <f t="shared" si="69"/>
        <v>:</v>
      </c>
      <c r="S1433" s="181">
        <f t="shared" si="68"/>
        <v>0</v>
      </c>
    </row>
    <row r="1434" spans="2:19">
      <c r="B1434" s="121"/>
      <c r="C1434" s="490"/>
      <c r="D1434" s="490" t="str">
        <f t="shared" si="67"/>
        <v/>
      </c>
      <c r="I1434" s="128"/>
      <c r="J1434" s="128"/>
      <c r="K1434" s="128"/>
      <c r="L1434" s="128"/>
      <c r="M1434" s="389"/>
      <c r="N1434" s="389"/>
      <c r="O1434" s="389"/>
      <c r="P1434" s="389"/>
      <c r="R1434" s="390" t="str">
        <f t="shared" si="69"/>
        <v>:</v>
      </c>
      <c r="S1434" s="181">
        <f t="shared" si="68"/>
        <v>0</v>
      </c>
    </row>
    <row r="1435" spans="2:19">
      <c r="B1435" s="121"/>
      <c r="C1435" s="490"/>
      <c r="D1435" s="490" t="str">
        <f t="shared" si="67"/>
        <v/>
      </c>
      <c r="I1435" s="128"/>
      <c r="J1435" s="128"/>
      <c r="K1435" s="128"/>
      <c r="L1435" s="128"/>
      <c r="M1435" s="389"/>
      <c r="N1435" s="389"/>
      <c r="O1435" s="389"/>
      <c r="P1435" s="389"/>
      <c r="R1435" s="390" t="str">
        <f t="shared" si="69"/>
        <v>:</v>
      </c>
      <c r="S1435" s="181">
        <f t="shared" si="68"/>
        <v>0</v>
      </c>
    </row>
    <row r="1436" spans="2:19">
      <c r="B1436" s="121"/>
      <c r="C1436" s="490"/>
      <c r="D1436" s="490" t="str">
        <f t="shared" si="67"/>
        <v/>
      </c>
      <c r="I1436" s="128"/>
      <c r="J1436" s="128"/>
      <c r="K1436" s="128"/>
      <c r="L1436" s="128"/>
      <c r="M1436" s="389"/>
      <c r="N1436" s="389"/>
      <c r="O1436" s="389"/>
      <c r="P1436" s="389"/>
      <c r="R1436" s="390" t="str">
        <f t="shared" si="69"/>
        <v>:</v>
      </c>
      <c r="S1436" s="181">
        <f t="shared" si="68"/>
        <v>0</v>
      </c>
    </row>
    <row r="1437" spans="2:19">
      <c r="B1437" s="121"/>
      <c r="C1437" s="490"/>
      <c r="D1437" s="490" t="str">
        <f t="shared" si="67"/>
        <v/>
      </c>
      <c r="I1437" s="128"/>
      <c r="J1437" s="128"/>
      <c r="K1437" s="128"/>
      <c r="L1437" s="128"/>
      <c r="M1437" s="389"/>
      <c r="N1437" s="389"/>
      <c r="O1437" s="389"/>
      <c r="P1437" s="389"/>
      <c r="R1437" s="390" t="str">
        <f t="shared" si="69"/>
        <v>:</v>
      </c>
      <c r="S1437" s="181">
        <f t="shared" si="68"/>
        <v>0</v>
      </c>
    </row>
    <row r="1438" spans="2:19">
      <c r="B1438" s="121"/>
      <c r="C1438" s="490"/>
      <c r="D1438" s="490" t="str">
        <f t="shared" si="67"/>
        <v/>
      </c>
      <c r="I1438" s="128"/>
      <c r="J1438" s="128"/>
      <c r="K1438" s="128"/>
      <c r="L1438" s="128"/>
      <c r="M1438" s="389"/>
      <c r="N1438" s="389"/>
      <c r="O1438" s="389"/>
      <c r="P1438" s="389"/>
      <c r="R1438" s="390" t="str">
        <f t="shared" si="69"/>
        <v>:</v>
      </c>
      <c r="S1438" s="181">
        <f t="shared" si="68"/>
        <v>0</v>
      </c>
    </row>
    <row r="1439" spans="2:19">
      <c r="B1439" s="121"/>
      <c r="C1439" s="490"/>
      <c r="D1439" s="490" t="str">
        <f t="shared" si="67"/>
        <v/>
      </c>
      <c r="I1439" s="128"/>
      <c r="J1439" s="128"/>
      <c r="K1439" s="128"/>
      <c r="L1439" s="128"/>
      <c r="M1439" s="389"/>
      <c r="N1439" s="389"/>
      <c r="O1439" s="389"/>
      <c r="P1439" s="389"/>
      <c r="R1439" s="390" t="str">
        <f t="shared" si="69"/>
        <v>:</v>
      </c>
      <c r="S1439" s="181">
        <f t="shared" si="68"/>
        <v>0</v>
      </c>
    </row>
    <row r="1440" spans="2:19">
      <c r="B1440" s="121"/>
      <c r="C1440" s="490"/>
      <c r="D1440" s="490" t="str">
        <f t="shared" si="67"/>
        <v/>
      </c>
      <c r="I1440" s="128"/>
      <c r="J1440" s="128"/>
      <c r="K1440" s="128"/>
      <c r="L1440" s="128"/>
      <c r="M1440" s="389"/>
      <c r="N1440" s="389"/>
      <c r="O1440" s="389"/>
      <c r="P1440" s="389"/>
      <c r="R1440" s="390" t="str">
        <f t="shared" si="69"/>
        <v>:</v>
      </c>
      <c r="S1440" s="181">
        <f t="shared" si="68"/>
        <v>0</v>
      </c>
    </row>
    <row r="1441" spans="2:19">
      <c r="B1441" s="121"/>
      <c r="C1441" s="490"/>
      <c r="D1441" s="490" t="str">
        <f t="shared" si="67"/>
        <v/>
      </c>
      <c r="I1441" s="128"/>
      <c r="J1441" s="128"/>
      <c r="K1441" s="128"/>
      <c r="L1441" s="128"/>
      <c r="M1441" s="389"/>
      <c r="N1441" s="389"/>
      <c r="O1441" s="389"/>
      <c r="P1441" s="389"/>
      <c r="R1441" s="390" t="str">
        <f t="shared" si="69"/>
        <v>:</v>
      </c>
      <c r="S1441" s="181">
        <f t="shared" si="68"/>
        <v>0</v>
      </c>
    </row>
    <row r="1442" spans="2:19">
      <c r="B1442" s="121"/>
      <c r="C1442" s="490"/>
      <c r="D1442" s="490" t="str">
        <f t="shared" si="67"/>
        <v/>
      </c>
      <c r="I1442" s="128"/>
      <c r="J1442" s="128"/>
      <c r="K1442" s="128"/>
      <c r="L1442" s="128"/>
      <c r="M1442" s="389"/>
      <c r="N1442" s="389"/>
      <c r="O1442" s="389"/>
      <c r="P1442" s="389"/>
      <c r="R1442" s="390" t="str">
        <f t="shared" si="69"/>
        <v>:</v>
      </c>
      <c r="S1442" s="181">
        <f t="shared" si="68"/>
        <v>0</v>
      </c>
    </row>
    <row r="1443" spans="2:19">
      <c r="B1443" s="121"/>
      <c r="C1443" s="490"/>
      <c r="D1443" s="490" t="str">
        <f t="shared" si="67"/>
        <v/>
      </c>
      <c r="I1443" s="128"/>
      <c r="J1443" s="128"/>
      <c r="K1443" s="128"/>
      <c r="L1443" s="128"/>
      <c r="M1443" s="389"/>
      <c r="N1443" s="389"/>
      <c r="O1443" s="389"/>
      <c r="P1443" s="389"/>
      <c r="R1443" s="390" t="str">
        <f t="shared" si="69"/>
        <v>:</v>
      </c>
      <c r="S1443" s="181">
        <f t="shared" si="68"/>
        <v>0</v>
      </c>
    </row>
    <row r="1444" spans="2:19">
      <c r="B1444" s="121"/>
      <c r="C1444" s="490"/>
      <c r="D1444" s="490" t="str">
        <f t="shared" si="67"/>
        <v/>
      </c>
      <c r="I1444" s="128"/>
      <c r="J1444" s="128"/>
      <c r="K1444" s="128"/>
      <c r="L1444" s="128"/>
      <c r="M1444" s="389"/>
      <c r="N1444" s="389"/>
      <c r="O1444" s="389"/>
      <c r="P1444" s="389"/>
      <c r="R1444" s="390" t="str">
        <f t="shared" si="69"/>
        <v>:</v>
      </c>
      <c r="S1444" s="181">
        <f t="shared" si="68"/>
        <v>0</v>
      </c>
    </row>
    <row r="1445" spans="2:19">
      <c r="B1445" s="121"/>
      <c r="C1445" s="490"/>
      <c r="D1445" s="490" t="str">
        <f t="shared" si="67"/>
        <v/>
      </c>
      <c r="I1445" s="128"/>
      <c r="J1445" s="128"/>
      <c r="K1445" s="128"/>
      <c r="L1445" s="128"/>
      <c r="M1445" s="389"/>
      <c r="N1445" s="389"/>
      <c r="O1445" s="389"/>
      <c r="P1445" s="389"/>
      <c r="R1445" s="390" t="str">
        <f t="shared" si="69"/>
        <v>:</v>
      </c>
      <c r="S1445" s="181">
        <f t="shared" si="68"/>
        <v>0</v>
      </c>
    </row>
    <row r="1446" spans="2:19">
      <c r="B1446" s="121"/>
      <c r="C1446" s="490"/>
      <c r="D1446" s="490" t="str">
        <f t="shared" si="67"/>
        <v/>
      </c>
      <c r="I1446" s="128"/>
      <c r="J1446" s="128"/>
      <c r="K1446" s="128"/>
      <c r="L1446" s="128"/>
      <c r="M1446" s="389"/>
      <c r="N1446" s="389"/>
      <c r="O1446" s="389"/>
      <c r="P1446" s="389"/>
      <c r="R1446" s="390" t="str">
        <f t="shared" si="69"/>
        <v>:</v>
      </c>
      <c r="S1446" s="181">
        <f t="shared" si="68"/>
        <v>0</v>
      </c>
    </row>
    <row r="1447" spans="2:19">
      <c r="B1447" s="121"/>
      <c r="C1447" s="490"/>
      <c r="D1447" s="490" t="str">
        <f t="shared" si="67"/>
        <v/>
      </c>
      <c r="I1447" s="128"/>
      <c r="J1447" s="128"/>
      <c r="K1447" s="128"/>
      <c r="L1447" s="128"/>
      <c r="M1447" s="389"/>
      <c r="N1447" s="389"/>
      <c r="O1447" s="389"/>
      <c r="P1447" s="389"/>
      <c r="R1447" s="390" t="str">
        <f t="shared" si="69"/>
        <v>:</v>
      </c>
      <c r="S1447" s="181">
        <f t="shared" si="68"/>
        <v>0</v>
      </c>
    </row>
    <row r="1448" spans="2:19">
      <c r="B1448" s="121"/>
      <c r="C1448" s="490"/>
      <c r="D1448" s="490" t="str">
        <f t="shared" si="67"/>
        <v/>
      </c>
      <c r="I1448" s="128"/>
      <c r="J1448" s="128"/>
      <c r="K1448" s="128"/>
      <c r="L1448" s="128"/>
      <c r="M1448" s="389"/>
      <c r="N1448" s="389"/>
      <c r="O1448" s="389"/>
      <c r="P1448" s="389"/>
      <c r="R1448" s="390" t="str">
        <f t="shared" si="69"/>
        <v>:</v>
      </c>
      <c r="S1448" s="181">
        <f t="shared" si="68"/>
        <v>0</v>
      </c>
    </row>
    <row r="1449" spans="2:19">
      <c r="B1449" s="121"/>
      <c r="C1449" s="490"/>
      <c r="D1449" s="490" t="str">
        <f t="shared" si="67"/>
        <v/>
      </c>
      <c r="I1449" s="128"/>
      <c r="J1449" s="128"/>
      <c r="K1449" s="128"/>
      <c r="L1449" s="128"/>
      <c r="M1449" s="389"/>
      <c r="N1449" s="389"/>
      <c r="O1449" s="389"/>
      <c r="P1449" s="389"/>
      <c r="R1449" s="390" t="str">
        <f t="shared" si="69"/>
        <v>:</v>
      </c>
      <c r="S1449" s="181">
        <f t="shared" si="68"/>
        <v>0</v>
      </c>
    </row>
    <row r="1450" spans="2:19">
      <c r="B1450" s="121"/>
      <c r="C1450" s="490"/>
      <c r="D1450" s="490" t="str">
        <f t="shared" si="67"/>
        <v/>
      </c>
      <c r="I1450" s="128"/>
      <c r="J1450" s="128"/>
      <c r="K1450" s="128"/>
      <c r="L1450" s="128"/>
      <c r="M1450" s="389"/>
      <c r="N1450" s="389"/>
      <c r="O1450" s="389"/>
      <c r="P1450" s="389"/>
      <c r="R1450" s="390" t="str">
        <f t="shared" si="69"/>
        <v>:</v>
      </c>
      <c r="S1450" s="181">
        <f t="shared" si="68"/>
        <v>0</v>
      </c>
    </row>
    <row r="1451" spans="2:19">
      <c r="B1451" s="121"/>
      <c r="C1451" s="490"/>
      <c r="D1451" s="490" t="str">
        <f t="shared" si="67"/>
        <v/>
      </c>
      <c r="I1451" s="128"/>
      <c r="J1451" s="128"/>
      <c r="K1451" s="128"/>
      <c r="L1451" s="128"/>
      <c r="M1451" s="389"/>
      <c r="N1451" s="389"/>
      <c r="O1451" s="389"/>
      <c r="P1451" s="389"/>
      <c r="R1451" s="390" t="str">
        <f t="shared" si="69"/>
        <v>:</v>
      </c>
      <c r="S1451" s="181">
        <f t="shared" si="68"/>
        <v>0</v>
      </c>
    </row>
    <row r="1452" spans="2:19">
      <c r="B1452" s="121"/>
      <c r="C1452" s="490"/>
      <c r="D1452" s="490" t="str">
        <f t="shared" si="67"/>
        <v/>
      </c>
      <c r="I1452" s="128"/>
      <c r="J1452" s="128"/>
      <c r="K1452" s="128"/>
      <c r="L1452" s="128"/>
      <c r="M1452" s="389"/>
      <c r="N1452" s="389"/>
      <c r="O1452" s="389"/>
      <c r="P1452" s="389"/>
      <c r="R1452" s="390" t="str">
        <f t="shared" si="69"/>
        <v>:</v>
      </c>
      <c r="S1452" s="181">
        <f t="shared" si="68"/>
        <v>0</v>
      </c>
    </row>
    <row r="1453" spans="2:19">
      <c r="B1453" s="121"/>
      <c r="C1453" s="490"/>
      <c r="D1453" s="490" t="str">
        <f t="shared" si="67"/>
        <v/>
      </c>
      <c r="I1453" s="128"/>
      <c r="J1453" s="128"/>
      <c r="K1453" s="128"/>
      <c r="L1453" s="128"/>
      <c r="M1453" s="389"/>
      <c r="N1453" s="389"/>
      <c r="O1453" s="389"/>
      <c r="P1453" s="389"/>
      <c r="R1453" s="390" t="str">
        <f t="shared" si="69"/>
        <v>:</v>
      </c>
      <c r="S1453" s="181">
        <f t="shared" si="68"/>
        <v>0</v>
      </c>
    </row>
    <row r="1454" spans="2:19">
      <c r="B1454" s="121"/>
      <c r="C1454" s="490"/>
      <c r="D1454" s="490" t="str">
        <f t="shared" ref="D1454:D1517" si="70">IF(B1454="","",B1454&amp;":"&amp;C1454)</f>
        <v/>
      </c>
      <c r="I1454" s="128"/>
      <c r="J1454" s="128"/>
      <c r="K1454" s="128"/>
      <c r="L1454" s="128"/>
      <c r="M1454" s="389"/>
      <c r="N1454" s="389"/>
      <c r="O1454" s="389"/>
      <c r="P1454" s="389"/>
      <c r="R1454" s="390" t="str">
        <f t="shared" si="69"/>
        <v>:</v>
      </c>
      <c r="S1454" s="181">
        <f t="shared" si="68"/>
        <v>0</v>
      </c>
    </row>
    <row r="1455" spans="2:19">
      <c r="B1455" s="121"/>
      <c r="C1455" s="490"/>
      <c r="D1455" s="490" t="str">
        <f t="shared" si="70"/>
        <v/>
      </c>
      <c r="I1455" s="128"/>
      <c r="J1455" s="128"/>
      <c r="K1455" s="128"/>
      <c r="L1455" s="128"/>
      <c r="M1455" s="389"/>
      <c r="N1455" s="389"/>
      <c r="O1455" s="389"/>
      <c r="P1455" s="389"/>
      <c r="R1455" s="390" t="str">
        <f t="shared" si="69"/>
        <v>:</v>
      </c>
      <c r="S1455" s="181">
        <f t="shared" si="68"/>
        <v>0</v>
      </c>
    </row>
    <row r="1456" spans="2:19">
      <c r="B1456" s="121"/>
      <c r="C1456" s="490"/>
      <c r="D1456" s="490" t="str">
        <f t="shared" si="70"/>
        <v/>
      </c>
      <c r="I1456" s="128"/>
      <c r="J1456" s="128"/>
      <c r="K1456" s="128"/>
      <c r="L1456" s="128"/>
      <c r="M1456" s="389"/>
      <c r="N1456" s="389"/>
      <c r="O1456" s="389"/>
      <c r="P1456" s="389"/>
      <c r="R1456" s="390" t="str">
        <f t="shared" si="69"/>
        <v>:</v>
      </c>
      <c r="S1456" s="181">
        <f t="shared" si="68"/>
        <v>0</v>
      </c>
    </row>
    <row r="1457" spans="2:19">
      <c r="B1457" s="121"/>
      <c r="C1457" s="490"/>
      <c r="D1457" s="490" t="str">
        <f t="shared" si="70"/>
        <v/>
      </c>
      <c r="I1457" s="128"/>
      <c r="J1457" s="128"/>
      <c r="K1457" s="128"/>
      <c r="L1457" s="128"/>
      <c r="M1457" s="389"/>
      <c r="N1457" s="389"/>
      <c r="O1457" s="389"/>
      <c r="P1457" s="389"/>
      <c r="R1457" s="390" t="str">
        <f t="shared" si="69"/>
        <v>:</v>
      </c>
      <c r="S1457" s="181">
        <f t="shared" si="68"/>
        <v>0</v>
      </c>
    </row>
    <row r="1458" spans="2:19">
      <c r="B1458" s="121"/>
      <c r="C1458" s="490"/>
      <c r="D1458" s="490" t="str">
        <f t="shared" si="70"/>
        <v/>
      </c>
      <c r="I1458" s="128"/>
      <c r="J1458" s="128"/>
      <c r="K1458" s="128"/>
      <c r="L1458" s="128"/>
      <c r="M1458" s="389"/>
      <c r="N1458" s="389"/>
      <c r="O1458" s="389"/>
      <c r="P1458" s="389"/>
      <c r="R1458" s="390" t="str">
        <f t="shared" si="69"/>
        <v>:</v>
      </c>
      <c r="S1458" s="181">
        <f t="shared" si="68"/>
        <v>0</v>
      </c>
    </row>
    <row r="1459" spans="2:19">
      <c r="B1459" s="121"/>
      <c r="C1459" s="490"/>
      <c r="D1459" s="490" t="str">
        <f t="shared" si="70"/>
        <v/>
      </c>
      <c r="I1459" s="128"/>
      <c r="J1459" s="128"/>
      <c r="K1459" s="128"/>
      <c r="L1459" s="128"/>
      <c r="M1459" s="389"/>
      <c r="N1459" s="389"/>
      <c r="O1459" s="389"/>
      <c r="P1459" s="389"/>
      <c r="R1459" s="390" t="str">
        <f t="shared" si="69"/>
        <v>:</v>
      </c>
      <c r="S1459" s="181">
        <f t="shared" si="68"/>
        <v>0</v>
      </c>
    </row>
    <row r="1460" spans="2:19">
      <c r="B1460" s="121"/>
      <c r="C1460" s="490"/>
      <c r="D1460" s="490" t="str">
        <f t="shared" si="70"/>
        <v/>
      </c>
      <c r="I1460" s="128"/>
      <c r="J1460" s="128"/>
      <c r="K1460" s="128"/>
      <c r="L1460" s="128"/>
      <c r="M1460" s="389"/>
      <c r="N1460" s="389"/>
      <c r="O1460" s="389"/>
      <c r="P1460" s="389"/>
      <c r="R1460" s="390" t="str">
        <f t="shared" si="69"/>
        <v>:</v>
      </c>
      <c r="S1460" s="181">
        <f t="shared" si="68"/>
        <v>0</v>
      </c>
    </row>
    <row r="1461" spans="2:19">
      <c r="B1461" s="121"/>
      <c r="C1461" s="490"/>
      <c r="D1461" s="490" t="str">
        <f t="shared" si="70"/>
        <v/>
      </c>
      <c r="I1461" s="128"/>
      <c r="J1461" s="128"/>
      <c r="K1461" s="128"/>
      <c r="L1461" s="128"/>
      <c r="M1461" s="389"/>
      <c r="N1461" s="389"/>
      <c r="O1461" s="389"/>
      <c r="P1461" s="389"/>
      <c r="R1461" s="390" t="str">
        <f t="shared" si="69"/>
        <v>:</v>
      </c>
      <c r="S1461" s="181">
        <f t="shared" si="68"/>
        <v>0</v>
      </c>
    </row>
    <row r="1462" spans="2:19">
      <c r="B1462" s="121"/>
      <c r="C1462" s="490"/>
      <c r="D1462" s="490" t="str">
        <f t="shared" si="70"/>
        <v/>
      </c>
      <c r="I1462" s="128"/>
      <c r="J1462" s="128"/>
      <c r="K1462" s="128"/>
      <c r="L1462" s="128"/>
      <c r="M1462" s="389"/>
      <c r="N1462" s="389"/>
      <c r="O1462" s="389"/>
      <c r="P1462" s="389"/>
      <c r="R1462" s="390" t="str">
        <f t="shared" si="69"/>
        <v>:</v>
      </c>
      <c r="S1462" s="181">
        <f t="shared" si="68"/>
        <v>0</v>
      </c>
    </row>
    <row r="1463" spans="2:19">
      <c r="B1463" s="121"/>
      <c r="C1463" s="490"/>
      <c r="D1463" s="490" t="str">
        <f t="shared" si="70"/>
        <v/>
      </c>
      <c r="I1463" s="128"/>
      <c r="J1463" s="128"/>
      <c r="K1463" s="128"/>
      <c r="L1463" s="128"/>
      <c r="M1463" s="389"/>
      <c r="N1463" s="389"/>
      <c r="O1463" s="389"/>
      <c r="P1463" s="389"/>
      <c r="R1463" s="390" t="str">
        <f t="shared" si="69"/>
        <v>:</v>
      </c>
      <c r="S1463" s="181">
        <f t="shared" si="68"/>
        <v>0</v>
      </c>
    </row>
    <row r="1464" spans="2:19">
      <c r="B1464" s="121"/>
      <c r="C1464" s="490"/>
      <c r="D1464" s="490" t="str">
        <f t="shared" si="70"/>
        <v/>
      </c>
      <c r="I1464" s="128"/>
      <c r="J1464" s="128"/>
      <c r="K1464" s="128"/>
      <c r="L1464" s="128"/>
      <c r="M1464" s="389"/>
      <c r="N1464" s="389"/>
      <c r="O1464" s="389"/>
      <c r="P1464" s="389"/>
      <c r="R1464" s="390" t="str">
        <f t="shared" si="69"/>
        <v>:</v>
      </c>
      <c r="S1464" s="181">
        <f t="shared" si="68"/>
        <v>0</v>
      </c>
    </row>
    <row r="1465" spans="2:19">
      <c r="B1465" s="121"/>
      <c r="C1465" s="490"/>
      <c r="D1465" s="490" t="str">
        <f t="shared" si="70"/>
        <v/>
      </c>
      <c r="I1465" s="128"/>
      <c r="J1465" s="128"/>
      <c r="K1465" s="128"/>
      <c r="L1465" s="128"/>
      <c r="M1465" s="389"/>
      <c r="N1465" s="389"/>
      <c r="O1465" s="389"/>
      <c r="P1465" s="389"/>
      <c r="R1465" s="390" t="str">
        <f t="shared" si="69"/>
        <v>:</v>
      </c>
      <c r="S1465" s="181">
        <f t="shared" si="68"/>
        <v>0</v>
      </c>
    </row>
    <row r="1466" spans="2:19">
      <c r="B1466" s="121"/>
      <c r="C1466" s="490"/>
      <c r="D1466" s="490" t="str">
        <f t="shared" si="70"/>
        <v/>
      </c>
      <c r="I1466" s="128"/>
      <c r="J1466" s="128"/>
      <c r="K1466" s="128"/>
      <c r="L1466" s="128"/>
      <c r="M1466" s="389"/>
      <c r="N1466" s="389"/>
      <c r="O1466" s="389"/>
      <c r="P1466" s="389"/>
      <c r="R1466" s="390" t="str">
        <f t="shared" si="69"/>
        <v>:</v>
      </c>
      <c r="S1466" s="181">
        <f t="shared" si="68"/>
        <v>0</v>
      </c>
    </row>
    <row r="1467" spans="2:19">
      <c r="B1467" s="121"/>
      <c r="C1467" s="490"/>
      <c r="D1467" s="490" t="str">
        <f t="shared" si="70"/>
        <v/>
      </c>
      <c r="I1467" s="128"/>
      <c r="J1467" s="128"/>
      <c r="K1467" s="128"/>
      <c r="L1467" s="128"/>
      <c r="M1467" s="389"/>
      <c r="N1467" s="389"/>
      <c r="O1467" s="389"/>
      <c r="P1467" s="389"/>
      <c r="R1467" s="390" t="str">
        <f t="shared" si="69"/>
        <v>:</v>
      </c>
      <c r="S1467" s="181">
        <f t="shared" si="68"/>
        <v>0</v>
      </c>
    </row>
    <row r="1468" spans="2:19">
      <c r="B1468" s="121"/>
      <c r="C1468" s="490"/>
      <c r="D1468" s="490" t="str">
        <f t="shared" si="70"/>
        <v/>
      </c>
      <c r="I1468" s="128"/>
      <c r="J1468" s="128"/>
      <c r="K1468" s="128"/>
      <c r="L1468" s="128"/>
      <c r="M1468" s="389"/>
      <c r="N1468" s="389"/>
      <c r="O1468" s="389"/>
      <c r="P1468" s="389"/>
      <c r="R1468" s="390" t="str">
        <f t="shared" si="69"/>
        <v>:</v>
      </c>
      <c r="S1468" s="181">
        <f t="shared" si="68"/>
        <v>0</v>
      </c>
    </row>
    <row r="1469" spans="2:19">
      <c r="B1469" s="121"/>
      <c r="C1469" s="490"/>
      <c r="D1469" s="490" t="str">
        <f t="shared" si="70"/>
        <v/>
      </c>
      <c r="I1469" s="128"/>
      <c r="J1469" s="128"/>
      <c r="K1469" s="128"/>
      <c r="L1469" s="128"/>
      <c r="M1469" s="389"/>
      <c r="N1469" s="389"/>
      <c r="O1469" s="389"/>
      <c r="P1469" s="389"/>
      <c r="R1469" s="390" t="str">
        <f t="shared" si="69"/>
        <v>:</v>
      </c>
      <c r="S1469" s="181">
        <f t="shared" si="68"/>
        <v>0</v>
      </c>
    </row>
    <row r="1470" spans="2:19">
      <c r="B1470" s="121"/>
      <c r="C1470" s="490"/>
      <c r="D1470" s="490" t="str">
        <f t="shared" si="70"/>
        <v/>
      </c>
      <c r="I1470" s="128"/>
      <c r="J1470" s="128"/>
      <c r="K1470" s="128"/>
      <c r="L1470" s="128"/>
      <c r="M1470" s="389"/>
      <c r="N1470" s="389"/>
      <c r="O1470" s="389"/>
      <c r="P1470" s="389"/>
      <c r="R1470" s="390" t="str">
        <f t="shared" si="69"/>
        <v>:</v>
      </c>
      <c r="S1470" s="181">
        <f t="shared" si="68"/>
        <v>0</v>
      </c>
    </row>
    <row r="1471" spans="2:19">
      <c r="B1471" s="121"/>
      <c r="C1471" s="490"/>
      <c r="D1471" s="490" t="str">
        <f t="shared" si="70"/>
        <v/>
      </c>
      <c r="I1471" s="128"/>
      <c r="J1471" s="128"/>
      <c r="K1471" s="128"/>
      <c r="L1471" s="128"/>
      <c r="M1471" s="389"/>
      <c r="N1471" s="389"/>
      <c r="O1471" s="389"/>
      <c r="P1471" s="389"/>
      <c r="R1471" s="390" t="str">
        <f t="shared" si="69"/>
        <v>:</v>
      </c>
      <c r="S1471" s="181">
        <f t="shared" si="68"/>
        <v>0</v>
      </c>
    </row>
    <row r="1472" spans="2:19">
      <c r="B1472" s="121"/>
      <c r="C1472" s="490"/>
      <c r="D1472" s="490" t="str">
        <f t="shared" si="70"/>
        <v/>
      </c>
      <c r="I1472" s="128"/>
      <c r="J1472" s="128"/>
      <c r="K1472" s="128"/>
      <c r="L1472" s="128"/>
      <c r="M1472" s="389"/>
      <c r="N1472" s="389"/>
      <c r="O1472" s="389"/>
      <c r="P1472" s="389"/>
      <c r="R1472" s="390" t="str">
        <f t="shared" si="69"/>
        <v>:</v>
      </c>
      <c r="S1472" s="181">
        <f t="shared" si="68"/>
        <v>0</v>
      </c>
    </row>
    <row r="1473" spans="2:19">
      <c r="B1473" s="121"/>
      <c r="C1473" s="490"/>
      <c r="D1473" s="490" t="str">
        <f t="shared" si="70"/>
        <v/>
      </c>
      <c r="I1473" s="128"/>
      <c r="J1473" s="128"/>
      <c r="K1473" s="128"/>
      <c r="L1473" s="128"/>
      <c r="M1473" s="389"/>
      <c r="N1473" s="389"/>
      <c r="O1473" s="389"/>
      <c r="P1473" s="389"/>
      <c r="R1473" s="390" t="str">
        <f t="shared" si="69"/>
        <v>:</v>
      </c>
      <c r="S1473" s="181">
        <f t="shared" si="68"/>
        <v>0</v>
      </c>
    </row>
    <row r="1474" spans="2:19">
      <c r="B1474" s="121"/>
      <c r="C1474" s="490"/>
      <c r="D1474" s="490" t="str">
        <f t="shared" si="70"/>
        <v/>
      </c>
      <c r="I1474" s="128"/>
      <c r="J1474" s="128"/>
      <c r="K1474" s="128"/>
      <c r="L1474" s="128"/>
      <c r="M1474" s="389"/>
      <c r="N1474" s="389"/>
      <c r="O1474" s="389"/>
      <c r="P1474" s="389"/>
      <c r="R1474" s="390" t="str">
        <f t="shared" si="69"/>
        <v>:</v>
      </c>
      <c r="S1474" s="181">
        <f t="shared" si="68"/>
        <v>0</v>
      </c>
    </row>
    <row r="1475" spans="2:19">
      <c r="B1475" s="121"/>
      <c r="C1475" s="490"/>
      <c r="D1475" s="490" t="str">
        <f t="shared" si="70"/>
        <v/>
      </c>
      <c r="I1475" s="128"/>
      <c r="J1475" s="128"/>
      <c r="K1475" s="128"/>
      <c r="L1475" s="128"/>
      <c r="M1475" s="389"/>
      <c r="N1475" s="389"/>
      <c r="O1475" s="389"/>
      <c r="P1475" s="389"/>
      <c r="R1475" s="390" t="str">
        <f t="shared" si="69"/>
        <v>:</v>
      </c>
      <c r="S1475" s="181">
        <f t="shared" si="68"/>
        <v>0</v>
      </c>
    </row>
    <row r="1476" spans="2:19">
      <c r="B1476" s="121"/>
      <c r="C1476" s="490"/>
      <c r="D1476" s="490" t="str">
        <f t="shared" si="70"/>
        <v/>
      </c>
      <c r="I1476" s="128"/>
      <c r="J1476" s="128"/>
      <c r="K1476" s="128"/>
      <c r="L1476" s="128"/>
      <c r="M1476" s="389"/>
      <c r="N1476" s="389"/>
      <c r="O1476" s="389"/>
      <c r="P1476" s="389"/>
      <c r="R1476" s="390" t="str">
        <f t="shared" si="69"/>
        <v>:</v>
      </c>
      <c r="S1476" s="181">
        <f t="shared" si="68"/>
        <v>0</v>
      </c>
    </row>
    <row r="1477" spans="2:19">
      <c r="B1477" s="121"/>
      <c r="C1477" s="490"/>
      <c r="D1477" s="490" t="str">
        <f t="shared" si="70"/>
        <v/>
      </c>
      <c r="I1477" s="128"/>
      <c r="J1477" s="128"/>
      <c r="K1477" s="128"/>
      <c r="L1477" s="128"/>
      <c r="M1477" s="389"/>
      <c r="N1477" s="389"/>
      <c r="O1477" s="389"/>
      <c r="P1477" s="389"/>
      <c r="R1477" s="390" t="str">
        <f t="shared" si="69"/>
        <v>:</v>
      </c>
      <c r="S1477" s="181">
        <f t="shared" si="68"/>
        <v>0</v>
      </c>
    </row>
    <row r="1478" spans="2:19">
      <c r="B1478" s="121"/>
      <c r="C1478" s="490"/>
      <c r="D1478" s="490" t="str">
        <f t="shared" si="70"/>
        <v/>
      </c>
      <c r="I1478" s="128"/>
      <c r="J1478" s="128"/>
      <c r="K1478" s="128"/>
      <c r="L1478" s="128"/>
      <c r="M1478" s="389"/>
      <c r="N1478" s="389"/>
      <c r="O1478" s="389"/>
      <c r="P1478" s="389"/>
      <c r="R1478" s="390" t="str">
        <f t="shared" si="69"/>
        <v>:</v>
      </c>
      <c r="S1478" s="181">
        <f t="shared" si="68"/>
        <v>0</v>
      </c>
    </row>
    <row r="1479" spans="2:19">
      <c r="B1479" s="121"/>
      <c r="C1479" s="490"/>
      <c r="D1479" s="490" t="str">
        <f t="shared" si="70"/>
        <v/>
      </c>
      <c r="I1479" s="128"/>
      <c r="J1479" s="128"/>
      <c r="K1479" s="128"/>
      <c r="L1479" s="128"/>
      <c r="M1479" s="389"/>
      <c r="N1479" s="389"/>
      <c r="O1479" s="389"/>
      <c r="P1479" s="389"/>
      <c r="R1479" s="390" t="str">
        <f t="shared" si="69"/>
        <v>:</v>
      </c>
      <c r="S1479" s="181">
        <f t="shared" si="68"/>
        <v>0</v>
      </c>
    </row>
    <row r="1480" spans="2:19">
      <c r="B1480" s="121"/>
      <c r="C1480" s="490"/>
      <c r="D1480" s="490" t="str">
        <f t="shared" si="70"/>
        <v/>
      </c>
      <c r="I1480" s="128"/>
      <c r="J1480" s="128"/>
      <c r="K1480" s="128"/>
      <c r="L1480" s="128"/>
      <c r="M1480" s="389"/>
      <c r="N1480" s="389"/>
      <c r="O1480" s="389"/>
      <c r="P1480" s="389"/>
      <c r="R1480" s="390" t="str">
        <f t="shared" si="69"/>
        <v>:</v>
      </c>
      <c r="S1480" s="181">
        <f t="shared" si="68"/>
        <v>0</v>
      </c>
    </row>
    <row r="1481" spans="2:19">
      <c r="B1481" s="121"/>
      <c r="C1481" s="490"/>
      <c r="D1481" s="490" t="str">
        <f t="shared" si="70"/>
        <v/>
      </c>
      <c r="I1481" s="128"/>
      <c r="J1481" s="128"/>
      <c r="K1481" s="128"/>
      <c r="L1481" s="128"/>
      <c r="M1481" s="389"/>
      <c r="N1481" s="389"/>
      <c r="O1481" s="389"/>
      <c r="P1481" s="389"/>
      <c r="R1481" s="390" t="str">
        <f t="shared" si="69"/>
        <v>:</v>
      </c>
      <c r="S1481" s="181">
        <f t="shared" si="68"/>
        <v>0</v>
      </c>
    </row>
    <row r="1482" spans="2:19">
      <c r="B1482" s="121"/>
      <c r="C1482" s="490"/>
      <c r="D1482" s="490" t="str">
        <f t="shared" si="70"/>
        <v/>
      </c>
      <c r="I1482" s="128"/>
      <c r="J1482" s="128"/>
      <c r="K1482" s="128"/>
      <c r="L1482" s="128"/>
      <c r="M1482" s="389"/>
      <c r="N1482" s="389"/>
      <c r="O1482" s="389"/>
      <c r="P1482" s="389"/>
      <c r="R1482" s="390" t="str">
        <f t="shared" si="69"/>
        <v>:</v>
      </c>
      <c r="S1482" s="181">
        <f t="shared" ref="S1482:S1545" si="71">HLOOKUP($S$8,$L$8:$P$2000,ROW()-7,FALSE)</f>
        <v>0</v>
      </c>
    </row>
    <row r="1483" spans="2:19">
      <c r="B1483" s="121"/>
      <c r="C1483" s="490"/>
      <c r="D1483" s="490" t="str">
        <f t="shared" si="70"/>
        <v/>
      </c>
      <c r="I1483" s="128"/>
      <c r="J1483" s="128"/>
      <c r="K1483" s="128"/>
      <c r="L1483" s="128"/>
      <c r="M1483" s="389"/>
      <c r="N1483" s="389"/>
      <c r="O1483" s="389"/>
      <c r="P1483" s="389"/>
      <c r="R1483" s="390" t="str">
        <f t="shared" si="69"/>
        <v>:</v>
      </c>
      <c r="S1483" s="181">
        <f t="shared" si="71"/>
        <v>0</v>
      </c>
    </row>
    <row r="1484" spans="2:19">
      <c r="B1484" s="121"/>
      <c r="C1484" s="490"/>
      <c r="D1484" s="490" t="str">
        <f t="shared" si="70"/>
        <v/>
      </c>
      <c r="I1484" s="128"/>
      <c r="J1484" s="128"/>
      <c r="K1484" s="128"/>
      <c r="L1484" s="128"/>
      <c r="M1484" s="389"/>
      <c r="N1484" s="389"/>
      <c r="O1484" s="389"/>
      <c r="P1484" s="389"/>
      <c r="R1484" s="390" t="str">
        <f t="shared" si="69"/>
        <v>:</v>
      </c>
      <c r="S1484" s="181">
        <f t="shared" si="71"/>
        <v>0</v>
      </c>
    </row>
    <row r="1485" spans="2:19">
      <c r="B1485" s="121"/>
      <c r="C1485" s="490"/>
      <c r="D1485" s="490" t="str">
        <f t="shared" si="70"/>
        <v/>
      </c>
      <c r="I1485" s="128"/>
      <c r="J1485" s="128"/>
      <c r="K1485" s="128"/>
      <c r="L1485" s="128"/>
      <c r="M1485" s="389"/>
      <c r="N1485" s="389"/>
      <c r="O1485" s="389"/>
      <c r="P1485" s="389"/>
      <c r="R1485" s="390" t="str">
        <f t="shared" ref="R1485:R1548" si="72">I1485&amp;":"&amp;J1485&amp;K1485</f>
        <v>:</v>
      </c>
      <c r="S1485" s="181">
        <f t="shared" si="71"/>
        <v>0</v>
      </c>
    </row>
    <row r="1486" spans="2:19">
      <c r="B1486" s="121"/>
      <c r="C1486" s="490"/>
      <c r="D1486" s="490" t="str">
        <f t="shared" si="70"/>
        <v/>
      </c>
      <c r="I1486" s="128"/>
      <c r="J1486" s="128"/>
      <c r="K1486" s="128"/>
      <c r="L1486" s="128"/>
      <c r="M1486" s="389"/>
      <c r="N1486" s="389"/>
      <c r="O1486" s="389"/>
      <c r="P1486" s="389"/>
      <c r="R1486" s="390" t="str">
        <f t="shared" si="72"/>
        <v>:</v>
      </c>
      <c r="S1486" s="181">
        <f t="shared" si="71"/>
        <v>0</v>
      </c>
    </row>
    <row r="1487" spans="2:19">
      <c r="B1487" s="121"/>
      <c r="C1487" s="490"/>
      <c r="D1487" s="490" t="str">
        <f t="shared" si="70"/>
        <v/>
      </c>
      <c r="I1487" s="128"/>
      <c r="J1487" s="128"/>
      <c r="K1487" s="128"/>
      <c r="L1487" s="128"/>
      <c r="M1487" s="389"/>
      <c r="N1487" s="389"/>
      <c r="O1487" s="389"/>
      <c r="P1487" s="389"/>
      <c r="R1487" s="390" t="str">
        <f t="shared" si="72"/>
        <v>:</v>
      </c>
      <c r="S1487" s="181">
        <f t="shared" si="71"/>
        <v>0</v>
      </c>
    </row>
    <row r="1488" spans="2:19">
      <c r="B1488" s="121"/>
      <c r="C1488" s="490"/>
      <c r="D1488" s="490" t="str">
        <f t="shared" si="70"/>
        <v/>
      </c>
      <c r="I1488" s="128"/>
      <c r="J1488" s="128"/>
      <c r="K1488" s="128"/>
      <c r="L1488" s="128"/>
      <c r="M1488" s="389"/>
      <c r="N1488" s="389"/>
      <c r="O1488" s="389"/>
      <c r="P1488" s="389"/>
      <c r="R1488" s="390" t="str">
        <f t="shared" si="72"/>
        <v>:</v>
      </c>
      <c r="S1488" s="181">
        <f t="shared" si="71"/>
        <v>0</v>
      </c>
    </row>
    <row r="1489" spans="2:19">
      <c r="B1489" s="121"/>
      <c r="C1489" s="490"/>
      <c r="D1489" s="490" t="str">
        <f t="shared" si="70"/>
        <v/>
      </c>
      <c r="I1489" s="128"/>
      <c r="J1489" s="128"/>
      <c r="K1489" s="128"/>
      <c r="L1489" s="128"/>
      <c r="M1489" s="389"/>
      <c r="N1489" s="389"/>
      <c r="O1489" s="389"/>
      <c r="P1489" s="389"/>
      <c r="R1489" s="390" t="str">
        <f t="shared" si="72"/>
        <v>:</v>
      </c>
      <c r="S1489" s="181">
        <f t="shared" si="71"/>
        <v>0</v>
      </c>
    </row>
    <row r="1490" spans="2:19">
      <c r="B1490" s="121"/>
      <c r="C1490" s="490"/>
      <c r="D1490" s="490" t="str">
        <f t="shared" si="70"/>
        <v/>
      </c>
      <c r="I1490" s="128"/>
      <c r="J1490" s="128"/>
      <c r="K1490" s="128"/>
      <c r="L1490" s="128"/>
      <c r="M1490" s="389"/>
      <c r="N1490" s="389"/>
      <c r="O1490" s="389"/>
      <c r="P1490" s="389"/>
      <c r="R1490" s="390" t="str">
        <f t="shared" si="72"/>
        <v>:</v>
      </c>
      <c r="S1490" s="181">
        <f t="shared" si="71"/>
        <v>0</v>
      </c>
    </row>
    <row r="1491" spans="2:19">
      <c r="B1491" s="121"/>
      <c r="C1491" s="490"/>
      <c r="D1491" s="490" t="str">
        <f t="shared" si="70"/>
        <v/>
      </c>
      <c r="I1491" s="128"/>
      <c r="J1491" s="128"/>
      <c r="K1491" s="128"/>
      <c r="L1491" s="128"/>
      <c r="M1491" s="389"/>
      <c r="N1491" s="389"/>
      <c r="O1491" s="389"/>
      <c r="P1491" s="389"/>
      <c r="R1491" s="390" t="str">
        <f t="shared" si="72"/>
        <v>:</v>
      </c>
      <c r="S1491" s="181">
        <f t="shared" si="71"/>
        <v>0</v>
      </c>
    </row>
    <row r="1492" spans="2:19">
      <c r="B1492" s="121"/>
      <c r="C1492" s="490"/>
      <c r="D1492" s="490" t="str">
        <f t="shared" si="70"/>
        <v/>
      </c>
      <c r="I1492" s="128"/>
      <c r="J1492" s="128"/>
      <c r="K1492" s="128"/>
      <c r="L1492" s="128"/>
      <c r="M1492" s="389"/>
      <c r="N1492" s="389"/>
      <c r="O1492" s="389"/>
      <c r="P1492" s="389"/>
      <c r="R1492" s="390" t="str">
        <f t="shared" si="72"/>
        <v>:</v>
      </c>
      <c r="S1492" s="181">
        <f t="shared" si="71"/>
        <v>0</v>
      </c>
    </row>
    <row r="1493" spans="2:19">
      <c r="B1493" s="121"/>
      <c r="C1493" s="490"/>
      <c r="D1493" s="490" t="str">
        <f t="shared" si="70"/>
        <v/>
      </c>
      <c r="I1493" s="128"/>
      <c r="J1493" s="128"/>
      <c r="K1493" s="128"/>
      <c r="L1493" s="128"/>
      <c r="M1493" s="389"/>
      <c r="N1493" s="389"/>
      <c r="O1493" s="389"/>
      <c r="P1493" s="389"/>
      <c r="R1493" s="390" t="str">
        <f t="shared" si="72"/>
        <v>:</v>
      </c>
      <c r="S1493" s="181">
        <f t="shared" si="71"/>
        <v>0</v>
      </c>
    </row>
    <row r="1494" spans="2:19">
      <c r="B1494" s="121"/>
      <c r="C1494" s="490"/>
      <c r="D1494" s="490" t="str">
        <f t="shared" si="70"/>
        <v/>
      </c>
      <c r="I1494" s="128"/>
      <c r="J1494" s="128"/>
      <c r="K1494" s="128"/>
      <c r="L1494" s="128"/>
      <c r="M1494" s="389"/>
      <c r="N1494" s="389"/>
      <c r="O1494" s="389"/>
      <c r="P1494" s="389"/>
      <c r="R1494" s="390" t="str">
        <f t="shared" si="72"/>
        <v>:</v>
      </c>
      <c r="S1494" s="181">
        <f t="shared" si="71"/>
        <v>0</v>
      </c>
    </row>
    <row r="1495" spans="2:19">
      <c r="B1495" s="121"/>
      <c r="C1495" s="490"/>
      <c r="D1495" s="490" t="str">
        <f t="shared" si="70"/>
        <v/>
      </c>
      <c r="I1495" s="128"/>
      <c r="J1495" s="128"/>
      <c r="K1495" s="128"/>
      <c r="L1495" s="128"/>
      <c r="M1495" s="389"/>
      <c r="N1495" s="389"/>
      <c r="O1495" s="389"/>
      <c r="P1495" s="389"/>
      <c r="R1495" s="390" t="str">
        <f t="shared" si="72"/>
        <v>:</v>
      </c>
      <c r="S1495" s="181">
        <f t="shared" si="71"/>
        <v>0</v>
      </c>
    </row>
    <row r="1496" spans="2:19">
      <c r="B1496" s="121"/>
      <c r="C1496" s="490"/>
      <c r="D1496" s="490" t="str">
        <f t="shared" si="70"/>
        <v/>
      </c>
      <c r="I1496" s="128"/>
      <c r="J1496" s="128"/>
      <c r="K1496" s="128"/>
      <c r="L1496" s="128"/>
      <c r="M1496" s="389"/>
      <c r="N1496" s="389"/>
      <c r="O1496" s="389"/>
      <c r="P1496" s="389"/>
      <c r="R1496" s="390" t="str">
        <f t="shared" si="72"/>
        <v>:</v>
      </c>
      <c r="S1496" s="181">
        <f t="shared" si="71"/>
        <v>0</v>
      </c>
    </row>
    <row r="1497" spans="2:19">
      <c r="B1497" s="121"/>
      <c r="C1497" s="490"/>
      <c r="D1497" s="490" t="str">
        <f t="shared" si="70"/>
        <v/>
      </c>
      <c r="I1497" s="128"/>
      <c r="J1497" s="128"/>
      <c r="K1497" s="128"/>
      <c r="L1497" s="128"/>
      <c r="M1497" s="389"/>
      <c r="N1497" s="389"/>
      <c r="O1497" s="389"/>
      <c r="P1497" s="389"/>
      <c r="R1497" s="390" t="str">
        <f t="shared" si="72"/>
        <v>:</v>
      </c>
      <c r="S1497" s="181">
        <f t="shared" si="71"/>
        <v>0</v>
      </c>
    </row>
    <row r="1498" spans="2:19">
      <c r="B1498" s="121"/>
      <c r="C1498" s="490"/>
      <c r="D1498" s="490" t="str">
        <f t="shared" si="70"/>
        <v/>
      </c>
      <c r="I1498" s="128"/>
      <c r="J1498" s="128"/>
      <c r="K1498" s="128"/>
      <c r="L1498" s="128"/>
      <c r="M1498" s="389"/>
      <c r="N1498" s="389"/>
      <c r="O1498" s="389"/>
      <c r="P1498" s="389"/>
      <c r="R1498" s="390" t="str">
        <f t="shared" si="72"/>
        <v>:</v>
      </c>
      <c r="S1498" s="181">
        <f t="shared" si="71"/>
        <v>0</v>
      </c>
    </row>
    <row r="1499" spans="2:19">
      <c r="B1499" s="121"/>
      <c r="C1499" s="490"/>
      <c r="D1499" s="490" t="str">
        <f t="shared" si="70"/>
        <v/>
      </c>
      <c r="I1499" s="128"/>
      <c r="J1499" s="128"/>
      <c r="K1499" s="128"/>
      <c r="L1499" s="128"/>
      <c r="M1499" s="389"/>
      <c r="N1499" s="389"/>
      <c r="O1499" s="389"/>
      <c r="P1499" s="389"/>
      <c r="R1499" s="390" t="str">
        <f t="shared" si="72"/>
        <v>:</v>
      </c>
      <c r="S1499" s="181">
        <f t="shared" si="71"/>
        <v>0</v>
      </c>
    </row>
    <row r="1500" spans="2:19">
      <c r="B1500" s="121"/>
      <c r="C1500" s="490"/>
      <c r="D1500" s="490" t="str">
        <f t="shared" si="70"/>
        <v/>
      </c>
      <c r="I1500" s="128"/>
      <c r="J1500" s="128"/>
      <c r="K1500" s="128"/>
      <c r="L1500" s="128"/>
      <c r="M1500" s="389"/>
      <c r="N1500" s="389"/>
      <c r="O1500" s="389"/>
      <c r="P1500" s="389"/>
      <c r="R1500" s="390" t="str">
        <f t="shared" si="72"/>
        <v>:</v>
      </c>
      <c r="S1500" s="181">
        <f t="shared" si="71"/>
        <v>0</v>
      </c>
    </row>
    <row r="1501" spans="2:19">
      <c r="B1501" s="121"/>
      <c r="C1501" s="490"/>
      <c r="D1501" s="490" t="str">
        <f t="shared" si="70"/>
        <v/>
      </c>
      <c r="I1501" s="128"/>
      <c r="J1501" s="128"/>
      <c r="K1501" s="128"/>
      <c r="L1501" s="128"/>
      <c r="M1501" s="389"/>
      <c r="N1501" s="389"/>
      <c r="O1501" s="389"/>
      <c r="P1501" s="389"/>
      <c r="R1501" s="390" t="str">
        <f t="shared" si="72"/>
        <v>:</v>
      </c>
      <c r="S1501" s="181">
        <f t="shared" si="71"/>
        <v>0</v>
      </c>
    </row>
    <row r="1502" spans="2:19">
      <c r="B1502" s="121"/>
      <c r="C1502" s="490"/>
      <c r="D1502" s="490" t="str">
        <f t="shared" si="70"/>
        <v/>
      </c>
      <c r="I1502" s="128"/>
      <c r="J1502" s="128"/>
      <c r="K1502" s="128"/>
      <c r="L1502" s="128"/>
      <c r="M1502" s="389"/>
      <c r="N1502" s="389"/>
      <c r="O1502" s="389"/>
      <c r="P1502" s="389"/>
      <c r="R1502" s="390" t="str">
        <f t="shared" si="72"/>
        <v>:</v>
      </c>
      <c r="S1502" s="181">
        <f t="shared" si="71"/>
        <v>0</v>
      </c>
    </row>
    <row r="1503" spans="2:19">
      <c r="B1503" s="121"/>
      <c r="C1503" s="490"/>
      <c r="D1503" s="490" t="str">
        <f t="shared" si="70"/>
        <v/>
      </c>
      <c r="I1503" s="128"/>
      <c r="J1503" s="128"/>
      <c r="K1503" s="128"/>
      <c r="L1503" s="128"/>
      <c r="M1503" s="389"/>
      <c r="N1503" s="389"/>
      <c r="O1503" s="389"/>
      <c r="P1503" s="389"/>
      <c r="R1503" s="390" t="str">
        <f t="shared" si="72"/>
        <v>:</v>
      </c>
      <c r="S1503" s="181">
        <f t="shared" si="71"/>
        <v>0</v>
      </c>
    </row>
    <row r="1504" spans="2:19">
      <c r="B1504" s="121"/>
      <c r="C1504" s="490"/>
      <c r="D1504" s="490" t="str">
        <f t="shared" si="70"/>
        <v/>
      </c>
      <c r="I1504" s="128"/>
      <c r="J1504" s="128"/>
      <c r="K1504" s="128"/>
      <c r="L1504" s="128"/>
      <c r="M1504" s="389"/>
      <c r="N1504" s="389"/>
      <c r="O1504" s="389"/>
      <c r="P1504" s="389"/>
      <c r="R1504" s="390" t="str">
        <f t="shared" si="72"/>
        <v>:</v>
      </c>
      <c r="S1504" s="181">
        <f t="shared" si="71"/>
        <v>0</v>
      </c>
    </row>
    <row r="1505" spans="2:19">
      <c r="B1505" s="121"/>
      <c r="C1505" s="490"/>
      <c r="D1505" s="490" t="str">
        <f t="shared" si="70"/>
        <v/>
      </c>
      <c r="I1505" s="128"/>
      <c r="J1505" s="128"/>
      <c r="K1505" s="128"/>
      <c r="L1505" s="128"/>
      <c r="M1505" s="389"/>
      <c r="N1505" s="389"/>
      <c r="O1505" s="389"/>
      <c r="P1505" s="389"/>
      <c r="R1505" s="390" t="str">
        <f t="shared" si="72"/>
        <v>:</v>
      </c>
      <c r="S1505" s="181">
        <f t="shared" si="71"/>
        <v>0</v>
      </c>
    </row>
    <row r="1506" spans="2:19">
      <c r="B1506" s="121"/>
      <c r="C1506" s="490"/>
      <c r="D1506" s="490" t="str">
        <f t="shared" si="70"/>
        <v/>
      </c>
      <c r="I1506" s="128"/>
      <c r="J1506" s="128"/>
      <c r="K1506" s="128"/>
      <c r="L1506" s="128"/>
      <c r="M1506" s="389"/>
      <c r="N1506" s="389"/>
      <c r="O1506" s="389"/>
      <c r="P1506" s="389"/>
      <c r="R1506" s="390" t="str">
        <f t="shared" si="72"/>
        <v>:</v>
      </c>
      <c r="S1506" s="181">
        <f t="shared" si="71"/>
        <v>0</v>
      </c>
    </row>
    <row r="1507" spans="2:19">
      <c r="B1507" s="121"/>
      <c r="C1507" s="490"/>
      <c r="D1507" s="490" t="str">
        <f t="shared" si="70"/>
        <v/>
      </c>
      <c r="I1507" s="128"/>
      <c r="J1507" s="128"/>
      <c r="K1507" s="128"/>
      <c r="L1507" s="128"/>
      <c r="M1507" s="389"/>
      <c r="N1507" s="389"/>
      <c r="O1507" s="389"/>
      <c r="P1507" s="389"/>
      <c r="R1507" s="390" t="str">
        <f t="shared" si="72"/>
        <v>:</v>
      </c>
      <c r="S1507" s="181">
        <f t="shared" si="71"/>
        <v>0</v>
      </c>
    </row>
    <row r="1508" spans="2:19">
      <c r="B1508" s="121"/>
      <c r="C1508" s="490"/>
      <c r="D1508" s="490" t="str">
        <f t="shared" si="70"/>
        <v/>
      </c>
      <c r="I1508" s="128"/>
      <c r="J1508" s="128"/>
      <c r="K1508" s="128"/>
      <c r="L1508" s="128"/>
      <c r="M1508" s="389"/>
      <c r="N1508" s="389"/>
      <c r="O1508" s="389"/>
      <c r="P1508" s="389"/>
      <c r="R1508" s="390" t="str">
        <f t="shared" si="72"/>
        <v>:</v>
      </c>
      <c r="S1508" s="181">
        <f t="shared" si="71"/>
        <v>0</v>
      </c>
    </row>
    <row r="1509" spans="2:19">
      <c r="B1509" s="121"/>
      <c r="C1509" s="490"/>
      <c r="D1509" s="490" t="str">
        <f t="shared" si="70"/>
        <v/>
      </c>
      <c r="I1509" s="128"/>
      <c r="J1509" s="128"/>
      <c r="K1509" s="128"/>
      <c r="L1509" s="128"/>
      <c r="M1509" s="389"/>
      <c r="N1509" s="389"/>
      <c r="O1509" s="389"/>
      <c r="P1509" s="389"/>
      <c r="R1509" s="390" t="str">
        <f t="shared" si="72"/>
        <v>:</v>
      </c>
      <c r="S1509" s="181">
        <f t="shared" si="71"/>
        <v>0</v>
      </c>
    </row>
    <row r="1510" spans="2:19">
      <c r="B1510" s="121"/>
      <c r="C1510" s="490"/>
      <c r="D1510" s="490" t="str">
        <f t="shared" si="70"/>
        <v/>
      </c>
      <c r="I1510" s="128"/>
      <c r="J1510" s="128"/>
      <c r="K1510" s="128"/>
      <c r="L1510" s="128"/>
      <c r="M1510" s="389"/>
      <c r="N1510" s="389"/>
      <c r="O1510" s="389"/>
      <c r="P1510" s="389"/>
      <c r="R1510" s="390" t="str">
        <f t="shared" si="72"/>
        <v>:</v>
      </c>
      <c r="S1510" s="181">
        <f t="shared" si="71"/>
        <v>0</v>
      </c>
    </row>
    <row r="1511" spans="2:19">
      <c r="B1511" s="121"/>
      <c r="C1511" s="490"/>
      <c r="D1511" s="490" t="str">
        <f t="shared" si="70"/>
        <v/>
      </c>
      <c r="I1511" s="128"/>
      <c r="J1511" s="128"/>
      <c r="K1511" s="128"/>
      <c r="L1511" s="128"/>
      <c r="M1511" s="389"/>
      <c r="N1511" s="389"/>
      <c r="O1511" s="389"/>
      <c r="P1511" s="389"/>
      <c r="R1511" s="390" t="str">
        <f t="shared" si="72"/>
        <v>:</v>
      </c>
      <c r="S1511" s="181">
        <f t="shared" si="71"/>
        <v>0</v>
      </c>
    </row>
    <row r="1512" spans="2:19">
      <c r="B1512" s="121"/>
      <c r="C1512" s="490"/>
      <c r="D1512" s="490" t="str">
        <f t="shared" si="70"/>
        <v/>
      </c>
      <c r="I1512" s="128"/>
      <c r="J1512" s="128"/>
      <c r="K1512" s="128"/>
      <c r="L1512" s="128"/>
      <c r="M1512" s="389"/>
      <c r="N1512" s="389"/>
      <c r="O1512" s="389"/>
      <c r="P1512" s="389"/>
      <c r="R1512" s="390" t="str">
        <f t="shared" si="72"/>
        <v>:</v>
      </c>
      <c r="S1512" s="181">
        <f t="shared" si="71"/>
        <v>0</v>
      </c>
    </row>
    <row r="1513" spans="2:19">
      <c r="B1513" s="121"/>
      <c r="C1513" s="490"/>
      <c r="D1513" s="490" t="str">
        <f t="shared" si="70"/>
        <v/>
      </c>
      <c r="I1513" s="128"/>
      <c r="J1513" s="128"/>
      <c r="K1513" s="128"/>
      <c r="L1513" s="128"/>
      <c r="M1513" s="389"/>
      <c r="N1513" s="389"/>
      <c r="O1513" s="389"/>
      <c r="P1513" s="389"/>
      <c r="R1513" s="390" t="str">
        <f t="shared" si="72"/>
        <v>:</v>
      </c>
      <c r="S1513" s="181">
        <f t="shared" si="71"/>
        <v>0</v>
      </c>
    </row>
    <row r="1514" spans="2:19">
      <c r="B1514" s="121"/>
      <c r="C1514" s="490"/>
      <c r="D1514" s="490" t="str">
        <f t="shared" si="70"/>
        <v/>
      </c>
      <c r="I1514" s="128"/>
      <c r="J1514" s="128"/>
      <c r="K1514" s="128"/>
      <c r="L1514" s="128"/>
      <c r="M1514" s="389"/>
      <c r="N1514" s="389"/>
      <c r="O1514" s="389"/>
      <c r="P1514" s="389"/>
      <c r="R1514" s="390" t="str">
        <f t="shared" si="72"/>
        <v>:</v>
      </c>
      <c r="S1514" s="181">
        <f t="shared" si="71"/>
        <v>0</v>
      </c>
    </row>
    <row r="1515" spans="2:19">
      <c r="B1515" s="121"/>
      <c r="C1515" s="490"/>
      <c r="D1515" s="490" t="str">
        <f t="shared" si="70"/>
        <v/>
      </c>
      <c r="I1515" s="128"/>
      <c r="J1515" s="128"/>
      <c r="K1515" s="128"/>
      <c r="L1515" s="128"/>
      <c r="M1515" s="389"/>
      <c r="N1515" s="389"/>
      <c r="O1515" s="389"/>
      <c r="P1515" s="389"/>
      <c r="R1515" s="390" t="str">
        <f t="shared" si="72"/>
        <v>:</v>
      </c>
      <c r="S1515" s="181">
        <f t="shared" si="71"/>
        <v>0</v>
      </c>
    </row>
    <row r="1516" spans="2:19">
      <c r="B1516" s="121"/>
      <c r="C1516" s="490"/>
      <c r="D1516" s="490" t="str">
        <f t="shared" si="70"/>
        <v/>
      </c>
      <c r="I1516" s="128"/>
      <c r="J1516" s="128"/>
      <c r="K1516" s="128"/>
      <c r="L1516" s="128"/>
      <c r="M1516" s="389"/>
      <c r="N1516" s="389"/>
      <c r="O1516" s="389"/>
      <c r="P1516" s="389"/>
      <c r="R1516" s="390" t="str">
        <f t="shared" si="72"/>
        <v>:</v>
      </c>
      <c r="S1516" s="181">
        <f t="shared" si="71"/>
        <v>0</v>
      </c>
    </row>
    <row r="1517" spans="2:19">
      <c r="B1517" s="121"/>
      <c r="C1517" s="490"/>
      <c r="D1517" s="490" t="str">
        <f t="shared" si="70"/>
        <v/>
      </c>
      <c r="I1517" s="128"/>
      <c r="J1517" s="128"/>
      <c r="K1517" s="128"/>
      <c r="L1517" s="128"/>
      <c r="M1517" s="389"/>
      <c r="N1517" s="389"/>
      <c r="O1517" s="389"/>
      <c r="P1517" s="389"/>
      <c r="R1517" s="390" t="str">
        <f t="shared" si="72"/>
        <v>:</v>
      </c>
      <c r="S1517" s="181">
        <f t="shared" si="71"/>
        <v>0</v>
      </c>
    </row>
    <row r="1518" spans="2:19">
      <c r="B1518" s="121"/>
      <c r="C1518" s="490"/>
      <c r="D1518" s="490" t="str">
        <f t="shared" ref="D1518:D1581" si="73">IF(B1518="","",B1518&amp;":"&amp;C1518)</f>
        <v/>
      </c>
      <c r="I1518" s="128"/>
      <c r="J1518" s="128"/>
      <c r="K1518" s="128"/>
      <c r="L1518" s="128"/>
      <c r="M1518" s="389"/>
      <c r="N1518" s="389"/>
      <c r="O1518" s="389"/>
      <c r="P1518" s="389"/>
      <c r="R1518" s="390" t="str">
        <f t="shared" si="72"/>
        <v>:</v>
      </c>
      <c r="S1518" s="181">
        <f t="shared" si="71"/>
        <v>0</v>
      </c>
    </row>
    <row r="1519" spans="2:19">
      <c r="B1519" s="121"/>
      <c r="C1519" s="490"/>
      <c r="D1519" s="490" t="str">
        <f t="shared" si="73"/>
        <v/>
      </c>
      <c r="I1519" s="128"/>
      <c r="J1519" s="128"/>
      <c r="K1519" s="128"/>
      <c r="L1519" s="128"/>
      <c r="M1519" s="389"/>
      <c r="N1519" s="389"/>
      <c r="O1519" s="389"/>
      <c r="P1519" s="389"/>
      <c r="R1519" s="390" t="str">
        <f t="shared" si="72"/>
        <v>:</v>
      </c>
      <c r="S1519" s="181">
        <f t="shared" si="71"/>
        <v>0</v>
      </c>
    </row>
    <row r="1520" spans="2:19">
      <c r="B1520" s="121"/>
      <c r="C1520" s="490"/>
      <c r="D1520" s="490" t="str">
        <f t="shared" si="73"/>
        <v/>
      </c>
      <c r="I1520" s="128"/>
      <c r="J1520" s="128"/>
      <c r="K1520" s="128"/>
      <c r="L1520" s="128"/>
      <c r="M1520" s="389"/>
      <c r="N1520" s="389"/>
      <c r="O1520" s="389"/>
      <c r="P1520" s="389"/>
      <c r="R1520" s="390" t="str">
        <f t="shared" si="72"/>
        <v>:</v>
      </c>
      <c r="S1520" s="181">
        <f t="shared" si="71"/>
        <v>0</v>
      </c>
    </row>
    <row r="1521" spans="2:19">
      <c r="B1521" s="121"/>
      <c r="C1521" s="490"/>
      <c r="D1521" s="490" t="str">
        <f t="shared" si="73"/>
        <v/>
      </c>
      <c r="I1521" s="128"/>
      <c r="J1521" s="128"/>
      <c r="K1521" s="128"/>
      <c r="L1521" s="128"/>
      <c r="M1521" s="389"/>
      <c r="N1521" s="389"/>
      <c r="O1521" s="389"/>
      <c r="P1521" s="389"/>
      <c r="R1521" s="390" t="str">
        <f t="shared" si="72"/>
        <v>:</v>
      </c>
      <c r="S1521" s="181">
        <f t="shared" si="71"/>
        <v>0</v>
      </c>
    </row>
    <row r="1522" spans="2:19">
      <c r="B1522" s="121"/>
      <c r="C1522" s="490"/>
      <c r="D1522" s="490" t="str">
        <f t="shared" si="73"/>
        <v/>
      </c>
      <c r="I1522" s="128"/>
      <c r="J1522" s="128"/>
      <c r="K1522" s="128"/>
      <c r="L1522" s="128"/>
      <c r="M1522" s="389"/>
      <c r="N1522" s="389"/>
      <c r="O1522" s="389"/>
      <c r="P1522" s="389"/>
      <c r="R1522" s="390" t="str">
        <f t="shared" si="72"/>
        <v>:</v>
      </c>
      <c r="S1522" s="181">
        <f t="shared" si="71"/>
        <v>0</v>
      </c>
    </row>
    <row r="1523" spans="2:19">
      <c r="B1523" s="121"/>
      <c r="C1523" s="490"/>
      <c r="D1523" s="490" t="str">
        <f t="shared" si="73"/>
        <v/>
      </c>
      <c r="I1523" s="128"/>
      <c r="J1523" s="128"/>
      <c r="K1523" s="128"/>
      <c r="L1523" s="128"/>
      <c r="M1523" s="389"/>
      <c r="N1523" s="389"/>
      <c r="O1523" s="389"/>
      <c r="P1523" s="389"/>
      <c r="R1523" s="390" t="str">
        <f t="shared" si="72"/>
        <v>:</v>
      </c>
      <c r="S1523" s="181">
        <f t="shared" si="71"/>
        <v>0</v>
      </c>
    </row>
    <row r="1524" spans="2:19">
      <c r="B1524" s="121"/>
      <c r="C1524" s="490"/>
      <c r="D1524" s="490" t="str">
        <f t="shared" si="73"/>
        <v/>
      </c>
      <c r="I1524" s="128"/>
      <c r="J1524" s="128"/>
      <c r="K1524" s="128"/>
      <c r="L1524" s="128"/>
      <c r="M1524" s="389"/>
      <c r="N1524" s="389"/>
      <c r="O1524" s="389"/>
      <c r="P1524" s="389"/>
      <c r="R1524" s="390" t="str">
        <f t="shared" si="72"/>
        <v>:</v>
      </c>
      <c r="S1524" s="181">
        <f t="shared" si="71"/>
        <v>0</v>
      </c>
    </row>
    <row r="1525" spans="2:19">
      <c r="B1525" s="121"/>
      <c r="C1525" s="490"/>
      <c r="D1525" s="490" t="str">
        <f t="shared" si="73"/>
        <v/>
      </c>
      <c r="I1525" s="128"/>
      <c r="J1525" s="128"/>
      <c r="K1525" s="128"/>
      <c r="L1525" s="128"/>
      <c r="M1525" s="389"/>
      <c r="N1525" s="389"/>
      <c r="O1525" s="389"/>
      <c r="P1525" s="389"/>
      <c r="R1525" s="390" t="str">
        <f t="shared" si="72"/>
        <v>:</v>
      </c>
      <c r="S1525" s="181">
        <f t="shared" si="71"/>
        <v>0</v>
      </c>
    </row>
    <row r="1526" spans="2:19">
      <c r="B1526" s="121"/>
      <c r="C1526" s="490"/>
      <c r="D1526" s="490" t="str">
        <f t="shared" si="73"/>
        <v/>
      </c>
      <c r="I1526" s="128"/>
      <c r="J1526" s="128"/>
      <c r="K1526" s="128"/>
      <c r="L1526" s="128"/>
      <c r="M1526" s="389"/>
      <c r="N1526" s="389"/>
      <c r="O1526" s="389"/>
      <c r="P1526" s="389"/>
      <c r="R1526" s="390" t="str">
        <f t="shared" si="72"/>
        <v>:</v>
      </c>
      <c r="S1526" s="181">
        <f t="shared" si="71"/>
        <v>0</v>
      </c>
    </row>
    <row r="1527" spans="2:19">
      <c r="B1527" s="121"/>
      <c r="C1527" s="490"/>
      <c r="D1527" s="490" t="str">
        <f t="shared" si="73"/>
        <v/>
      </c>
      <c r="I1527" s="128"/>
      <c r="J1527" s="128"/>
      <c r="K1527" s="128"/>
      <c r="L1527" s="128"/>
      <c r="M1527" s="389"/>
      <c r="N1527" s="389"/>
      <c r="O1527" s="389"/>
      <c r="P1527" s="389"/>
      <c r="R1527" s="390" t="str">
        <f t="shared" si="72"/>
        <v>:</v>
      </c>
      <c r="S1527" s="181">
        <f t="shared" si="71"/>
        <v>0</v>
      </c>
    </row>
    <row r="1528" spans="2:19">
      <c r="B1528" s="121"/>
      <c r="C1528" s="490"/>
      <c r="D1528" s="490" t="str">
        <f t="shared" si="73"/>
        <v/>
      </c>
      <c r="I1528" s="128"/>
      <c r="J1528" s="128"/>
      <c r="K1528" s="128"/>
      <c r="L1528" s="128"/>
      <c r="M1528" s="389"/>
      <c r="N1528" s="389"/>
      <c r="O1528" s="389"/>
      <c r="P1528" s="389"/>
      <c r="R1528" s="390" t="str">
        <f t="shared" si="72"/>
        <v>:</v>
      </c>
      <c r="S1528" s="181">
        <f t="shared" si="71"/>
        <v>0</v>
      </c>
    </row>
    <row r="1529" spans="2:19">
      <c r="B1529" s="121"/>
      <c r="C1529" s="490"/>
      <c r="D1529" s="490" t="str">
        <f t="shared" si="73"/>
        <v/>
      </c>
      <c r="I1529" s="128"/>
      <c r="J1529" s="128"/>
      <c r="K1529" s="128"/>
      <c r="L1529" s="128"/>
      <c r="M1529" s="389"/>
      <c r="N1529" s="389"/>
      <c r="O1529" s="389"/>
      <c r="P1529" s="389"/>
      <c r="R1529" s="390" t="str">
        <f t="shared" si="72"/>
        <v>:</v>
      </c>
      <c r="S1529" s="181">
        <f t="shared" si="71"/>
        <v>0</v>
      </c>
    </row>
    <row r="1530" spans="2:19">
      <c r="B1530" s="121"/>
      <c r="C1530" s="490"/>
      <c r="D1530" s="490" t="str">
        <f t="shared" si="73"/>
        <v/>
      </c>
      <c r="I1530" s="128"/>
      <c r="J1530" s="128"/>
      <c r="K1530" s="128"/>
      <c r="L1530" s="128"/>
      <c r="M1530" s="389"/>
      <c r="N1530" s="389"/>
      <c r="O1530" s="389"/>
      <c r="P1530" s="389"/>
      <c r="R1530" s="390" t="str">
        <f t="shared" si="72"/>
        <v>:</v>
      </c>
      <c r="S1530" s="181">
        <f t="shared" si="71"/>
        <v>0</v>
      </c>
    </row>
    <row r="1531" spans="2:19">
      <c r="B1531" s="121"/>
      <c r="C1531" s="490"/>
      <c r="D1531" s="490" t="str">
        <f t="shared" si="73"/>
        <v/>
      </c>
      <c r="I1531" s="128"/>
      <c r="J1531" s="128"/>
      <c r="K1531" s="128"/>
      <c r="L1531" s="128"/>
      <c r="M1531" s="389"/>
      <c r="N1531" s="389"/>
      <c r="O1531" s="389"/>
      <c r="P1531" s="389"/>
      <c r="R1531" s="390" t="str">
        <f t="shared" si="72"/>
        <v>:</v>
      </c>
      <c r="S1531" s="181">
        <f t="shared" si="71"/>
        <v>0</v>
      </c>
    </row>
    <row r="1532" spans="2:19">
      <c r="B1532" s="121"/>
      <c r="C1532" s="490"/>
      <c r="D1532" s="490" t="str">
        <f t="shared" si="73"/>
        <v/>
      </c>
      <c r="I1532" s="128"/>
      <c r="J1532" s="128"/>
      <c r="K1532" s="128"/>
      <c r="L1532" s="128"/>
      <c r="M1532" s="389"/>
      <c r="N1532" s="389"/>
      <c r="O1532" s="389"/>
      <c r="P1532" s="389"/>
      <c r="R1532" s="390" t="str">
        <f t="shared" si="72"/>
        <v>:</v>
      </c>
      <c r="S1532" s="181">
        <f t="shared" si="71"/>
        <v>0</v>
      </c>
    </row>
    <row r="1533" spans="2:19">
      <c r="B1533" s="121"/>
      <c r="C1533" s="490"/>
      <c r="D1533" s="490" t="str">
        <f t="shared" si="73"/>
        <v/>
      </c>
      <c r="I1533" s="128"/>
      <c r="J1533" s="128"/>
      <c r="K1533" s="128"/>
      <c r="L1533" s="128"/>
      <c r="M1533" s="389"/>
      <c r="N1533" s="389"/>
      <c r="O1533" s="389"/>
      <c r="P1533" s="389"/>
      <c r="R1533" s="390" t="str">
        <f t="shared" si="72"/>
        <v>:</v>
      </c>
      <c r="S1533" s="181">
        <f t="shared" si="71"/>
        <v>0</v>
      </c>
    </row>
    <row r="1534" spans="2:19">
      <c r="B1534" s="121"/>
      <c r="C1534" s="490"/>
      <c r="D1534" s="490" t="str">
        <f t="shared" si="73"/>
        <v/>
      </c>
      <c r="I1534" s="128"/>
      <c r="J1534" s="128"/>
      <c r="K1534" s="128"/>
      <c r="L1534" s="128"/>
      <c r="M1534" s="389"/>
      <c r="N1534" s="389"/>
      <c r="O1534" s="389"/>
      <c r="P1534" s="389"/>
      <c r="R1534" s="390" t="str">
        <f t="shared" si="72"/>
        <v>:</v>
      </c>
      <c r="S1534" s="181">
        <f t="shared" si="71"/>
        <v>0</v>
      </c>
    </row>
    <row r="1535" spans="2:19">
      <c r="B1535" s="121"/>
      <c r="C1535" s="490"/>
      <c r="D1535" s="490" t="str">
        <f t="shared" si="73"/>
        <v/>
      </c>
      <c r="I1535" s="128"/>
      <c r="J1535" s="128"/>
      <c r="K1535" s="128"/>
      <c r="L1535" s="128"/>
      <c r="M1535" s="389"/>
      <c r="N1535" s="389"/>
      <c r="O1535" s="389"/>
      <c r="P1535" s="389"/>
      <c r="R1535" s="390" t="str">
        <f t="shared" si="72"/>
        <v>:</v>
      </c>
      <c r="S1535" s="181">
        <f t="shared" si="71"/>
        <v>0</v>
      </c>
    </row>
    <row r="1536" spans="2:19">
      <c r="B1536" s="121"/>
      <c r="C1536" s="490"/>
      <c r="D1536" s="490" t="str">
        <f t="shared" si="73"/>
        <v/>
      </c>
      <c r="I1536" s="128"/>
      <c r="J1536" s="128"/>
      <c r="K1536" s="128"/>
      <c r="L1536" s="128"/>
      <c r="M1536" s="389"/>
      <c r="N1536" s="389"/>
      <c r="O1536" s="389"/>
      <c r="P1536" s="389"/>
      <c r="R1536" s="390" t="str">
        <f t="shared" si="72"/>
        <v>:</v>
      </c>
      <c r="S1536" s="181">
        <f t="shared" si="71"/>
        <v>0</v>
      </c>
    </row>
    <row r="1537" spans="2:19">
      <c r="B1537" s="121"/>
      <c r="C1537" s="490"/>
      <c r="D1537" s="490" t="str">
        <f t="shared" si="73"/>
        <v/>
      </c>
      <c r="I1537" s="128"/>
      <c r="J1537" s="128"/>
      <c r="K1537" s="128"/>
      <c r="L1537" s="128"/>
      <c r="M1537" s="389"/>
      <c r="N1537" s="389"/>
      <c r="O1537" s="389"/>
      <c r="P1537" s="389"/>
      <c r="R1537" s="390" t="str">
        <f t="shared" si="72"/>
        <v>:</v>
      </c>
      <c r="S1537" s="181">
        <f t="shared" si="71"/>
        <v>0</v>
      </c>
    </row>
    <row r="1538" spans="2:19">
      <c r="B1538" s="121"/>
      <c r="C1538" s="490"/>
      <c r="D1538" s="490" t="str">
        <f t="shared" si="73"/>
        <v/>
      </c>
      <c r="I1538" s="128"/>
      <c r="J1538" s="128"/>
      <c r="K1538" s="128"/>
      <c r="L1538" s="128"/>
      <c r="M1538" s="389"/>
      <c r="N1538" s="389"/>
      <c r="O1538" s="389"/>
      <c r="P1538" s="389"/>
      <c r="R1538" s="390" t="str">
        <f t="shared" si="72"/>
        <v>:</v>
      </c>
      <c r="S1538" s="181">
        <f t="shared" si="71"/>
        <v>0</v>
      </c>
    </row>
    <row r="1539" spans="2:19">
      <c r="B1539" s="121"/>
      <c r="C1539" s="490"/>
      <c r="D1539" s="490" t="str">
        <f t="shared" si="73"/>
        <v/>
      </c>
      <c r="I1539" s="128"/>
      <c r="J1539" s="128"/>
      <c r="K1539" s="128"/>
      <c r="L1539" s="128"/>
      <c r="M1539" s="389"/>
      <c r="N1539" s="389"/>
      <c r="O1539" s="389"/>
      <c r="P1539" s="389"/>
      <c r="R1539" s="390" t="str">
        <f t="shared" si="72"/>
        <v>:</v>
      </c>
      <c r="S1539" s="181">
        <f t="shared" si="71"/>
        <v>0</v>
      </c>
    </row>
    <row r="1540" spans="2:19">
      <c r="B1540" s="121"/>
      <c r="C1540" s="490"/>
      <c r="D1540" s="490" t="str">
        <f t="shared" si="73"/>
        <v/>
      </c>
      <c r="I1540" s="128"/>
      <c r="J1540" s="128"/>
      <c r="K1540" s="128"/>
      <c r="L1540" s="128"/>
      <c r="M1540" s="389"/>
      <c r="N1540" s="389"/>
      <c r="O1540" s="389"/>
      <c r="P1540" s="389"/>
      <c r="R1540" s="390" t="str">
        <f t="shared" si="72"/>
        <v>:</v>
      </c>
      <c r="S1540" s="181">
        <f t="shared" si="71"/>
        <v>0</v>
      </c>
    </row>
    <row r="1541" spans="2:19">
      <c r="B1541" s="121"/>
      <c r="C1541" s="490"/>
      <c r="D1541" s="490" t="str">
        <f t="shared" si="73"/>
        <v/>
      </c>
      <c r="I1541" s="128"/>
      <c r="J1541" s="128"/>
      <c r="K1541" s="128"/>
      <c r="L1541" s="128"/>
      <c r="M1541" s="389"/>
      <c r="N1541" s="389"/>
      <c r="O1541" s="389"/>
      <c r="P1541" s="389"/>
      <c r="R1541" s="390" t="str">
        <f t="shared" si="72"/>
        <v>:</v>
      </c>
      <c r="S1541" s="181">
        <f t="shared" si="71"/>
        <v>0</v>
      </c>
    </row>
    <row r="1542" spans="2:19">
      <c r="B1542" s="121"/>
      <c r="C1542" s="490"/>
      <c r="D1542" s="490" t="str">
        <f t="shared" si="73"/>
        <v/>
      </c>
      <c r="I1542" s="128"/>
      <c r="J1542" s="128"/>
      <c r="K1542" s="128"/>
      <c r="L1542" s="128"/>
      <c r="M1542" s="389"/>
      <c r="N1542" s="389"/>
      <c r="O1542" s="389"/>
      <c r="P1542" s="389"/>
      <c r="R1542" s="390" t="str">
        <f t="shared" si="72"/>
        <v>:</v>
      </c>
      <c r="S1542" s="181">
        <f t="shared" si="71"/>
        <v>0</v>
      </c>
    </row>
    <row r="1543" spans="2:19">
      <c r="B1543" s="121"/>
      <c r="C1543" s="490"/>
      <c r="D1543" s="490" t="str">
        <f t="shared" si="73"/>
        <v/>
      </c>
      <c r="I1543" s="128"/>
      <c r="J1543" s="128"/>
      <c r="K1543" s="128"/>
      <c r="L1543" s="128"/>
      <c r="M1543" s="389"/>
      <c r="N1543" s="389"/>
      <c r="O1543" s="389"/>
      <c r="P1543" s="389"/>
      <c r="R1543" s="390" t="str">
        <f t="shared" si="72"/>
        <v>:</v>
      </c>
      <c r="S1543" s="181">
        <f t="shared" si="71"/>
        <v>0</v>
      </c>
    </row>
    <row r="1544" spans="2:19">
      <c r="B1544" s="121"/>
      <c r="C1544" s="490"/>
      <c r="D1544" s="490" t="str">
        <f t="shared" si="73"/>
        <v/>
      </c>
      <c r="I1544" s="128"/>
      <c r="J1544" s="128"/>
      <c r="K1544" s="128"/>
      <c r="L1544" s="128"/>
      <c r="M1544" s="389"/>
      <c r="N1544" s="389"/>
      <c r="O1544" s="389"/>
      <c r="P1544" s="389"/>
      <c r="R1544" s="390" t="str">
        <f t="shared" si="72"/>
        <v>:</v>
      </c>
      <c r="S1544" s="181">
        <f t="shared" si="71"/>
        <v>0</v>
      </c>
    </row>
    <row r="1545" spans="2:19">
      <c r="B1545" s="121"/>
      <c r="C1545" s="490"/>
      <c r="D1545" s="490" t="str">
        <f t="shared" si="73"/>
        <v/>
      </c>
      <c r="I1545" s="128"/>
      <c r="J1545" s="128"/>
      <c r="K1545" s="128"/>
      <c r="L1545" s="128"/>
      <c r="M1545" s="389"/>
      <c r="N1545" s="389"/>
      <c r="O1545" s="389"/>
      <c r="P1545" s="389"/>
      <c r="R1545" s="390" t="str">
        <f t="shared" si="72"/>
        <v>:</v>
      </c>
      <c r="S1545" s="181">
        <f t="shared" si="71"/>
        <v>0</v>
      </c>
    </row>
    <row r="1546" spans="2:19">
      <c r="B1546" s="121"/>
      <c r="C1546" s="490"/>
      <c r="D1546" s="490" t="str">
        <f t="shared" si="73"/>
        <v/>
      </c>
      <c r="I1546" s="128"/>
      <c r="J1546" s="128"/>
      <c r="K1546" s="128"/>
      <c r="L1546" s="128"/>
      <c r="M1546" s="389"/>
      <c r="N1546" s="389"/>
      <c r="O1546" s="389"/>
      <c r="P1546" s="389"/>
      <c r="R1546" s="390" t="str">
        <f t="shared" si="72"/>
        <v>:</v>
      </c>
      <c r="S1546" s="181">
        <f t="shared" ref="S1546:S1609" si="74">HLOOKUP($S$8,$L$8:$P$2000,ROW()-7,FALSE)</f>
        <v>0</v>
      </c>
    </row>
    <row r="1547" spans="2:19">
      <c r="B1547" s="121"/>
      <c r="C1547" s="490"/>
      <c r="D1547" s="490" t="str">
        <f t="shared" si="73"/>
        <v/>
      </c>
      <c r="I1547" s="128"/>
      <c r="J1547" s="128"/>
      <c r="K1547" s="128"/>
      <c r="L1547" s="128"/>
      <c r="M1547" s="389"/>
      <c r="N1547" s="389"/>
      <c r="O1547" s="389"/>
      <c r="P1547" s="389"/>
      <c r="R1547" s="390" t="str">
        <f t="shared" si="72"/>
        <v>:</v>
      </c>
      <c r="S1547" s="181">
        <f t="shared" si="74"/>
        <v>0</v>
      </c>
    </row>
    <row r="1548" spans="2:19">
      <c r="B1548" s="121"/>
      <c r="C1548" s="490"/>
      <c r="D1548" s="490" t="str">
        <f t="shared" si="73"/>
        <v/>
      </c>
      <c r="I1548" s="128"/>
      <c r="J1548" s="128"/>
      <c r="K1548" s="128"/>
      <c r="L1548" s="128"/>
      <c r="M1548" s="389"/>
      <c r="N1548" s="389"/>
      <c r="O1548" s="389"/>
      <c r="P1548" s="389"/>
      <c r="R1548" s="390" t="str">
        <f t="shared" si="72"/>
        <v>:</v>
      </c>
      <c r="S1548" s="181">
        <f t="shared" si="74"/>
        <v>0</v>
      </c>
    </row>
    <row r="1549" spans="2:19">
      <c r="B1549" s="121"/>
      <c r="C1549" s="490"/>
      <c r="D1549" s="490" t="str">
        <f t="shared" si="73"/>
        <v/>
      </c>
      <c r="I1549" s="128"/>
      <c r="J1549" s="128"/>
      <c r="K1549" s="128"/>
      <c r="L1549" s="128"/>
      <c r="M1549" s="389"/>
      <c r="N1549" s="389"/>
      <c r="O1549" s="389"/>
      <c r="P1549" s="389"/>
      <c r="R1549" s="390" t="str">
        <f t="shared" ref="R1549:R1612" si="75">I1549&amp;":"&amp;J1549&amp;K1549</f>
        <v>:</v>
      </c>
      <c r="S1549" s="181">
        <f t="shared" si="74"/>
        <v>0</v>
      </c>
    </row>
    <row r="1550" spans="2:19">
      <c r="B1550" s="121"/>
      <c r="C1550" s="490"/>
      <c r="D1550" s="490" t="str">
        <f t="shared" si="73"/>
        <v/>
      </c>
      <c r="I1550" s="128"/>
      <c r="J1550" s="128"/>
      <c r="K1550" s="128"/>
      <c r="L1550" s="128"/>
      <c r="M1550" s="389"/>
      <c r="N1550" s="389"/>
      <c r="O1550" s="389"/>
      <c r="P1550" s="389"/>
      <c r="R1550" s="390" t="str">
        <f t="shared" si="75"/>
        <v>:</v>
      </c>
      <c r="S1550" s="181">
        <f t="shared" si="74"/>
        <v>0</v>
      </c>
    </row>
    <row r="1551" spans="2:19">
      <c r="B1551" s="121"/>
      <c r="C1551" s="490"/>
      <c r="D1551" s="490" t="str">
        <f t="shared" si="73"/>
        <v/>
      </c>
      <c r="I1551" s="128"/>
      <c r="J1551" s="128"/>
      <c r="K1551" s="128"/>
      <c r="L1551" s="128"/>
      <c r="M1551" s="389"/>
      <c r="N1551" s="389"/>
      <c r="O1551" s="389"/>
      <c r="P1551" s="389"/>
      <c r="R1551" s="390" t="str">
        <f t="shared" si="75"/>
        <v>:</v>
      </c>
      <c r="S1551" s="181">
        <f t="shared" si="74"/>
        <v>0</v>
      </c>
    </row>
    <row r="1552" spans="2:19">
      <c r="B1552" s="121"/>
      <c r="C1552" s="490"/>
      <c r="D1552" s="490" t="str">
        <f t="shared" si="73"/>
        <v/>
      </c>
      <c r="I1552" s="128"/>
      <c r="J1552" s="128"/>
      <c r="K1552" s="128"/>
      <c r="L1552" s="128"/>
      <c r="M1552" s="389"/>
      <c r="N1552" s="389"/>
      <c r="O1552" s="389"/>
      <c r="P1552" s="389"/>
      <c r="R1552" s="390" t="str">
        <f t="shared" si="75"/>
        <v>:</v>
      </c>
      <c r="S1552" s="181">
        <f t="shared" si="74"/>
        <v>0</v>
      </c>
    </row>
    <row r="1553" spans="2:19">
      <c r="B1553" s="121"/>
      <c r="C1553" s="490"/>
      <c r="D1553" s="490" t="str">
        <f t="shared" si="73"/>
        <v/>
      </c>
      <c r="I1553" s="128"/>
      <c r="J1553" s="128"/>
      <c r="K1553" s="128"/>
      <c r="L1553" s="128"/>
      <c r="M1553" s="389"/>
      <c r="N1553" s="389"/>
      <c r="O1553" s="389"/>
      <c r="P1553" s="389"/>
      <c r="R1553" s="390" t="str">
        <f t="shared" si="75"/>
        <v>:</v>
      </c>
      <c r="S1553" s="181">
        <f t="shared" si="74"/>
        <v>0</v>
      </c>
    </row>
    <row r="1554" spans="2:19">
      <c r="B1554" s="121"/>
      <c r="C1554" s="490"/>
      <c r="D1554" s="490" t="str">
        <f t="shared" si="73"/>
        <v/>
      </c>
      <c r="I1554" s="128"/>
      <c r="J1554" s="128"/>
      <c r="K1554" s="128"/>
      <c r="L1554" s="128"/>
      <c r="M1554" s="389"/>
      <c r="N1554" s="389"/>
      <c r="O1554" s="389"/>
      <c r="P1554" s="389"/>
      <c r="R1554" s="390" t="str">
        <f t="shared" si="75"/>
        <v>:</v>
      </c>
      <c r="S1554" s="181">
        <f t="shared" si="74"/>
        <v>0</v>
      </c>
    </row>
    <row r="1555" spans="2:19">
      <c r="B1555" s="121"/>
      <c r="C1555" s="490"/>
      <c r="D1555" s="490" t="str">
        <f t="shared" si="73"/>
        <v/>
      </c>
      <c r="I1555" s="128"/>
      <c r="J1555" s="128"/>
      <c r="K1555" s="128"/>
      <c r="L1555" s="128"/>
      <c r="M1555" s="389"/>
      <c r="N1555" s="389"/>
      <c r="O1555" s="389"/>
      <c r="P1555" s="389"/>
      <c r="R1555" s="390" t="str">
        <f t="shared" si="75"/>
        <v>:</v>
      </c>
      <c r="S1555" s="181">
        <f t="shared" si="74"/>
        <v>0</v>
      </c>
    </row>
    <row r="1556" spans="2:19">
      <c r="B1556" s="121"/>
      <c r="C1556" s="490"/>
      <c r="D1556" s="490" t="str">
        <f t="shared" si="73"/>
        <v/>
      </c>
      <c r="I1556" s="128"/>
      <c r="J1556" s="128"/>
      <c r="K1556" s="128"/>
      <c r="L1556" s="128"/>
      <c r="M1556" s="389"/>
      <c r="N1556" s="389"/>
      <c r="O1556" s="389"/>
      <c r="P1556" s="389"/>
      <c r="R1556" s="390" t="str">
        <f t="shared" si="75"/>
        <v>:</v>
      </c>
      <c r="S1556" s="181">
        <f t="shared" si="74"/>
        <v>0</v>
      </c>
    </row>
    <row r="1557" spans="2:19">
      <c r="B1557" s="121"/>
      <c r="C1557" s="490"/>
      <c r="D1557" s="490" t="str">
        <f t="shared" si="73"/>
        <v/>
      </c>
      <c r="I1557" s="128"/>
      <c r="J1557" s="128"/>
      <c r="K1557" s="128"/>
      <c r="L1557" s="128"/>
      <c r="M1557" s="389"/>
      <c r="N1557" s="389"/>
      <c r="O1557" s="389"/>
      <c r="P1557" s="389"/>
      <c r="R1557" s="390" t="str">
        <f t="shared" si="75"/>
        <v>:</v>
      </c>
      <c r="S1557" s="181">
        <f t="shared" si="74"/>
        <v>0</v>
      </c>
    </row>
    <row r="1558" spans="2:19">
      <c r="B1558" s="121"/>
      <c r="C1558" s="490"/>
      <c r="D1558" s="490" t="str">
        <f t="shared" si="73"/>
        <v/>
      </c>
      <c r="I1558" s="128"/>
      <c r="J1558" s="128"/>
      <c r="K1558" s="128"/>
      <c r="L1558" s="128"/>
      <c r="M1558" s="389"/>
      <c r="N1558" s="389"/>
      <c r="O1558" s="389"/>
      <c r="P1558" s="389"/>
      <c r="R1558" s="390" t="str">
        <f t="shared" si="75"/>
        <v>:</v>
      </c>
      <c r="S1558" s="181">
        <f t="shared" si="74"/>
        <v>0</v>
      </c>
    </row>
    <row r="1559" spans="2:19">
      <c r="B1559" s="121"/>
      <c r="C1559" s="490"/>
      <c r="D1559" s="490" t="str">
        <f t="shared" si="73"/>
        <v/>
      </c>
      <c r="I1559" s="128"/>
      <c r="J1559" s="128"/>
      <c r="K1559" s="128"/>
      <c r="L1559" s="128"/>
      <c r="M1559" s="389"/>
      <c r="N1559" s="389"/>
      <c r="O1559" s="389"/>
      <c r="P1559" s="389"/>
      <c r="R1559" s="390" t="str">
        <f t="shared" si="75"/>
        <v>:</v>
      </c>
      <c r="S1559" s="181">
        <f t="shared" si="74"/>
        <v>0</v>
      </c>
    </row>
    <row r="1560" spans="2:19">
      <c r="B1560" s="121"/>
      <c r="C1560" s="490"/>
      <c r="D1560" s="490" t="str">
        <f t="shared" si="73"/>
        <v/>
      </c>
      <c r="I1560" s="128"/>
      <c r="J1560" s="128"/>
      <c r="K1560" s="128"/>
      <c r="L1560" s="128"/>
      <c r="M1560" s="389"/>
      <c r="N1560" s="389"/>
      <c r="O1560" s="389"/>
      <c r="P1560" s="389"/>
      <c r="R1560" s="390" t="str">
        <f t="shared" si="75"/>
        <v>:</v>
      </c>
      <c r="S1560" s="181">
        <f t="shared" si="74"/>
        <v>0</v>
      </c>
    </row>
    <row r="1561" spans="2:19">
      <c r="B1561" s="121"/>
      <c r="C1561" s="490"/>
      <c r="D1561" s="490" t="str">
        <f t="shared" si="73"/>
        <v/>
      </c>
      <c r="I1561" s="128"/>
      <c r="J1561" s="128"/>
      <c r="K1561" s="128"/>
      <c r="L1561" s="128"/>
      <c r="M1561" s="389"/>
      <c r="N1561" s="389"/>
      <c r="O1561" s="389"/>
      <c r="P1561" s="389"/>
      <c r="R1561" s="390" t="str">
        <f t="shared" si="75"/>
        <v>:</v>
      </c>
      <c r="S1561" s="181">
        <f t="shared" si="74"/>
        <v>0</v>
      </c>
    </row>
    <row r="1562" spans="2:19">
      <c r="B1562" s="121"/>
      <c r="C1562" s="490"/>
      <c r="D1562" s="490" t="str">
        <f t="shared" si="73"/>
        <v/>
      </c>
      <c r="I1562" s="128"/>
      <c r="J1562" s="128"/>
      <c r="K1562" s="128"/>
      <c r="L1562" s="128"/>
      <c r="M1562" s="389"/>
      <c r="N1562" s="389"/>
      <c r="O1562" s="389"/>
      <c r="P1562" s="389"/>
      <c r="R1562" s="390" t="str">
        <f t="shared" si="75"/>
        <v>:</v>
      </c>
      <c r="S1562" s="181">
        <f t="shared" si="74"/>
        <v>0</v>
      </c>
    </row>
    <row r="1563" spans="2:19">
      <c r="B1563" s="121"/>
      <c r="C1563" s="490"/>
      <c r="D1563" s="490" t="str">
        <f t="shared" si="73"/>
        <v/>
      </c>
      <c r="I1563" s="128"/>
      <c r="J1563" s="128"/>
      <c r="K1563" s="128"/>
      <c r="L1563" s="128"/>
      <c r="M1563" s="389"/>
      <c r="N1563" s="389"/>
      <c r="O1563" s="389"/>
      <c r="P1563" s="389"/>
      <c r="R1563" s="390" t="str">
        <f t="shared" si="75"/>
        <v>:</v>
      </c>
      <c r="S1563" s="181">
        <f t="shared" si="74"/>
        <v>0</v>
      </c>
    </row>
    <row r="1564" spans="2:19">
      <c r="B1564" s="121"/>
      <c r="C1564" s="490"/>
      <c r="D1564" s="490" t="str">
        <f t="shared" si="73"/>
        <v/>
      </c>
      <c r="I1564" s="128"/>
      <c r="J1564" s="128"/>
      <c r="K1564" s="128"/>
      <c r="L1564" s="128"/>
      <c r="M1564" s="389"/>
      <c r="N1564" s="389"/>
      <c r="O1564" s="389"/>
      <c r="P1564" s="389"/>
      <c r="R1564" s="390" t="str">
        <f t="shared" si="75"/>
        <v>:</v>
      </c>
      <c r="S1564" s="181">
        <f t="shared" si="74"/>
        <v>0</v>
      </c>
    </row>
    <row r="1565" spans="2:19">
      <c r="B1565" s="121"/>
      <c r="C1565" s="490"/>
      <c r="D1565" s="490" t="str">
        <f t="shared" si="73"/>
        <v/>
      </c>
      <c r="I1565" s="128"/>
      <c r="J1565" s="128"/>
      <c r="K1565" s="128"/>
      <c r="L1565" s="128"/>
      <c r="M1565" s="389"/>
      <c r="N1565" s="389"/>
      <c r="O1565" s="389"/>
      <c r="P1565" s="389"/>
      <c r="R1565" s="390" t="str">
        <f t="shared" si="75"/>
        <v>:</v>
      </c>
      <c r="S1565" s="181">
        <f t="shared" si="74"/>
        <v>0</v>
      </c>
    </row>
    <row r="1566" spans="2:19">
      <c r="B1566" s="121"/>
      <c r="C1566" s="490"/>
      <c r="D1566" s="490" t="str">
        <f t="shared" si="73"/>
        <v/>
      </c>
      <c r="I1566" s="128"/>
      <c r="J1566" s="128"/>
      <c r="K1566" s="128"/>
      <c r="L1566" s="128"/>
      <c r="M1566" s="389"/>
      <c r="N1566" s="389"/>
      <c r="O1566" s="389"/>
      <c r="P1566" s="389"/>
      <c r="R1566" s="390" t="str">
        <f t="shared" si="75"/>
        <v>:</v>
      </c>
      <c r="S1566" s="181">
        <f t="shared" si="74"/>
        <v>0</v>
      </c>
    </row>
    <row r="1567" spans="2:19">
      <c r="B1567" s="121"/>
      <c r="C1567" s="490"/>
      <c r="D1567" s="490" t="str">
        <f t="shared" si="73"/>
        <v/>
      </c>
      <c r="I1567" s="128"/>
      <c r="J1567" s="128"/>
      <c r="K1567" s="128"/>
      <c r="L1567" s="128"/>
      <c r="M1567" s="389"/>
      <c r="N1567" s="389"/>
      <c r="O1567" s="389"/>
      <c r="P1567" s="389"/>
      <c r="R1567" s="390" t="str">
        <f t="shared" si="75"/>
        <v>:</v>
      </c>
      <c r="S1567" s="181">
        <f t="shared" si="74"/>
        <v>0</v>
      </c>
    </row>
    <row r="1568" spans="2:19">
      <c r="B1568" s="121"/>
      <c r="C1568" s="490"/>
      <c r="D1568" s="490" t="str">
        <f t="shared" si="73"/>
        <v/>
      </c>
      <c r="I1568" s="128"/>
      <c r="J1568" s="128"/>
      <c r="K1568" s="128"/>
      <c r="L1568" s="128"/>
      <c r="M1568" s="389"/>
      <c r="N1568" s="389"/>
      <c r="O1568" s="389"/>
      <c r="P1568" s="389"/>
      <c r="R1568" s="390" t="str">
        <f t="shared" si="75"/>
        <v>:</v>
      </c>
      <c r="S1568" s="181">
        <f t="shared" si="74"/>
        <v>0</v>
      </c>
    </row>
    <row r="1569" spans="2:19">
      <c r="B1569" s="121"/>
      <c r="C1569" s="490"/>
      <c r="D1569" s="490" t="str">
        <f t="shared" si="73"/>
        <v/>
      </c>
      <c r="I1569" s="128"/>
      <c r="J1569" s="128"/>
      <c r="K1569" s="128"/>
      <c r="L1569" s="128"/>
      <c r="M1569" s="389"/>
      <c r="N1569" s="389"/>
      <c r="O1569" s="389"/>
      <c r="P1569" s="389"/>
      <c r="R1569" s="390" t="str">
        <f t="shared" si="75"/>
        <v>:</v>
      </c>
      <c r="S1569" s="181">
        <f t="shared" si="74"/>
        <v>0</v>
      </c>
    </row>
    <row r="1570" spans="2:19">
      <c r="B1570" s="121"/>
      <c r="C1570" s="490"/>
      <c r="D1570" s="490" t="str">
        <f t="shared" si="73"/>
        <v/>
      </c>
      <c r="I1570" s="128"/>
      <c r="J1570" s="128"/>
      <c r="K1570" s="128"/>
      <c r="L1570" s="128"/>
      <c r="M1570" s="389"/>
      <c r="N1570" s="389"/>
      <c r="O1570" s="389"/>
      <c r="P1570" s="389"/>
      <c r="R1570" s="390" t="str">
        <f t="shared" si="75"/>
        <v>:</v>
      </c>
      <c r="S1570" s="181">
        <f t="shared" si="74"/>
        <v>0</v>
      </c>
    </row>
    <row r="1571" spans="2:19">
      <c r="B1571" s="121"/>
      <c r="C1571" s="490"/>
      <c r="D1571" s="490" t="str">
        <f t="shared" si="73"/>
        <v/>
      </c>
      <c r="I1571" s="128"/>
      <c r="J1571" s="128"/>
      <c r="K1571" s="128"/>
      <c r="L1571" s="128"/>
      <c r="M1571" s="389"/>
      <c r="N1571" s="389"/>
      <c r="O1571" s="389"/>
      <c r="P1571" s="389"/>
      <c r="R1571" s="390" t="str">
        <f t="shared" si="75"/>
        <v>:</v>
      </c>
      <c r="S1571" s="181">
        <f t="shared" si="74"/>
        <v>0</v>
      </c>
    </row>
    <row r="1572" spans="2:19">
      <c r="B1572" s="121"/>
      <c r="C1572" s="490"/>
      <c r="D1572" s="490" t="str">
        <f t="shared" si="73"/>
        <v/>
      </c>
      <c r="I1572" s="128"/>
      <c r="J1572" s="128"/>
      <c r="K1572" s="128"/>
      <c r="L1572" s="128"/>
      <c r="M1572" s="389"/>
      <c r="N1572" s="389"/>
      <c r="O1572" s="389"/>
      <c r="P1572" s="389"/>
      <c r="R1572" s="390" t="str">
        <f t="shared" si="75"/>
        <v>:</v>
      </c>
      <c r="S1572" s="181">
        <f t="shared" si="74"/>
        <v>0</v>
      </c>
    </row>
    <row r="1573" spans="2:19">
      <c r="B1573" s="121"/>
      <c r="C1573" s="490"/>
      <c r="D1573" s="490" t="str">
        <f t="shared" si="73"/>
        <v/>
      </c>
      <c r="I1573" s="128"/>
      <c r="J1573" s="128"/>
      <c r="K1573" s="128"/>
      <c r="L1573" s="128"/>
      <c r="M1573" s="389"/>
      <c r="N1573" s="389"/>
      <c r="O1573" s="389"/>
      <c r="P1573" s="389"/>
      <c r="R1573" s="390" t="str">
        <f t="shared" si="75"/>
        <v>:</v>
      </c>
      <c r="S1573" s="181">
        <f t="shared" si="74"/>
        <v>0</v>
      </c>
    </row>
    <row r="1574" spans="2:19">
      <c r="B1574" s="121"/>
      <c r="C1574" s="490"/>
      <c r="D1574" s="490" t="str">
        <f t="shared" si="73"/>
        <v/>
      </c>
      <c r="I1574" s="128"/>
      <c r="J1574" s="128"/>
      <c r="K1574" s="128"/>
      <c r="L1574" s="128"/>
      <c r="M1574" s="389"/>
      <c r="N1574" s="389"/>
      <c r="O1574" s="389"/>
      <c r="P1574" s="389"/>
      <c r="R1574" s="390" t="str">
        <f t="shared" si="75"/>
        <v>:</v>
      </c>
      <c r="S1574" s="181">
        <f t="shared" si="74"/>
        <v>0</v>
      </c>
    </row>
    <row r="1575" spans="2:19">
      <c r="B1575" s="121"/>
      <c r="C1575" s="490"/>
      <c r="D1575" s="490" t="str">
        <f t="shared" si="73"/>
        <v/>
      </c>
      <c r="I1575" s="128"/>
      <c r="J1575" s="128"/>
      <c r="K1575" s="128"/>
      <c r="L1575" s="128"/>
      <c r="M1575" s="389"/>
      <c r="N1575" s="389"/>
      <c r="O1575" s="389"/>
      <c r="P1575" s="389"/>
      <c r="R1575" s="390" t="str">
        <f t="shared" si="75"/>
        <v>:</v>
      </c>
      <c r="S1575" s="181">
        <f t="shared" si="74"/>
        <v>0</v>
      </c>
    </row>
    <row r="1576" spans="2:19">
      <c r="B1576" s="121"/>
      <c r="C1576" s="490"/>
      <c r="D1576" s="490" t="str">
        <f t="shared" si="73"/>
        <v/>
      </c>
      <c r="I1576" s="128"/>
      <c r="J1576" s="128"/>
      <c r="K1576" s="128"/>
      <c r="L1576" s="128"/>
      <c r="M1576" s="389"/>
      <c r="N1576" s="389"/>
      <c r="O1576" s="389"/>
      <c r="P1576" s="389"/>
      <c r="R1576" s="390" t="str">
        <f t="shared" si="75"/>
        <v>:</v>
      </c>
      <c r="S1576" s="181">
        <f t="shared" si="74"/>
        <v>0</v>
      </c>
    </row>
    <row r="1577" spans="2:19">
      <c r="B1577" s="121"/>
      <c r="C1577" s="490"/>
      <c r="D1577" s="490" t="str">
        <f t="shared" si="73"/>
        <v/>
      </c>
      <c r="I1577" s="128"/>
      <c r="J1577" s="128"/>
      <c r="K1577" s="128"/>
      <c r="L1577" s="128"/>
      <c r="M1577" s="389"/>
      <c r="N1577" s="389"/>
      <c r="O1577" s="389"/>
      <c r="P1577" s="389"/>
      <c r="R1577" s="390" t="str">
        <f t="shared" si="75"/>
        <v>:</v>
      </c>
      <c r="S1577" s="181">
        <f t="shared" si="74"/>
        <v>0</v>
      </c>
    </row>
    <row r="1578" spans="2:19">
      <c r="B1578" s="121"/>
      <c r="C1578" s="490"/>
      <c r="D1578" s="490" t="str">
        <f t="shared" si="73"/>
        <v/>
      </c>
      <c r="I1578" s="128"/>
      <c r="J1578" s="128"/>
      <c r="K1578" s="128"/>
      <c r="L1578" s="128"/>
      <c r="M1578" s="389"/>
      <c r="N1578" s="389"/>
      <c r="O1578" s="389"/>
      <c r="P1578" s="389"/>
      <c r="R1578" s="390" t="str">
        <f t="shared" si="75"/>
        <v>:</v>
      </c>
      <c r="S1578" s="181">
        <f t="shared" si="74"/>
        <v>0</v>
      </c>
    </row>
    <row r="1579" spans="2:19">
      <c r="B1579" s="121"/>
      <c r="C1579" s="490"/>
      <c r="D1579" s="490" t="str">
        <f t="shared" si="73"/>
        <v/>
      </c>
      <c r="I1579" s="128"/>
      <c r="J1579" s="128"/>
      <c r="K1579" s="128"/>
      <c r="L1579" s="128"/>
      <c r="M1579" s="389"/>
      <c r="N1579" s="389"/>
      <c r="O1579" s="389"/>
      <c r="P1579" s="389"/>
      <c r="R1579" s="390" t="str">
        <f t="shared" si="75"/>
        <v>:</v>
      </c>
      <c r="S1579" s="181">
        <f t="shared" si="74"/>
        <v>0</v>
      </c>
    </row>
    <row r="1580" spans="2:19">
      <c r="B1580" s="121"/>
      <c r="C1580" s="490"/>
      <c r="D1580" s="490" t="str">
        <f t="shared" si="73"/>
        <v/>
      </c>
      <c r="I1580" s="128"/>
      <c r="J1580" s="128"/>
      <c r="K1580" s="128"/>
      <c r="L1580" s="128"/>
      <c r="M1580" s="389"/>
      <c r="N1580" s="389"/>
      <c r="O1580" s="389"/>
      <c r="P1580" s="389"/>
      <c r="R1580" s="390" t="str">
        <f t="shared" si="75"/>
        <v>:</v>
      </c>
      <c r="S1580" s="181">
        <f t="shared" si="74"/>
        <v>0</v>
      </c>
    </row>
    <row r="1581" spans="2:19">
      <c r="B1581" s="121"/>
      <c r="C1581" s="490"/>
      <c r="D1581" s="490" t="str">
        <f t="shared" si="73"/>
        <v/>
      </c>
      <c r="I1581" s="128"/>
      <c r="J1581" s="128"/>
      <c r="K1581" s="128"/>
      <c r="L1581" s="128"/>
      <c r="M1581" s="389"/>
      <c r="N1581" s="389"/>
      <c r="O1581" s="389"/>
      <c r="P1581" s="389"/>
      <c r="R1581" s="390" t="str">
        <f t="shared" si="75"/>
        <v>:</v>
      </c>
      <c r="S1581" s="181">
        <f t="shared" si="74"/>
        <v>0</v>
      </c>
    </row>
    <row r="1582" spans="2:19">
      <c r="B1582" s="121"/>
      <c r="C1582" s="490"/>
      <c r="D1582" s="490" t="str">
        <f t="shared" ref="D1582:D1645" si="76">IF(B1582="","",B1582&amp;":"&amp;C1582)</f>
        <v/>
      </c>
      <c r="I1582" s="128"/>
      <c r="J1582" s="128"/>
      <c r="K1582" s="128"/>
      <c r="L1582" s="128"/>
      <c r="M1582" s="389"/>
      <c r="N1582" s="389"/>
      <c r="O1582" s="389"/>
      <c r="P1582" s="389"/>
      <c r="R1582" s="390" t="str">
        <f t="shared" si="75"/>
        <v>:</v>
      </c>
      <c r="S1582" s="181">
        <f t="shared" si="74"/>
        <v>0</v>
      </c>
    </row>
    <row r="1583" spans="2:19">
      <c r="B1583" s="121"/>
      <c r="C1583" s="490"/>
      <c r="D1583" s="490" t="str">
        <f t="shared" si="76"/>
        <v/>
      </c>
      <c r="I1583" s="128"/>
      <c r="J1583" s="128"/>
      <c r="K1583" s="128"/>
      <c r="L1583" s="128"/>
      <c r="M1583" s="389"/>
      <c r="N1583" s="389"/>
      <c r="O1583" s="389"/>
      <c r="P1583" s="389"/>
      <c r="R1583" s="390" t="str">
        <f t="shared" si="75"/>
        <v>:</v>
      </c>
      <c r="S1583" s="181">
        <f t="shared" si="74"/>
        <v>0</v>
      </c>
    </row>
    <row r="1584" spans="2:19">
      <c r="B1584" s="121"/>
      <c r="C1584" s="490"/>
      <c r="D1584" s="490" t="str">
        <f t="shared" si="76"/>
        <v/>
      </c>
      <c r="I1584" s="128"/>
      <c r="J1584" s="128"/>
      <c r="K1584" s="128"/>
      <c r="L1584" s="128"/>
      <c r="M1584" s="389"/>
      <c r="N1584" s="389"/>
      <c r="O1584" s="389"/>
      <c r="P1584" s="389"/>
      <c r="R1584" s="390" t="str">
        <f t="shared" si="75"/>
        <v>:</v>
      </c>
      <c r="S1584" s="181">
        <f t="shared" si="74"/>
        <v>0</v>
      </c>
    </row>
    <row r="1585" spans="2:19">
      <c r="B1585" s="121"/>
      <c r="C1585" s="490"/>
      <c r="D1585" s="490" t="str">
        <f t="shared" si="76"/>
        <v/>
      </c>
      <c r="I1585" s="128"/>
      <c r="J1585" s="128"/>
      <c r="K1585" s="128"/>
      <c r="L1585" s="128"/>
      <c r="M1585" s="389"/>
      <c r="N1585" s="389"/>
      <c r="O1585" s="389"/>
      <c r="P1585" s="389"/>
      <c r="R1585" s="390" t="str">
        <f t="shared" si="75"/>
        <v>:</v>
      </c>
      <c r="S1585" s="181">
        <f t="shared" si="74"/>
        <v>0</v>
      </c>
    </row>
    <row r="1586" spans="2:19">
      <c r="B1586" s="121"/>
      <c r="C1586" s="490"/>
      <c r="D1586" s="490" t="str">
        <f t="shared" si="76"/>
        <v/>
      </c>
      <c r="I1586" s="128"/>
      <c r="J1586" s="128"/>
      <c r="K1586" s="128"/>
      <c r="L1586" s="128"/>
      <c r="M1586" s="389"/>
      <c r="N1586" s="389"/>
      <c r="O1586" s="389"/>
      <c r="P1586" s="389"/>
      <c r="R1586" s="390" t="str">
        <f t="shared" si="75"/>
        <v>:</v>
      </c>
      <c r="S1586" s="181">
        <f t="shared" si="74"/>
        <v>0</v>
      </c>
    </row>
    <row r="1587" spans="2:19">
      <c r="B1587" s="121"/>
      <c r="C1587" s="490"/>
      <c r="D1587" s="490" t="str">
        <f t="shared" si="76"/>
        <v/>
      </c>
      <c r="I1587" s="128"/>
      <c r="J1587" s="128"/>
      <c r="K1587" s="128"/>
      <c r="L1587" s="128"/>
      <c r="M1587" s="389"/>
      <c r="N1587" s="389"/>
      <c r="O1587" s="389"/>
      <c r="P1587" s="389"/>
      <c r="R1587" s="390" t="str">
        <f t="shared" si="75"/>
        <v>:</v>
      </c>
      <c r="S1587" s="181">
        <f t="shared" si="74"/>
        <v>0</v>
      </c>
    </row>
    <row r="1588" spans="2:19">
      <c r="B1588" s="121"/>
      <c r="C1588" s="490"/>
      <c r="D1588" s="490" t="str">
        <f t="shared" si="76"/>
        <v/>
      </c>
      <c r="I1588" s="128"/>
      <c r="J1588" s="128"/>
      <c r="K1588" s="128"/>
      <c r="L1588" s="128"/>
      <c r="M1588" s="389"/>
      <c r="N1588" s="389"/>
      <c r="O1588" s="389"/>
      <c r="P1588" s="389"/>
      <c r="R1588" s="390" t="str">
        <f t="shared" si="75"/>
        <v>:</v>
      </c>
      <c r="S1588" s="181">
        <f t="shared" si="74"/>
        <v>0</v>
      </c>
    </row>
    <row r="1589" spans="2:19">
      <c r="B1589" s="121"/>
      <c r="C1589" s="490"/>
      <c r="D1589" s="490" t="str">
        <f t="shared" si="76"/>
        <v/>
      </c>
      <c r="I1589" s="128"/>
      <c r="J1589" s="128"/>
      <c r="K1589" s="128"/>
      <c r="L1589" s="128"/>
      <c r="M1589" s="389"/>
      <c r="N1589" s="389"/>
      <c r="O1589" s="389"/>
      <c r="P1589" s="389"/>
      <c r="R1589" s="390" t="str">
        <f t="shared" si="75"/>
        <v>:</v>
      </c>
      <c r="S1589" s="181">
        <f t="shared" si="74"/>
        <v>0</v>
      </c>
    </row>
    <row r="1590" spans="2:19">
      <c r="B1590" s="121"/>
      <c r="C1590" s="490"/>
      <c r="D1590" s="490" t="str">
        <f t="shared" si="76"/>
        <v/>
      </c>
      <c r="I1590" s="128"/>
      <c r="J1590" s="128"/>
      <c r="K1590" s="128"/>
      <c r="L1590" s="128"/>
      <c r="M1590" s="389"/>
      <c r="N1590" s="389"/>
      <c r="O1590" s="389"/>
      <c r="P1590" s="389"/>
      <c r="R1590" s="390" t="str">
        <f t="shared" si="75"/>
        <v>:</v>
      </c>
      <c r="S1590" s="181">
        <f t="shared" si="74"/>
        <v>0</v>
      </c>
    </row>
    <row r="1591" spans="2:19">
      <c r="B1591" s="121"/>
      <c r="C1591" s="490"/>
      <c r="D1591" s="490" t="str">
        <f t="shared" si="76"/>
        <v/>
      </c>
      <c r="I1591" s="128"/>
      <c r="J1591" s="128"/>
      <c r="K1591" s="128"/>
      <c r="L1591" s="128"/>
      <c r="M1591" s="389"/>
      <c r="N1591" s="389"/>
      <c r="O1591" s="389"/>
      <c r="P1591" s="389"/>
      <c r="R1591" s="390" t="str">
        <f t="shared" si="75"/>
        <v>:</v>
      </c>
      <c r="S1591" s="181">
        <f t="shared" si="74"/>
        <v>0</v>
      </c>
    </row>
    <row r="1592" spans="2:19">
      <c r="B1592" s="121"/>
      <c r="C1592" s="490"/>
      <c r="D1592" s="490" t="str">
        <f t="shared" si="76"/>
        <v/>
      </c>
      <c r="I1592" s="128"/>
      <c r="J1592" s="128"/>
      <c r="K1592" s="128"/>
      <c r="L1592" s="128"/>
      <c r="M1592" s="389"/>
      <c r="N1592" s="389"/>
      <c r="O1592" s="389"/>
      <c r="P1592" s="389"/>
      <c r="R1592" s="390" t="str">
        <f t="shared" si="75"/>
        <v>:</v>
      </c>
      <c r="S1592" s="181">
        <f t="shared" si="74"/>
        <v>0</v>
      </c>
    </row>
    <row r="1593" spans="2:19">
      <c r="B1593" s="121"/>
      <c r="C1593" s="490"/>
      <c r="D1593" s="490" t="str">
        <f t="shared" si="76"/>
        <v/>
      </c>
      <c r="I1593" s="128"/>
      <c r="J1593" s="128"/>
      <c r="K1593" s="128"/>
      <c r="L1593" s="128"/>
      <c r="M1593" s="389"/>
      <c r="N1593" s="389"/>
      <c r="O1593" s="389"/>
      <c r="P1593" s="389"/>
      <c r="R1593" s="390" t="str">
        <f t="shared" si="75"/>
        <v>:</v>
      </c>
      <c r="S1593" s="181">
        <f t="shared" si="74"/>
        <v>0</v>
      </c>
    </row>
    <row r="1594" spans="2:19">
      <c r="B1594" s="121"/>
      <c r="C1594" s="490"/>
      <c r="D1594" s="490" t="str">
        <f t="shared" si="76"/>
        <v/>
      </c>
      <c r="I1594" s="128"/>
      <c r="J1594" s="128"/>
      <c r="K1594" s="128"/>
      <c r="L1594" s="128"/>
      <c r="M1594" s="389"/>
      <c r="N1594" s="389"/>
      <c r="O1594" s="389"/>
      <c r="P1594" s="389"/>
      <c r="R1594" s="390" t="str">
        <f t="shared" si="75"/>
        <v>:</v>
      </c>
      <c r="S1594" s="181">
        <f t="shared" si="74"/>
        <v>0</v>
      </c>
    </row>
    <row r="1595" spans="2:19">
      <c r="B1595" s="121"/>
      <c r="C1595" s="490"/>
      <c r="D1595" s="490" t="str">
        <f t="shared" si="76"/>
        <v/>
      </c>
      <c r="I1595" s="128"/>
      <c r="J1595" s="128"/>
      <c r="K1595" s="128"/>
      <c r="L1595" s="128"/>
      <c r="M1595" s="389"/>
      <c r="N1595" s="389"/>
      <c r="O1595" s="389"/>
      <c r="P1595" s="389"/>
      <c r="R1595" s="390" t="str">
        <f t="shared" si="75"/>
        <v>:</v>
      </c>
      <c r="S1595" s="181">
        <f t="shared" si="74"/>
        <v>0</v>
      </c>
    </row>
    <row r="1596" spans="2:19">
      <c r="B1596" s="121"/>
      <c r="C1596" s="490"/>
      <c r="D1596" s="490" t="str">
        <f t="shared" si="76"/>
        <v/>
      </c>
      <c r="I1596" s="128"/>
      <c r="J1596" s="128"/>
      <c r="K1596" s="128"/>
      <c r="L1596" s="128"/>
      <c r="M1596" s="389"/>
      <c r="N1596" s="389"/>
      <c r="O1596" s="389"/>
      <c r="P1596" s="389"/>
      <c r="R1596" s="390" t="str">
        <f t="shared" si="75"/>
        <v>:</v>
      </c>
      <c r="S1596" s="181">
        <f t="shared" si="74"/>
        <v>0</v>
      </c>
    </row>
    <row r="1597" spans="2:19">
      <c r="B1597" s="121"/>
      <c r="C1597" s="490"/>
      <c r="D1597" s="490" t="str">
        <f t="shared" si="76"/>
        <v/>
      </c>
      <c r="I1597" s="128"/>
      <c r="J1597" s="128"/>
      <c r="K1597" s="128"/>
      <c r="L1597" s="128"/>
      <c r="M1597" s="389"/>
      <c r="N1597" s="389"/>
      <c r="O1597" s="389"/>
      <c r="P1597" s="389"/>
      <c r="R1597" s="390" t="str">
        <f t="shared" si="75"/>
        <v>:</v>
      </c>
      <c r="S1597" s="181">
        <f t="shared" si="74"/>
        <v>0</v>
      </c>
    </row>
    <row r="1598" spans="2:19">
      <c r="B1598" s="121"/>
      <c r="C1598" s="490"/>
      <c r="D1598" s="490" t="str">
        <f t="shared" si="76"/>
        <v/>
      </c>
      <c r="I1598" s="128"/>
      <c r="J1598" s="128"/>
      <c r="K1598" s="128"/>
      <c r="L1598" s="128"/>
      <c r="M1598" s="389"/>
      <c r="N1598" s="389"/>
      <c r="O1598" s="389"/>
      <c r="P1598" s="389"/>
      <c r="R1598" s="390" t="str">
        <f t="shared" si="75"/>
        <v>:</v>
      </c>
      <c r="S1598" s="181">
        <f t="shared" si="74"/>
        <v>0</v>
      </c>
    </row>
    <row r="1599" spans="2:19">
      <c r="B1599" s="121"/>
      <c r="C1599" s="490"/>
      <c r="D1599" s="490" t="str">
        <f t="shared" si="76"/>
        <v/>
      </c>
      <c r="I1599" s="128"/>
      <c r="J1599" s="128"/>
      <c r="K1599" s="128"/>
      <c r="L1599" s="128"/>
      <c r="M1599" s="389"/>
      <c r="N1599" s="389"/>
      <c r="O1599" s="389"/>
      <c r="P1599" s="389"/>
      <c r="R1599" s="390" t="str">
        <f t="shared" si="75"/>
        <v>:</v>
      </c>
      <c r="S1599" s="181">
        <f t="shared" si="74"/>
        <v>0</v>
      </c>
    </row>
    <row r="1600" spans="2:19">
      <c r="B1600" s="121"/>
      <c r="C1600" s="490"/>
      <c r="D1600" s="490" t="str">
        <f t="shared" si="76"/>
        <v/>
      </c>
      <c r="I1600" s="128"/>
      <c r="J1600" s="128"/>
      <c r="K1600" s="128"/>
      <c r="L1600" s="128"/>
      <c r="M1600" s="389"/>
      <c r="N1600" s="389"/>
      <c r="O1600" s="389"/>
      <c r="P1600" s="389"/>
      <c r="R1600" s="390" t="str">
        <f t="shared" si="75"/>
        <v>:</v>
      </c>
      <c r="S1600" s="181">
        <f t="shared" si="74"/>
        <v>0</v>
      </c>
    </row>
    <row r="1601" spans="2:19">
      <c r="B1601" s="121"/>
      <c r="C1601" s="490"/>
      <c r="D1601" s="490" t="str">
        <f t="shared" si="76"/>
        <v/>
      </c>
      <c r="I1601" s="128"/>
      <c r="J1601" s="128"/>
      <c r="K1601" s="128"/>
      <c r="L1601" s="128"/>
      <c r="M1601" s="389"/>
      <c r="N1601" s="389"/>
      <c r="O1601" s="389"/>
      <c r="P1601" s="389"/>
      <c r="R1601" s="390" t="str">
        <f t="shared" si="75"/>
        <v>:</v>
      </c>
      <c r="S1601" s="181">
        <f t="shared" si="74"/>
        <v>0</v>
      </c>
    </row>
    <row r="1602" spans="2:19">
      <c r="B1602" s="121"/>
      <c r="C1602" s="490"/>
      <c r="D1602" s="490" t="str">
        <f t="shared" si="76"/>
        <v/>
      </c>
      <c r="I1602" s="128"/>
      <c r="J1602" s="128"/>
      <c r="K1602" s="128"/>
      <c r="L1602" s="128"/>
      <c r="M1602" s="389"/>
      <c r="N1602" s="389"/>
      <c r="O1602" s="389"/>
      <c r="P1602" s="389"/>
      <c r="R1602" s="390" t="str">
        <f t="shared" si="75"/>
        <v>:</v>
      </c>
      <c r="S1602" s="181">
        <f t="shared" si="74"/>
        <v>0</v>
      </c>
    </row>
    <row r="1603" spans="2:19">
      <c r="B1603" s="121"/>
      <c r="C1603" s="490"/>
      <c r="D1603" s="490" t="str">
        <f t="shared" si="76"/>
        <v/>
      </c>
      <c r="I1603" s="128"/>
      <c r="J1603" s="128"/>
      <c r="K1603" s="128"/>
      <c r="L1603" s="128"/>
      <c r="M1603" s="389"/>
      <c r="N1603" s="389"/>
      <c r="O1603" s="389"/>
      <c r="P1603" s="389"/>
      <c r="R1603" s="390" t="str">
        <f t="shared" si="75"/>
        <v>:</v>
      </c>
      <c r="S1603" s="181">
        <f t="shared" si="74"/>
        <v>0</v>
      </c>
    </row>
    <row r="1604" spans="2:19">
      <c r="B1604" s="121"/>
      <c r="C1604" s="490"/>
      <c r="D1604" s="490" t="str">
        <f t="shared" si="76"/>
        <v/>
      </c>
      <c r="I1604" s="128"/>
      <c r="J1604" s="128"/>
      <c r="K1604" s="128"/>
      <c r="L1604" s="128"/>
      <c r="M1604" s="389"/>
      <c r="N1604" s="389"/>
      <c r="O1604" s="389"/>
      <c r="P1604" s="389"/>
      <c r="R1604" s="390" t="str">
        <f t="shared" si="75"/>
        <v>:</v>
      </c>
      <c r="S1604" s="181">
        <f t="shared" si="74"/>
        <v>0</v>
      </c>
    </row>
    <row r="1605" spans="2:19">
      <c r="B1605" s="121"/>
      <c r="C1605" s="490"/>
      <c r="D1605" s="490" t="str">
        <f t="shared" si="76"/>
        <v/>
      </c>
      <c r="I1605" s="128"/>
      <c r="J1605" s="128"/>
      <c r="K1605" s="128"/>
      <c r="L1605" s="128"/>
      <c r="M1605" s="389"/>
      <c r="N1605" s="389"/>
      <c r="O1605" s="389"/>
      <c r="P1605" s="389"/>
      <c r="R1605" s="390" t="str">
        <f t="shared" si="75"/>
        <v>:</v>
      </c>
      <c r="S1605" s="181">
        <f t="shared" si="74"/>
        <v>0</v>
      </c>
    </row>
    <row r="1606" spans="2:19">
      <c r="B1606" s="121"/>
      <c r="C1606" s="490"/>
      <c r="D1606" s="490" t="str">
        <f t="shared" si="76"/>
        <v/>
      </c>
      <c r="I1606" s="128"/>
      <c r="J1606" s="128"/>
      <c r="K1606" s="128"/>
      <c r="L1606" s="128"/>
      <c r="M1606" s="389"/>
      <c r="N1606" s="389"/>
      <c r="O1606" s="389"/>
      <c r="P1606" s="389"/>
      <c r="R1606" s="390" t="str">
        <f t="shared" si="75"/>
        <v>:</v>
      </c>
      <c r="S1606" s="181">
        <f t="shared" si="74"/>
        <v>0</v>
      </c>
    </row>
    <row r="1607" spans="2:19">
      <c r="B1607" s="121"/>
      <c r="C1607" s="490"/>
      <c r="D1607" s="490" t="str">
        <f t="shared" si="76"/>
        <v/>
      </c>
      <c r="I1607" s="128"/>
      <c r="J1607" s="128"/>
      <c r="K1607" s="128"/>
      <c r="L1607" s="128"/>
      <c r="M1607" s="389"/>
      <c r="N1607" s="389"/>
      <c r="O1607" s="389"/>
      <c r="P1607" s="389"/>
      <c r="R1607" s="390" t="str">
        <f t="shared" si="75"/>
        <v>:</v>
      </c>
      <c r="S1607" s="181">
        <f t="shared" si="74"/>
        <v>0</v>
      </c>
    </row>
    <row r="1608" spans="2:19">
      <c r="B1608" s="121"/>
      <c r="C1608" s="490"/>
      <c r="D1608" s="490" t="str">
        <f t="shared" si="76"/>
        <v/>
      </c>
      <c r="I1608" s="128"/>
      <c r="J1608" s="128"/>
      <c r="K1608" s="128"/>
      <c r="L1608" s="128"/>
      <c r="M1608" s="389"/>
      <c r="N1608" s="389"/>
      <c r="O1608" s="389"/>
      <c r="P1608" s="389"/>
      <c r="R1608" s="390" t="str">
        <f t="shared" si="75"/>
        <v>:</v>
      </c>
      <c r="S1608" s="181">
        <f t="shared" si="74"/>
        <v>0</v>
      </c>
    </row>
    <row r="1609" spans="2:19">
      <c r="B1609" s="121"/>
      <c r="C1609" s="490"/>
      <c r="D1609" s="490" t="str">
        <f t="shared" si="76"/>
        <v/>
      </c>
      <c r="I1609" s="128"/>
      <c r="J1609" s="128"/>
      <c r="K1609" s="128"/>
      <c r="L1609" s="128"/>
      <c r="M1609" s="389"/>
      <c r="N1609" s="389"/>
      <c r="O1609" s="389"/>
      <c r="P1609" s="389"/>
      <c r="R1609" s="390" t="str">
        <f t="shared" si="75"/>
        <v>:</v>
      </c>
      <c r="S1609" s="181">
        <f t="shared" si="74"/>
        <v>0</v>
      </c>
    </row>
    <row r="1610" spans="2:19">
      <c r="B1610" s="121"/>
      <c r="C1610" s="490"/>
      <c r="D1610" s="490" t="str">
        <f t="shared" si="76"/>
        <v/>
      </c>
      <c r="I1610" s="128"/>
      <c r="J1610" s="128"/>
      <c r="K1610" s="128"/>
      <c r="L1610" s="128"/>
      <c r="M1610" s="389"/>
      <c r="N1610" s="389"/>
      <c r="O1610" s="389"/>
      <c r="P1610" s="389"/>
      <c r="R1610" s="390" t="str">
        <f t="shared" si="75"/>
        <v>:</v>
      </c>
      <c r="S1610" s="181">
        <f t="shared" ref="S1610:S1673" si="77">HLOOKUP($S$8,$L$8:$P$2000,ROW()-7,FALSE)</f>
        <v>0</v>
      </c>
    </row>
    <row r="1611" spans="2:19">
      <c r="B1611" s="121"/>
      <c r="C1611" s="490"/>
      <c r="D1611" s="490" t="str">
        <f t="shared" si="76"/>
        <v/>
      </c>
      <c r="I1611" s="128"/>
      <c r="J1611" s="128"/>
      <c r="K1611" s="128"/>
      <c r="L1611" s="128"/>
      <c r="M1611" s="389"/>
      <c r="N1611" s="389"/>
      <c r="O1611" s="389"/>
      <c r="P1611" s="389"/>
      <c r="R1611" s="390" t="str">
        <f t="shared" si="75"/>
        <v>:</v>
      </c>
      <c r="S1611" s="181">
        <f t="shared" si="77"/>
        <v>0</v>
      </c>
    </row>
    <row r="1612" spans="2:19">
      <c r="B1612" s="121"/>
      <c r="C1612" s="490"/>
      <c r="D1612" s="490" t="str">
        <f t="shared" si="76"/>
        <v/>
      </c>
      <c r="I1612" s="128"/>
      <c r="J1612" s="128"/>
      <c r="K1612" s="128"/>
      <c r="L1612" s="128"/>
      <c r="M1612" s="389"/>
      <c r="N1612" s="389"/>
      <c r="O1612" s="389"/>
      <c r="P1612" s="389"/>
      <c r="R1612" s="390" t="str">
        <f t="shared" si="75"/>
        <v>:</v>
      </c>
      <c r="S1612" s="181">
        <f t="shared" si="77"/>
        <v>0</v>
      </c>
    </row>
    <row r="1613" spans="2:19">
      <c r="B1613" s="121"/>
      <c r="C1613" s="490"/>
      <c r="D1613" s="490" t="str">
        <f t="shared" si="76"/>
        <v/>
      </c>
      <c r="I1613" s="128"/>
      <c r="J1613" s="128"/>
      <c r="K1613" s="128"/>
      <c r="L1613" s="128"/>
      <c r="M1613" s="389"/>
      <c r="N1613" s="389"/>
      <c r="O1613" s="389"/>
      <c r="P1613" s="389"/>
      <c r="R1613" s="390" t="str">
        <f t="shared" ref="R1613:R1676" si="78">I1613&amp;":"&amp;J1613&amp;K1613</f>
        <v>:</v>
      </c>
      <c r="S1613" s="181">
        <f t="shared" si="77"/>
        <v>0</v>
      </c>
    </row>
    <row r="1614" spans="2:19">
      <c r="B1614" s="121"/>
      <c r="C1614" s="490"/>
      <c r="D1614" s="490" t="str">
        <f t="shared" si="76"/>
        <v/>
      </c>
      <c r="I1614" s="128"/>
      <c r="J1614" s="128"/>
      <c r="K1614" s="128"/>
      <c r="L1614" s="128"/>
      <c r="M1614" s="389"/>
      <c r="N1614" s="389"/>
      <c r="O1614" s="389"/>
      <c r="P1614" s="389"/>
      <c r="R1614" s="390" t="str">
        <f t="shared" si="78"/>
        <v>:</v>
      </c>
      <c r="S1614" s="181">
        <f t="shared" si="77"/>
        <v>0</v>
      </c>
    </row>
    <row r="1615" spans="2:19">
      <c r="B1615" s="121"/>
      <c r="C1615" s="490"/>
      <c r="D1615" s="490" t="str">
        <f t="shared" si="76"/>
        <v/>
      </c>
      <c r="I1615" s="128"/>
      <c r="J1615" s="128"/>
      <c r="K1615" s="128"/>
      <c r="L1615" s="128"/>
      <c r="M1615" s="389"/>
      <c r="N1615" s="389"/>
      <c r="O1615" s="389"/>
      <c r="P1615" s="389"/>
      <c r="R1615" s="390" t="str">
        <f t="shared" si="78"/>
        <v>:</v>
      </c>
      <c r="S1615" s="181">
        <f t="shared" si="77"/>
        <v>0</v>
      </c>
    </row>
    <row r="1616" spans="2:19">
      <c r="B1616" s="121"/>
      <c r="C1616" s="490"/>
      <c r="D1616" s="490" t="str">
        <f t="shared" si="76"/>
        <v/>
      </c>
      <c r="I1616" s="128"/>
      <c r="J1616" s="128"/>
      <c r="K1616" s="128"/>
      <c r="L1616" s="128"/>
      <c r="M1616" s="389"/>
      <c r="N1616" s="389"/>
      <c r="O1616" s="389"/>
      <c r="P1616" s="389"/>
      <c r="R1616" s="390" t="str">
        <f t="shared" si="78"/>
        <v>:</v>
      </c>
      <c r="S1616" s="181">
        <f t="shared" si="77"/>
        <v>0</v>
      </c>
    </row>
    <row r="1617" spans="2:19">
      <c r="B1617" s="121"/>
      <c r="C1617" s="490"/>
      <c r="D1617" s="490" t="str">
        <f t="shared" si="76"/>
        <v/>
      </c>
      <c r="I1617" s="128"/>
      <c r="J1617" s="128"/>
      <c r="K1617" s="128"/>
      <c r="L1617" s="128"/>
      <c r="M1617" s="389"/>
      <c r="N1617" s="389"/>
      <c r="O1617" s="389"/>
      <c r="P1617" s="389"/>
      <c r="R1617" s="390" t="str">
        <f t="shared" si="78"/>
        <v>:</v>
      </c>
      <c r="S1617" s="181">
        <f t="shared" si="77"/>
        <v>0</v>
      </c>
    </row>
    <row r="1618" spans="2:19">
      <c r="B1618" s="121"/>
      <c r="C1618" s="490"/>
      <c r="D1618" s="490" t="str">
        <f t="shared" si="76"/>
        <v/>
      </c>
      <c r="I1618" s="128"/>
      <c r="J1618" s="128"/>
      <c r="K1618" s="128"/>
      <c r="L1618" s="128"/>
      <c r="M1618" s="389"/>
      <c r="N1618" s="389"/>
      <c r="O1618" s="389"/>
      <c r="P1618" s="389"/>
      <c r="R1618" s="390" t="str">
        <f t="shared" si="78"/>
        <v>:</v>
      </c>
      <c r="S1618" s="181">
        <f t="shared" si="77"/>
        <v>0</v>
      </c>
    </row>
    <row r="1619" spans="2:19">
      <c r="B1619" s="121"/>
      <c r="C1619" s="490"/>
      <c r="D1619" s="490" t="str">
        <f t="shared" si="76"/>
        <v/>
      </c>
      <c r="I1619" s="128"/>
      <c r="J1619" s="128"/>
      <c r="K1619" s="128"/>
      <c r="L1619" s="128"/>
      <c r="M1619" s="389"/>
      <c r="N1619" s="389"/>
      <c r="O1619" s="389"/>
      <c r="P1619" s="389"/>
      <c r="R1619" s="390" t="str">
        <f t="shared" si="78"/>
        <v>:</v>
      </c>
      <c r="S1619" s="181">
        <f t="shared" si="77"/>
        <v>0</v>
      </c>
    </row>
    <row r="1620" spans="2:19">
      <c r="B1620" s="121"/>
      <c r="C1620" s="490"/>
      <c r="D1620" s="490" t="str">
        <f t="shared" si="76"/>
        <v/>
      </c>
      <c r="I1620" s="128"/>
      <c r="J1620" s="128"/>
      <c r="K1620" s="128"/>
      <c r="L1620" s="128"/>
      <c r="M1620" s="389"/>
      <c r="N1620" s="389"/>
      <c r="O1620" s="389"/>
      <c r="P1620" s="389"/>
      <c r="R1620" s="390" t="str">
        <f t="shared" si="78"/>
        <v>:</v>
      </c>
      <c r="S1620" s="181">
        <f t="shared" si="77"/>
        <v>0</v>
      </c>
    </row>
    <row r="1621" spans="2:19">
      <c r="B1621" s="121"/>
      <c r="C1621" s="490"/>
      <c r="D1621" s="490" t="str">
        <f t="shared" si="76"/>
        <v/>
      </c>
      <c r="I1621" s="128"/>
      <c r="J1621" s="128"/>
      <c r="K1621" s="128"/>
      <c r="L1621" s="128"/>
      <c r="M1621" s="389"/>
      <c r="N1621" s="389"/>
      <c r="O1621" s="389"/>
      <c r="P1621" s="389"/>
      <c r="R1621" s="390" t="str">
        <f t="shared" si="78"/>
        <v>:</v>
      </c>
      <c r="S1621" s="181">
        <f t="shared" si="77"/>
        <v>0</v>
      </c>
    </row>
    <row r="1622" spans="2:19">
      <c r="B1622" s="121"/>
      <c r="C1622" s="490"/>
      <c r="D1622" s="490" t="str">
        <f t="shared" si="76"/>
        <v/>
      </c>
      <c r="I1622" s="128"/>
      <c r="J1622" s="128"/>
      <c r="K1622" s="128"/>
      <c r="L1622" s="128"/>
      <c r="M1622" s="389"/>
      <c r="N1622" s="389"/>
      <c r="O1622" s="389"/>
      <c r="P1622" s="389"/>
      <c r="R1622" s="390" t="str">
        <f t="shared" si="78"/>
        <v>:</v>
      </c>
      <c r="S1622" s="181">
        <f t="shared" si="77"/>
        <v>0</v>
      </c>
    </row>
    <row r="1623" spans="2:19">
      <c r="B1623" s="121"/>
      <c r="C1623" s="490"/>
      <c r="D1623" s="490" t="str">
        <f t="shared" si="76"/>
        <v/>
      </c>
      <c r="I1623" s="128"/>
      <c r="J1623" s="128"/>
      <c r="K1623" s="128"/>
      <c r="L1623" s="128"/>
      <c r="M1623" s="389"/>
      <c r="N1623" s="389"/>
      <c r="O1623" s="389"/>
      <c r="P1623" s="389"/>
      <c r="R1623" s="390" t="str">
        <f t="shared" si="78"/>
        <v>:</v>
      </c>
      <c r="S1623" s="181">
        <f t="shared" si="77"/>
        <v>0</v>
      </c>
    </row>
    <row r="1624" spans="2:19">
      <c r="B1624" s="121"/>
      <c r="C1624" s="490"/>
      <c r="D1624" s="490" t="str">
        <f t="shared" si="76"/>
        <v/>
      </c>
      <c r="I1624" s="128"/>
      <c r="J1624" s="128"/>
      <c r="K1624" s="128"/>
      <c r="L1624" s="128"/>
      <c r="M1624" s="389"/>
      <c r="N1624" s="389"/>
      <c r="O1624" s="389"/>
      <c r="P1624" s="389"/>
      <c r="R1624" s="390" t="str">
        <f t="shared" si="78"/>
        <v>:</v>
      </c>
      <c r="S1624" s="181">
        <f t="shared" si="77"/>
        <v>0</v>
      </c>
    </row>
    <row r="1625" spans="2:19">
      <c r="B1625" s="121"/>
      <c r="C1625" s="490"/>
      <c r="D1625" s="490" t="str">
        <f t="shared" si="76"/>
        <v/>
      </c>
      <c r="I1625" s="128"/>
      <c r="J1625" s="128"/>
      <c r="K1625" s="128"/>
      <c r="L1625" s="128"/>
      <c r="M1625" s="389"/>
      <c r="N1625" s="389"/>
      <c r="O1625" s="389"/>
      <c r="P1625" s="389"/>
      <c r="R1625" s="390" t="str">
        <f t="shared" si="78"/>
        <v>:</v>
      </c>
      <c r="S1625" s="181">
        <f t="shared" si="77"/>
        <v>0</v>
      </c>
    </row>
    <row r="1626" spans="2:19">
      <c r="B1626" s="121"/>
      <c r="C1626" s="490"/>
      <c r="D1626" s="490" t="str">
        <f t="shared" si="76"/>
        <v/>
      </c>
      <c r="I1626" s="128"/>
      <c r="J1626" s="128"/>
      <c r="K1626" s="128"/>
      <c r="L1626" s="128"/>
      <c r="M1626" s="389"/>
      <c r="N1626" s="389"/>
      <c r="O1626" s="389"/>
      <c r="P1626" s="389"/>
      <c r="R1626" s="390" t="str">
        <f t="shared" si="78"/>
        <v>:</v>
      </c>
      <c r="S1626" s="181">
        <f t="shared" si="77"/>
        <v>0</v>
      </c>
    </row>
    <row r="1627" spans="2:19">
      <c r="B1627" s="121"/>
      <c r="C1627" s="490"/>
      <c r="D1627" s="490" t="str">
        <f t="shared" si="76"/>
        <v/>
      </c>
      <c r="I1627" s="128"/>
      <c r="J1627" s="128"/>
      <c r="K1627" s="128"/>
      <c r="L1627" s="128"/>
      <c r="M1627" s="389"/>
      <c r="N1627" s="389"/>
      <c r="O1627" s="389"/>
      <c r="P1627" s="389"/>
      <c r="R1627" s="390" t="str">
        <f t="shared" si="78"/>
        <v>:</v>
      </c>
      <c r="S1627" s="181">
        <f t="shared" si="77"/>
        <v>0</v>
      </c>
    </row>
    <row r="1628" spans="2:19">
      <c r="B1628" s="121"/>
      <c r="C1628" s="490"/>
      <c r="D1628" s="490" t="str">
        <f t="shared" si="76"/>
        <v/>
      </c>
      <c r="I1628" s="128"/>
      <c r="J1628" s="128"/>
      <c r="K1628" s="128"/>
      <c r="L1628" s="128"/>
      <c r="M1628" s="389"/>
      <c r="N1628" s="389"/>
      <c r="O1628" s="389"/>
      <c r="P1628" s="389"/>
      <c r="R1628" s="390" t="str">
        <f t="shared" si="78"/>
        <v>:</v>
      </c>
      <c r="S1628" s="181">
        <f t="shared" si="77"/>
        <v>0</v>
      </c>
    </row>
    <row r="1629" spans="2:19">
      <c r="B1629" s="121"/>
      <c r="C1629" s="490"/>
      <c r="D1629" s="490" t="str">
        <f t="shared" si="76"/>
        <v/>
      </c>
      <c r="I1629" s="128"/>
      <c r="J1629" s="128"/>
      <c r="K1629" s="128"/>
      <c r="L1629" s="128"/>
      <c r="M1629" s="389"/>
      <c r="N1629" s="389"/>
      <c r="O1629" s="389"/>
      <c r="P1629" s="389"/>
      <c r="R1629" s="390" t="str">
        <f t="shared" si="78"/>
        <v>:</v>
      </c>
      <c r="S1629" s="181">
        <f t="shared" si="77"/>
        <v>0</v>
      </c>
    </row>
    <row r="1630" spans="2:19">
      <c r="B1630" s="121"/>
      <c r="C1630" s="490"/>
      <c r="D1630" s="490" t="str">
        <f t="shared" si="76"/>
        <v/>
      </c>
      <c r="I1630" s="128"/>
      <c r="J1630" s="128"/>
      <c r="K1630" s="128"/>
      <c r="L1630" s="128"/>
      <c r="M1630" s="389"/>
      <c r="N1630" s="389"/>
      <c r="O1630" s="389"/>
      <c r="P1630" s="389"/>
      <c r="R1630" s="390" t="str">
        <f t="shared" si="78"/>
        <v>:</v>
      </c>
      <c r="S1630" s="181">
        <f t="shared" si="77"/>
        <v>0</v>
      </c>
    </row>
    <row r="1631" spans="2:19">
      <c r="B1631" s="121"/>
      <c r="C1631" s="490"/>
      <c r="D1631" s="490" t="str">
        <f t="shared" si="76"/>
        <v/>
      </c>
      <c r="I1631" s="128"/>
      <c r="J1631" s="128"/>
      <c r="K1631" s="128"/>
      <c r="L1631" s="128"/>
      <c r="M1631" s="389"/>
      <c r="N1631" s="389"/>
      <c r="O1631" s="389"/>
      <c r="P1631" s="389"/>
      <c r="R1631" s="390" t="str">
        <f t="shared" si="78"/>
        <v>:</v>
      </c>
      <c r="S1631" s="181">
        <f t="shared" si="77"/>
        <v>0</v>
      </c>
    </row>
    <row r="1632" spans="2:19">
      <c r="B1632" s="121"/>
      <c r="C1632" s="490"/>
      <c r="D1632" s="490" t="str">
        <f t="shared" si="76"/>
        <v/>
      </c>
      <c r="I1632" s="128"/>
      <c r="J1632" s="128"/>
      <c r="K1632" s="128"/>
      <c r="L1632" s="128"/>
      <c r="M1632" s="389"/>
      <c r="N1632" s="389"/>
      <c r="O1632" s="389"/>
      <c r="P1632" s="389"/>
      <c r="R1632" s="390" t="str">
        <f t="shared" si="78"/>
        <v>:</v>
      </c>
      <c r="S1632" s="181">
        <f t="shared" si="77"/>
        <v>0</v>
      </c>
    </row>
    <row r="1633" spans="2:19">
      <c r="B1633" s="121"/>
      <c r="C1633" s="490"/>
      <c r="D1633" s="490" t="str">
        <f t="shared" si="76"/>
        <v/>
      </c>
      <c r="I1633" s="128"/>
      <c r="J1633" s="128"/>
      <c r="K1633" s="128"/>
      <c r="L1633" s="128"/>
      <c r="M1633" s="389"/>
      <c r="N1633" s="389"/>
      <c r="O1633" s="389"/>
      <c r="P1633" s="389"/>
      <c r="R1633" s="390" t="str">
        <f t="shared" si="78"/>
        <v>:</v>
      </c>
      <c r="S1633" s="181">
        <f t="shared" si="77"/>
        <v>0</v>
      </c>
    </row>
    <row r="1634" spans="2:19">
      <c r="B1634" s="121"/>
      <c r="C1634" s="490"/>
      <c r="D1634" s="490" t="str">
        <f t="shared" si="76"/>
        <v/>
      </c>
      <c r="I1634" s="128"/>
      <c r="J1634" s="128"/>
      <c r="K1634" s="128"/>
      <c r="L1634" s="128"/>
      <c r="M1634" s="389"/>
      <c r="N1634" s="389"/>
      <c r="O1634" s="389"/>
      <c r="P1634" s="389"/>
      <c r="R1634" s="390" t="str">
        <f t="shared" si="78"/>
        <v>:</v>
      </c>
      <c r="S1634" s="181">
        <f t="shared" si="77"/>
        <v>0</v>
      </c>
    </row>
    <row r="1635" spans="2:19">
      <c r="B1635" s="121"/>
      <c r="C1635" s="490"/>
      <c r="D1635" s="490" t="str">
        <f t="shared" si="76"/>
        <v/>
      </c>
      <c r="I1635" s="128"/>
      <c r="J1635" s="128"/>
      <c r="K1635" s="128"/>
      <c r="L1635" s="128"/>
      <c r="M1635" s="389"/>
      <c r="N1635" s="389"/>
      <c r="O1635" s="389"/>
      <c r="P1635" s="389"/>
      <c r="R1635" s="390" t="str">
        <f t="shared" si="78"/>
        <v>:</v>
      </c>
      <c r="S1635" s="181">
        <f t="shared" si="77"/>
        <v>0</v>
      </c>
    </row>
    <row r="1636" spans="2:19">
      <c r="B1636" s="121"/>
      <c r="C1636" s="490"/>
      <c r="D1636" s="490" t="str">
        <f t="shared" si="76"/>
        <v/>
      </c>
      <c r="I1636" s="128"/>
      <c r="J1636" s="128"/>
      <c r="K1636" s="128"/>
      <c r="L1636" s="128"/>
      <c r="M1636" s="389"/>
      <c r="N1636" s="389"/>
      <c r="O1636" s="389"/>
      <c r="P1636" s="389"/>
      <c r="R1636" s="390" t="str">
        <f t="shared" si="78"/>
        <v>:</v>
      </c>
      <c r="S1636" s="181">
        <f t="shared" si="77"/>
        <v>0</v>
      </c>
    </row>
    <row r="1637" spans="2:19">
      <c r="B1637" s="121"/>
      <c r="C1637" s="490"/>
      <c r="D1637" s="490" t="str">
        <f t="shared" si="76"/>
        <v/>
      </c>
      <c r="I1637" s="128"/>
      <c r="J1637" s="128"/>
      <c r="K1637" s="128"/>
      <c r="L1637" s="128"/>
      <c r="M1637" s="389"/>
      <c r="N1637" s="389"/>
      <c r="O1637" s="389"/>
      <c r="P1637" s="389"/>
      <c r="R1637" s="390" t="str">
        <f t="shared" si="78"/>
        <v>:</v>
      </c>
      <c r="S1637" s="181">
        <f t="shared" si="77"/>
        <v>0</v>
      </c>
    </row>
    <row r="1638" spans="2:19">
      <c r="B1638" s="121"/>
      <c r="C1638" s="490"/>
      <c r="D1638" s="490" t="str">
        <f t="shared" si="76"/>
        <v/>
      </c>
      <c r="I1638" s="128"/>
      <c r="J1638" s="128"/>
      <c r="K1638" s="128"/>
      <c r="L1638" s="128"/>
      <c r="M1638" s="389"/>
      <c r="N1638" s="389"/>
      <c r="O1638" s="389"/>
      <c r="P1638" s="389"/>
      <c r="R1638" s="390" t="str">
        <f t="shared" si="78"/>
        <v>:</v>
      </c>
      <c r="S1638" s="181">
        <f t="shared" si="77"/>
        <v>0</v>
      </c>
    </row>
    <row r="1639" spans="2:19">
      <c r="B1639" s="121"/>
      <c r="C1639" s="490"/>
      <c r="D1639" s="490" t="str">
        <f t="shared" si="76"/>
        <v/>
      </c>
      <c r="I1639" s="128"/>
      <c r="J1639" s="128"/>
      <c r="K1639" s="128"/>
      <c r="L1639" s="128"/>
      <c r="M1639" s="389"/>
      <c r="N1639" s="389"/>
      <c r="O1639" s="389"/>
      <c r="P1639" s="389"/>
      <c r="R1639" s="390" t="str">
        <f t="shared" si="78"/>
        <v>:</v>
      </c>
      <c r="S1639" s="181">
        <f t="shared" si="77"/>
        <v>0</v>
      </c>
    </row>
    <row r="1640" spans="2:19">
      <c r="B1640" s="121"/>
      <c r="C1640" s="490"/>
      <c r="D1640" s="490" t="str">
        <f t="shared" si="76"/>
        <v/>
      </c>
      <c r="I1640" s="128"/>
      <c r="J1640" s="128"/>
      <c r="K1640" s="128"/>
      <c r="L1640" s="128"/>
      <c r="M1640" s="389"/>
      <c r="N1640" s="389"/>
      <c r="O1640" s="389"/>
      <c r="P1640" s="389"/>
      <c r="R1640" s="390" t="str">
        <f t="shared" si="78"/>
        <v>:</v>
      </c>
      <c r="S1640" s="181">
        <f t="shared" si="77"/>
        <v>0</v>
      </c>
    </row>
    <row r="1641" spans="2:19">
      <c r="B1641" s="121"/>
      <c r="C1641" s="490"/>
      <c r="D1641" s="490" t="str">
        <f t="shared" si="76"/>
        <v/>
      </c>
      <c r="I1641" s="128"/>
      <c r="J1641" s="128"/>
      <c r="K1641" s="128"/>
      <c r="L1641" s="128"/>
      <c r="M1641" s="389"/>
      <c r="N1641" s="389"/>
      <c r="O1641" s="389"/>
      <c r="P1641" s="389"/>
      <c r="R1641" s="390" t="str">
        <f t="shared" si="78"/>
        <v>:</v>
      </c>
      <c r="S1641" s="181">
        <f t="shared" si="77"/>
        <v>0</v>
      </c>
    </row>
    <row r="1642" spans="2:19">
      <c r="B1642" s="121"/>
      <c r="C1642" s="490"/>
      <c r="D1642" s="490" t="str">
        <f t="shared" si="76"/>
        <v/>
      </c>
      <c r="I1642" s="128"/>
      <c r="J1642" s="128"/>
      <c r="K1642" s="128"/>
      <c r="L1642" s="128"/>
      <c r="M1642" s="389"/>
      <c r="N1642" s="389"/>
      <c r="O1642" s="389"/>
      <c r="P1642" s="389"/>
      <c r="R1642" s="390" t="str">
        <f t="shared" si="78"/>
        <v>:</v>
      </c>
      <c r="S1642" s="181">
        <f t="shared" si="77"/>
        <v>0</v>
      </c>
    </row>
    <row r="1643" spans="2:19">
      <c r="B1643" s="121"/>
      <c r="C1643" s="490"/>
      <c r="D1643" s="490" t="str">
        <f t="shared" si="76"/>
        <v/>
      </c>
      <c r="I1643" s="128"/>
      <c r="J1643" s="128"/>
      <c r="K1643" s="128"/>
      <c r="L1643" s="128"/>
      <c r="M1643" s="389"/>
      <c r="N1643" s="389"/>
      <c r="O1643" s="389"/>
      <c r="P1643" s="389"/>
      <c r="R1643" s="390" t="str">
        <f t="shared" si="78"/>
        <v>:</v>
      </c>
      <c r="S1643" s="181">
        <f t="shared" si="77"/>
        <v>0</v>
      </c>
    </row>
    <row r="1644" spans="2:19">
      <c r="B1644" s="121"/>
      <c r="C1644" s="490"/>
      <c r="D1644" s="490" t="str">
        <f t="shared" si="76"/>
        <v/>
      </c>
      <c r="I1644" s="128"/>
      <c r="J1644" s="128"/>
      <c r="K1644" s="128"/>
      <c r="L1644" s="128"/>
      <c r="M1644" s="389"/>
      <c r="N1644" s="389"/>
      <c r="O1644" s="389"/>
      <c r="P1644" s="389"/>
      <c r="R1644" s="390" t="str">
        <f t="shared" si="78"/>
        <v>:</v>
      </c>
      <c r="S1644" s="181">
        <f t="shared" si="77"/>
        <v>0</v>
      </c>
    </row>
    <row r="1645" spans="2:19">
      <c r="B1645" s="121"/>
      <c r="C1645" s="490"/>
      <c r="D1645" s="490" t="str">
        <f t="shared" si="76"/>
        <v/>
      </c>
      <c r="I1645" s="128"/>
      <c r="J1645" s="128"/>
      <c r="K1645" s="128"/>
      <c r="L1645" s="128"/>
      <c r="M1645" s="389"/>
      <c r="N1645" s="389"/>
      <c r="O1645" s="389"/>
      <c r="P1645" s="389"/>
      <c r="R1645" s="390" t="str">
        <f t="shared" si="78"/>
        <v>:</v>
      </c>
      <c r="S1645" s="181">
        <f t="shared" si="77"/>
        <v>0</v>
      </c>
    </row>
    <row r="1646" spans="2:19">
      <c r="B1646" s="121"/>
      <c r="C1646" s="490"/>
      <c r="D1646" s="490" t="str">
        <f t="shared" ref="D1646:D1709" si="79">IF(B1646="","",B1646&amp;":"&amp;C1646)</f>
        <v/>
      </c>
      <c r="I1646" s="128"/>
      <c r="J1646" s="128"/>
      <c r="K1646" s="128"/>
      <c r="L1646" s="128"/>
      <c r="M1646" s="389"/>
      <c r="N1646" s="389"/>
      <c r="O1646" s="389"/>
      <c r="P1646" s="389"/>
      <c r="R1646" s="390" t="str">
        <f t="shared" si="78"/>
        <v>:</v>
      </c>
      <c r="S1646" s="181">
        <f t="shared" si="77"/>
        <v>0</v>
      </c>
    </row>
    <row r="1647" spans="2:19">
      <c r="B1647" s="121"/>
      <c r="C1647" s="490"/>
      <c r="D1647" s="490" t="str">
        <f t="shared" si="79"/>
        <v/>
      </c>
      <c r="I1647" s="128"/>
      <c r="J1647" s="128"/>
      <c r="K1647" s="128"/>
      <c r="L1647" s="128"/>
      <c r="M1647" s="389"/>
      <c r="N1647" s="389"/>
      <c r="O1647" s="389"/>
      <c r="P1647" s="389"/>
      <c r="R1647" s="390" t="str">
        <f t="shared" si="78"/>
        <v>:</v>
      </c>
      <c r="S1647" s="181">
        <f t="shared" si="77"/>
        <v>0</v>
      </c>
    </row>
    <row r="1648" spans="2:19">
      <c r="B1648" s="121"/>
      <c r="C1648" s="490"/>
      <c r="D1648" s="490" t="str">
        <f t="shared" si="79"/>
        <v/>
      </c>
      <c r="I1648" s="128"/>
      <c r="J1648" s="128"/>
      <c r="K1648" s="128"/>
      <c r="L1648" s="128"/>
      <c r="M1648" s="389"/>
      <c r="N1648" s="389"/>
      <c r="O1648" s="389"/>
      <c r="P1648" s="389"/>
      <c r="R1648" s="390" t="str">
        <f t="shared" si="78"/>
        <v>:</v>
      </c>
      <c r="S1648" s="181">
        <f t="shared" si="77"/>
        <v>0</v>
      </c>
    </row>
    <row r="1649" spans="2:19">
      <c r="B1649" s="121"/>
      <c r="C1649" s="490"/>
      <c r="D1649" s="490" t="str">
        <f t="shared" si="79"/>
        <v/>
      </c>
      <c r="I1649" s="128"/>
      <c r="J1649" s="128"/>
      <c r="K1649" s="128"/>
      <c r="L1649" s="128"/>
      <c r="M1649" s="389"/>
      <c r="N1649" s="389"/>
      <c r="O1649" s="389"/>
      <c r="P1649" s="389"/>
      <c r="R1649" s="390" t="str">
        <f t="shared" si="78"/>
        <v>:</v>
      </c>
      <c r="S1649" s="181">
        <f t="shared" si="77"/>
        <v>0</v>
      </c>
    </row>
    <row r="1650" spans="2:19">
      <c r="B1650" s="121"/>
      <c r="C1650" s="490"/>
      <c r="D1650" s="490" t="str">
        <f t="shared" si="79"/>
        <v/>
      </c>
      <c r="I1650" s="128"/>
      <c r="J1650" s="128"/>
      <c r="K1650" s="128"/>
      <c r="L1650" s="128"/>
      <c r="M1650" s="389"/>
      <c r="N1650" s="389"/>
      <c r="O1650" s="389"/>
      <c r="P1650" s="389"/>
      <c r="R1650" s="390" t="str">
        <f t="shared" si="78"/>
        <v>:</v>
      </c>
      <c r="S1650" s="181">
        <f t="shared" si="77"/>
        <v>0</v>
      </c>
    </row>
    <row r="1651" spans="2:19">
      <c r="B1651" s="121"/>
      <c r="C1651" s="490"/>
      <c r="D1651" s="490" t="str">
        <f t="shared" si="79"/>
        <v/>
      </c>
      <c r="I1651" s="128"/>
      <c r="J1651" s="128"/>
      <c r="K1651" s="128"/>
      <c r="L1651" s="128"/>
      <c r="M1651" s="389"/>
      <c r="N1651" s="389"/>
      <c r="O1651" s="389"/>
      <c r="P1651" s="389"/>
      <c r="R1651" s="390" t="str">
        <f t="shared" si="78"/>
        <v>:</v>
      </c>
      <c r="S1651" s="181">
        <f t="shared" si="77"/>
        <v>0</v>
      </c>
    </row>
    <row r="1652" spans="2:19">
      <c r="B1652" s="121"/>
      <c r="C1652" s="490"/>
      <c r="D1652" s="490" t="str">
        <f t="shared" si="79"/>
        <v/>
      </c>
      <c r="I1652" s="128"/>
      <c r="J1652" s="128"/>
      <c r="K1652" s="128"/>
      <c r="L1652" s="128"/>
      <c r="M1652" s="389"/>
      <c r="N1652" s="389"/>
      <c r="O1652" s="389"/>
      <c r="P1652" s="389"/>
      <c r="R1652" s="390" t="str">
        <f t="shared" si="78"/>
        <v>:</v>
      </c>
      <c r="S1652" s="181">
        <f t="shared" si="77"/>
        <v>0</v>
      </c>
    </row>
    <row r="1653" spans="2:19">
      <c r="B1653" s="121"/>
      <c r="C1653" s="490"/>
      <c r="D1653" s="490" t="str">
        <f t="shared" si="79"/>
        <v/>
      </c>
      <c r="I1653" s="128"/>
      <c r="J1653" s="128"/>
      <c r="K1653" s="128"/>
      <c r="L1653" s="128"/>
      <c r="M1653" s="389"/>
      <c r="N1653" s="389"/>
      <c r="O1653" s="389"/>
      <c r="P1653" s="389"/>
      <c r="R1653" s="390" t="str">
        <f t="shared" si="78"/>
        <v>:</v>
      </c>
      <c r="S1653" s="181">
        <f t="shared" si="77"/>
        <v>0</v>
      </c>
    </row>
    <row r="1654" spans="2:19">
      <c r="B1654" s="121"/>
      <c r="C1654" s="490"/>
      <c r="D1654" s="490" t="str">
        <f t="shared" si="79"/>
        <v/>
      </c>
      <c r="I1654" s="128"/>
      <c r="J1654" s="128"/>
      <c r="K1654" s="128"/>
      <c r="L1654" s="128"/>
      <c r="M1654" s="389"/>
      <c r="N1654" s="389"/>
      <c r="O1654" s="389"/>
      <c r="P1654" s="389"/>
      <c r="R1654" s="390" t="str">
        <f t="shared" si="78"/>
        <v>:</v>
      </c>
      <c r="S1654" s="181">
        <f t="shared" si="77"/>
        <v>0</v>
      </c>
    </row>
    <row r="1655" spans="2:19">
      <c r="B1655" s="121"/>
      <c r="C1655" s="490"/>
      <c r="D1655" s="490" t="str">
        <f t="shared" si="79"/>
        <v/>
      </c>
      <c r="I1655" s="128"/>
      <c r="J1655" s="128"/>
      <c r="K1655" s="128"/>
      <c r="L1655" s="128"/>
      <c r="M1655" s="389"/>
      <c r="N1655" s="389"/>
      <c r="O1655" s="389"/>
      <c r="P1655" s="389"/>
      <c r="R1655" s="390" t="str">
        <f t="shared" si="78"/>
        <v>:</v>
      </c>
      <c r="S1655" s="181">
        <f t="shared" si="77"/>
        <v>0</v>
      </c>
    </row>
    <row r="1656" spans="2:19">
      <c r="B1656" s="121"/>
      <c r="C1656" s="490"/>
      <c r="D1656" s="490" t="str">
        <f t="shared" si="79"/>
        <v/>
      </c>
      <c r="I1656" s="128"/>
      <c r="J1656" s="128"/>
      <c r="K1656" s="128"/>
      <c r="L1656" s="128"/>
      <c r="M1656" s="389"/>
      <c r="N1656" s="389"/>
      <c r="O1656" s="389"/>
      <c r="P1656" s="389"/>
      <c r="R1656" s="390" t="str">
        <f t="shared" si="78"/>
        <v>:</v>
      </c>
      <c r="S1656" s="181">
        <f t="shared" si="77"/>
        <v>0</v>
      </c>
    </row>
    <row r="1657" spans="2:19">
      <c r="B1657" s="121"/>
      <c r="C1657" s="490"/>
      <c r="D1657" s="490" t="str">
        <f t="shared" si="79"/>
        <v/>
      </c>
      <c r="I1657" s="128"/>
      <c r="J1657" s="128"/>
      <c r="K1657" s="128"/>
      <c r="L1657" s="128"/>
      <c r="M1657" s="389"/>
      <c r="N1657" s="389"/>
      <c r="O1657" s="389"/>
      <c r="P1657" s="389"/>
      <c r="R1657" s="390" t="str">
        <f t="shared" si="78"/>
        <v>:</v>
      </c>
      <c r="S1657" s="181">
        <f t="shared" si="77"/>
        <v>0</v>
      </c>
    </row>
    <row r="1658" spans="2:19">
      <c r="B1658" s="121"/>
      <c r="C1658" s="490"/>
      <c r="D1658" s="490" t="str">
        <f t="shared" si="79"/>
        <v/>
      </c>
      <c r="I1658" s="128"/>
      <c r="J1658" s="128"/>
      <c r="K1658" s="128"/>
      <c r="L1658" s="128"/>
      <c r="M1658" s="389"/>
      <c r="N1658" s="389"/>
      <c r="O1658" s="389"/>
      <c r="P1658" s="389"/>
      <c r="R1658" s="390" t="str">
        <f t="shared" si="78"/>
        <v>:</v>
      </c>
      <c r="S1658" s="181">
        <f t="shared" si="77"/>
        <v>0</v>
      </c>
    </row>
    <row r="1659" spans="2:19">
      <c r="B1659" s="121"/>
      <c r="C1659" s="490"/>
      <c r="D1659" s="490" t="str">
        <f t="shared" si="79"/>
        <v/>
      </c>
      <c r="I1659" s="128"/>
      <c r="J1659" s="128"/>
      <c r="K1659" s="128"/>
      <c r="L1659" s="128"/>
      <c r="M1659" s="389"/>
      <c r="N1659" s="389"/>
      <c r="O1659" s="389"/>
      <c r="P1659" s="389"/>
      <c r="R1659" s="390" t="str">
        <f t="shared" si="78"/>
        <v>:</v>
      </c>
      <c r="S1659" s="181">
        <f t="shared" si="77"/>
        <v>0</v>
      </c>
    </row>
    <row r="1660" spans="2:19">
      <c r="B1660" s="121"/>
      <c r="C1660" s="490"/>
      <c r="D1660" s="490" t="str">
        <f t="shared" si="79"/>
        <v/>
      </c>
      <c r="I1660" s="128"/>
      <c r="J1660" s="128"/>
      <c r="K1660" s="128"/>
      <c r="L1660" s="128"/>
      <c r="M1660" s="389"/>
      <c r="N1660" s="389"/>
      <c r="O1660" s="389"/>
      <c r="P1660" s="389"/>
      <c r="R1660" s="390" t="str">
        <f t="shared" si="78"/>
        <v>:</v>
      </c>
      <c r="S1660" s="181">
        <f t="shared" si="77"/>
        <v>0</v>
      </c>
    </row>
    <row r="1661" spans="2:19">
      <c r="B1661" s="121"/>
      <c r="C1661" s="490"/>
      <c r="D1661" s="490" t="str">
        <f t="shared" si="79"/>
        <v/>
      </c>
      <c r="I1661" s="128"/>
      <c r="J1661" s="128"/>
      <c r="K1661" s="128"/>
      <c r="L1661" s="128"/>
      <c r="M1661" s="389"/>
      <c r="N1661" s="389"/>
      <c r="O1661" s="389"/>
      <c r="P1661" s="389"/>
      <c r="R1661" s="390" t="str">
        <f t="shared" si="78"/>
        <v>:</v>
      </c>
      <c r="S1661" s="181">
        <f t="shared" si="77"/>
        <v>0</v>
      </c>
    </row>
    <row r="1662" spans="2:19">
      <c r="B1662" s="121"/>
      <c r="C1662" s="490"/>
      <c r="D1662" s="490" t="str">
        <f t="shared" si="79"/>
        <v/>
      </c>
      <c r="I1662" s="128"/>
      <c r="J1662" s="128"/>
      <c r="K1662" s="128"/>
      <c r="L1662" s="128"/>
      <c r="M1662" s="389"/>
      <c r="N1662" s="389"/>
      <c r="O1662" s="389"/>
      <c r="P1662" s="389"/>
      <c r="R1662" s="390" t="str">
        <f t="shared" si="78"/>
        <v>:</v>
      </c>
      <c r="S1662" s="181">
        <f t="shared" si="77"/>
        <v>0</v>
      </c>
    </row>
    <row r="1663" spans="2:19">
      <c r="B1663" s="121"/>
      <c r="C1663" s="490"/>
      <c r="D1663" s="490" t="str">
        <f t="shared" si="79"/>
        <v/>
      </c>
      <c r="I1663" s="128"/>
      <c r="J1663" s="128"/>
      <c r="K1663" s="128"/>
      <c r="L1663" s="128"/>
      <c r="M1663" s="389"/>
      <c r="N1663" s="389"/>
      <c r="O1663" s="389"/>
      <c r="P1663" s="389"/>
      <c r="R1663" s="390" t="str">
        <f t="shared" si="78"/>
        <v>:</v>
      </c>
      <c r="S1663" s="181">
        <f t="shared" si="77"/>
        <v>0</v>
      </c>
    </row>
    <row r="1664" spans="2:19">
      <c r="B1664" s="121"/>
      <c r="C1664" s="490"/>
      <c r="D1664" s="490" t="str">
        <f t="shared" si="79"/>
        <v/>
      </c>
      <c r="I1664" s="128"/>
      <c r="J1664" s="128"/>
      <c r="K1664" s="128"/>
      <c r="L1664" s="128"/>
      <c r="M1664" s="389"/>
      <c r="N1664" s="389"/>
      <c r="O1664" s="389"/>
      <c r="P1664" s="389"/>
      <c r="R1664" s="390" t="str">
        <f t="shared" si="78"/>
        <v>:</v>
      </c>
      <c r="S1664" s="181">
        <f t="shared" si="77"/>
        <v>0</v>
      </c>
    </row>
    <row r="1665" spans="2:19">
      <c r="B1665" s="121"/>
      <c r="C1665" s="490"/>
      <c r="D1665" s="490" t="str">
        <f t="shared" si="79"/>
        <v/>
      </c>
      <c r="I1665" s="128"/>
      <c r="J1665" s="128"/>
      <c r="K1665" s="128"/>
      <c r="L1665" s="128"/>
      <c r="M1665" s="389"/>
      <c r="N1665" s="389"/>
      <c r="O1665" s="389"/>
      <c r="P1665" s="389"/>
      <c r="R1665" s="390" t="str">
        <f t="shared" si="78"/>
        <v>:</v>
      </c>
      <c r="S1665" s="181">
        <f t="shared" si="77"/>
        <v>0</v>
      </c>
    </row>
    <row r="1666" spans="2:19">
      <c r="B1666" s="121"/>
      <c r="C1666" s="490"/>
      <c r="D1666" s="490" t="str">
        <f t="shared" si="79"/>
        <v/>
      </c>
      <c r="I1666" s="128"/>
      <c r="J1666" s="128"/>
      <c r="K1666" s="128"/>
      <c r="L1666" s="128"/>
      <c r="M1666" s="389"/>
      <c r="N1666" s="389"/>
      <c r="O1666" s="389"/>
      <c r="P1666" s="389"/>
      <c r="R1666" s="390" t="str">
        <f t="shared" si="78"/>
        <v>:</v>
      </c>
      <c r="S1666" s="181">
        <f t="shared" si="77"/>
        <v>0</v>
      </c>
    </row>
    <row r="1667" spans="2:19">
      <c r="B1667" s="121"/>
      <c r="C1667" s="490"/>
      <c r="D1667" s="490" t="str">
        <f t="shared" si="79"/>
        <v/>
      </c>
      <c r="I1667" s="128"/>
      <c r="J1667" s="128"/>
      <c r="K1667" s="128"/>
      <c r="L1667" s="128"/>
      <c r="M1667" s="389"/>
      <c r="N1667" s="389"/>
      <c r="O1667" s="389"/>
      <c r="P1667" s="389"/>
      <c r="R1667" s="390" t="str">
        <f t="shared" si="78"/>
        <v>:</v>
      </c>
      <c r="S1667" s="181">
        <f t="shared" si="77"/>
        <v>0</v>
      </c>
    </row>
    <row r="1668" spans="2:19">
      <c r="B1668" s="121"/>
      <c r="C1668" s="490"/>
      <c r="D1668" s="490" t="str">
        <f t="shared" si="79"/>
        <v/>
      </c>
      <c r="I1668" s="128"/>
      <c r="J1668" s="128"/>
      <c r="K1668" s="128"/>
      <c r="L1668" s="128"/>
      <c r="M1668" s="389"/>
      <c r="N1668" s="389"/>
      <c r="O1668" s="389"/>
      <c r="P1668" s="389"/>
      <c r="R1668" s="390" t="str">
        <f t="shared" si="78"/>
        <v>:</v>
      </c>
      <c r="S1668" s="181">
        <f t="shared" si="77"/>
        <v>0</v>
      </c>
    </row>
    <row r="1669" spans="2:19">
      <c r="B1669" s="121"/>
      <c r="C1669" s="490"/>
      <c r="D1669" s="490" t="str">
        <f t="shared" si="79"/>
        <v/>
      </c>
      <c r="I1669" s="128"/>
      <c r="J1669" s="128"/>
      <c r="K1669" s="128"/>
      <c r="L1669" s="128"/>
      <c r="M1669" s="389"/>
      <c r="N1669" s="389"/>
      <c r="O1669" s="389"/>
      <c r="P1669" s="389"/>
      <c r="R1669" s="390" t="str">
        <f t="shared" si="78"/>
        <v>:</v>
      </c>
      <c r="S1669" s="181">
        <f t="shared" si="77"/>
        <v>0</v>
      </c>
    </row>
    <row r="1670" spans="2:19">
      <c r="B1670" s="121"/>
      <c r="C1670" s="490"/>
      <c r="D1670" s="490" t="str">
        <f t="shared" si="79"/>
        <v/>
      </c>
      <c r="I1670" s="128"/>
      <c r="J1670" s="128"/>
      <c r="K1670" s="128"/>
      <c r="L1670" s="128"/>
      <c r="M1670" s="389"/>
      <c r="N1670" s="389"/>
      <c r="O1670" s="389"/>
      <c r="P1670" s="389"/>
      <c r="R1670" s="390" t="str">
        <f t="shared" si="78"/>
        <v>:</v>
      </c>
      <c r="S1670" s="181">
        <f t="shared" si="77"/>
        <v>0</v>
      </c>
    </row>
    <row r="1671" spans="2:19">
      <c r="B1671" s="121"/>
      <c r="C1671" s="490"/>
      <c r="D1671" s="490" t="str">
        <f t="shared" si="79"/>
        <v/>
      </c>
      <c r="I1671" s="128"/>
      <c r="J1671" s="128"/>
      <c r="K1671" s="128"/>
      <c r="L1671" s="128"/>
      <c r="M1671" s="389"/>
      <c r="N1671" s="389"/>
      <c r="O1671" s="389"/>
      <c r="P1671" s="389"/>
      <c r="R1671" s="390" t="str">
        <f t="shared" si="78"/>
        <v>:</v>
      </c>
      <c r="S1671" s="181">
        <f t="shared" si="77"/>
        <v>0</v>
      </c>
    </row>
    <row r="1672" spans="2:19">
      <c r="B1672" s="121"/>
      <c r="C1672" s="490"/>
      <c r="D1672" s="490" t="str">
        <f t="shared" si="79"/>
        <v/>
      </c>
      <c r="I1672" s="128"/>
      <c r="J1672" s="128"/>
      <c r="K1672" s="128"/>
      <c r="L1672" s="128"/>
      <c r="M1672" s="389"/>
      <c r="N1672" s="389"/>
      <c r="O1672" s="389"/>
      <c r="P1672" s="389"/>
      <c r="R1672" s="390" t="str">
        <f t="shared" si="78"/>
        <v>:</v>
      </c>
      <c r="S1672" s="181">
        <f t="shared" si="77"/>
        <v>0</v>
      </c>
    </row>
    <row r="1673" spans="2:19">
      <c r="B1673" s="121"/>
      <c r="C1673" s="490"/>
      <c r="D1673" s="490" t="str">
        <f t="shared" si="79"/>
        <v/>
      </c>
      <c r="I1673" s="128"/>
      <c r="J1673" s="128"/>
      <c r="K1673" s="128"/>
      <c r="L1673" s="128"/>
      <c r="M1673" s="389"/>
      <c r="N1673" s="389"/>
      <c r="O1673" s="389"/>
      <c r="P1673" s="389"/>
      <c r="R1673" s="390" t="str">
        <f t="shared" si="78"/>
        <v>:</v>
      </c>
      <c r="S1673" s="181">
        <f t="shared" si="77"/>
        <v>0</v>
      </c>
    </row>
    <row r="1674" spans="2:19">
      <c r="B1674" s="121"/>
      <c r="C1674" s="490"/>
      <c r="D1674" s="490" t="str">
        <f t="shared" si="79"/>
        <v/>
      </c>
      <c r="I1674" s="128"/>
      <c r="J1674" s="128"/>
      <c r="K1674" s="128"/>
      <c r="L1674" s="128"/>
      <c r="M1674" s="389"/>
      <c r="N1674" s="389"/>
      <c r="O1674" s="389"/>
      <c r="P1674" s="389"/>
      <c r="R1674" s="390" t="str">
        <f t="shared" si="78"/>
        <v>:</v>
      </c>
      <c r="S1674" s="181">
        <f t="shared" ref="S1674:S1737" si="80">HLOOKUP($S$8,$L$8:$P$2000,ROW()-7,FALSE)</f>
        <v>0</v>
      </c>
    </row>
    <row r="1675" spans="2:19">
      <c r="B1675" s="121"/>
      <c r="C1675" s="490"/>
      <c r="D1675" s="490" t="str">
        <f t="shared" si="79"/>
        <v/>
      </c>
      <c r="I1675" s="128"/>
      <c r="J1675" s="128"/>
      <c r="K1675" s="128"/>
      <c r="L1675" s="128"/>
      <c r="M1675" s="389"/>
      <c r="N1675" s="389"/>
      <c r="O1675" s="389"/>
      <c r="P1675" s="389"/>
      <c r="R1675" s="390" t="str">
        <f t="shared" si="78"/>
        <v>:</v>
      </c>
      <c r="S1675" s="181">
        <f t="shared" si="80"/>
        <v>0</v>
      </c>
    </row>
    <row r="1676" spans="2:19">
      <c r="B1676" s="121"/>
      <c r="C1676" s="490"/>
      <c r="D1676" s="490" t="str">
        <f t="shared" si="79"/>
        <v/>
      </c>
      <c r="I1676" s="128"/>
      <c r="J1676" s="128"/>
      <c r="K1676" s="128"/>
      <c r="L1676" s="128"/>
      <c r="M1676" s="389"/>
      <c r="N1676" s="389"/>
      <c r="O1676" s="389"/>
      <c r="P1676" s="389"/>
      <c r="R1676" s="390" t="str">
        <f t="shared" si="78"/>
        <v>:</v>
      </c>
      <c r="S1676" s="181">
        <f t="shared" si="80"/>
        <v>0</v>
      </c>
    </row>
    <row r="1677" spans="2:19">
      <c r="B1677" s="121"/>
      <c r="C1677" s="490"/>
      <c r="D1677" s="490" t="str">
        <f t="shared" si="79"/>
        <v/>
      </c>
      <c r="I1677" s="128"/>
      <c r="J1677" s="128"/>
      <c r="K1677" s="128"/>
      <c r="L1677" s="128"/>
      <c r="M1677" s="389"/>
      <c r="N1677" s="389"/>
      <c r="O1677" s="389"/>
      <c r="P1677" s="389"/>
      <c r="R1677" s="390" t="str">
        <f t="shared" ref="R1677:R1740" si="81">I1677&amp;":"&amp;J1677&amp;K1677</f>
        <v>:</v>
      </c>
      <c r="S1677" s="181">
        <f t="shared" si="80"/>
        <v>0</v>
      </c>
    </row>
    <row r="1678" spans="2:19">
      <c r="B1678" s="121"/>
      <c r="C1678" s="490"/>
      <c r="D1678" s="490" t="str">
        <f t="shared" si="79"/>
        <v/>
      </c>
      <c r="I1678" s="128"/>
      <c r="J1678" s="128"/>
      <c r="K1678" s="128"/>
      <c r="L1678" s="128"/>
      <c r="M1678" s="389"/>
      <c r="N1678" s="389"/>
      <c r="O1678" s="389"/>
      <c r="P1678" s="389"/>
      <c r="R1678" s="390" t="str">
        <f t="shared" si="81"/>
        <v>:</v>
      </c>
      <c r="S1678" s="181">
        <f t="shared" si="80"/>
        <v>0</v>
      </c>
    </row>
    <row r="1679" spans="2:19">
      <c r="B1679" s="121"/>
      <c r="C1679" s="490"/>
      <c r="D1679" s="490" t="str">
        <f t="shared" si="79"/>
        <v/>
      </c>
      <c r="I1679" s="128"/>
      <c r="J1679" s="128"/>
      <c r="K1679" s="128"/>
      <c r="L1679" s="128"/>
      <c r="M1679" s="389"/>
      <c r="N1679" s="389"/>
      <c r="O1679" s="389"/>
      <c r="P1679" s="389"/>
      <c r="R1679" s="390" t="str">
        <f t="shared" si="81"/>
        <v>:</v>
      </c>
      <c r="S1679" s="181">
        <f t="shared" si="80"/>
        <v>0</v>
      </c>
    </row>
    <row r="1680" spans="2:19">
      <c r="B1680" s="121"/>
      <c r="C1680" s="490"/>
      <c r="D1680" s="490" t="str">
        <f t="shared" si="79"/>
        <v/>
      </c>
      <c r="I1680" s="128"/>
      <c r="J1680" s="128"/>
      <c r="K1680" s="128"/>
      <c r="L1680" s="128"/>
      <c r="M1680" s="389"/>
      <c r="N1680" s="389"/>
      <c r="O1680" s="389"/>
      <c r="P1680" s="389"/>
      <c r="R1680" s="390" t="str">
        <f t="shared" si="81"/>
        <v>:</v>
      </c>
      <c r="S1680" s="181">
        <f t="shared" si="80"/>
        <v>0</v>
      </c>
    </row>
    <row r="1681" spans="2:19">
      <c r="B1681" s="121"/>
      <c r="C1681" s="490"/>
      <c r="D1681" s="490" t="str">
        <f t="shared" si="79"/>
        <v/>
      </c>
      <c r="I1681" s="128"/>
      <c r="J1681" s="128"/>
      <c r="K1681" s="128"/>
      <c r="L1681" s="128"/>
      <c r="M1681" s="389"/>
      <c r="N1681" s="389"/>
      <c r="O1681" s="389"/>
      <c r="P1681" s="389"/>
      <c r="R1681" s="390" t="str">
        <f t="shared" si="81"/>
        <v>:</v>
      </c>
      <c r="S1681" s="181">
        <f t="shared" si="80"/>
        <v>0</v>
      </c>
    </row>
    <row r="1682" spans="2:19">
      <c r="B1682" s="121"/>
      <c r="C1682" s="490"/>
      <c r="D1682" s="490" t="str">
        <f t="shared" si="79"/>
        <v/>
      </c>
      <c r="I1682" s="128"/>
      <c r="J1682" s="128"/>
      <c r="K1682" s="128"/>
      <c r="L1682" s="128"/>
      <c r="M1682" s="389"/>
      <c r="N1682" s="389"/>
      <c r="O1682" s="389"/>
      <c r="P1682" s="389"/>
      <c r="R1682" s="390" t="str">
        <f t="shared" si="81"/>
        <v>:</v>
      </c>
      <c r="S1682" s="181">
        <f t="shared" si="80"/>
        <v>0</v>
      </c>
    </row>
    <row r="1683" spans="2:19">
      <c r="B1683" s="121"/>
      <c r="C1683" s="490"/>
      <c r="D1683" s="490" t="str">
        <f t="shared" si="79"/>
        <v/>
      </c>
      <c r="I1683" s="128"/>
      <c r="J1683" s="128"/>
      <c r="K1683" s="128"/>
      <c r="L1683" s="128"/>
      <c r="M1683" s="389"/>
      <c r="N1683" s="389"/>
      <c r="O1683" s="389"/>
      <c r="P1683" s="389"/>
      <c r="R1683" s="390" t="str">
        <f t="shared" si="81"/>
        <v>:</v>
      </c>
      <c r="S1683" s="181">
        <f t="shared" si="80"/>
        <v>0</v>
      </c>
    </row>
    <row r="1684" spans="2:19">
      <c r="B1684" s="121"/>
      <c r="C1684" s="490"/>
      <c r="D1684" s="490" t="str">
        <f t="shared" si="79"/>
        <v/>
      </c>
      <c r="I1684" s="128"/>
      <c r="J1684" s="128"/>
      <c r="K1684" s="128"/>
      <c r="L1684" s="128"/>
      <c r="M1684" s="389"/>
      <c r="N1684" s="389"/>
      <c r="O1684" s="389"/>
      <c r="P1684" s="389"/>
      <c r="R1684" s="390" t="str">
        <f t="shared" si="81"/>
        <v>:</v>
      </c>
      <c r="S1684" s="181">
        <f t="shared" si="80"/>
        <v>0</v>
      </c>
    </row>
    <row r="1685" spans="2:19">
      <c r="B1685" s="121"/>
      <c r="C1685" s="490"/>
      <c r="D1685" s="490" t="str">
        <f t="shared" si="79"/>
        <v/>
      </c>
      <c r="I1685" s="128"/>
      <c r="J1685" s="128"/>
      <c r="K1685" s="128"/>
      <c r="L1685" s="128"/>
      <c r="M1685" s="389"/>
      <c r="N1685" s="389"/>
      <c r="O1685" s="389"/>
      <c r="P1685" s="389"/>
      <c r="R1685" s="390" t="str">
        <f t="shared" si="81"/>
        <v>:</v>
      </c>
      <c r="S1685" s="181">
        <f t="shared" si="80"/>
        <v>0</v>
      </c>
    </row>
    <row r="1686" spans="2:19">
      <c r="B1686" s="121"/>
      <c r="C1686" s="490"/>
      <c r="D1686" s="490" t="str">
        <f t="shared" si="79"/>
        <v/>
      </c>
      <c r="I1686" s="128"/>
      <c r="J1686" s="128"/>
      <c r="K1686" s="128"/>
      <c r="L1686" s="128"/>
      <c r="M1686" s="389"/>
      <c r="N1686" s="389"/>
      <c r="O1686" s="389"/>
      <c r="P1686" s="389"/>
      <c r="R1686" s="390" t="str">
        <f t="shared" si="81"/>
        <v>:</v>
      </c>
      <c r="S1686" s="181">
        <f t="shared" si="80"/>
        <v>0</v>
      </c>
    </row>
    <row r="1687" spans="2:19">
      <c r="B1687" s="121"/>
      <c r="C1687" s="490"/>
      <c r="D1687" s="490" t="str">
        <f t="shared" si="79"/>
        <v/>
      </c>
      <c r="I1687" s="128"/>
      <c r="J1687" s="128"/>
      <c r="K1687" s="128"/>
      <c r="L1687" s="128"/>
      <c r="M1687" s="389"/>
      <c r="N1687" s="389"/>
      <c r="O1687" s="389"/>
      <c r="P1687" s="389"/>
      <c r="R1687" s="390" t="str">
        <f t="shared" si="81"/>
        <v>:</v>
      </c>
      <c r="S1687" s="181">
        <f t="shared" si="80"/>
        <v>0</v>
      </c>
    </row>
    <row r="1688" spans="2:19">
      <c r="B1688" s="121"/>
      <c r="C1688" s="490"/>
      <c r="D1688" s="490" t="str">
        <f t="shared" si="79"/>
        <v/>
      </c>
      <c r="I1688" s="128"/>
      <c r="J1688" s="128"/>
      <c r="K1688" s="128"/>
      <c r="L1688" s="128"/>
      <c r="M1688" s="389"/>
      <c r="N1688" s="389"/>
      <c r="O1688" s="389"/>
      <c r="P1688" s="389"/>
      <c r="R1688" s="390" t="str">
        <f t="shared" si="81"/>
        <v>:</v>
      </c>
      <c r="S1688" s="181">
        <f t="shared" si="80"/>
        <v>0</v>
      </c>
    </row>
    <row r="1689" spans="2:19">
      <c r="B1689" s="121"/>
      <c r="C1689" s="490"/>
      <c r="D1689" s="490" t="str">
        <f t="shared" si="79"/>
        <v/>
      </c>
      <c r="I1689" s="128"/>
      <c r="J1689" s="128"/>
      <c r="K1689" s="128"/>
      <c r="L1689" s="128"/>
      <c r="M1689" s="389"/>
      <c r="N1689" s="389"/>
      <c r="O1689" s="389"/>
      <c r="P1689" s="389"/>
      <c r="R1689" s="390" t="str">
        <f t="shared" si="81"/>
        <v>:</v>
      </c>
      <c r="S1689" s="181">
        <f t="shared" si="80"/>
        <v>0</v>
      </c>
    </row>
    <row r="1690" spans="2:19">
      <c r="B1690" s="121"/>
      <c r="C1690" s="490"/>
      <c r="D1690" s="490" t="str">
        <f t="shared" si="79"/>
        <v/>
      </c>
      <c r="I1690" s="128"/>
      <c r="J1690" s="128"/>
      <c r="K1690" s="128"/>
      <c r="L1690" s="128"/>
      <c r="M1690" s="389"/>
      <c r="N1690" s="389"/>
      <c r="O1690" s="389"/>
      <c r="P1690" s="389"/>
      <c r="R1690" s="390" t="str">
        <f t="shared" si="81"/>
        <v>:</v>
      </c>
      <c r="S1690" s="181">
        <f t="shared" si="80"/>
        <v>0</v>
      </c>
    </row>
    <row r="1691" spans="2:19">
      <c r="B1691" s="121"/>
      <c r="C1691" s="490"/>
      <c r="D1691" s="490" t="str">
        <f t="shared" si="79"/>
        <v/>
      </c>
      <c r="I1691" s="128"/>
      <c r="J1691" s="128"/>
      <c r="K1691" s="128"/>
      <c r="L1691" s="128"/>
      <c r="M1691" s="389"/>
      <c r="N1691" s="389"/>
      <c r="O1691" s="389"/>
      <c r="P1691" s="389"/>
      <c r="R1691" s="390" t="str">
        <f t="shared" si="81"/>
        <v>:</v>
      </c>
      <c r="S1691" s="181">
        <f t="shared" si="80"/>
        <v>0</v>
      </c>
    </row>
    <row r="1692" spans="2:19">
      <c r="B1692" s="121"/>
      <c r="C1692" s="490"/>
      <c r="D1692" s="490" t="str">
        <f t="shared" si="79"/>
        <v/>
      </c>
      <c r="I1692" s="128"/>
      <c r="J1692" s="128"/>
      <c r="K1692" s="128"/>
      <c r="L1692" s="128"/>
      <c r="M1692" s="389"/>
      <c r="N1692" s="389"/>
      <c r="O1692" s="389"/>
      <c r="P1692" s="389"/>
      <c r="R1692" s="390" t="str">
        <f t="shared" si="81"/>
        <v>:</v>
      </c>
      <c r="S1692" s="181">
        <f t="shared" si="80"/>
        <v>0</v>
      </c>
    </row>
    <row r="1693" spans="2:19">
      <c r="B1693" s="121"/>
      <c r="C1693" s="490"/>
      <c r="D1693" s="490" t="str">
        <f t="shared" si="79"/>
        <v/>
      </c>
      <c r="I1693" s="128"/>
      <c r="J1693" s="128"/>
      <c r="K1693" s="128"/>
      <c r="L1693" s="128"/>
      <c r="M1693" s="389"/>
      <c r="N1693" s="389"/>
      <c r="O1693" s="389"/>
      <c r="P1693" s="389"/>
      <c r="R1693" s="390" t="str">
        <f t="shared" si="81"/>
        <v>:</v>
      </c>
      <c r="S1693" s="181">
        <f t="shared" si="80"/>
        <v>0</v>
      </c>
    </row>
    <row r="1694" spans="2:19">
      <c r="B1694" s="121"/>
      <c r="C1694" s="490"/>
      <c r="D1694" s="490" t="str">
        <f t="shared" si="79"/>
        <v/>
      </c>
      <c r="I1694" s="128"/>
      <c r="J1694" s="128"/>
      <c r="K1694" s="128"/>
      <c r="L1694" s="128"/>
      <c r="M1694" s="389"/>
      <c r="N1694" s="389"/>
      <c r="O1694" s="389"/>
      <c r="P1694" s="389"/>
      <c r="R1694" s="390" t="str">
        <f t="shared" si="81"/>
        <v>:</v>
      </c>
      <c r="S1694" s="181">
        <f t="shared" si="80"/>
        <v>0</v>
      </c>
    </row>
    <row r="1695" spans="2:19">
      <c r="B1695" s="121"/>
      <c r="C1695" s="490"/>
      <c r="D1695" s="490" t="str">
        <f t="shared" si="79"/>
        <v/>
      </c>
      <c r="I1695" s="128"/>
      <c r="J1695" s="128"/>
      <c r="K1695" s="128"/>
      <c r="L1695" s="128"/>
      <c r="M1695" s="389"/>
      <c r="N1695" s="389"/>
      <c r="O1695" s="389"/>
      <c r="P1695" s="389"/>
      <c r="R1695" s="390" t="str">
        <f t="shared" si="81"/>
        <v>:</v>
      </c>
      <c r="S1695" s="181">
        <f t="shared" si="80"/>
        <v>0</v>
      </c>
    </row>
    <row r="1696" spans="2:19">
      <c r="B1696" s="121"/>
      <c r="C1696" s="490"/>
      <c r="D1696" s="490" t="str">
        <f t="shared" si="79"/>
        <v/>
      </c>
      <c r="I1696" s="128"/>
      <c r="J1696" s="128"/>
      <c r="K1696" s="128"/>
      <c r="L1696" s="128"/>
      <c r="M1696" s="389"/>
      <c r="N1696" s="389"/>
      <c r="O1696" s="389"/>
      <c r="P1696" s="389"/>
      <c r="R1696" s="390" t="str">
        <f t="shared" si="81"/>
        <v>:</v>
      </c>
      <c r="S1696" s="181">
        <f t="shared" si="80"/>
        <v>0</v>
      </c>
    </row>
    <row r="1697" spans="2:19">
      <c r="B1697" s="121"/>
      <c r="C1697" s="490"/>
      <c r="D1697" s="490" t="str">
        <f t="shared" si="79"/>
        <v/>
      </c>
      <c r="I1697" s="128"/>
      <c r="J1697" s="128"/>
      <c r="K1697" s="128"/>
      <c r="L1697" s="128"/>
      <c r="M1697" s="389"/>
      <c r="N1697" s="389"/>
      <c r="O1697" s="389"/>
      <c r="P1697" s="389"/>
      <c r="R1697" s="390" t="str">
        <f t="shared" si="81"/>
        <v>:</v>
      </c>
      <c r="S1697" s="181">
        <f t="shared" si="80"/>
        <v>0</v>
      </c>
    </row>
    <row r="1698" spans="2:19">
      <c r="B1698" s="121"/>
      <c r="C1698" s="490"/>
      <c r="D1698" s="490" t="str">
        <f t="shared" si="79"/>
        <v/>
      </c>
      <c r="I1698" s="128"/>
      <c r="J1698" s="128"/>
      <c r="K1698" s="128"/>
      <c r="L1698" s="128"/>
      <c r="M1698" s="389"/>
      <c r="N1698" s="389"/>
      <c r="O1698" s="389"/>
      <c r="P1698" s="389"/>
      <c r="R1698" s="390" t="str">
        <f t="shared" si="81"/>
        <v>:</v>
      </c>
      <c r="S1698" s="181">
        <f t="shared" si="80"/>
        <v>0</v>
      </c>
    </row>
    <row r="1699" spans="2:19">
      <c r="B1699" s="121"/>
      <c r="C1699" s="490"/>
      <c r="D1699" s="490" t="str">
        <f t="shared" si="79"/>
        <v/>
      </c>
      <c r="I1699" s="128"/>
      <c r="J1699" s="128"/>
      <c r="K1699" s="128"/>
      <c r="L1699" s="128"/>
      <c r="M1699" s="389"/>
      <c r="N1699" s="389"/>
      <c r="O1699" s="389"/>
      <c r="P1699" s="389"/>
      <c r="R1699" s="390" t="str">
        <f t="shared" si="81"/>
        <v>:</v>
      </c>
      <c r="S1699" s="181">
        <f t="shared" si="80"/>
        <v>0</v>
      </c>
    </row>
    <row r="1700" spans="2:19">
      <c r="B1700" s="121"/>
      <c r="C1700" s="490"/>
      <c r="D1700" s="490" t="str">
        <f t="shared" si="79"/>
        <v/>
      </c>
      <c r="I1700" s="128"/>
      <c r="J1700" s="128"/>
      <c r="K1700" s="128"/>
      <c r="L1700" s="128"/>
      <c r="M1700" s="389"/>
      <c r="N1700" s="389"/>
      <c r="O1700" s="389"/>
      <c r="P1700" s="389"/>
      <c r="R1700" s="390" t="str">
        <f t="shared" si="81"/>
        <v>:</v>
      </c>
      <c r="S1700" s="181">
        <f t="shared" si="80"/>
        <v>0</v>
      </c>
    </row>
    <row r="1701" spans="2:19">
      <c r="B1701" s="121"/>
      <c r="C1701" s="490"/>
      <c r="D1701" s="490" t="str">
        <f t="shared" si="79"/>
        <v/>
      </c>
      <c r="I1701" s="128"/>
      <c r="J1701" s="128"/>
      <c r="K1701" s="128"/>
      <c r="L1701" s="128"/>
      <c r="M1701" s="389"/>
      <c r="N1701" s="389"/>
      <c r="O1701" s="389"/>
      <c r="P1701" s="389"/>
      <c r="R1701" s="390" t="str">
        <f t="shared" si="81"/>
        <v>:</v>
      </c>
      <c r="S1701" s="181">
        <f t="shared" si="80"/>
        <v>0</v>
      </c>
    </row>
    <row r="1702" spans="2:19">
      <c r="B1702" s="121"/>
      <c r="C1702" s="490"/>
      <c r="D1702" s="490" t="str">
        <f t="shared" si="79"/>
        <v/>
      </c>
      <c r="I1702" s="128"/>
      <c r="J1702" s="128"/>
      <c r="K1702" s="128"/>
      <c r="L1702" s="128"/>
      <c r="M1702" s="389"/>
      <c r="N1702" s="389"/>
      <c r="O1702" s="389"/>
      <c r="P1702" s="389"/>
      <c r="R1702" s="390" t="str">
        <f t="shared" si="81"/>
        <v>:</v>
      </c>
      <c r="S1702" s="181">
        <f t="shared" si="80"/>
        <v>0</v>
      </c>
    </row>
    <row r="1703" spans="2:19">
      <c r="B1703" s="121"/>
      <c r="C1703" s="490"/>
      <c r="D1703" s="490" t="str">
        <f t="shared" si="79"/>
        <v/>
      </c>
      <c r="I1703" s="128"/>
      <c r="J1703" s="128"/>
      <c r="K1703" s="128"/>
      <c r="L1703" s="128"/>
      <c r="M1703" s="389"/>
      <c r="N1703" s="389"/>
      <c r="O1703" s="389"/>
      <c r="P1703" s="389"/>
      <c r="R1703" s="390" t="str">
        <f t="shared" si="81"/>
        <v>:</v>
      </c>
      <c r="S1703" s="181">
        <f t="shared" si="80"/>
        <v>0</v>
      </c>
    </row>
    <row r="1704" spans="2:19">
      <c r="B1704" s="121"/>
      <c r="C1704" s="490"/>
      <c r="D1704" s="490" t="str">
        <f t="shared" si="79"/>
        <v/>
      </c>
      <c r="I1704" s="128"/>
      <c r="J1704" s="128"/>
      <c r="K1704" s="128"/>
      <c r="L1704" s="128"/>
      <c r="M1704" s="389"/>
      <c r="N1704" s="389"/>
      <c r="O1704" s="389"/>
      <c r="P1704" s="389"/>
      <c r="R1704" s="390" t="str">
        <f t="shared" si="81"/>
        <v>:</v>
      </c>
      <c r="S1704" s="181">
        <f t="shared" si="80"/>
        <v>0</v>
      </c>
    </row>
    <row r="1705" spans="2:19">
      <c r="B1705" s="121"/>
      <c r="C1705" s="490"/>
      <c r="D1705" s="490" t="str">
        <f t="shared" si="79"/>
        <v/>
      </c>
      <c r="I1705" s="128"/>
      <c r="J1705" s="128"/>
      <c r="K1705" s="128"/>
      <c r="L1705" s="128"/>
      <c r="M1705" s="389"/>
      <c r="N1705" s="389"/>
      <c r="O1705" s="389"/>
      <c r="P1705" s="389"/>
      <c r="R1705" s="390" t="str">
        <f t="shared" si="81"/>
        <v>:</v>
      </c>
      <c r="S1705" s="181">
        <f t="shared" si="80"/>
        <v>0</v>
      </c>
    </row>
    <row r="1706" spans="2:19">
      <c r="B1706" s="121"/>
      <c r="C1706" s="490"/>
      <c r="D1706" s="490" t="str">
        <f t="shared" si="79"/>
        <v/>
      </c>
      <c r="I1706" s="128"/>
      <c r="J1706" s="128"/>
      <c r="K1706" s="128"/>
      <c r="L1706" s="128"/>
      <c r="M1706" s="389"/>
      <c r="N1706" s="389"/>
      <c r="O1706" s="389"/>
      <c r="P1706" s="389"/>
      <c r="R1706" s="390" t="str">
        <f t="shared" si="81"/>
        <v>:</v>
      </c>
      <c r="S1706" s="181">
        <f t="shared" si="80"/>
        <v>0</v>
      </c>
    </row>
    <row r="1707" spans="2:19">
      <c r="B1707" s="121"/>
      <c r="C1707" s="490"/>
      <c r="D1707" s="490" t="str">
        <f t="shared" si="79"/>
        <v/>
      </c>
      <c r="I1707" s="128"/>
      <c r="J1707" s="128"/>
      <c r="K1707" s="128"/>
      <c r="L1707" s="128"/>
      <c r="M1707" s="389"/>
      <c r="N1707" s="389"/>
      <c r="O1707" s="389"/>
      <c r="P1707" s="389"/>
      <c r="R1707" s="390" t="str">
        <f t="shared" si="81"/>
        <v>:</v>
      </c>
      <c r="S1707" s="181">
        <f t="shared" si="80"/>
        <v>0</v>
      </c>
    </row>
    <row r="1708" spans="2:19">
      <c r="B1708" s="121"/>
      <c r="C1708" s="490"/>
      <c r="D1708" s="490" t="str">
        <f t="shared" si="79"/>
        <v/>
      </c>
      <c r="I1708" s="128"/>
      <c r="J1708" s="128"/>
      <c r="K1708" s="128"/>
      <c r="L1708" s="128"/>
      <c r="M1708" s="389"/>
      <c r="N1708" s="389"/>
      <c r="O1708" s="389"/>
      <c r="P1708" s="389"/>
      <c r="R1708" s="390" t="str">
        <f t="shared" si="81"/>
        <v>:</v>
      </c>
      <c r="S1708" s="181">
        <f t="shared" si="80"/>
        <v>0</v>
      </c>
    </row>
    <row r="1709" spans="2:19">
      <c r="B1709" s="121"/>
      <c r="C1709" s="490"/>
      <c r="D1709" s="490" t="str">
        <f t="shared" si="79"/>
        <v/>
      </c>
      <c r="I1709" s="128"/>
      <c r="J1709" s="128"/>
      <c r="K1709" s="128"/>
      <c r="L1709" s="128"/>
      <c r="M1709" s="389"/>
      <c r="N1709" s="389"/>
      <c r="O1709" s="389"/>
      <c r="P1709" s="389"/>
      <c r="R1709" s="390" t="str">
        <f t="shared" si="81"/>
        <v>:</v>
      </c>
      <c r="S1709" s="181">
        <f t="shared" si="80"/>
        <v>0</v>
      </c>
    </row>
    <row r="1710" spans="2:19">
      <c r="B1710" s="121"/>
      <c r="C1710" s="490"/>
      <c r="D1710" s="490" t="str">
        <f t="shared" ref="D1710:D1773" si="82">IF(B1710="","",B1710&amp;":"&amp;C1710)</f>
        <v/>
      </c>
      <c r="I1710" s="128"/>
      <c r="J1710" s="128"/>
      <c r="K1710" s="128"/>
      <c r="L1710" s="128"/>
      <c r="M1710" s="389"/>
      <c r="N1710" s="389"/>
      <c r="O1710" s="389"/>
      <c r="P1710" s="389"/>
      <c r="R1710" s="390" t="str">
        <f t="shared" si="81"/>
        <v>:</v>
      </c>
      <c r="S1710" s="181">
        <f t="shared" si="80"/>
        <v>0</v>
      </c>
    </row>
    <row r="1711" spans="2:19">
      <c r="B1711" s="121"/>
      <c r="C1711" s="490"/>
      <c r="D1711" s="490" t="str">
        <f t="shared" si="82"/>
        <v/>
      </c>
      <c r="I1711" s="128"/>
      <c r="J1711" s="128"/>
      <c r="K1711" s="128"/>
      <c r="L1711" s="128"/>
      <c r="M1711" s="389"/>
      <c r="N1711" s="389"/>
      <c r="O1711" s="389"/>
      <c r="P1711" s="389"/>
      <c r="R1711" s="390" t="str">
        <f t="shared" si="81"/>
        <v>:</v>
      </c>
      <c r="S1711" s="181">
        <f t="shared" si="80"/>
        <v>0</v>
      </c>
    </row>
    <row r="1712" spans="2:19">
      <c r="B1712" s="121"/>
      <c r="C1712" s="490"/>
      <c r="D1712" s="490" t="str">
        <f t="shared" si="82"/>
        <v/>
      </c>
      <c r="I1712" s="128"/>
      <c r="J1712" s="128"/>
      <c r="K1712" s="128"/>
      <c r="L1712" s="128"/>
      <c r="M1712" s="389"/>
      <c r="N1712" s="389"/>
      <c r="O1712" s="389"/>
      <c r="P1712" s="389"/>
      <c r="R1712" s="390" t="str">
        <f t="shared" si="81"/>
        <v>:</v>
      </c>
      <c r="S1712" s="181">
        <f t="shared" si="80"/>
        <v>0</v>
      </c>
    </row>
    <row r="1713" spans="2:19">
      <c r="B1713" s="121"/>
      <c r="C1713" s="490"/>
      <c r="D1713" s="490" t="str">
        <f t="shared" si="82"/>
        <v/>
      </c>
      <c r="I1713" s="128"/>
      <c r="J1713" s="128"/>
      <c r="K1713" s="128"/>
      <c r="L1713" s="128"/>
      <c r="M1713" s="389"/>
      <c r="N1713" s="389"/>
      <c r="O1713" s="389"/>
      <c r="P1713" s="389"/>
      <c r="R1713" s="390" t="str">
        <f t="shared" si="81"/>
        <v>:</v>
      </c>
      <c r="S1713" s="181">
        <f t="shared" si="80"/>
        <v>0</v>
      </c>
    </row>
    <row r="1714" spans="2:19">
      <c r="B1714" s="121"/>
      <c r="C1714" s="490"/>
      <c r="D1714" s="490" t="str">
        <f t="shared" si="82"/>
        <v/>
      </c>
      <c r="I1714" s="128"/>
      <c r="J1714" s="128"/>
      <c r="K1714" s="128"/>
      <c r="L1714" s="128"/>
      <c r="M1714" s="389"/>
      <c r="N1714" s="389"/>
      <c r="O1714" s="389"/>
      <c r="P1714" s="389"/>
      <c r="R1714" s="390" t="str">
        <f t="shared" si="81"/>
        <v>:</v>
      </c>
      <c r="S1714" s="181">
        <f t="shared" si="80"/>
        <v>0</v>
      </c>
    </row>
    <row r="1715" spans="2:19">
      <c r="B1715" s="121"/>
      <c r="C1715" s="490"/>
      <c r="D1715" s="490" t="str">
        <f t="shared" si="82"/>
        <v/>
      </c>
      <c r="I1715" s="128"/>
      <c r="J1715" s="128"/>
      <c r="K1715" s="128"/>
      <c r="L1715" s="128"/>
      <c r="M1715" s="389"/>
      <c r="N1715" s="389"/>
      <c r="O1715" s="389"/>
      <c r="P1715" s="389"/>
      <c r="R1715" s="390" t="str">
        <f t="shared" si="81"/>
        <v>:</v>
      </c>
      <c r="S1715" s="181">
        <f t="shared" si="80"/>
        <v>0</v>
      </c>
    </row>
    <row r="1716" spans="2:19">
      <c r="B1716" s="121"/>
      <c r="C1716" s="490"/>
      <c r="D1716" s="490" t="str">
        <f t="shared" si="82"/>
        <v/>
      </c>
      <c r="I1716" s="128"/>
      <c r="J1716" s="128"/>
      <c r="K1716" s="128"/>
      <c r="L1716" s="128"/>
      <c r="M1716" s="389"/>
      <c r="N1716" s="389"/>
      <c r="O1716" s="389"/>
      <c r="P1716" s="389"/>
      <c r="R1716" s="390" t="str">
        <f t="shared" si="81"/>
        <v>:</v>
      </c>
      <c r="S1716" s="181">
        <f t="shared" si="80"/>
        <v>0</v>
      </c>
    </row>
    <row r="1717" spans="2:19">
      <c r="B1717" s="121"/>
      <c r="C1717" s="490"/>
      <c r="D1717" s="490" t="str">
        <f t="shared" si="82"/>
        <v/>
      </c>
      <c r="I1717" s="128"/>
      <c r="J1717" s="128"/>
      <c r="K1717" s="128"/>
      <c r="L1717" s="128"/>
      <c r="M1717" s="389"/>
      <c r="N1717" s="389"/>
      <c r="O1717" s="389"/>
      <c r="P1717" s="389"/>
      <c r="R1717" s="390" t="str">
        <f t="shared" si="81"/>
        <v>:</v>
      </c>
      <c r="S1717" s="181">
        <f t="shared" si="80"/>
        <v>0</v>
      </c>
    </row>
    <row r="1718" spans="2:19">
      <c r="B1718" s="121"/>
      <c r="C1718" s="490"/>
      <c r="D1718" s="490" t="str">
        <f t="shared" si="82"/>
        <v/>
      </c>
      <c r="I1718" s="128"/>
      <c r="J1718" s="128"/>
      <c r="K1718" s="128"/>
      <c r="L1718" s="128"/>
      <c r="M1718" s="389"/>
      <c r="N1718" s="389"/>
      <c r="O1718" s="389"/>
      <c r="P1718" s="389"/>
      <c r="R1718" s="390" t="str">
        <f t="shared" si="81"/>
        <v>:</v>
      </c>
      <c r="S1718" s="181">
        <f t="shared" si="80"/>
        <v>0</v>
      </c>
    </row>
    <row r="1719" spans="2:19">
      <c r="B1719" s="121"/>
      <c r="C1719" s="490"/>
      <c r="D1719" s="490" t="str">
        <f t="shared" si="82"/>
        <v/>
      </c>
      <c r="I1719" s="128"/>
      <c r="J1719" s="128"/>
      <c r="K1719" s="128"/>
      <c r="L1719" s="128"/>
      <c r="M1719" s="389"/>
      <c r="N1719" s="389"/>
      <c r="O1719" s="389"/>
      <c r="P1719" s="389"/>
      <c r="R1719" s="390" t="str">
        <f t="shared" si="81"/>
        <v>:</v>
      </c>
      <c r="S1719" s="181">
        <f t="shared" si="80"/>
        <v>0</v>
      </c>
    </row>
    <row r="1720" spans="2:19">
      <c r="B1720" s="121"/>
      <c r="C1720" s="490"/>
      <c r="D1720" s="490" t="str">
        <f t="shared" si="82"/>
        <v/>
      </c>
      <c r="I1720" s="128"/>
      <c r="J1720" s="128"/>
      <c r="K1720" s="128"/>
      <c r="L1720" s="128"/>
      <c r="M1720" s="389"/>
      <c r="N1720" s="389"/>
      <c r="O1720" s="389"/>
      <c r="P1720" s="389"/>
      <c r="R1720" s="390" t="str">
        <f t="shared" si="81"/>
        <v>:</v>
      </c>
      <c r="S1720" s="181">
        <f t="shared" si="80"/>
        <v>0</v>
      </c>
    </row>
    <row r="1721" spans="2:19">
      <c r="B1721" s="121"/>
      <c r="C1721" s="490"/>
      <c r="D1721" s="490" t="str">
        <f t="shared" si="82"/>
        <v/>
      </c>
      <c r="I1721" s="128"/>
      <c r="J1721" s="128"/>
      <c r="K1721" s="128"/>
      <c r="L1721" s="128"/>
      <c r="M1721" s="389"/>
      <c r="N1721" s="389"/>
      <c r="O1721" s="389"/>
      <c r="P1721" s="389"/>
      <c r="R1721" s="390" t="str">
        <f t="shared" si="81"/>
        <v>:</v>
      </c>
      <c r="S1721" s="181">
        <f t="shared" si="80"/>
        <v>0</v>
      </c>
    </row>
    <row r="1722" spans="2:19">
      <c r="B1722" s="121"/>
      <c r="C1722" s="490"/>
      <c r="D1722" s="490" t="str">
        <f t="shared" si="82"/>
        <v/>
      </c>
      <c r="I1722" s="128"/>
      <c r="J1722" s="128"/>
      <c r="K1722" s="128"/>
      <c r="L1722" s="128"/>
      <c r="M1722" s="389"/>
      <c r="N1722" s="389"/>
      <c r="O1722" s="389"/>
      <c r="P1722" s="389"/>
      <c r="R1722" s="390" t="str">
        <f t="shared" si="81"/>
        <v>:</v>
      </c>
      <c r="S1722" s="181">
        <f t="shared" si="80"/>
        <v>0</v>
      </c>
    </row>
    <row r="1723" spans="2:19">
      <c r="B1723" s="121"/>
      <c r="C1723" s="490"/>
      <c r="D1723" s="490" t="str">
        <f t="shared" si="82"/>
        <v/>
      </c>
      <c r="I1723" s="128"/>
      <c r="J1723" s="128"/>
      <c r="K1723" s="128"/>
      <c r="L1723" s="128"/>
      <c r="M1723" s="389"/>
      <c r="N1723" s="389"/>
      <c r="O1723" s="389"/>
      <c r="P1723" s="389"/>
      <c r="R1723" s="390" t="str">
        <f t="shared" si="81"/>
        <v>:</v>
      </c>
      <c r="S1723" s="181">
        <f t="shared" si="80"/>
        <v>0</v>
      </c>
    </row>
    <row r="1724" spans="2:19">
      <c r="B1724" s="121"/>
      <c r="C1724" s="490"/>
      <c r="D1724" s="490" t="str">
        <f t="shared" si="82"/>
        <v/>
      </c>
      <c r="I1724" s="128"/>
      <c r="J1724" s="128"/>
      <c r="K1724" s="128"/>
      <c r="L1724" s="128"/>
      <c r="M1724" s="389"/>
      <c r="N1724" s="389"/>
      <c r="O1724" s="389"/>
      <c r="P1724" s="389"/>
      <c r="R1724" s="390" t="str">
        <f t="shared" si="81"/>
        <v>:</v>
      </c>
      <c r="S1724" s="181">
        <f t="shared" si="80"/>
        <v>0</v>
      </c>
    </row>
    <row r="1725" spans="2:19">
      <c r="B1725" s="121"/>
      <c r="C1725" s="490"/>
      <c r="D1725" s="490" t="str">
        <f t="shared" si="82"/>
        <v/>
      </c>
      <c r="I1725" s="128"/>
      <c r="J1725" s="128"/>
      <c r="K1725" s="128"/>
      <c r="L1725" s="128"/>
      <c r="M1725" s="389"/>
      <c r="N1725" s="389"/>
      <c r="O1725" s="389"/>
      <c r="P1725" s="389"/>
      <c r="R1725" s="390" t="str">
        <f t="shared" si="81"/>
        <v>:</v>
      </c>
      <c r="S1725" s="181">
        <f t="shared" si="80"/>
        <v>0</v>
      </c>
    </row>
    <row r="1726" spans="2:19">
      <c r="B1726" s="121"/>
      <c r="C1726" s="490"/>
      <c r="D1726" s="490" t="str">
        <f t="shared" si="82"/>
        <v/>
      </c>
      <c r="I1726" s="128"/>
      <c r="J1726" s="128"/>
      <c r="K1726" s="128"/>
      <c r="L1726" s="128"/>
      <c r="M1726" s="389"/>
      <c r="N1726" s="389"/>
      <c r="O1726" s="389"/>
      <c r="P1726" s="389"/>
      <c r="R1726" s="390" t="str">
        <f t="shared" si="81"/>
        <v>:</v>
      </c>
      <c r="S1726" s="181">
        <f t="shared" si="80"/>
        <v>0</v>
      </c>
    </row>
    <row r="1727" spans="2:19">
      <c r="B1727" s="121"/>
      <c r="C1727" s="490"/>
      <c r="D1727" s="490" t="str">
        <f t="shared" si="82"/>
        <v/>
      </c>
      <c r="I1727" s="128"/>
      <c r="J1727" s="128"/>
      <c r="K1727" s="128"/>
      <c r="L1727" s="128"/>
      <c r="M1727" s="389"/>
      <c r="N1727" s="389"/>
      <c r="O1727" s="389"/>
      <c r="P1727" s="389"/>
      <c r="R1727" s="390" t="str">
        <f t="shared" si="81"/>
        <v>:</v>
      </c>
      <c r="S1727" s="181">
        <f t="shared" si="80"/>
        <v>0</v>
      </c>
    </row>
    <row r="1728" spans="2:19">
      <c r="B1728" s="121"/>
      <c r="C1728" s="490"/>
      <c r="D1728" s="490" t="str">
        <f t="shared" si="82"/>
        <v/>
      </c>
      <c r="I1728" s="128"/>
      <c r="J1728" s="128"/>
      <c r="K1728" s="128"/>
      <c r="L1728" s="128"/>
      <c r="M1728" s="389"/>
      <c r="N1728" s="389"/>
      <c r="O1728" s="389"/>
      <c r="P1728" s="389"/>
      <c r="R1728" s="390" t="str">
        <f t="shared" si="81"/>
        <v>:</v>
      </c>
      <c r="S1728" s="181">
        <f t="shared" si="80"/>
        <v>0</v>
      </c>
    </row>
    <row r="1729" spans="2:19">
      <c r="B1729" s="121"/>
      <c r="C1729" s="490"/>
      <c r="D1729" s="490" t="str">
        <f t="shared" si="82"/>
        <v/>
      </c>
      <c r="I1729" s="128"/>
      <c r="J1729" s="128"/>
      <c r="K1729" s="128"/>
      <c r="L1729" s="128"/>
      <c r="M1729" s="389"/>
      <c r="N1729" s="389"/>
      <c r="O1729" s="389"/>
      <c r="P1729" s="389"/>
      <c r="R1729" s="390" t="str">
        <f t="shared" si="81"/>
        <v>:</v>
      </c>
      <c r="S1729" s="181">
        <f t="shared" si="80"/>
        <v>0</v>
      </c>
    </row>
    <row r="1730" spans="2:19">
      <c r="B1730" s="121"/>
      <c r="C1730" s="490"/>
      <c r="D1730" s="490" t="str">
        <f t="shared" si="82"/>
        <v/>
      </c>
      <c r="I1730" s="128"/>
      <c r="J1730" s="128"/>
      <c r="K1730" s="128"/>
      <c r="L1730" s="128"/>
      <c r="M1730" s="389"/>
      <c r="N1730" s="389"/>
      <c r="O1730" s="389"/>
      <c r="P1730" s="389"/>
      <c r="R1730" s="390" t="str">
        <f t="shared" si="81"/>
        <v>:</v>
      </c>
      <c r="S1730" s="181">
        <f t="shared" si="80"/>
        <v>0</v>
      </c>
    </row>
    <row r="1731" spans="2:19">
      <c r="B1731" s="121"/>
      <c r="C1731" s="490"/>
      <c r="D1731" s="490" t="str">
        <f t="shared" si="82"/>
        <v/>
      </c>
      <c r="I1731" s="128"/>
      <c r="J1731" s="128"/>
      <c r="K1731" s="128"/>
      <c r="L1731" s="128"/>
      <c r="M1731" s="389"/>
      <c r="N1731" s="389"/>
      <c r="O1731" s="389"/>
      <c r="P1731" s="389"/>
      <c r="R1731" s="390" t="str">
        <f t="shared" si="81"/>
        <v>:</v>
      </c>
      <c r="S1731" s="181">
        <f t="shared" si="80"/>
        <v>0</v>
      </c>
    </row>
    <row r="1732" spans="2:19">
      <c r="B1732" s="121"/>
      <c r="C1732" s="490"/>
      <c r="D1732" s="490" t="str">
        <f t="shared" si="82"/>
        <v/>
      </c>
      <c r="I1732" s="128"/>
      <c r="J1732" s="128"/>
      <c r="K1732" s="128"/>
      <c r="L1732" s="128"/>
      <c r="M1732" s="389"/>
      <c r="N1732" s="389"/>
      <c r="O1732" s="389"/>
      <c r="P1732" s="389"/>
      <c r="R1732" s="390" t="str">
        <f t="shared" si="81"/>
        <v>:</v>
      </c>
      <c r="S1732" s="181">
        <f t="shared" si="80"/>
        <v>0</v>
      </c>
    </row>
    <row r="1733" spans="2:19">
      <c r="B1733" s="121"/>
      <c r="C1733" s="490"/>
      <c r="D1733" s="490" t="str">
        <f t="shared" si="82"/>
        <v/>
      </c>
      <c r="I1733" s="128"/>
      <c r="J1733" s="128"/>
      <c r="K1733" s="128"/>
      <c r="L1733" s="128"/>
      <c r="M1733" s="389"/>
      <c r="N1733" s="389"/>
      <c r="O1733" s="389"/>
      <c r="P1733" s="389"/>
      <c r="R1733" s="390" t="str">
        <f t="shared" si="81"/>
        <v>:</v>
      </c>
      <c r="S1733" s="181">
        <f t="shared" si="80"/>
        <v>0</v>
      </c>
    </row>
    <row r="1734" spans="2:19">
      <c r="B1734" s="121"/>
      <c r="C1734" s="490"/>
      <c r="D1734" s="490" t="str">
        <f t="shared" si="82"/>
        <v/>
      </c>
      <c r="I1734" s="128"/>
      <c r="J1734" s="128"/>
      <c r="K1734" s="128"/>
      <c r="L1734" s="128"/>
      <c r="M1734" s="389"/>
      <c r="N1734" s="389"/>
      <c r="O1734" s="389"/>
      <c r="P1734" s="389"/>
      <c r="R1734" s="390" t="str">
        <f t="shared" si="81"/>
        <v>:</v>
      </c>
      <c r="S1734" s="181">
        <f t="shared" si="80"/>
        <v>0</v>
      </c>
    </row>
    <row r="1735" spans="2:19">
      <c r="B1735" s="121"/>
      <c r="C1735" s="490"/>
      <c r="D1735" s="490" t="str">
        <f t="shared" si="82"/>
        <v/>
      </c>
      <c r="I1735" s="128"/>
      <c r="J1735" s="128"/>
      <c r="K1735" s="128"/>
      <c r="L1735" s="128"/>
      <c r="M1735" s="389"/>
      <c r="N1735" s="389"/>
      <c r="O1735" s="389"/>
      <c r="P1735" s="389"/>
      <c r="R1735" s="390" t="str">
        <f t="shared" si="81"/>
        <v>:</v>
      </c>
      <c r="S1735" s="181">
        <f t="shared" si="80"/>
        <v>0</v>
      </c>
    </row>
    <row r="1736" spans="2:19">
      <c r="B1736" s="121"/>
      <c r="C1736" s="490"/>
      <c r="D1736" s="490" t="str">
        <f t="shared" si="82"/>
        <v/>
      </c>
      <c r="I1736" s="128"/>
      <c r="J1736" s="128"/>
      <c r="K1736" s="128"/>
      <c r="L1736" s="128"/>
      <c r="M1736" s="389"/>
      <c r="N1736" s="389"/>
      <c r="O1736" s="389"/>
      <c r="P1736" s="389"/>
      <c r="R1736" s="390" t="str">
        <f t="shared" si="81"/>
        <v>:</v>
      </c>
      <c r="S1736" s="181">
        <f t="shared" si="80"/>
        <v>0</v>
      </c>
    </row>
    <row r="1737" spans="2:19">
      <c r="B1737" s="121"/>
      <c r="C1737" s="490"/>
      <c r="D1737" s="490" t="str">
        <f t="shared" si="82"/>
        <v/>
      </c>
      <c r="I1737" s="128"/>
      <c r="J1737" s="128"/>
      <c r="K1737" s="128"/>
      <c r="L1737" s="128"/>
      <c r="M1737" s="389"/>
      <c r="N1737" s="389"/>
      <c r="O1737" s="389"/>
      <c r="P1737" s="389"/>
      <c r="R1737" s="390" t="str">
        <f t="shared" si="81"/>
        <v>:</v>
      </c>
      <c r="S1737" s="181">
        <f t="shared" si="80"/>
        <v>0</v>
      </c>
    </row>
    <row r="1738" spans="2:19">
      <c r="B1738" s="121"/>
      <c r="C1738" s="490"/>
      <c r="D1738" s="490" t="str">
        <f t="shared" si="82"/>
        <v/>
      </c>
      <c r="I1738" s="128"/>
      <c r="J1738" s="128"/>
      <c r="K1738" s="128"/>
      <c r="L1738" s="128"/>
      <c r="M1738" s="389"/>
      <c r="N1738" s="389"/>
      <c r="O1738" s="389"/>
      <c r="P1738" s="389"/>
      <c r="R1738" s="390" t="str">
        <f t="shared" si="81"/>
        <v>:</v>
      </c>
      <c r="S1738" s="181">
        <f t="shared" ref="S1738:S1801" si="83">HLOOKUP($S$8,$L$8:$P$2000,ROW()-7,FALSE)</f>
        <v>0</v>
      </c>
    </row>
    <row r="1739" spans="2:19">
      <c r="B1739" s="121"/>
      <c r="C1739" s="490"/>
      <c r="D1739" s="490" t="str">
        <f t="shared" si="82"/>
        <v/>
      </c>
      <c r="I1739" s="128"/>
      <c r="J1739" s="128"/>
      <c r="K1739" s="128"/>
      <c r="L1739" s="128"/>
      <c r="M1739" s="389"/>
      <c r="N1739" s="389"/>
      <c r="O1739" s="389"/>
      <c r="P1739" s="389"/>
      <c r="R1739" s="390" t="str">
        <f t="shared" si="81"/>
        <v>:</v>
      </c>
      <c r="S1739" s="181">
        <f t="shared" si="83"/>
        <v>0</v>
      </c>
    </row>
    <row r="1740" spans="2:19">
      <c r="B1740" s="121"/>
      <c r="C1740" s="490"/>
      <c r="D1740" s="490" t="str">
        <f t="shared" si="82"/>
        <v/>
      </c>
      <c r="I1740" s="128"/>
      <c r="J1740" s="128"/>
      <c r="K1740" s="128"/>
      <c r="L1740" s="128"/>
      <c r="M1740" s="389"/>
      <c r="N1740" s="389"/>
      <c r="O1740" s="389"/>
      <c r="P1740" s="389"/>
      <c r="R1740" s="390" t="str">
        <f t="shared" si="81"/>
        <v>:</v>
      </c>
      <c r="S1740" s="181">
        <f t="shared" si="83"/>
        <v>0</v>
      </c>
    </row>
    <row r="1741" spans="2:19">
      <c r="B1741" s="121"/>
      <c r="C1741" s="490"/>
      <c r="D1741" s="490" t="str">
        <f t="shared" si="82"/>
        <v/>
      </c>
      <c r="I1741" s="128"/>
      <c r="J1741" s="128"/>
      <c r="K1741" s="128"/>
      <c r="L1741" s="128"/>
      <c r="M1741" s="389"/>
      <c r="N1741" s="389"/>
      <c r="O1741" s="389"/>
      <c r="P1741" s="389"/>
      <c r="R1741" s="390" t="str">
        <f t="shared" ref="R1741:R1804" si="84">I1741&amp;":"&amp;J1741&amp;K1741</f>
        <v>:</v>
      </c>
      <c r="S1741" s="181">
        <f t="shared" si="83"/>
        <v>0</v>
      </c>
    </row>
    <row r="1742" spans="2:19">
      <c r="B1742" s="121"/>
      <c r="C1742" s="490"/>
      <c r="D1742" s="490" t="str">
        <f t="shared" si="82"/>
        <v/>
      </c>
      <c r="I1742" s="128"/>
      <c r="J1742" s="128"/>
      <c r="K1742" s="128"/>
      <c r="L1742" s="128"/>
      <c r="M1742" s="389"/>
      <c r="N1742" s="389"/>
      <c r="O1742" s="389"/>
      <c r="P1742" s="389"/>
      <c r="R1742" s="390" t="str">
        <f t="shared" si="84"/>
        <v>:</v>
      </c>
      <c r="S1742" s="181">
        <f t="shared" si="83"/>
        <v>0</v>
      </c>
    </row>
    <row r="1743" spans="2:19">
      <c r="B1743" s="121"/>
      <c r="C1743" s="490"/>
      <c r="D1743" s="490" t="str">
        <f t="shared" si="82"/>
        <v/>
      </c>
      <c r="I1743" s="128"/>
      <c r="J1743" s="128"/>
      <c r="K1743" s="128"/>
      <c r="L1743" s="128"/>
      <c r="M1743" s="389"/>
      <c r="N1743" s="389"/>
      <c r="O1743" s="389"/>
      <c r="P1743" s="389"/>
      <c r="R1743" s="390" t="str">
        <f t="shared" si="84"/>
        <v>:</v>
      </c>
      <c r="S1743" s="181">
        <f t="shared" si="83"/>
        <v>0</v>
      </c>
    </row>
    <row r="1744" spans="2:19">
      <c r="B1744" s="121"/>
      <c r="C1744" s="490"/>
      <c r="D1744" s="490" t="str">
        <f t="shared" si="82"/>
        <v/>
      </c>
      <c r="I1744" s="128"/>
      <c r="J1744" s="128"/>
      <c r="K1744" s="128"/>
      <c r="L1744" s="128"/>
      <c r="M1744" s="389"/>
      <c r="N1744" s="389"/>
      <c r="O1744" s="389"/>
      <c r="P1744" s="389"/>
      <c r="R1744" s="390" t="str">
        <f t="shared" si="84"/>
        <v>:</v>
      </c>
      <c r="S1744" s="181">
        <f t="shared" si="83"/>
        <v>0</v>
      </c>
    </row>
    <row r="1745" spans="2:19">
      <c r="B1745" s="121"/>
      <c r="C1745" s="490"/>
      <c r="D1745" s="490" t="str">
        <f t="shared" si="82"/>
        <v/>
      </c>
      <c r="I1745" s="128"/>
      <c r="J1745" s="128"/>
      <c r="K1745" s="128"/>
      <c r="L1745" s="128"/>
      <c r="M1745" s="389"/>
      <c r="N1745" s="389"/>
      <c r="O1745" s="389"/>
      <c r="P1745" s="389"/>
      <c r="R1745" s="390" t="str">
        <f t="shared" si="84"/>
        <v>:</v>
      </c>
      <c r="S1745" s="181">
        <f t="shared" si="83"/>
        <v>0</v>
      </c>
    </row>
    <row r="1746" spans="2:19">
      <c r="B1746" s="121"/>
      <c r="C1746" s="490"/>
      <c r="D1746" s="490" t="str">
        <f t="shared" si="82"/>
        <v/>
      </c>
      <c r="I1746" s="128"/>
      <c r="J1746" s="128"/>
      <c r="K1746" s="128"/>
      <c r="L1746" s="128"/>
      <c r="M1746" s="389"/>
      <c r="N1746" s="389"/>
      <c r="O1746" s="389"/>
      <c r="P1746" s="389"/>
      <c r="R1746" s="390" t="str">
        <f t="shared" si="84"/>
        <v>:</v>
      </c>
      <c r="S1746" s="181">
        <f t="shared" si="83"/>
        <v>0</v>
      </c>
    </row>
    <row r="1747" spans="2:19">
      <c r="B1747" s="121"/>
      <c r="C1747" s="490"/>
      <c r="D1747" s="490" t="str">
        <f t="shared" si="82"/>
        <v/>
      </c>
      <c r="I1747" s="128"/>
      <c r="J1747" s="128"/>
      <c r="K1747" s="128"/>
      <c r="L1747" s="128"/>
      <c r="M1747" s="389"/>
      <c r="N1747" s="389"/>
      <c r="O1747" s="389"/>
      <c r="P1747" s="389"/>
      <c r="R1747" s="390" t="str">
        <f t="shared" si="84"/>
        <v>:</v>
      </c>
      <c r="S1747" s="181">
        <f t="shared" si="83"/>
        <v>0</v>
      </c>
    </row>
    <row r="1748" spans="2:19">
      <c r="B1748" s="121"/>
      <c r="C1748" s="490"/>
      <c r="D1748" s="490" t="str">
        <f t="shared" si="82"/>
        <v/>
      </c>
      <c r="I1748" s="128"/>
      <c r="J1748" s="128"/>
      <c r="K1748" s="128"/>
      <c r="L1748" s="128"/>
      <c r="M1748" s="389"/>
      <c r="N1748" s="389"/>
      <c r="O1748" s="389"/>
      <c r="P1748" s="389"/>
      <c r="R1748" s="390" t="str">
        <f t="shared" si="84"/>
        <v>:</v>
      </c>
      <c r="S1748" s="181">
        <f t="shared" si="83"/>
        <v>0</v>
      </c>
    </row>
    <row r="1749" spans="2:19">
      <c r="B1749" s="121"/>
      <c r="C1749" s="490"/>
      <c r="D1749" s="490" t="str">
        <f t="shared" si="82"/>
        <v/>
      </c>
      <c r="I1749" s="128"/>
      <c r="J1749" s="128"/>
      <c r="K1749" s="128"/>
      <c r="L1749" s="128"/>
      <c r="M1749" s="389"/>
      <c r="N1749" s="389"/>
      <c r="O1749" s="389"/>
      <c r="P1749" s="389"/>
      <c r="R1749" s="390" t="str">
        <f t="shared" si="84"/>
        <v>:</v>
      </c>
      <c r="S1749" s="181">
        <f t="shared" si="83"/>
        <v>0</v>
      </c>
    </row>
    <row r="1750" spans="2:19">
      <c r="B1750" s="121"/>
      <c r="C1750" s="490"/>
      <c r="D1750" s="490" t="str">
        <f t="shared" si="82"/>
        <v/>
      </c>
      <c r="I1750" s="128"/>
      <c r="J1750" s="128"/>
      <c r="K1750" s="128"/>
      <c r="L1750" s="128"/>
      <c r="M1750" s="389"/>
      <c r="N1750" s="389"/>
      <c r="O1750" s="389"/>
      <c r="P1750" s="389"/>
      <c r="R1750" s="390" t="str">
        <f t="shared" si="84"/>
        <v>:</v>
      </c>
      <c r="S1750" s="181">
        <f t="shared" si="83"/>
        <v>0</v>
      </c>
    </row>
    <row r="1751" spans="2:19">
      <c r="B1751" s="121"/>
      <c r="C1751" s="490"/>
      <c r="D1751" s="490" t="str">
        <f t="shared" si="82"/>
        <v/>
      </c>
      <c r="I1751" s="128"/>
      <c r="J1751" s="128"/>
      <c r="K1751" s="128"/>
      <c r="L1751" s="128"/>
      <c r="M1751" s="389"/>
      <c r="N1751" s="389"/>
      <c r="O1751" s="389"/>
      <c r="P1751" s="389"/>
      <c r="R1751" s="390" t="str">
        <f t="shared" si="84"/>
        <v>:</v>
      </c>
      <c r="S1751" s="181">
        <f t="shared" si="83"/>
        <v>0</v>
      </c>
    </row>
    <row r="1752" spans="2:19">
      <c r="B1752" s="121"/>
      <c r="C1752" s="490"/>
      <c r="D1752" s="490" t="str">
        <f t="shared" si="82"/>
        <v/>
      </c>
      <c r="I1752" s="128"/>
      <c r="J1752" s="128"/>
      <c r="K1752" s="128"/>
      <c r="L1752" s="128"/>
      <c r="M1752" s="389"/>
      <c r="N1752" s="389"/>
      <c r="O1752" s="389"/>
      <c r="P1752" s="389"/>
      <c r="R1752" s="390" t="str">
        <f t="shared" si="84"/>
        <v>:</v>
      </c>
      <c r="S1752" s="181">
        <f t="shared" si="83"/>
        <v>0</v>
      </c>
    </row>
    <row r="1753" spans="2:19">
      <c r="B1753" s="121"/>
      <c r="C1753" s="490"/>
      <c r="D1753" s="490" t="str">
        <f t="shared" si="82"/>
        <v/>
      </c>
      <c r="I1753" s="128"/>
      <c r="J1753" s="128"/>
      <c r="K1753" s="128"/>
      <c r="L1753" s="128"/>
      <c r="M1753" s="389"/>
      <c r="N1753" s="389"/>
      <c r="O1753" s="389"/>
      <c r="P1753" s="389"/>
      <c r="R1753" s="390" t="str">
        <f t="shared" si="84"/>
        <v>:</v>
      </c>
      <c r="S1753" s="181">
        <f t="shared" si="83"/>
        <v>0</v>
      </c>
    </row>
    <row r="1754" spans="2:19">
      <c r="B1754" s="121"/>
      <c r="C1754" s="490"/>
      <c r="D1754" s="490" t="str">
        <f t="shared" si="82"/>
        <v/>
      </c>
      <c r="I1754" s="128"/>
      <c r="J1754" s="128"/>
      <c r="K1754" s="128"/>
      <c r="L1754" s="128"/>
      <c r="M1754" s="389"/>
      <c r="N1754" s="389"/>
      <c r="O1754" s="389"/>
      <c r="P1754" s="389"/>
      <c r="R1754" s="390" t="str">
        <f t="shared" si="84"/>
        <v>:</v>
      </c>
      <c r="S1754" s="181">
        <f t="shared" si="83"/>
        <v>0</v>
      </c>
    </row>
    <row r="1755" spans="2:19">
      <c r="B1755" s="121"/>
      <c r="C1755" s="490"/>
      <c r="D1755" s="490" t="str">
        <f t="shared" si="82"/>
        <v/>
      </c>
      <c r="I1755" s="128"/>
      <c r="J1755" s="128"/>
      <c r="K1755" s="128"/>
      <c r="L1755" s="128"/>
      <c r="M1755" s="389"/>
      <c r="N1755" s="389"/>
      <c r="O1755" s="389"/>
      <c r="P1755" s="389"/>
      <c r="R1755" s="390" t="str">
        <f t="shared" si="84"/>
        <v>:</v>
      </c>
      <c r="S1755" s="181">
        <f t="shared" si="83"/>
        <v>0</v>
      </c>
    </row>
    <row r="1756" spans="2:19">
      <c r="B1756" s="121"/>
      <c r="C1756" s="490"/>
      <c r="D1756" s="490" t="str">
        <f t="shared" si="82"/>
        <v/>
      </c>
      <c r="I1756" s="128"/>
      <c r="J1756" s="128"/>
      <c r="K1756" s="128"/>
      <c r="L1756" s="128"/>
      <c r="M1756" s="389"/>
      <c r="N1756" s="389"/>
      <c r="O1756" s="389"/>
      <c r="P1756" s="389"/>
      <c r="R1756" s="390" t="str">
        <f t="shared" si="84"/>
        <v>:</v>
      </c>
      <c r="S1756" s="181">
        <f t="shared" si="83"/>
        <v>0</v>
      </c>
    </row>
    <row r="1757" spans="2:19">
      <c r="B1757" s="121"/>
      <c r="C1757" s="490"/>
      <c r="D1757" s="490" t="str">
        <f t="shared" si="82"/>
        <v/>
      </c>
      <c r="I1757" s="128"/>
      <c r="J1757" s="128"/>
      <c r="K1757" s="128"/>
      <c r="L1757" s="128"/>
      <c r="M1757" s="389"/>
      <c r="N1757" s="389"/>
      <c r="O1757" s="389"/>
      <c r="P1757" s="389"/>
      <c r="R1757" s="390" t="str">
        <f t="shared" si="84"/>
        <v>:</v>
      </c>
      <c r="S1757" s="181">
        <f t="shared" si="83"/>
        <v>0</v>
      </c>
    </row>
    <row r="1758" spans="2:19">
      <c r="B1758" s="121"/>
      <c r="C1758" s="490"/>
      <c r="D1758" s="490" t="str">
        <f t="shared" si="82"/>
        <v/>
      </c>
      <c r="I1758" s="128"/>
      <c r="J1758" s="128"/>
      <c r="K1758" s="128"/>
      <c r="L1758" s="128"/>
      <c r="M1758" s="389"/>
      <c r="N1758" s="389"/>
      <c r="O1758" s="389"/>
      <c r="P1758" s="389"/>
      <c r="R1758" s="390" t="str">
        <f t="shared" si="84"/>
        <v>:</v>
      </c>
      <c r="S1758" s="181">
        <f t="shared" si="83"/>
        <v>0</v>
      </c>
    </row>
    <row r="1759" spans="2:19">
      <c r="B1759" s="121"/>
      <c r="C1759" s="490"/>
      <c r="D1759" s="490" t="str">
        <f t="shared" si="82"/>
        <v/>
      </c>
      <c r="I1759" s="128"/>
      <c r="J1759" s="128"/>
      <c r="K1759" s="128"/>
      <c r="L1759" s="128"/>
      <c r="M1759" s="389"/>
      <c r="N1759" s="389"/>
      <c r="O1759" s="389"/>
      <c r="P1759" s="389"/>
      <c r="R1759" s="390" t="str">
        <f t="shared" si="84"/>
        <v>:</v>
      </c>
      <c r="S1759" s="181">
        <f t="shared" si="83"/>
        <v>0</v>
      </c>
    </row>
    <row r="1760" spans="2:19">
      <c r="B1760" s="121"/>
      <c r="C1760" s="490"/>
      <c r="D1760" s="490" t="str">
        <f t="shared" si="82"/>
        <v/>
      </c>
      <c r="I1760" s="128"/>
      <c r="J1760" s="128"/>
      <c r="K1760" s="128"/>
      <c r="L1760" s="128"/>
      <c r="M1760" s="389"/>
      <c r="N1760" s="389"/>
      <c r="O1760" s="389"/>
      <c r="P1760" s="389"/>
      <c r="R1760" s="390" t="str">
        <f t="shared" si="84"/>
        <v>:</v>
      </c>
      <c r="S1760" s="181">
        <f t="shared" si="83"/>
        <v>0</v>
      </c>
    </row>
    <row r="1761" spans="2:19">
      <c r="B1761" s="121"/>
      <c r="C1761" s="490"/>
      <c r="D1761" s="490" t="str">
        <f t="shared" si="82"/>
        <v/>
      </c>
      <c r="I1761" s="128"/>
      <c r="J1761" s="128"/>
      <c r="K1761" s="128"/>
      <c r="L1761" s="128"/>
      <c r="M1761" s="389"/>
      <c r="N1761" s="389"/>
      <c r="O1761" s="389"/>
      <c r="P1761" s="389"/>
      <c r="R1761" s="390" t="str">
        <f t="shared" si="84"/>
        <v>:</v>
      </c>
      <c r="S1761" s="181">
        <f t="shared" si="83"/>
        <v>0</v>
      </c>
    </row>
    <row r="1762" spans="2:19">
      <c r="B1762" s="121"/>
      <c r="C1762" s="490"/>
      <c r="D1762" s="490" t="str">
        <f t="shared" si="82"/>
        <v/>
      </c>
      <c r="I1762" s="128"/>
      <c r="J1762" s="128"/>
      <c r="K1762" s="128"/>
      <c r="L1762" s="128"/>
      <c r="M1762" s="389"/>
      <c r="N1762" s="389"/>
      <c r="O1762" s="389"/>
      <c r="P1762" s="389"/>
      <c r="R1762" s="390" t="str">
        <f t="shared" si="84"/>
        <v>:</v>
      </c>
      <c r="S1762" s="181">
        <f t="shared" si="83"/>
        <v>0</v>
      </c>
    </row>
    <row r="1763" spans="2:19">
      <c r="B1763" s="121"/>
      <c r="C1763" s="490"/>
      <c r="D1763" s="490" t="str">
        <f t="shared" si="82"/>
        <v/>
      </c>
      <c r="I1763" s="128"/>
      <c r="J1763" s="128"/>
      <c r="K1763" s="128"/>
      <c r="L1763" s="128"/>
      <c r="M1763" s="389"/>
      <c r="N1763" s="389"/>
      <c r="O1763" s="389"/>
      <c r="P1763" s="389"/>
      <c r="R1763" s="390" t="str">
        <f t="shared" si="84"/>
        <v>:</v>
      </c>
      <c r="S1763" s="181">
        <f t="shared" si="83"/>
        <v>0</v>
      </c>
    </row>
    <row r="1764" spans="2:19">
      <c r="B1764" s="121"/>
      <c r="C1764" s="490"/>
      <c r="D1764" s="490" t="str">
        <f t="shared" si="82"/>
        <v/>
      </c>
      <c r="I1764" s="128"/>
      <c r="J1764" s="128"/>
      <c r="K1764" s="128"/>
      <c r="L1764" s="128"/>
      <c r="M1764" s="389"/>
      <c r="N1764" s="389"/>
      <c r="O1764" s="389"/>
      <c r="P1764" s="389"/>
      <c r="R1764" s="390" t="str">
        <f t="shared" si="84"/>
        <v>:</v>
      </c>
      <c r="S1764" s="181">
        <f t="shared" si="83"/>
        <v>0</v>
      </c>
    </row>
    <row r="1765" spans="2:19">
      <c r="B1765" s="121"/>
      <c r="C1765" s="490"/>
      <c r="D1765" s="490" t="str">
        <f t="shared" si="82"/>
        <v/>
      </c>
      <c r="I1765" s="128"/>
      <c r="J1765" s="128"/>
      <c r="K1765" s="128"/>
      <c r="L1765" s="128"/>
      <c r="M1765" s="389"/>
      <c r="N1765" s="389"/>
      <c r="O1765" s="389"/>
      <c r="P1765" s="389"/>
      <c r="R1765" s="390" t="str">
        <f t="shared" si="84"/>
        <v>:</v>
      </c>
      <c r="S1765" s="181">
        <f t="shared" si="83"/>
        <v>0</v>
      </c>
    </row>
    <row r="1766" spans="2:19">
      <c r="B1766" s="121"/>
      <c r="C1766" s="490"/>
      <c r="D1766" s="490" t="str">
        <f t="shared" si="82"/>
        <v/>
      </c>
      <c r="I1766" s="128"/>
      <c r="J1766" s="128"/>
      <c r="K1766" s="128"/>
      <c r="L1766" s="128"/>
      <c r="M1766" s="389"/>
      <c r="N1766" s="389"/>
      <c r="O1766" s="389"/>
      <c r="P1766" s="389"/>
      <c r="R1766" s="390" t="str">
        <f t="shared" si="84"/>
        <v>:</v>
      </c>
      <c r="S1766" s="181">
        <f t="shared" si="83"/>
        <v>0</v>
      </c>
    </row>
    <row r="1767" spans="2:19">
      <c r="B1767" s="121"/>
      <c r="C1767" s="490"/>
      <c r="D1767" s="490" t="str">
        <f t="shared" si="82"/>
        <v/>
      </c>
      <c r="I1767" s="128"/>
      <c r="J1767" s="128"/>
      <c r="K1767" s="128"/>
      <c r="L1767" s="128"/>
      <c r="M1767" s="389"/>
      <c r="N1767" s="389"/>
      <c r="O1767" s="389"/>
      <c r="P1767" s="389"/>
      <c r="R1767" s="390" t="str">
        <f t="shared" si="84"/>
        <v>:</v>
      </c>
      <c r="S1767" s="181">
        <f t="shared" si="83"/>
        <v>0</v>
      </c>
    </row>
    <row r="1768" spans="2:19">
      <c r="B1768" s="121"/>
      <c r="C1768" s="490"/>
      <c r="D1768" s="490" t="str">
        <f t="shared" si="82"/>
        <v/>
      </c>
      <c r="I1768" s="128"/>
      <c r="J1768" s="128"/>
      <c r="K1768" s="128"/>
      <c r="L1768" s="128"/>
      <c r="M1768" s="389"/>
      <c r="N1768" s="389"/>
      <c r="O1768" s="389"/>
      <c r="P1768" s="389"/>
      <c r="R1768" s="390" t="str">
        <f t="shared" si="84"/>
        <v>:</v>
      </c>
      <c r="S1768" s="181">
        <f t="shared" si="83"/>
        <v>0</v>
      </c>
    </row>
    <row r="1769" spans="2:19">
      <c r="B1769" s="121"/>
      <c r="C1769" s="490"/>
      <c r="D1769" s="490" t="str">
        <f t="shared" si="82"/>
        <v/>
      </c>
      <c r="I1769" s="128"/>
      <c r="J1769" s="128"/>
      <c r="K1769" s="128"/>
      <c r="L1769" s="128"/>
      <c r="M1769" s="389"/>
      <c r="N1769" s="389"/>
      <c r="O1769" s="389"/>
      <c r="P1769" s="389"/>
      <c r="R1769" s="390" t="str">
        <f t="shared" si="84"/>
        <v>:</v>
      </c>
      <c r="S1769" s="181">
        <f t="shared" si="83"/>
        <v>0</v>
      </c>
    </row>
    <row r="1770" spans="2:19">
      <c r="B1770" s="121"/>
      <c r="C1770" s="490"/>
      <c r="D1770" s="490" t="str">
        <f t="shared" si="82"/>
        <v/>
      </c>
      <c r="I1770" s="128"/>
      <c r="J1770" s="128"/>
      <c r="K1770" s="128"/>
      <c r="L1770" s="128"/>
      <c r="M1770" s="389"/>
      <c r="N1770" s="389"/>
      <c r="O1770" s="389"/>
      <c r="P1770" s="389"/>
      <c r="R1770" s="390" t="str">
        <f t="shared" si="84"/>
        <v>:</v>
      </c>
      <c r="S1770" s="181">
        <f t="shared" si="83"/>
        <v>0</v>
      </c>
    </row>
    <row r="1771" spans="2:19">
      <c r="B1771" s="121"/>
      <c r="C1771" s="490"/>
      <c r="D1771" s="490" t="str">
        <f t="shared" si="82"/>
        <v/>
      </c>
      <c r="I1771" s="128"/>
      <c r="J1771" s="128"/>
      <c r="K1771" s="128"/>
      <c r="L1771" s="128"/>
      <c r="M1771" s="389"/>
      <c r="N1771" s="389"/>
      <c r="O1771" s="389"/>
      <c r="P1771" s="389"/>
      <c r="R1771" s="390" t="str">
        <f t="shared" si="84"/>
        <v>:</v>
      </c>
      <c r="S1771" s="181">
        <f t="shared" si="83"/>
        <v>0</v>
      </c>
    </row>
    <row r="1772" spans="2:19">
      <c r="B1772" s="121"/>
      <c r="C1772" s="490"/>
      <c r="D1772" s="490" t="str">
        <f t="shared" si="82"/>
        <v/>
      </c>
      <c r="I1772" s="128"/>
      <c r="J1772" s="128"/>
      <c r="K1772" s="128"/>
      <c r="L1772" s="128"/>
      <c r="M1772" s="389"/>
      <c r="N1772" s="389"/>
      <c r="O1772" s="389"/>
      <c r="P1772" s="389"/>
      <c r="R1772" s="390" t="str">
        <f t="shared" si="84"/>
        <v>:</v>
      </c>
      <c r="S1772" s="181">
        <f t="shared" si="83"/>
        <v>0</v>
      </c>
    </row>
    <row r="1773" spans="2:19">
      <c r="B1773" s="121"/>
      <c r="C1773" s="490"/>
      <c r="D1773" s="490" t="str">
        <f t="shared" si="82"/>
        <v/>
      </c>
      <c r="I1773" s="128"/>
      <c r="J1773" s="128"/>
      <c r="K1773" s="128"/>
      <c r="L1773" s="128"/>
      <c r="M1773" s="389"/>
      <c r="N1773" s="389"/>
      <c r="O1773" s="389"/>
      <c r="P1773" s="389"/>
      <c r="R1773" s="390" t="str">
        <f t="shared" si="84"/>
        <v>:</v>
      </c>
      <c r="S1773" s="181">
        <f t="shared" si="83"/>
        <v>0</v>
      </c>
    </row>
    <row r="1774" spans="2:19">
      <c r="B1774" s="121"/>
      <c r="C1774" s="490"/>
      <c r="D1774" s="490" t="str">
        <f t="shared" ref="D1774:D1837" si="85">IF(B1774="","",B1774&amp;":"&amp;C1774)</f>
        <v/>
      </c>
      <c r="I1774" s="128"/>
      <c r="J1774" s="128"/>
      <c r="K1774" s="128"/>
      <c r="L1774" s="128"/>
      <c r="M1774" s="389"/>
      <c r="N1774" s="389"/>
      <c r="O1774" s="389"/>
      <c r="P1774" s="389"/>
      <c r="R1774" s="390" t="str">
        <f t="shared" si="84"/>
        <v>:</v>
      </c>
      <c r="S1774" s="181">
        <f t="shared" si="83"/>
        <v>0</v>
      </c>
    </row>
    <row r="1775" spans="2:19">
      <c r="B1775" s="121"/>
      <c r="C1775" s="490"/>
      <c r="D1775" s="490" t="str">
        <f t="shared" si="85"/>
        <v/>
      </c>
      <c r="I1775" s="128"/>
      <c r="J1775" s="128"/>
      <c r="K1775" s="128"/>
      <c r="L1775" s="128"/>
      <c r="M1775" s="389"/>
      <c r="N1775" s="389"/>
      <c r="O1775" s="389"/>
      <c r="P1775" s="389"/>
      <c r="R1775" s="390" t="str">
        <f t="shared" si="84"/>
        <v>:</v>
      </c>
      <c r="S1775" s="181">
        <f t="shared" si="83"/>
        <v>0</v>
      </c>
    </row>
    <row r="1776" spans="2:19">
      <c r="B1776" s="121"/>
      <c r="C1776" s="490"/>
      <c r="D1776" s="490" t="str">
        <f t="shared" si="85"/>
        <v/>
      </c>
      <c r="I1776" s="128"/>
      <c r="J1776" s="128"/>
      <c r="K1776" s="128"/>
      <c r="L1776" s="128"/>
      <c r="M1776" s="389"/>
      <c r="N1776" s="389"/>
      <c r="O1776" s="389"/>
      <c r="P1776" s="389"/>
      <c r="R1776" s="390" t="str">
        <f t="shared" si="84"/>
        <v>:</v>
      </c>
      <c r="S1776" s="181">
        <f t="shared" si="83"/>
        <v>0</v>
      </c>
    </row>
    <row r="1777" spans="2:19">
      <c r="B1777" s="121"/>
      <c r="C1777" s="490"/>
      <c r="D1777" s="490" t="str">
        <f t="shared" si="85"/>
        <v/>
      </c>
      <c r="I1777" s="128"/>
      <c r="J1777" s="128"/>
      <c r="K1777" s="128"/>
      <c r="L1777" s="128"/>
      <c r="M1777" s="389"/>
      <c r="N1777" s="389"/>
      <c r="O1777" s="389"/>
      <c r="P1777" s="389"/>
      <c r="R1777" s="390" t="str">
        <f t="shared" si="84"/>
        <v>:</v>
      </c>
      <c r="S1777" s="181">
        <f t="shared" si="83"/>
        <v>0</v>
      </c>
    </row>
    <row r="1778" spans="2:19">
      <c r="B1778" s="121"/>
      <c r="C1778" s="490"/>
      <c r="D1778" s="490" t="str">
        <f t="shared" si="85"/>
        <v/>
      </c>
      <c r="I1778" s="128"/>
      <c r="J1778" s="128"/>
      <c r="K1778" s="128"/>
      <c r="L1778" s="128"/>
      <c r="M1778" s="389"/>
      <c r="N1778" s="389"/>
      <c r="O1778" s="389"/>
      <c r="P1778" s="389"/>
      <c r="R1778" s="390" t="str">
        <f t="shared" si="84"/>
        <v>:</v>
      </c>
      <c r="S1778" s="181">
        <f t="shared" si="83"/>
        <v>0</v>
      </c>
    </row>
    <row r="1779" spans="2:19">
      <c r="B1779" s="121"/>
      <c r="C1779" s="490"/>
      <c r="D1779" s="490" t="str">
        <f t="shared" si="85"/>
        <v/>
      </c>
      <c r="I1779" s="128"/>
      <c r="J1779" s="128"/>
      <c r="K1779" s="128"/>
      <c r="L1779" s="128"/>
      <c r="M1779" s="389"/>
      <c r="N1779" s="389"/>
      <c r="O1779" s="389"/>
      <c r="P1779" s="389"/>
      <c r="R1779" s="390" t="str">
        <f t="shared" si="84"/>
        <v>:</v>
      </c>
      <c r="S1779" s="181">
        <f t="shared" si="83"/>
        <v>0</v>
      </c>
    </row>
    <row r="1780" spans="2:19">
      <c r="B1780" s="121"/>
      <c r="C1780" s="490"/>
      <c r="D1780" s="490" t="str">
        <f t="shared" si="85"/>
        <v/>
      </c>
      <c r="I1780" s="128"/>
      <c r="J1780" s="128"/>
      <c r="K1780" s="128"/>
      <c r="L1780" s="128"/>
      <c r="M1780" s="389"/>
      <c r="N1780" s="389"/>
      <c r="O1780" s="389"/>
      <c r="P1780" s="389"/>
      <c r="R1780" s="390" t="str">
        <f t="shared" si="84"/>
        <v>:</v>
      </c>
      <c r="S1780" s="181">
        <f t="shared" si="83"/>
        <v>0</v>
      </c>
    </row>
    <row r="1781" spans="2:19">
      <c r="B1781" s="121"/>
      <c r="C1781" s="490"/>
      <c r="D1781" s="490" t="str">
        <f t="shared" si="85"/>
        <v/>
      </c>
      <c r="I1781" s="128"/>
      <c r="J1781" s="128"/>
      <c r="K1781" s="128"/>
      <c r="L1781" s="128"/>
      <c r="M1781" s="389"/>
      <c r="N1781" s="389"/>
      <c r="O1781" s="389"/>
      <c r="P1781" s="389"/>
      <c r="R1781" s="390" t="str">
        <f t="shared" si="84"/>
        <v>:</v>
      </c>
      <c r="S1781" s="181">
        <f t="shared" si="83"/>
        <v>0</v>
      </c>
    </row>
    <row r="1782" spans="2:19">
      <c r="B1782" s="121"/>
      <c r="C1782" s="490"/>
      <c r="D1782" s="490" t="str">
        <f t="shared" si="85"/>
        <v/>
      </c>
      <c r="I1782" s="128"/>
      <c r="J1782" s="128"/>
      <c r="K1782" s="128"/>
      <c r="L1782" s="128"/>
      <c r="M1782" s="389"/>
      <c r="N1782" s="389"/>
      <c r="O1782" s="389"/>
      <c r="P1782" s="389"/>
      <c r="R1782" s="390" t="str">
        <f t="shared" si="84"/>
        <v>:</v>
      </c>
      <c r="S1782" s="181">
        <f t="shared" si="83"/>
        <v>0</v>
      </c>
    </row>
    <row r="1783" spans="2:19">
      <c r="B1783" s="121"/>
      <c r="C1783" s="490"/>
      <c r="D1783" s="490" t="str">
        <f t="shared" si="85"/>
        <v/>
      </c>
      <c r="I1783" s="128"/>
      <c r="J1783" s="128"/>
      <c r="K1783" s="128"/>
      <c r="L1783" s="128"/>
      <c r="M1783" s="389"/>
      <c r="N1783" s="389"/>
      <c r="O1783" s="389"/>
      <c r="P1783" s="389"/>
      <c r="R1783" s="390" t="str">
        <f t="shared" si="84"/>
        <v>:</v>
      </c>
      <c r="S1783" s="181">
        <f t="shared" si="83"/>
        <v>0</v>
      </c>
    </row>
    <row r="1784" spans="2:19">
      <c r="B1784" s="121"/>
      <c r="C1784" s="490"/>
      <c r="D1784" s="490" t="str">
        <f t="shared" si="85"/>
        <v/>
      </c>
      <c r="I1784" s="128"/>
      <c r="J1784" s="128"/>
      <c r="K1784" s="128"/>
      <c r="L1784" s="128"/>
      <c r="M1784" s="389"/>
      <c r="N1784" s="389"/>
      <c r="O1784" s="389"/>
      <c r="P1784" s="389"/>
      <c r="R1784" s="390" t="str">
        <f t="shared" si="84"/>
        <v>:</v>
      </c>
      <c r="S1784" s="181">
        <f t="shared" si="83"/>
        <v>0</v>
      </c>
    </row>
    <row r="1785" spans="2:19">
      <c r="B1785" s="121"/>
      <c r="C1785" s="490"/>
      <c r="D1785" s="490" t="str">
        <f t="shared" si="85"/>
        <v/>
      </c>
      <c r="I1785" s="128"/>
      <c r="J1785" s="128"/>
      <c r="K1785" s="128"/>
      <c r="L1785" s="128"/>
      <c r="M1785" s="389"/>
      <c r="N1785" s="389"/>
      <c r="O1785" s="389"/>
      <c r="P1785" s="389"/>
      <c r="R1785" s="390" t="str">
        <f t="shared" si="84"/>
        <v>:</v>
      </c>
      <c r="S1785" s="181">
        <f t="shared" si="83"/>
        <v>0</v>
      </c>
    </row>
    <row r="1786" spans="2:19">
      <c r="B1786" s="121"/>
      <c r="C1786" s="490"/>
      <c r="D1786" s="490" t="str">
        <f t="shared" si="85"/>
        <v/>
      </c>
      <c r="I1786" s="128"/>
      <c r="J1786" s="128"/>
      <c r="K1786" s="128"/>
      <c r="L1786" s="128"/>
      <c r="M1786" s="389"/>
      <c r="N1786" s="389"/>
      <c r="O1786" s="389"/>
      <c r="P1786" s="389"/>
      <c r="R1786" s="390" t="str">
        <f t="shared" si="84"/>
        <v>:</v>
      </c>
      <c r="S1786" s="181">
        <f t="shared" si="83"/>
        <v>0</v>
      </c>
    </row>
    <row r="1787" spans="2:19">
      <c r="B1787" s="121"/>
      <c r="C1787" s="490"/>
      <c r="D1787" s="490" t="str">
        <f t="shared" si="85"/>
        <v/>
      </c>
      <c r="I1787" s="128"/>
      <c r="J1787" s="128"/>
      <c r="K1787" s="128"/>
      <c r="L1787" s="128"/>
      <c r="M1787" s="389"/>
      <c r="N1787" s="389"/>
      <c r="O1787" s="389"/>
      <c r="P1787" s="389"/>
      <c r="R1787" s="390" t="str">
        <f t="shared" si="84"/>
        <v>:</v>
      </c>
      <c r="S1787" s="181">
        <f t="shared" si="83"/>
        <v>0</v>
      </c>
    </row>
    <row r="1788" spans="2:19">
      <c r="B1788" s="121"/>
      <c r="C1788" s="490"/>
      <c r="D1788" s="490" t="str">
        <f t="shared" si="85"/>
        <v/>
      </c>
      <c r="I1788" s="128"/>
      <c r="J1788" s="128"/>
      <c r="K1788" s="128"/>
      <c r="L1788" s="128"/>
      <c r="M1788" s="389"/>
      <c r="N1788" s="389"/>
      <c r="O1788" s="389"/>
      <c r="P1788" s="389"/>
      <c r="R1788" s="390" t="str">
        <f t="shared" si="84"/>
        <v>:</v>
      </c>
      <c r="S1788" s="181">
        <f t="shared" si="83"/>
        <v>0</v>
      </c>
    </row>
    <row r="1789" spans="2:19">
      <c r="B1789" s="121"/>
      <c r="C1789" s="490"/>
      <c r="D1789" s="490" t="str">
        <f t="shared" si="85"/>
        <v/>
      </c>
      <c r="I1789" s="128"/>
      <c r="J1789" s="128"/>
      <c r="K1789" s="128"/>
      <c r="L1789" s="128"/>
      <c r="M1789" s="389"/>
      <c r="N1789" s="389"/>
      <c r="O1789" s="389"/>
      <c r="P1789" s="389"/>
      <c r="R1789" s="390" t="str">
        <f t="shared" si="84"/>
        <v>:</v>
      </c>
      <c r="S1789" s="181">
        <f t="shared" si="83"/>
        <v>0</v>
      </c>
    </row>
    <row r="1790" spans="2:19">
      <c r="B1790" s="121"/>
      <c r="C1790" s="490"/>
      <c r="D1790" s="490" t="str">
        <f t="shared" si="85"/>
        <v/>
      </c>
      <c r="I1790" s="128"/>
      <c r="J1790" s="128"/>
      <c r="K1790" s="128"/>
      <c r="L1790" s="128"/>
      <c r="M1790" s="389"/>
      <c r="N1790" s="389"/>
      <c r="O1790" s="389"/>
      <c r="P1790" s="389"/>
      <c r="R1790" s="390" t="str">
        <f t="shared" si="84"/>
        <v>:</v>
      </c>
      <c r="S1790" s="181">
        <f t="shared" si="83"/>
        <v>0</v>
      </c>
    </row>
    <row r="1791" spans="2:19">
      <c r="B1791" s="121"/>
      <c r="C1791" s="490"/>
      <c r="D1791" s="490" t="str">
        <f t="shared" si="85"/>
        <v/>
      </c>
      <c r="I1791" s="128"/>
      <c r="J1791" s="128"/>
      <c r="K1791" s="128"/>
      <c r="L1791" s="128"/>
      <c r="M1791" s="389"/>
      <c r="N1791" s="389"/>
      <c r="O1791" s="389"/>
      <c r="P1791" s="389"/>
      <c r="R1791" s="390" t="str">
        <f t="shared" si="84"/>
        <v>:</v>
      </c>
      <c r="S1791" s="181">
        <f t="shared" si="83"/>
        <v>0</v>
      </c>
    </row>
    <row r="1792" spans="2:19">
      <c r="B1792" s="121"/>
      <c r="C1792" s="490"/>
      <c r="D1792" s="490" t="str">
        <f t="shared" si="85"/>
        <v/>
      </c>
      <c r="I1792" s="128"/>
      <c r="J1792" s="128"/>
      <c r="K1792" s="128"/>
      <c r="L1792" s="128"/>
      <c r="M1792" s="389"/>
      <c r="N1792" s="389"/>
      <c r="O1792" s="389"/>
      <c r="P1792" s="389"/>
      <c r="R1792" s="390" t="str">
        <f t="shared" si="84"/>
        <v>:</v>
      </c>
      <c r="S1792" s="181">
        <f t="shared" si="83"/>
        <v>0</v>
      </c>
    </row>
    <row r="1793" spans="2:19">
      <c r="B1793" s="121"/>
      <c r="C1793" s="490"/>
      <c r="D1793" s="490" t="str">
        <f t="shared" si="85"/>
        <v/>
      </c>
      <c r="I1793" s="128"/>
      <c r="J1793" s="128"/>
      <c r="K1793" s="128"/>
      <c r="L1793" s="128"/>
      <c r="M1793" s="389"/>
      <c r="N1793" s="389"/>
      <c r="O1793" s="389"/>
      <c r="P1793" s="389"/>
      <c r="R1793" s="390" t="str">
        <f t="shared" si="84"/>
        <v>:</v>
      </c>
      <c r="S1793" s="181">
        <f t="shared" si="83"/>
        <v>0</v>
      </c>
    </row>
    <row r="1794" spans="2:19">
      <c r="B1794" s="121"/>
      <c r="C1794" s="490"/>
      <c r="D1794" s="490" t="str">
        <f t="shared" si="85"/>
        <v/>
      </c>
      <c r="I1794" s="128"/>
      <c r="J1794" s="128"/>
      <c r="K1794" s="128"/>
      <c r="L1794" s="128"/>
      <c r="M1794" s="389"/>
      <c r="N1794" s="389"/>
      <c r="O1794" s="389"/>
      <c r="P1794" s="389"/>
      <c r="R1794" s="390" t="str">
        <f t="shared" si="84"/>
        <v>:</v>
      </c>
      <c r="S1794" s="181">
        <f t="shared" si="83"/>
        <v>0</v>
      </c>
    </row>
    <row r="1795" spans="2:19">
      <c r="B1795" s="121"/>
      <c r="C1795" s="490"/>
      <c r="D1795" s="490" t="str">
        <f t="shared" si="85"/>
        <v/>
      </c>
      <c r="I1795" s="128"/>
      <c r="J1795" s="128"/>
      <c r="K1795" s="128"/>
      <c r="L1795" s="128"/>
      <c r="M1795" s="389"/>
      <c r="N1795" s="389"/>
      <c r="O1795" s="389"/>
      <c r="P1795" s="389"/>
      <c r="R1795" s="390" t="str">
        <f t="shared" si="84"/>
        <v>:</v>
      </c>
      <c r="S1795" s="181">
        <f t="shared" si="83"/>
        <v>0</v>
      </c>
    </row>
    <row r="1796" spans="2:19">
      <c r="B1796" s="121"/>
      <c r="C1796" s="490"/>
      <c r="D1796" s="490" t="str">
        <f t="shared" si="85"/>
        <v/>
      </c>
      <c r="I1796" s="128"/>
      <c r="J1796" s="128"/>
      <c r="K1796" s="128"/>
      <c r="L1796" s="128"/>
      <c r="M1796" s="389"/>
      <c r="N1796" s="389"/>
      <c r="O1796" s="389"/>
      <c r="P1796" s="389"/>
      <c r="R1796" s="390" t="str">
        <f t="shared" si="84"/>
        <v>:</v>
      </c>
      <c r="S1796" s="181">
        <f t="shared" si="83"/>
        <v>0</v>
      </c>
    </row>
    <row r="1797" spans="2:19">
      <c r="B1797" s="121"/>
      <c r="C1797" s="490"/>
      <c r="D1797" s="490" t="str">
        <f t="shared" si="85"/>
        <v/>
      </c>
      <c r="I1797" s="128"/>
      <c r="J1797" s="128"/>
      <c r="K1797" s="128"/>
      <c r="L1797" s="128"/>
      <c r="M1797" s="389"/>
      <c r="N1797" s="389"/>
      <c r="O1797" s="389"/>
      <c r="P1797" s="389"/>
      <c r="R1797" s="390" t="str">
        <f t="shared" si="84"/>
        <v>:</v>
      </c>
      <c r="S1797" s="181">
        <f t="shared" si="83"/>
        <v>0</v>
      </c>
    </row>
    <row r="1798" spans="2:19">
      <c r="B1798" s="121"/>
      <c r="C1798" s="490"/>
      <c r="D1798" s="490" t="str">
        <f t="shared" si="85"/>
        <v/>
      </c>
      <c r="I1798" s="128"/>
      <c r="J1798" s="128"/>
      <c r="K1798" s="128"/>
      <c r="L1798" s="128"/>
      <c r="M1798" s="389"/>
      <c r="N1798" s="389"/>
      <c r="O1798" s="389"/>
      <c r="P1798" s="389"/>
      <c r="R1798" s="390" t="str">
        <f t="shared" si="84"/>
        <v>:</v>
      </c>
      <c r="S1798" s="181">
        <f t="shared" si="83"/>
        <v>0</v>
      </c>
    </row>
    <row r="1799" spans="2:19">
      <c r="B1799" s="121"/>
      <c r="C1799" s="490"/>
      <c r="D1799" s="490" t="str">
        <f t="shared" si="85"/>
        <v/>
      </c>
      <c r="I1799" s="128"/>
      <c r="J1799" s="128"/>
      <c r="K1799" s="128"/>
      <c r="L1799" s="128"/>
      <c r="M1799" s="389"/>
      <c r="N1799" s="389"/>
      <c r="O1799" s="389"/>
      <c r="P1799" s="389"/>
      <c r="R1799" s="390" t="str">
        <f t="shared" si="84"/>
        <v>:</v>
      </c>
      <c r="S1799" s="181">
        <f t="shared" si="83"/>
        <v>0</v>
      </c>
    </row>
    <row r="1800" spans="2:19">
      <c r="B1800" s="121"/>
      <c r="C1800" s="490"/>
      <c r="D1800" s="490" t="str">
        <f t="shared" si="85"/>
        <v/>
      </c>
      <c r="I1800" s="128"/>
      <c r="J1800" s="128"/>
      <c r="K1800" s="128"/>
      <c r="L1800" s="128"/>
      <c r="M1800" s="389"/>
      <c r="N1800" s="389"/>
      <c r="O1800" s="389"/>
      <c r="P1800" s="389"/>
      <c r="R1800" s="390" t="str">
        <f t="shared" si="84"/>
        <v>:</v>
      </c>
      <c r="S1800" s="181">
        <f t="shared" si="83"/>
        <v>0</v>
      </c>
    </row>
    <row r="1801" spans="2:19">
      <c r="B1801" s="121"/>
      <c r="C1801" s="490"/>
      <c r="D1801" s="490" t="str">
        <f t="shared" si="85"/>
        <v/>
      </c>
      <c r="I1801" s="128"/>
      <c r="J1801" s="128"/>
      <c r="K1801" s="128"/>
      <c r="L1801" s="128"/>
      <c r="M1801" s="389"/>
      <c r="N1801" s="389"/>
      <c r="O1801" s="389"/>
      <c r="P1801" s="389"/>
      <c r="R1801" s="390" t="str">
        <f t="shared" si="84"/>
        <v>:</v>
      </c>
      <c r="S1801" s="181">
        <f t="shared" si="83"/>
        <v>0</v>
      </c>
    </row>
    <row r="1802" spans="2:19">
      <c r="B1802" s="121"/>
      <c r="C1802" s="490"/>
      <c r="D1802" s="490" t="str">
        <f t="shared" si="85"/>
        <v/>
      </c>
      <c r="I1802" s="128"/>
      <c r="J1802" s="128"/>
      <c r="K1802" s="128"/>
      <c r="L1802" s="128"/>
      <c r="M1802" s="389"/>
      <c r="N1802" s="389"/>
      <c r="O1802" s="389"/>
      <c r="P1802" s="389"/>
      <c r="R1802" s="390" t="str">
        <f t="shared" si="84"/>
        <v>:</v>
      </c>
      <c r="S1802" s="181">
        <f t="shared" ref="S1802:S1865" si="86">HLOOKUP($S$8,$L$8:$P$2000,ROW()-7,FALSE)</f>
        <v>0</v>
      </c>
    </row>
    <row r="1803" spans="2:19">
      <c r="B1803" s="121"/>
      <c r="C1803" s="490"/>
      <c r="D1803" s="490" t="str">
        <f t="shared" si="85"/>
        <v/>
      </c>
      <c r="I1803" s="128"/>
      <c r="J1803" s="128"/>
      <c r="K1803" s="128"/>
      <c r="L1803" s="128"/>
      <c r="M1803" s="389"/>
      <c r="N1803" s="389"/>
      <c r="O1803" s="389"/>
      <c r="P1803" s="389"/>
      <c r="R1803" s="390" t="str">
        <f t="shared" si="84"/>
        <v>:</v>
      </c>
      <c r="S1803" s="181">
        <f t="shared" si="86"/>
        <v>0</v>
      </c>
    </row>
    <row r="1804" spans="2:19">
      <c r="B1804" s="121"/>
      <c r="C1804" s="490"/>
      <c r="D1804" s="490" t="str">
        <f t="shared" si="85"/>
        <v/>
      </c>
      <c r="I1804" s="128"/>
      <c r="J1804" s="128"/>
      <c r="K1804" s="128"/>
      <c r="L1804" s="128"/>
      <c r="M1804" s="389"/>
      <c r="N1804" s="389"/>
      <c r="O1804" s="389"/>
      <c r="P1804" s="389"/>
      <c r="R1804" s="390" t="str">
        <f t="shared" si="84"/>
        <v>:</v>
      </c>
      <c r="S1804" s="181">
        <f t="shared" si="86"/>
        <v>0</v>
      </c>
    </row>
    <row r="1805" spans="2:19">
      <c r="B1805" s="121"/>
      <c r="C1805" s="490"/>
      <c r="D1805" s="490" t="str">
        <f t="shared" si="85"/>
        <v/>
      </c>
      <c r="I1805" s="128"/>
      <c r="J1805" s="128"/>
      <c r="K1805" s="128"/>
      <c r="L1805" s="128"/>
      <c r="M1805" s="389"/>
      <c r="N1805" s="389"/>
      <c r="O1805" s="389"/>
      <c r="P1805" s="389"/>
      <c r="R1805" s="390" t="str">
        <f t="shared" ref="R1805:R1868" si="87">I1805&amp;":"&amp;J1805&amp;K1805</f>
        <v>:</v>
      </c>
      <c r="S1805" s="181">
        <f t="shared" si="86"/>
        <v>0</v>
      </c>
    </row>
    <row r="1806" spans="2:19">
      <c r="B1806" s="121"/>
      <c r="C1806" s="490"/>
      <c r="D1806" s="490" t="str">
        <f t="shared" si="85"/>
        <v/>
      </c>
      <c r="I1806" s="128"/>
      <c r="J1806" s="128"/>
      <c r="K1806" s="128"/>
      <c r="L1806" s="128"/>
      <c r="M1806" s="389"/>
      <c r="N1806" s="389"/>
      <c r="O1806" s="389"/>
      <c r="P1806" s="389"/>
      <c r="R1806" s="390" t="str">
        <f t="shared" si="87"/>
        <v>:</v>
      </c>
      <c r="S1806" s="181">
        <f t="shared" si="86"/>
        <v>0</v>
      </c>
    </row>
    <row r="1807" spans="2:19">
      <c r="B1807" s="121"/>
      <c r="C1807" s="490"/>
      <c r="D1807" s="490" t="str">
        <f t="shared" si="85"/>
        <v/>
      </c>
      <c r="I1807" s="128"/>
      <c r="J1807" s="128"/>
      <c r="K1807" s="128"/>
      <c r="L1807" s="128"/>
      <c r="M1807" s="389"/>
      <c r="N1807" s="389"/>
      <c r="O1807" s="389"/>
      <c r="P1807" s="389"/>
      <c r="R1807" s="390" t="str">
        <f t="shared" si="87"/>
        <v>:</v>
      </c>
      <c r="S1807" s="181">
        <f t="shared" si="86"/>
        <v>0</v>
      </c>
    </row>
    <row r="1808" spans="2:19">
      <c r="B1808" s="121"/>
      <c r="C1808" s="490"/>
      <c r="D1808" s="490" t="str">
        <f t="shared" si="85"/>
        <v/>
      </c>
      <c r="I1808" s="128"/>
      <c r="J1808" s="128"/>
      <c r="K1808" s="128"/>
      <c r="L1808" s="128"/>
      <c r="M1808" s="389"/>
      <c r="N1808" s="389"/>
      <c r="O1808" s="389"/>
      <c r="P1808" s="389"/>
      <c r="R1808" s="390" t="str">
        <f t="shared" si="87"/>
        <v>:</v>
      </c>
      <c r="S1808" s="181">
        <f t="shared" si="86"/>
        <v>0</v>
      </c>
    </row>
    <row r="1809" spans="2:19">
      <c r="B1809" s="121"/>
      <c r="C1809" s="490"/>
      <c r="D1809" s="490" t="str">
        <f t="shared" si="85"/>
        <v/>
      </c>
      <c r="I1809" s="128"/>
      <c r="J1809" s="128"/>
      <c r="K1809" s="128"/>
      <c r="L1809" s="128"/>
      <c r="M1809" s="389"/>
      <c r="N1809" s="389"/>
      <c r="O1809" s="389"/>
      <c r="P1809" s="389"/>
      <c r="R1809" s="390" t="str">
        <f t="shared" si="87"/>
        <v>:</v>
      </c>
      <c r="S1809" s="181">
        <f t="shared" si="86"/>
        <v>0</v>
      </c>
    </row>
    <row r="1810" spans="2:19">
      <c r="B1810" s="121"/>
      <c r="C1810" s="490"/>
      <c r="D1810" s="490" t="str">
        <f t="shared" si="85"/>
        <v/>
      </c>
      <c r="I1810" s="128"/>
      <c r="J1810" s="128"/>
      <c r="K1810" s="128"/>
      <c r="L1810" s="128"/>
      <c r="M1810" s="389"/>
      <c r="N1810" s="389"/>
      <c r="O1810" s="389"/>
      <c r="P1810" s="389"/>
      <c r="R1810" s="390" t="str">
        <f t="shared" si="87"/>
        <v>:</v>
      </c>
      <c r="S1810" s="181">
        <f t="shared" si="86"/>
        <v>0</v>
      </c>
    </row>
    <row r="1811" spans="2:19">
      <c r="B1811" s="121"/>
      <c r="C1811" s="490"/>
      <c r="D1811" s="490" t="str">
        <f t="shared" si="85"/>
        <v/>
      </c>
      <c r="I1811" s="128"/>
      <c r="J1811" s="128"/>
      <c r="K1811" s="128"/>
      <c r="L1811" s="128"/>
      <c r="M1811" s="389"/>
      <c r="N1811" s="389"/>
      <c r="O1811" s="389"/>
      <c r="P1811" s="389"/>
      <c r="R1811" s="390" t="str">
        <f t="shared" si="87"/>
        <v>:</v>
      </c>
      <c r="S1811" s="181">
        <f t="shared" si="86"/>
        <v>0</v>
      </c>
    </row>
    <row r="1812" spans="2:19">
      <c r="B1812" s="121"/>
      <c r="C1812" s="490"/>
      <c r="D1812" s="490" t="str">
        <f t="shared" si="85"/>
        <v/>
      </c>
      <c r="I1812" s="128"/>
      <c r="J1812" s="128"/>
      <c r="K1812" s="128"/>
      <c r="L1812" s="128"/>
      <c r="M1812" s="389"/>
      <c r="N1812" s="389"/>
      <c r="O1812" s="389"/>
      <c r="P1812" s="389"/>
      <c r="R1812" s="390" t="str">
        <f t="shared" si="87"/>
        <v>:</v>
      </c>
      <c r="S1812" s="181">
        <f t="shared" si="86"/>
        <v>0</v>
      </c>
    </row>
    <row r="1813" spans="2:19">
      <c r="B1813" s="121"/>
      <c r="C1813" s="490"/>
      <c r="D1813" s="490" t="str">
        <f t="shared" si="85"/>
        <v/>
      </c>
      <c r="I1813" s="128"/>
      <c r="J1813" s="128"/>
      <c r="K1813" s="128"/>
      <c r="L1813" s="128"/>
      <c r="M1813" s="389"/>
      <c r="N1813" s="389"/>
      <c r="O1813" s="389"/>
      <c r="P1813" s="389"/>
      <c r="R1813" s="390" t="str">
        <f t="shared" si="87"/>
        <v>:</v>
      </c>
      <c r="S1813" s="181">
        <f t="shared" si="86"/>
        <v>0</v>
      </c>
    </row>
    <row r="1814" spans="2:19">
      <c r="B1814" s="121"/>
      <c r="C1814" s="490"/>
      <c r="D1814" s="490" t="str">
        <f t="shared" si="85"/>
        <v/>
      </c>
      <c r="I1814" s="128"/>
      <c r="J1814" s="128"/>
      <c r="K1814" s="128"/>
      <c r="L1814" s="128"/>
      <c r="M1814" s="389"/>
      <c r="N1814" s="389"/>
      <c r="O1814" s="389"/>
      <c r="P1814" s="389"/>
      <c r="R1814" s="390" t="str">
        <f t="shared" si="87"/>
        <v>:</v>
      </c>
      <c r="S1814" s="181">
        <f t="shared" si="86"/>
        <v>0</v>
      </c>
    </row>
    <row r="1815" spans="2:19">
      <c r="B1815" s="121"/>
      <c r="C1815" s="490"/>
      <c r="D1815" s="490" t="str">
        <f t="shared" si="85"/>
        <v/>
      </c>
      <c r="I1815" s="128"/>
      <c r="J1815" s="128"/>
      <c r="K1815" s="128"/>
      <c r="L1815" s="128"/>
      <c r="M1815" s="389"/>
      <c r="N1815" s="389"/>
      <c r="O1815" s="389"/>
      <c r="P1815" s="389"/>
      <c r="R1815" s="390" t="str">
        <f t="shared" si="87"/>
        <v>:</v>
      </c>
      <c r="S1815" s="181">
        <f t="shared" si="86"/>
        <v>0</v>
      </c>
    </row>
    <row r="1816" spans="2:19">
      <c r="B1816" s="121"/>
      <c r="C1816" s="490"/>
      <c r="D1816" s="490" t="str">
        <f t="shared" si="85"/>
        <v/>
      </c>
      <c r="I1816" s="128"/>
      <c r="J1816" s="128"/>
      <c r="K1816" s="128"/>
      <c r="L1816" s="128"/>
      <c r="M1816" s="389"/>
      <c r="N1816" s="389"/>
      <c r="O1816" s="389"/>
      <c r="P1816" s="389"/>
      <c r="R1816" s="390" t="str">
        <f t="shared" si="87"/>
        <v>:</v>
      </c>
      <c r="S1816" s="181">
        <f t="shared" si="86"/>
        <v>0</v>
      </c>
    </row>
    <row r="1817" spans="2:19">
      <c r="B1817" s="121"/>
      <c r="C1817" s="490"/>
      <c r="D1817" s="490" t="str">
        <f t="shared" si="85"/>
        <v/>
      </c>
      <c r="I1817" s="128"/>
      <c r="J1817" s="128"/>
      <c r="K1817" s="128"/>
      <c r="L1817" s="128"/>
      <c r="M1817" s="389"/>
      <c r="N1817" s="389"/>
      <c r="O1817" s="389"/>
      <c r="P1817" s="389"/>
      <c r="R1817" s="390" t="str">
        <f t="shared" si="87"/>
        <v>:</v>
      </c>
      <c r="S1817" s="181">
        <f t="shared" si="86"/>
        <v>0</v>
      </c>
    </row>
    <row r="1818" spans="2:19">
      <c r="B1818" s="121"/>
      <c r="C1818" s="490"/>
      <c r="D1818" s="490" t="str">
        <f t="shared" si="85"/>
        <v/>
      </c>
      <c r="I1818" s="128"/>
      <c r="J1818" s="128"/>
      <c r="K1818" s="128"/>
      <c r="L1818" s="128"/>
      <c r="M1818" s="389"/>
      <c r="N1818" s="389"/>
      <c r="O1818" s="389"/>
      <c r="P1818" s="389"/>
      <c r="R1818" s="390" t="str">
        <f t="shared" si="87"/>
        <v>:</v>
      </c>
      <c r="S1818" s="181">
        <f t="shared" si="86"/>
        <v>0</v>
      </c>
    </row>
    <row r="1819" spans="2:19">
      <c r="B1819" s="121"/>
      <c r="C1819" s="490"/>
      <c r="D1819" s="490" t="str">
        <f t="shared" si="85"/>
        <v/>
      </c>
      <c r="I1819" s="128"/>
      <c r="J1819" s="128"/>
      <c r="K1819" s="128"/>
      <c r="L1819" s="128"/>
      <c r="M1819" s="389"/>
      <c r="N1819" s="389"/>
      <c r="O1819" s="389"/>
      <c r="P1819" s="389"/>
      <c r="R1819" s="390" t="str">
        <f t="shared" si="87"/>
        <v>:</v>
      </c>
      <c r="S1819" s="181">
        <f t="shared" si="86"/>
        <v>0</v>
      </c>
    </row>
    <row r="1820" spans="2:19">
      <c r="B1820" s="121"/>
      <c r="C1820" s="490"/>
      <c r="D1820" s="490" t="str">
        <f t="shared" si="85"/>
        <v/>
      </c>
      <c r="I1820" s="128"/>
      <c r="J1820" s="128"/>
      <c r="K1820" s="128"/>
      <c r="L1820" s="128"/>
      <c r="M1820" s="389"/>
      <c r="N1820" s="389"/>
      <c r="O1820" s="389"/>
      <c r="P1820" s="389"/>
      <c r="R1820" s="390" t="str">
        <f t="shared" si="87"/>
        <v>:</v>
      </c>
      <c r="S1820" s="181">
        <f t="shared" si="86"/>
        <v>0</v>
      </c>
    </row>
    <row r="1821" spans="2:19">
      <c r="B1821" s="121"/>
      <c r="C1821" s="490"/>
      <c r="D1821" s="490" t="str">
        <f t="shared" si="85"/>
        <v/>
      </c>
      <c r="I1821" s="128"/>
      <c r="J1821" s="128"/>
      <c r="K1821" s="128"/>
      <c r="L1821" s="128"/>
      <c r="M1821" s="389"/>
      <c r="N1821" s="389"/>
      <c r="O1821" s="389"/>
      <c r="P1821" s="389"/>
      <c r="R1821" s="390" t="str">
        <f t="shared" si="87"/>
        <v>:</v>
      </c>
      <c r="S1821" s="181">
        <f t="shared" si="86"/>
        <v>0</v>
      </c>
    </row>
    <row r="1822" spans="2:19">
      <c r="B1822" s="121"/>
      <c r="C1822" s="490"/>
      <c r="D1822" s="490" t="str">
        <f t="shared" si="85"/>
        <v/>
      </c>
      <c r="I1822" s="128"/>
      <c r="J1822" s="128"/>
      <c r="K1822" s="128"/>
      <c r="L1822" s="128"/>
      <c r="M1822" s="389"/>
      <c r="N1822" s="389"/>
      <c r="O1822" s="389"/>
      <c r="P1822" s="389"/>
      <c r="R1822" s="390" t="str">
        <f t="shared" si="87"/>
        <v>:</v>
      </c>
      <c r="S1822" s="181">
        <f t="shared" si="86"/>
        <v>0</v>
      </c>
    </row>
    <row r="1823" spans="2:19">
      <c r="B1823" s="121"/>
      <c r="C1823" s="490"/>
      <c r="D1823" s="490" t="str">
        <f t="shared" si="85"/>
        <v/>
      </c>
      <c r="I1823" s="128"/>
      <c r="J1823" s="128"/>
      <c r="K1823" s="128"/>
      <c r="L1823" s="128"/>
      <c r="M1823" s="389"/>
      <c r="N1823" s="389"/>
      <c r="O1823" s="389"/>
      <c r="P1823" s="389"/>
      <c r="R1823" s="390" t="str">
        <f t="shared" si="87"/>
        <v>:</v>
      </c>
      <c r="S1823" s="181">
        <f t="shared" si="86"/>
        <v>0</v>
      </c>
    </row>
    <row r="1824" spans="2:19">
      <c r="B1824" s="121"/>
      <c r="C1824" s="490"/>
      <c r="D1824" s="490" t="str">
        <f t="shared" si="85"/>
        <v/>
      </c>
      <c r="I1824" s="128"/>
      <c r="J1824" s="128"/>
      <c r="K1824" s="128"/>
      <c r="L1824" s="128"/>
      <c r="M1824" s="389"/>
      <c r="N1824" s="389"/>
      <c r="O1824" s="389"/>
      <c r="P1824" s="389"/>
      <c r="R1824" s="390" t="str">
        <f t="shared" si="87"/>
        <v>:</v>
      </c>
      <c r="S1824" s="181">
        <f t="shared" si="86"/>
        <v>0</v>
      </c>
    </row>
    <row r="1825" spans="2:19">
      <c r="B1825" s="121"/>
      <c r="C1825" s="490"/>
      <c r="D1825" s="490" t="str">
        <f t="shared" si="85"/>
        <v/>
      </c>
      <c r="I1825" s="128"/>
      <c r="J1825" s="128"/>
      <c r="K1825" s="128"/>
      <c r="L1825" s="128"/>
      <c r="M1825" s="389"/>
      <c r="N1825" s="389"/>
      <c r="O1825" s="389"/>
      <c r="P1825" s="389"/>
      <c r="R1825" s="390" t="str">
        <f t="shared" si="87"/>
        <v>:</v>
      </c>
      <c r="S1825" s="181">
        <f t="shared" si="86"/>
        <v>0</v>
      </c>
    </row>
    <row r="1826" spans="2:19">
      <c r="B1826" s="121"/>
      <c r="C1826" s="490"/>
      <c r="D1826" s="490" t="str">
        <f t="shared" si="85"/>
        <v/>
      </c>
      <c r="I1826" s="128"/>
      <c r="J1826" s="128"/>
      <c r="K1826" s="128"/>
      <c r="L1826" s="128"/>
      <c r="M1826" s="389"/>
      <c r="N1826" s="389"/>
      <c r="O1826" s="389"/>
      <c r="P1826" s="389"/>
      <c r="R1826" s="390" t="str">
        <f t="shared" si="87"/>
        <v>:</v>
      </c>
      <c r="S1826" s="181">
        <f t="shared" si="86"/>
        <v>0</v>
      </c>
    </row>
    <row r="1827" spans="2:19">
      <c r="B1827" s="121"/>
      <c r="C1827" s="490"/>
      <c r="D1827" s="490" t="str">
        <f t="shared" si="85"/>
        <v/>
      </c>
      <c r="I1827" s="128"/>
      <c r="J1827" s="128"/>
      <c r="K1827" s="128"/>
      <c r="L1827" s="128"/>
      <c r="M1827" s="389"/>
      <c r="N1827" s="389"/>
      <c r="O1827" s="389"/>
      <c r="P1827" s="389"/>
      <c r="R1827" s="390" t="str">
        <f t="shared" si="87"/>
        <v>:</v>
      </c>
      <c r="S1827" s="181">
        <f t="shared" si="86"/>
        <v>0</v>
      </c>
    </row>
    <row r="1828" spans="2:19">
      <c r="B1828" s="121"/>
      <c r="C1828" s="490"/>
      <c r="D1828" s="490" t="str">
        <f t="shared" si="85"/>
        <v/>
      </c>
      <c r="I1828" s="128"/>
      <c r="J1828" s="128"/>
      <c r="K1828" s="128"/>
      <c r="L1828" s="128"/>
      <c r="M1828" s="389"/>
      <c r="N1828" s="389"/>
      <c r="O1828" s="389"/>
      <c r="P1828" s="389"/>
      <c r="R1828" s="390" t="str">
        <f t="shared" si="87"/>
        <v>:</v>
      </c>
      <c r="S1828" s="181">
        <f t="shared" si="86"/>
        <v>0</v>
      </c>
    </row>
    <row r="1829" spans="2:19">
      <c r="B1829" s="121"/>
      <c r="C1829" s="490"/>
      <c r="D1829" s="490" t="str">
        <f t="shared" si="85"/>
        <v/>
      </c>
      <c r="I1829" s="128"/>
      <c r="J1829" s="128"/>
      <c r="K1829" s="128"/>
      <c r="L1829" s="128"/>
      <c r="M1829" s="389"/>
      <c r="N1829" s="389"/>
      <c r="O1829" s="389"/>
      <c r="P1829" s="389"/>
      <c r="R1829" s="390" t="str">
        <f t="shared" si="87"/>
        <v>:</v>
      </c>
      <c r="S1829" s="181">
        <f t="shared" si="86"/>
        <v>0</v>
      </c>
    </row>
    <row r="1830" spans="2:19">
      <c r="B1830" s="121"/>
      <c r="C1830" s="490"/>
      <c r="D1830" s="490" t="str">
        <f t="shared" si="85"/>
        <v/>
      </c>
      <c r="I1830" s="128"/>
      <c r="J1830" s="128"/>
      <c r="K1830" s="128"/>
      <c r="L1830" s="128"/>
      <c r="M1830" s="389"/>
      <c r="N1830" s="389"/>
      <c r="O1830" s="389"/>
      <c r="P1830" s="389"/>
      <c r="R1830" s="390" t="str">
        <f t="shared" si="87"/>
        <v>:</v>
      </c>
      <c r="S1830" s="181">
        <f t="shared" si="86"/>
        <v>0</v>
      </c>
    </row>
    <row r="1831" spans="2:19">
      <c r="B1831" s="121"/>
      <c r="C1831" s="490"/>
      <c r="D1831" s="490" t="str">
        <f t="shared" si="85"/>
        <v/>
      </c>
      <c r="I1831" s="128"/>
      <c r="J1831" s="128"/>
      <c r="K1831" s="128"/>
      <c r="L1831" s="128"/>
      <c r="M1831" s="389"/>
      <c r="N1831" s="389"/>
      <c r="O1831" s="389"/>
      <c r="P1831" s="389"/>
      <c r="R1831" s="390" t="str">
        <f t="shared" si="87"/>
        <v>:</v>
      </c>
      <c r="S1831" s="181">
        <f t="shared" si="86"/>
        <v>0</v>
      </c>
    </row>
    <row r="1832" spans="2:19">
      <c r="B1832" s="121"/>
      <c r="C1832" s="490"/>
      <c r="D1832" s="490" t="str">
        <f t="shared" si="85"/>
        <v/>
      </c>
      <c r="I1832" s="128"/>
      <c r="J1832" s="128"/>
      <c r="K1832" s="128"/>
      <c r="L1832" s="128"/>
      <c r="M1832" s="389"/>
      <c r="N1832" s="389"/>
      <c r="O1832" s="389"/>
      <c r="P1832" s="389"/>
      <c r="R1832" s="390" t="str">
        <f t="shared" si="87"/>
        <v>:</v>
      </c>
      <c r="S1832" s="181">
        <f t="shared" si="86"/>
        <v>0</v>
      </c>
    </row>
    <row r="1833" spans="2:19">
      <c r="B1833" s="121"/>
      <c r="C1833" s="490"/>
      <c r="D1833" s="490" t="str">
        <f t="shared" si="85"/>
        <v/>
      </c>
      <c r="I1833" s="128"/>
      <c r="J1833" s="128"/>
      <c r="K1833" s="128"/>
      <c r="L1833" s="128"/>
      <c r="M1833" s="389"/>
      <c r="N1833" s="389"/>
      <c r="O1833" s="389"/>
      <c r="P1833" s="389"/>
      <c r="R1833" s="390" t="str">
        <f t="shared" si="87"/>
        <v>:</v>
      </c>
      <c r="S1833" s="181">
        <f t="shared" si="86"/>
        <v>0</v>
      </c>
    </row>
    <row r="1834" spans="2:19">
      <c r="B1834" s="121"/>
      <c r="C1834" s="490"/>
      <c r="D1834" s="490" t="str">
        <f t="shared" si="85"/>
        <v/>
      </c>
      <c r="I1834" s="128"/>
      <c r="J1834" s="128"/>
      <c r="K1834" s="128"/>
      <c r="L1834" s="128"/>
      <c r="M1834" s="389"/>
      <c r="N1834" s="389"/>
      <c r="O1834" s="389"/>
      <c r="P1834" s="389"/>
      <c r="R1834" s="390" t="str">
        <f t="shared" si="87"/>
        <v>:</v>
      </c>
      <c r="S1834" s="181">
        <f t="shared" si="86"/>
        <v>0</v>
      </c>
    </row>
    <row r="1835" spans="2:19">
      <c r="B1835" s="121"/>
      <c r="C1835" s="490"/>
      <c r="D1835" s="490" t="str">
        <f t="shared" si="85"/>
        <v/>
      </c>
      <c r="I1835" s="128"/>
      <c r="J1835" s="128"/>
      <c r="K1835" s="128"/>
      <c r="L1835" s="128"/>
      <c r="M1835" s="389"/>
      <c r="N1835" s="389"/>
      <c r="O1835" s="389"/>
      <c r="P1835" s="389"/>
      <c r="R1835" s="390" t="str">
        <f t="shared" si="87"/>
        <v>:</v>
      </c>
      <c r="S1835" s="181">
        <f t="shared" si="86"/>
        <v>0</v>
      </c>
    </row>
    <row r="1836" spans="2:19">
      <c r="B1836" s="121"/>
      <c r="C1836" s="490"/>
      <c r="D1836" s="490" t="str">
        <f t="shared" si="85"/>
        <v/>
      </c>
      <c r="I1836" s="128"/>
      <c r="J1836" s="128"/>
      <c r="K1836" s="128"/>
      <c r="L1836" s="128"/>
      <c r="M1836" s="389"/>
      <c r="N1836" s="389"/>
      <c r="O1836" s="389"/>
      <c r="P1836" s="389"/>
      <c r="R1836" s="390" t="str">
        <f t="shared" si="87"/>
        <v>:</v>
      </c>
      <c r="S1836" s="181">
        <f t="shared" si="86"/>
        <v>0</v>
      </c>
    </row>
    <row r="1837" spans="2:19">
      <c r="B1837" s="121"/>
      <c r="C1837" s="490"/>
      <c r="D1837" s="490" t="str">
        <f t="shared" si="85"/>
        <v/>
      </c>
      <c r="I1837" s="128"/>
      <c r="J1837" s="128"/>
      <c r="K1837" s="128"/>
      <c r="L1837" s="128"/>
      <c r="M1837" s="389"/>
      <c r="N1837" s="389"/>
      <c r="O1837" s="389"/>
      <c r="P1837" s="389"/>
      <c r="R1837" s="390" t="str">
        <f t="shared" si="87"/>
        <v>:</v>
      </c>
      <c r="S1837" s="181">
        <f t="shared" si="86"/>
        <v>0</v>
      </c>
    </row>
    <row r="1838" spans="2:19">
      <c r="B1838" s="121"/>
      <c r="C1838" s="490"/>
      <c r="D1838" s="490" t="str">
        <f t="shared" ref="D1838:D1901" si="88">IF(B1838="","",B1838&amp;":"&amp;C1838)</f>
        <v/>
      </c>
      <c r="I1838" s="128"/>
      <c r="J1838" s="128"/>
      <c r="K1838" s="128"/>
      <c r="L1838" s="128"/>
      <c r="M1838" s="389"/>
      <c r="N1838" s="389"/>
      <c r="O1838" s="389"/>
      <c r="P1838" s="389"/>
      <c r="R1838" s="390" t="str">
        <f t="shared" si="87"/>
        <v>:</v>
      </c>
      <c r="S1838" s="181">
        <f t="shared" si="86"/>
        <v>0</v>
      </c>
    </row>
    <row r="1839" spans="2:19">
      <c r="B1839" s="121"/>
      <c r="C1839" s="490"/>
      <c r="D1839" s="490" t="str">
        <f t="shared" si="88"/>
        <v/>
      </c>
      <c r="I1839" s="128"/>
      <c r="J1839" s="128"/>
      <c r="K1839" s="128"/>
      <c r="L1839" s="128"/>
      <c r="M1839" s="389"/>
      <c r="N1839" s="389"/>
      <c r="O1839" s="389"/>
      <c r="P1839" s="389"/>
      <c r="R1839" s="390" t="str">
        <f t="shared" si="87"/>
        <v>:</v>
      </c>
      <c r="S1839" s="181">
        <f t="shared" si="86"/>
        <v>0</v>
      </c>
    </row>
    <row r="1840" spans="2:19">
      <c r="B1840" s="121"/>
      <c r="C1840" s="490"/>
      <c r="D1840" s="490" t="str">
        <f t="shared" si="88"/>
        <v/>
      </c>
      <c r="I1840" s="128"/>
      <c r="J1840" s="128"/>
      <c r="K1840" s="128"/>
      <c r="L1840" s="128"/>
      <c r="M1840" s="389"/>
      <c r="N1840" s="389"/>
      <c r="O1840" s="389"/>
      <c r="P1840" s="389"/>
      <c r="R1840" s="390" t="str">
        <f t="shared" si="87"/>
        <v>:</v>
      </c>
      <c r="S1840" s="181">
        <f t="shared" si="86"/>
        <v>0</v>
      </c>
    </row>
    <row r="1841" spans="2:19">
      <c r="B1841" s="121"/>
      <c r="C1841" s="490"/>
      <c r="D1841" s="490" t="str">
        <f t="shared" si="88"/>
        <v/>
      </c>
      <c r="I1841" s="128"/>
      <c r="J1841" s="128"/>
      <c r="K1841" s="128"/>
      <c r="L1841" s="128"/>
      <c r="M1841" s="389"/>
      <c r="N1841" s="389"/>
      <c r="O1841" s="389"/>
      <c r="P1841" s="389"/>
      <c r="R1841" s="390" t="str">
        <f t="shared" si="87"/>
        <v>:</v>
      </c>
      <c r="S1841" s="181">
        <f t="shared" si="86"/>
        <v>0</v>
      </c>
    </row>
    <row r="1842" spans="2:19">
      <c r="B1842" s="121"/>
      <c r="C1842" s="490"/>
      <c r="D1842" s="490" t="str">
        <f t="shared" si="88"/>
        <v/>
      </c>
      <c r="I1842" s="128"/>
      <c r="J1842" s="128"/>
      <c r="K1842" s="128"/>
      <c r="L1842" s="128"/>
      <c r="M1842" s="389"/>
      <c r="N1842" s="389"/>
      <c r="O1842" s="389"/>
      <c r="P1842" s="389"/>
      <c r="R1842" s="390" t="str">
        <f t="shared" si="87"/>
        <v>:</v>
      </c>
      <c r="S1842" s="181">
        <f t="shared" si="86"/>
        <v>0</v>
      </c>
    </row>
    <row r="1843" spans="2:19">
      <c r="B1843" s="121"/>
      <c r="C1843" s="490"/>
      <c r="D1843" s="490" t="str">
        <f t="shared" si="88"/>
        <v/>
      </c>
      <c r="I1843" s="128"/>
      <c r="J1843" s="128"/>
      <c r="K1843" s="128"/>
      <c r="L1843" s="128"/>
      <c r="M1843" s="389"/>
      <c r="N1843" s="389"/>
      <c r="O1843" s="389"/>
      <c r="P1843" s="389"/>
      <c r="R1843" s="390" t="str">
        <f t="shared" si="87"/>
        <v>:</v>
      </c>
      <c r="S1843" s="181">
        <f t="shared" si="86"/>
        <v>0</v>
      </c>
    </row>
    <row r="1844" spans="2:19">
      <c r="B1844" s="121"/>
      <c r="C1844" s="490"/>
      <c r="D1844" s="490" t="str">
        <f t="shared" si="88"/>
        <v/>
      </c>
      <c r="I1844" s="128"/>
      <c r="J1844" s="128"/>
      <c r="K1844" s="128"/>
      <c r="L1844" s="128"/>
      <c r="M1844" s="389"/>
      <c r="N1844" s="389"/>
      <c r="O1844" s="389"/>
      <c r="P1844" s="389"/>
      <c r="R1844" s="390" t="str">
        <f t="shared" si="87"/>
        <v>:</v>
      </c>
      <c r="S1844" s="181">
        <f t="shared" si="86"/>
        <v>0</v>
      </c>
    </row>
    <row r="1845" spans="2:19">
      <c r="B1845" s="121"/>
      <c r="C1845" s="490"/>
      <c r="D1845" s="490" t="str">
        <f t="shared" si="88"/>
        <v/>
      </c>
      <c r="I1845" s="128"/>
      <c r="J1845" s="128"/>
      <c r="K1845" s="128"/>
      <c r="L1845" s="128"/>
      <c r="M1845" s="389"/>
      <c r="N1845" s="389"/>
      <c r="O1845" s="389"/>
      <c r="P1845" s="389"/>
      <c r="R1845" s="390" t="str">
        <f t="shared" si="87"/>
        <v>:</v>
      </c>
      <c r="S1845" s="181">
        <f t="shared" si="86"/>
        <v>0</v>
      </c>
    </row>
    <row r="1846" spans="2:19">
      <c r="B1846" s="121"/>
      <c r="C1846" s="490"/>
      <c r="D1846" s="490" t="str">
        <f t="shared" si="88"/>
        <v/>
      </c>
      <c r="I1846" s="128"/>
      <c r="J1846" s="128"/>
      <c r="K1846" s="128"/>
      <c r="L1846" s="128"/>
      <c r="M1846" s="389"/>
      <c r="N1846" s="389"/>
      <c r="O1846" s="389"/>
      <c r="P1846" s="389"/>
      <c r="R1846" s="390" t="str">
        <f t="shared" si="87"/>
        <v>:</v>
      </c>
      <c r="S1846" s="181">
        <f t="shared" si="86"/>
        <v>0</v>
      </c>
    </row>
    <row r="1847" spans="2:19">
      <c r="B1847" s="121"/>
      <c r="C1847" s="490"/>
      <c r="D1847" s="490" t="str">
        <f t="shared" si="88"/>
        <v/>
      </c>
      <c r="I1847" s="128"/>
      <c r="J1847" s="128"/>
      <c r="K1847" s="128"/>
      <c r="L1847" s="128"/>
      <c r="M1847" s="389"/>
      <c r="N1847" s="389"/>
      <c r="O1847" s="389"/>
      <c r="P1847" s="389"/>
      <c r="R1847" s="390" t="str">
        <f t="shared" si="87"/>
        <v>:</v>
      </c>
      <c r="S1847" s="181">
        <f t="shared" si="86"/>
        <v>0</v>
      </c>
    </row>
    <row r="1848" spans="2:19">
      <c r="B1848" s="121"/>
      <c r="C1848" s="490"/>
      <c r="D1848" s="490" t="str">
        <f t="shared" si="88"/>
        <v/>
      </c>
      <c r="I1848" s="128"/>
      <c r="J1848" s="128"/>
      <c r="K1848" s="128"/>
      <c r="L1848" s="128"/>
      <c r="M1848" s="389"/>
      <c r="N1848" s="389"/>
      <c r="O1848" s="389"/>
      <c r="P1848" s="389"/>
      <c r="R1848" s="390" t="str">
        <f t="shared" si="87"/>
        <v>:</v>
      </c>
      <c r="S1848" s="181">
        <f t="shared" si="86"/>
        <v>0</v>
      </c>
    </row>
    <row r="1849" spans="2:19">
      <c r="B1849" s="121"/>
      <c r="C1849" s="490"/>
      <c r="D1849" s="490" t="str">
        <f t="shared" si="88"/>
        <v/>
      </c>
      <c r="I1849" s="128"/>
      <c r="J1849" s="128"/>
      <c r="K1849" s="128"/>
      <c r="L1849" s="128"/>
      <c r="M1849" s="389"/>
      <c r="N1849" s="389"/>
      <c r="O1849" s="389"/>
      <c r="P1849" s="389"/>
      <c r="R1849" s="390" t="str">
        <f t="shared" si="87"/>
        <v>:</v>
      </c>
      <c r="S1849" s="181">
        <f t="shared" si="86"/>
        <v>0</v>
      </c>
    </row>
    <row r="1850" spans="2:19">
      <c r="B1850" s="121"/>
      <c r="C1850" s="490"/>
      <c r="D1850" s="490" t="str">
        <f t="shared" si="88"/>
        <v/>
      </c>
      <c r="I1850" s="128"/>
      <c r="J1850" s="128"/>
      <c r="K1850" s="128"/>
      <c r="L1850" s="128"/>
      <c r="M1850" s="389"/>
      <c r="N1850" s="389"/>
      <c r="O1850" s="389"/>
      <c r="P1850" s="389"/>
      <c r="R1850" s="390" t="str">
        <f t="shared" si="87"/>
        <v>:</v>
      </c>
      <c r="S1850" s="181">
        <f t="shared" si="86"/>
        <v>0</v>
      </c>
    </row>
    <row r="1851" spans="2:19">
      <c r="B1851" s="121"/>
      <c r="C1851" s="490"/>
      <c r="D1851" s="490" t="str">
        <f t="shared" si="88"/>
        <v/>
      </c>
      <c r="I1851" s="128"/>
      <c r="J1851" s="128"/>
      <c r="K1851" s="128"/>
      <c r="L1851" s="128"/>
      <c r="M1851" s="389"/>
      <c r="N1851" s="389"/>
      <c r="O1851" s="389"/>
      <c r="P1851" s="389"/>
      <c r="R1851" s="390" t="str">
        <f t="shared" si="87"/>
        <v>:</v>
      </c>
      <c r="S1851" s="181">
        <f t="shared" si="86"/>
        <v>0</v>
      </c>
    </row>
    <row r="1852" spans="2:19">
      <c r="B1852" s="121"/>
      <c r="C1852" s="490"/>
      <c r="D1852" s="490" t="str">
        <f t="shared" si="88"/>
        <v/>
      </c>
      <c r="I1852" s="128"/>
      <c r="J1852" s="128"/>
      <c r="K1852" s="128"/>
      <c r="L1852" s="128"/>
      <c r="M1852" s="389"/>
      <c r="N1852" s="389"/>
      <c r="O1852" s="389"/>
      <c r="P1852" s="389"/>
      <c r="R1852" s="390" t="str">
        <f t="shared" si="87"/>
        <v>:</v>
      </c>
      <c r="S1852" s="181">
        <f t="shared" si="86"/>
        <v>0</v>
      </c>
    </row>
    <row r="1853" spans="2:19">
      <c r="B1853" s="121"/>
      <c r="C1853" s="490"/>
      <c r="D1853" s="490" t="str">
        <f t="shared" si="88"/>
        <v/>
      </c>
      <c r="I1853" s="128"/>
      <c r="J1853" s="128"/>
      <c r="K1853" s="128"/>
      <c r="L1853" s="128"/>
      <c r="M1853" s="389"/>
      <c r="N1853" s="389"/>
      <c r="O1853" s="389"/>
      <c r="P1853" s="389"/>
      <c r="R1853" s="390" t="str">
        <f t="shared" si="87"/>
        <v>:</v>
      </c>
      <c r="S1853" s="181">
        <f t="shared" si="86"/>
        <v>0</v>
      </c>
    </row>
    <row r="1854" spans="2:19">
      <c r="B1854" s="121"/>
      <c r="C1854" s="490"/>
      <c r="D1854" s="490" t="str">
        <f t="shared" si="88"/>
        <v/>
      </c>
      <c r="I1854" s="128"/>
      <c r="J1854" s="128"/>
      <c r="K1854" s="128"/>
      <c r="L1854" s="128"/>
      <c r="M1854" s="389"/>
      <c r="N1854" s="389"/>
      <c r="O1854" s="389"/>
      <c r="P1854" s="389"/>
      <c r="R1854" s="390" t="str">
        <f t="shared" si="87"/>
        <v>:</v>
      </c>
      <c r="S1854" s="181">
        <f t="shared" si="86"/>
        <v>0</v>
      </c>
    </row>
    <row r="1855" spans="2:19">
      <c r="B1855" s="121"/>
      <c r="C1855" s="490"/>
      <c r="D1855" s="490" t="str">
        <f t="shared" si="88"/>
        <v/>
      </c>
      <c r="I1855" s="128"/>
      <c r="J1855" s="128"/>
      <c r="K1855" s="128"/>
      <c r="L1855" s="128"/>
      <c r="M1855" s="389"/>
      <c r="N1855" s="389"/>
      <c r="O1855" s="389"/>
      <c r="P1855" s="389"/>
      <c r="R1855" s="390" t="str">
        <f t="shared" si="87"/>
        <v>:</v>
      </c>
      <c r="S1855" s="181">
        <f t="shared" si="86"/>
        <v>0</v>
      </c>
    </row>
    <row r="1856" spans="2:19">
      <c r="B1856" s="121"/>
      <c r="C1856" s="490"/>
      <c r="D1856" s="490" t="str">
        <f t="shared" si="88"/>
        <v/>
      </c>
      <c r="I1856" s="128"/>
      <c r="J1856" s="128"/>
      <c r="K1856" s="128"/>
      <c r="L1856" s="128"/>
      <c r="M1856" s="389"/>
      <c r="N1856" s="389"/>
      <c r="O1856" s="389"/>
      <c r="P1856" s="389"/>
      <c r="R1856" s="390" t="str">
        <f t="shared" si="87"/>
        <v>:</v>
      </c>
      <c r="S1856" s="181">
        <f t="shared" si="86"/>
        <v>0</v>
      </c>
    </row>
    <row r="1857" spans="2:19">
      <c r="B1857" s="121"/>
      <c r="C1857" s="490"/>
      <c r="D1857" s="490" t="str">
        <f t="shared" si="88"/>
        <v/>
      </c>
      <c r="I1857" s="128"/>
      <c r="J1857" s="128"/>
      <c r="K1857" s="128"/>
      <c r="L1857" s="128"/>
      <c r="M1857" s="389"/>
      <c r="N1857" s="389"/>
      <c r="O1857" s="389"/>
      <c r="P1857" s="389"/>
      <c r="R1857" s="390" t="str">
        <f t="shared" si="87"/>
        <v>:</v>
      </c>
      <c r="S1857" s="181">
        <f t="shared" si="86"/>
        <v>0</v>
      </c>
    </row>
    <row r="1858" spans="2:19">
      <c r="B1858" s="121"/>
      <c r="C1858" s="490"/>
      <c r="D1858" s="490" t="str">
        <f t="shared" si="88"/>
        <v/>
      </c>
      <c r="I1858" s="128"/>
      <c r="J1858" s="128"/>
      <c r="K1858" s="128"/>
      <c r="L1858" s="128"/>
      <c r="M1858" s="389"/>
      <c r="N1858" s="389"/>
      <c r="O1858" s="389"/>
      <c r="P1858" s="389"/>
      <c r="R1858" s="390" t="str">
        <f t="shared" si="87"/>
        <v>:</v>
      </c>
      <c r="S1858" s="181">
        <f t="shared" si="86"/>
        <v>0</v>
      </c>
    </row>
    <row r="1859" spans="2:19">
      <c r="B1859" s="121"/>
      <c r="C1859" s="490"/>
      <c r="D1859" s="490" t="str">
        <f t="shared" si="88"/>
        <v/>
      </c>
      <c r="I1859" s="128"/>
      <c r="J1859" s="128"/>
      <c r="K1859" s="128"/>
      <c r="L1859" s="128"/>
      <c r="M1859" s="389"/>
      <c r="N1859" s="389"/>
      <c r="O1859" s="389"/>
      <c r="P1859" s="389"/>
      <c r="R1859" s="390" t="str">
        <f t="shared" si="87"/>
        <v>:</v>
      </c>
      <c r="S1859" s="181">
        <f t="shared" si="86"/>
        <v>0</v>
      </c>
    </row>
    <row r="1860" spans="2:19">
      <c r="B1860" s="121"/>
      <c r="C1860" s="490"/>
      <c r="D1860" s="490" t="str">
        <f t="shared" si="88"/>
        <v/>
      </c>
      <c r="I1860" s="128"/>
      <c r="J1860" s="128"/>
      <c r="K1860" s="128"/>
      <c r="L1860" s="128"/>
      <c r="M1860" s="389"/>
      <c r="N1860" s="389"/>
      <c r="O1860" s="389"/>
      <c r="P1860" s="389"/>
      <c r="R1860" s="390" t="str">
        <f t="shared" si="87"/>
        <v>:</v>
      </c>
      <c r="S1860" s="181">
        <f t="shared" si="86"/>
        <v>0</v>
      </c>
    </row>
    <row r="1861" spans="2:19">
      <c r="B1861" s="121"/>
      <c r="C1861" s="490"/>
      <c r="D1861" s="490" t="str">
        <f t="shared" si="88"/>
        <v/>
      </c>
      <c r="I1861" s="128"/>
      <c r="J1861" s="128"/>
      <c r="K1861" s="128"/>
      <c r="L1861" s="128"/>
      <c r="M1861" s="389"/>
      <c r="N1861" s="389"/>
      <c r="O1861" s="389"/>
      <c r="P1861" s="389"/>
      <c r="R1861" s="390" t="str">
        <f t="shared" si="87"/>
        <v>:</v>
      </c>
      <c r="S1861" s="181">
        <f t="shared" si="86"/>
        <v>0</v>
      </c>
    </row>
    <row r="1862" spans="2:19">
      <c r="B1862" s="121"/>
      <c r="C1862" s="490"/>
      <c r="D1862" s="490" t="str">
        <f t="shared" si="88"/>
        <v/>
      </c>
      <c r="I1862" s="128"/>
      <c r="J1862" s="128"/>
      <c r="K1862" s="128"/>
      <c r="L1862" s="128"/>
      <c r="M1862" s="389"/>
      <c r="N1862" s="389"/>
      <c r="O1862" s="389"/>
      <c r="P1862" s="389"/>
      <c r="R1862" s="390" t="str">
        <f t="shared" si="87"/>
        <v>:</v>
      </c>
      <c r="S1862" s="181">
        <f t="shared" si="86"/>
        <v>0</v>
      </c>
    </row>
    <row r="1863" spans="2:19">
      <c r="B1863" s="121"/>
      <c r="C1863" s="490"/>
      <c r="D1863" s="490" t="str">
        <f t="shared" si="88"/>
        <v/>
      </c>
      <c r="I1863" s="128"/>
      <c r="J1863" s="128"/>
      <c r="K1863" s="128"/>
      <c r="L1863" s="128"/>
      <c r="M1863" s="389"/>
      <c r="N1863" s="389"/>
      <c r="O1863" s="389"/>
      <c r="P1863" s="389"/>
      <c r="R1863" s="390" t="str">
        <f t="shared" si="87"/>
        <v>:</v>
      </c>
      <c r="S1863" s="181">
        <f t="shared" si="86"/>
        <v>0</v>
      </c>
    </row>
    <row r="1864" spans="2:19">
      <c r="B1864" s="121"/>
      <c r="C1864" s="490"/>
      <c r="D1864" s="490" t="str">
        <f t="shared" si="88"/>
        <v/>
      </c>
      <c r="I1864" s="128"/>
      <c r="J1864" s="128"/>
      <c r="K1864" s="128"/>
      <c r="L1864" s="128"/>
      <c r="M1864" s="389"/>
      <c r="N1864" s="389"/>
      <c r="O1864" s="389"/>
      <c r="P1864" s="389"/>
      <c r="R1864" s="390" t="str">
        <f t="shared" si="87"/>
        <v>:</v>
      </c>
      <c r="S1864" s="181">
        <f t="shared" si="86"/>
        <v>0</v>
      </c>
    </row>
    <row r="1865" spans="2:19">
      <c r="B1865" s="121"/>
      <c r="C1865" s="490"/>
      <c r="D1865" s="490" t="str">
        <f t="shared" si="88"/>
        <v/>
      </c>
      <c r="I1865" s="128"/>
      <c r="J1865" s="128"/>
      <c r="K1865" s="128"/>
      <c r="L1865" s="128"/>
      <c r="M1865" s="389"/>
      <c r="N1865" s="389"/>
      <c r="O1865" s="389"/>
      <c r="P1865" s="389"/>
      <c r="R1865" s="390" t="str">
        <f t="shared" si="87"/>
        <v>:</v>
      </c>
      <c r="S1865" s="181">
        <f t="shared" si="86"/>
        <v>0</v>
      </c>
    </row>
    <row r="1866" spans="2:19">
      <c r="B1866" s="121"/>
      <c r="C1866" s="490"/>
      <c r="D1866" s="490" t="str">
        <f t="shared" si="88"/>
        <v/>
      </c>
      <c r="I1866" s="128"/>
      <c r="J1866" s="128"/>
      <c r="K1866" s="128"/>
      <c r="L1866" s="128"/>
      <c r="M1866" s="389"/>
      <c r="N1866" s="389"/>
      <c r="O1866" s="389"/>
      <c r="P1866" s="389"/>
      <c r="R1866" s="390" t="str">
        <f t="shared" si="87"/>
        <v>:</v>
      </c>
      <c r="S1866" s="181">
        <f t="shared" ref="S1866:S1929" si="89">HLOOKUP($S$8,$L$8:$P$2000,ROW()-7,FALSE)</f>
        <v>0</v>
      </c>
    </row>
    <row r="1867" spans="2:19">
      <c r="B1867" s="121"/>
      <c r="C1867" s="490"/>
      <c r="D1867" s="490" t="str">
        <f t="shared" si="88"/>
        <v/>
      </c>
      <c r="I1867" s="128"/>
      <c r="J1867" s="128"/>
      <c r="K1867" s="128"/>
      <c r="L1867" s="128"/>
      <c r="M1867" s="389"/>
      <c r="N1867" s="389"/>
      <c r="O1867" s="389"/>
      <c r="P1867" s="389"/>
      <c r="R1867" s="390" t="str">
        <f t="shared" si="87"/>
        <v>:</v>
      </c>
      <c r="S1867" s="181">
        <f t="shared" si="89"/>
        <v>0</v>
      </c>
    </row>
    <row r="1868" spans="2:19">
      <c r="B1868" s="121"/>
      <c r="C1868" s="490"/>
      <c r="D1868" s="490" t="str">
        <f t="shared" si="88"/>
        <v/>
      </c>
      <c r="I1868" s="128"/>
      <c r="J1868" s="128"/>
      <c r="K1868" s="128"/>
      <c r="L1868" s="128"/>
      <c r="M1868" s="389"/>
      <c r="N1868" s="389"/>
      <c r="O1868" s="389"/>
      <c r="P1868" s="389"/>
      <c r="R1868" s="390" t="str">
        <f t="shared" si="87"/>
        <v>:</v>
      </c>
      <c r="S1868" s="181">
        <f t="shared" si="89"/>
        <v>0</v>
      </c>
    </row>
    <row r="1869" spans="2:19">
      <c r="B1869" s="121"/>
      <c r="C1869" s="490"/>
      <c r="D1869" s="490" t="str">
        <f t="shared" si="88"/>
        <v/>
      </c>
      <c r="I1869" s="128"/>
      <c r="J1869" s="128"/>
      <c r="K1869" s="128"/>
      <c r="L1869" s="128"/>
      <c r="M1869" s="389"/>
      <c r="N1869" s="389"/>
      <c r="O1869" s="389"/>
      <c r="P1869" s="389"/>
      <c r="R1869" s="390" t="str">
        <f t="shared" ref="R1869:R1932" si="90">I1869&amp;":"&amp;J1869&amp;K1869</f>
        <v>:</v>
      </c>
      <c r="S1869" s="181">
        <f t="shared" si="89"/>
        <v>0</v>
      </c>
    </row>
    <row r="1870" spans="2:19">
      <c r="B1870" s="121"/>
      <c r="C1870" s="490"/>
      <c r="D1870" s="490" t="str">
        <f t="shared" si="88"/>
        <v/>
      </c>
      <c r="I1870" s="128"/>
      <c r="J1870" s="128"/>
      <c r="K1870" s="128"/>
      <c r="L1870" s="128"/>
      <c r="M1870" s="389"/>
      <c r="N1870" s="389"/>
      <c r="O1870" s="389"/>
      <c r="P1870" s="389"/>
      <c r="R1870" s="390" t="str">
        <f t="shared" si="90"/>
        <v>:</v>
      </c>
      <c r="S1870" s="181">
        <f t="shared" si="89"/>
        <v>0</v>
      </c>
    </row>
    <row r="1871" spans="2:19">
      <c r="B1871" s="121"/>
      <c r="C1871" s="490"/>
      <c r="D1871" s="490" t="str">
        <f t="shared" si="88"/>
        <v/>
      </c>
      <c r="I1871" s="128"/>
      <c r="J1871" s="128"/>
      <c r="K1871" s="128"/>
      <c r="L1871" s="128"/>
      <c r="M1871" s="389"/>
      <c r="N1871" s="389"/>
      <c r="O1871" s="389"/>
      <c r="P1871" s="389"/>
      <c r="R1871" s="390" t="str">
        <f t="shared" si="90"/>
        <v>:</v>
      </c>
      <c r="S1871" s="181">
        <f t="shared" si="89"/>
        <v>0</v>
      </c>
    </row>
    <row r="1872" spans="2:19">
      <c r="B1872" s="121"/>
      <c r="C1872" s="490"/>
      <c r="D1872" s="490" t="str">
        <f t="shared" si="88"/>
        <v/>
      </c>
      <c r="I1872" s="128"/>
      <c r="J1872" s="128"/>
      <c r="K1872" s="128"/>
      <c r="L1872" s="128"/>
      <c r="M1872" s="389"/>
      <c r="N1872" s="389"/>
      <c r="O1872" s="389"/>
      <c r="P1872" s="389"/>
      <c r="R1872" s="390" t="str">
        <f t="shared" si="90"/>
        <v>:</v>
      </c>
      <c r="S1872" s="181">
        <f t="shared" si="89"/>
        <v>0</v>
      </c>
    </row>
    <row r="1873" spans="2:19">
      <c r="B1873" s="121"/>
      <c r="C1873" s="490"/>
      <c r="D1873" s="490" t="str">
        <f t="shared" si="88"/>
        <v/>
      </c>
      <c r="I1873" s="128"/>
      <c r="J1873" s="128"/>
      <c r="K1873" s="128"/>
      <c r="L1873" s="128"/>
      <c r="M1873" s="389"/>
      <c r="N1873" s="389"/>
      <c r="O1873" s="389"/>
      <c r="P1873" s="389"/>
      <c r="R1873" s="390" t="str">
        <f t="shared" si="90"/>
        <v>:</v>
      </c>
      <c r="S1873" s="181">
        <f t="shared" si="89"/>
        <v>0</v>
      </c>
    </row>
    <row r="1874" spans="2:19">
      <c r="B1874" s="121"/>
      <c r="C1874" s="490"/>
      <c r="D1874" s="490" t="str">
        <f t="shared" si="88"/>
        <v/>
      </c>
      <c r="I1874" s="128"/>
      <c r="J1874" s="128"/>
      <c r="K1874" s="128"/>
      <c r="L1874" s="128"/>
      <c r="M1874" s="389"/>
      <c r="N1874" s="389"/>
      <c r="O1874" s="389"/>
      <c r="P1874" s="389"/>
      <c r="R1874" s="390" t="str">
        <f t="shared" si="90"/>
        <v>:</v>
      </c>
      <c r="S1874" s="181">
        <f t="shared" si="89"/>
        <v>0</v>
      </c>
    </row>
    <row r="1875" spans="2:19">
      <c r="B1875" s="121"/>
      <c r="C1875" s="490"/>
      <c r="D1875" s="490" t="str">
        <f t="shared" si="88"/>
        <v/>
      </c>
      <c r="I1875" s="128"/>
      <c r="J1875" s="128"/>
      <c r="K1875" s="128"/>
      <c r="L1875" s="128"/>
      <c r="M1875" s="389"/>
      <c r="N1875" s="389"/>
      <c r="O1875" s="389"/>
      <c r="P1875" s="389"/>
      <c r="R1875" s="390" t="str">
        <f t="shared" si="90"/>
        <v>:</v>
      </c>
      <c r="S1875" s="181">
        <f t="shared" si="89"/>
        <v>0</v>
      </c>
    </row>
    <row r="1876" spans="2:19">
      <c r="B1876" s="121"/>
      <c r="C1876" s="490"/>
      <c r="D1876" s="490" t="str">
        <f t="shared" si="88"/>
        <v/>
      </c>
      <c r="I1876" s="128"/>
      <c r="J1876" s="128"/>
      <c r="K1876" s="128"/>
      <c r="L1876" s="128"/>
      <c r="M1876" s="389"/>
      <c r="N1876" s="389"/>
      <c r="O1876" s="389"/>
      <c r="P1876" s="389"/>
      <c r="R1876" s="390" t="str">
        <f t="shared" si="90"/>
        <v>:</v>
      </c>
      <c r="S1876" s="181">
        <f t="shared" si="89"/>
        <v>0</v>
      </c>
    </row>
    <row r="1877" spans="2:19">
      <c r="B1877" s="121"/>
      <c r="C1877" s="490"/>
      <c r="D1877" s="490" t="str">
        <f t="shared" si="88"/>
        <v/>
      </c>
      <c r="I1877" s="128"/>
      <c r="J1877" s="128"/>
      <c r="K1877" s="128"/>
      <c r="L1877" s="128"/>
      <c r="M1877" s="389"/>
      <c r="N1877" s="389"/>
      <c r="O1877" s="389"/>
      <c r="P1877" s="389"/>
      <c r="R1877" s="390" t="str">
        <f t="shared" si="90"/>
        <v>:</v>
      </c>
      <c r="S1877" s="181">
        <f t="shared" si="89"/>
        <v>0</v>
      </c>
    </row>
    <row r="1878" spans="2:19">
      <c r="B1878" s="121"/>
      <c r="C1878" s="490"/>
      <c r="D1878" s="490" t="str">
        <f t="shared" si="88"/>
        <v/>
      </c>
      <c r="I1878" s="128"/>
      <c r="J1878" s="128"/>
      <c r="K1878" s="128"/>
      <c r="L1878" s="128"/>
      <c r="M1878" s="389"/>
      <c r="N1878" s="389"/>
      <c r="O1878" s="389"/>
      <c r="P1878" s="389"/>
      <c r="R1878" s="390" t="str">
        <f t="shared" si="90"/>
        <v>:</v>
      </c>
      <c r="S1878" s="181">
        <f t="shared" si="89"/>
        <v>0</v>
      </c>
    </row>
    <row r="1879" spans="2:19">
      <c r="B1879" s="121"/>
      <c r="C1879" s="490"/>
      <c r="D1879" s="490" t="str">
        <f t="shared" si="88"/>
        <v/>
      </c>
      <c r="I1879" s="128"/>
      <c r="J1879" s="128"/>
      <c r="K1879" s="128"/>
      <c r="L1879" s="128"/>
      <c r="M1879" s="389"/>
      <c r="N1879" s="389"/>
      <c r="O1879" s="389"/>
      <c r="P1879" s="389"/>
      <c r="R1879" s="390" t="str">
        <f t="shared" si="90"/>
        <v>:</v>
      </c>
      <c r="S1879" s="181">
        <f t="shared" si="89"/>
        <v>0</v>
      </c>
    </row>
    <row r="1880" spans="2:19">
      <c r="B1880" s="121"/>
      <c r="C1880" s="490"/>
      <c r="D1880" s="490" t="str">
        <f t="shared" si="88"/>
        <v/>
      </c>
      <c r="I1880" s="128"/>
      <c r="J1880" s="128"/>
      <c r="K1880" s="128"/>
      <c r="L1880" s="128"/>
      <c r="M1880" s="389"/>
      <c r="N1880" s="389"/>
      <c r="O1880" s="389"/>
      <c r="P1880" s="389"/>
      <c r="R1880" s="390" t="str">
        <f t="shared" si="90"/>
        <v>:</v>
      </c>
      <c r="S1880" s="181">
        <f t="shared" si="89"/>
        <v>0</v>
      </c>
    </row>
    <row r="1881" spans="2:19">
      <c r="B1881" s="121"/>
      <c r="C1881" s="490"/>
      <c r="D1881" s="490" t="str">
        <f t="shared" si="88"/>
        <v/>
      </c>
      <c r="I1881" s="128"/>
      <c r="J1881" s="128"/>
      <c r="K1881" s="128"/>
      <c r="L1881" s="128"/>
      <c r="M1881" s="389"/>
      <c r="N1881" s="389"/>
      <c r="O1881" s="389"/>
      <c r="P1881" s="389"/>
      <c r="R1881" s="390" t="str">
        <f t="shared" si="90"/>
        <v>:</v>
      </c>
      <c r="S1881" s="181">
        <f t="shared" si="89"/>
        <v>0</v>
      </c>
    </row>
    <row r="1882" spans="2:19">
      <c r="B1882" s="121"/>
      <c r="C1882" s="490"/>
      <c r="D1882" s="490" t="str">
        <f t="shared" si="88"/>
        <v/>
      </c>
      <c r="I1882" s="128"/>
      <c r="J1882" s="128"/>
      <c r="K1882" s="128"/>
      <c r="L1882" s="128"/>
      <c r="M1882" s="389"/>
      <c r="N1882" s="389"/>
      <c r="O1882" s="389"/>
      <c r="P1882" s="389"/>
      <c r="R1882" s="390" t="str">
        <f t="shared" si="90"/>
        <v>:</v>
      </c>
      <c r="S1882" s="181">
        <f t="shared" si="89"/>
        <v>0</v>
      </c>
    </row>
    <row r="1883" spans="2:19">
      <c r="B1883" s="121"/>
      <c r="C1883" s="490"/>
      <c r="D1883" s="490" t="str">
        <f t="shared" si="88"/>
        <v/>
      </c>
      <c r="I1883" s="128"/>
      <c r="J1883" s="128"/>
      <c r="K1883" s="128"/>
      <c r="L1883" s="128"/>
      <c r="M1883" s="389"/>
      <c r="N1883" s="389"/>
      <c r="O1883" s="389"/>
      <c r="P1883" s="389"/>
      <c r="R1883" s="390" t="str">
        <f t="shared" si="90"/>
        <v>:</v>
      </c>
      <c r="S1883" s="181">
        <f t="shared" si="89"/>
        <v>0</v>
      </c>
    </row>
    <row r="1884" spans="2:19">
      <c r="B1884" s="121"/>
      <c r="C1884" s="490"/>
      <c r="D1884" s="490" t="str">
        <f t="shared" si="88"/>
        <v/>
      </c>
      <c r="I1884" s="128"/>
      <c r="J1884" s="128"/>
      <c r="K1884" s="128"/>
      <c r="L1884" s="128"/>
      <c r="M1884" s="389"/>
      <c r="N1884" s="389"/>
      <c r="O1884" s="389"/>
      <c r="P1884" s="389"/>
      <c r="R1884" s="390" t="str">
        <f t="shared" si="90"/>
        <v>:</v>
      </c>
      <c r="S1884" s="181">
        <f t="shared" si="89"/>
        <v>0</v>
      </c>
    </row>
    <row r="1885" spans="2:19">
      <c r="B1885" s="121"/>
      <c r="C1885" s="490"/>
      <c r="D1885" s="490" t="str">
        <f t="shared" si="88"/>
        <v/>
      </c>
      <c r="I1885" s="128"/>
      <c r="J1885" s="128"/>
      <c r="K1885" s="128"/>
      <c r="L1885" s="128"/>
      <c r="M1885" s="389"/>
      <c r="N1885" s="389"/>
      <c r="O1885" s="389"/>
      <c r="P1885" s="389"/>
      <c r="R1885" s="390" t="str">
        <f t="shared" si="90"/>
        <v>:</v>
      </c>
      <c r="S1885" s="181">
        <f t="shared" si="89"/>
        <v>0</v>
      </c>
    </row>
    <row r="1886" spans="2:19">
      <c r="B1886" s="121"/>
      <c r="C1886" s="490"/>
      <c r="D1886" s="490" t="str">
        <f t="shared" si="88"/>
        <v/>
      </c>
      <c r="I1886" s="128"/>
      <c r="J1886" s="128"/>
      <c r="K1886" s="128"/>
      <c r="L1886" s="128"/>
      <c r="M1886" s="389"/>
      <c r="N1886" s="389"/>
      <c r="O1886" s="389"/>
      <c r="P1886" s="389"/>
      <c r="R1886" s="390" t="str">
        <f t="shared" si="90"/>
        <v>:</v>
      </c>
      <c r="S1886" s="181">
        <f t="shared" si="89"/>
        <v>0</v>
      </c>
    </row>
    <row r="1887" spans="2:19">
      <c r="B1887" s="121"/>
      <c r="C1887" s="490"/>
      <c r="D1887" s="490" t="str">
        <f t="shared" si="88"/>
        <v/>
      </c>
      <c r="I1887" s="128"/>
      <c r="J1887" s="128"/>
      <c r="K1887" s="128"/>
      <c r="L1887" s="128"/>
      <c r="M1887" s="389"/>
      <c r="N1887" s="389"/>
      <c r="O1887" s="389"/>
      <c r="P1887" s="389"/>
      <c r="R1887" s="390" t="str">
        <f t="shared" si="90"/>
        <v>:</v>
      </c>
      <c r="S1887" s="181">
        <f t="shared" si="89"/>
        <v>0</v>
      </c>
    </row>
    <row r="1888" spans="2:19">
      <c r="B1888" s="121"/>
      <c r="C1888" s="490"/>
      <c r="D1888" s="490" t="str">
        <f t="shared" si="88"/>
        <v/>
      </c>
      <c r="I1888" s="128"/>
      <c r="J1888" s="128"/>
      <c r="K1888" s="128"/>
      <c r="L1888" s="128"/>
      <c r="M1888" s="389"/>
      <c r="N1888" s="389"/>
      <c r="O1888" s="389"/>
      <c r="P1888" s="389"/>
      <c r="R1888" s="390" t="str">
        <f t="shared" si="90"/>
        <v>:</v>
      </c>
      <c r="S1888" s="181">
        <f t="shared" si="89"/>
        <v>0</v>
      </c>
    </row>
    <row r="1889" spans="2:19">
      <c r="B1889" s="121"/>
      <c r="C1889" s="490"/>
      <c r="D1889" s="490" t="str">
        <f t="shared" si="88"/>
        <v/>
      </c>
      <c r="I1889" s="128"/>
      <c r="J1889" s="128"/>
      <c r="K1889" s="128"/>
      <c r="L1889" s="128"/>
      <c r="M1889" s="389"/>
      <c r="N1889" s="389"/>
      <c r="O1889" s="389"/>
      <c r="P1889" s="389"/>
      <c r="R1889" s="390" t="str">
        <f t="shared" si="90"/>
        <v>:</v>
      </c>
      <c r="S1889" s="181">
        <f t="shared" si="89"/>
        <v>0</v>
      </c>
    </row>
    <row r="1890" spans="2:19">
      <c r="B1890" s="121"/>
      <c r="C1890" s="490"/>
      <c r="D1890" s="490" t="str">
        <f t="shared" si="88"/>
        <v/>
      </c>
      <c r="I1890" s="128"/>
      <c r="J1890" s="128"/>
      <c r="K1890" s="128"/>
      <c r="L1890" s="128"/>
      <c r="M1890" s="389"/>
      <c r="N1890" s="389"/>
      <c r="O1890" s="389"/>
      <c r="P1890" s="389"/>
      <c r="R1890" s="390" t="str">
        <f t="shared" si="90"/>
        <v>:</v>
      </c>
      <c r="S1890" s="181">
        <f t="shared" si="89"/>
        <v>0</v>
      </c>
    </row>
    <row r="1891" spans="2:19">
      <c r="B1891" s="121"/>
      <c r="C1891" s="490"/>
      <c r="D1891" s="490" t="str">
        <f t="shared" si="88"/>
        <v/>
      </c>
      <c r="I1891" s="128"/>
      <c r="J1891" s="128"/>
      <c r="K1891" s="128"/>
      <c r="L1891" s="128"/>
      <c r="M1891" s="389"/>
      <c r="N1891" s="389"/>
      <c r="O1891" s="389"/>
      <c r="P1891" s="389"/>
      <c r="R1891" s="390" t="str">
        <f t="shared" si="90"/>
        <v>:</v>
      </c>
      <c r="S1891" s="181">
        <f t="shared" si="89"/>
        <v>0</v>
      </c>
    </row>
    <row r="1892" spans="2:19">
      <c r="B1892" s="121"/>
      <c r="C1892" s="490"/>
      <c r="D1892" s="490" t="str">
        <f t="shared" si="88"/>
        <v/>
      </c>
      <c r="I1892" s="128"/>
      <c r="J1892" s="128"/>
      <c r="K1892" s="128"/>
      <c r="L1892" s="128"/>
      <c r="M1892" s="389"/>
      <c r="N1892" s="389"/>
      <c r="O1892" s="389"/>
      <c r="P1892" s="389"/>
      <c r="R1892" s="390" t="str">
        <f t="shared" si="90"/>
        <v>:</v>
      </c>
      <c r="S1892" s="181">
        <f t="shared" si="89"/>
        <v>0</v>
      </c>
    </row>
    <row r="1893" spans="2:19">
      <c r="B1893" s="121"/>
      <c r="C1893" s="490"/>
      <c r="D1893" s="490" t="str">
        <f t="shared" si="88"/>
        <v/>
      </c>
      <c r="I1893" s="128"/>
      <c r="J1893" s="128"/>
      <c r="K1893" s="128"/>
      <c r="L1893" s="128"/>
      <c r="M1893" s="389"/>
      <c r="N1893" s="389"/>
      <c r="O1893" s="389"/>
      <c r="P1893" s="389"/>
      <c r="R1893" s="390" t="str">
        <f t="shared" si="90"/>
        <v>:</v>
      </c>
      <c r="S1893" s="181">
        <f t="shared" si="89"/>
        <v>0</v>
      </c>
    </row>
    <row r="1894" spans="2:19">
      <c r="B1894" s="121"/>
      <c r="C1894" s="490"/>
      <c r="D1894" s="490" t="str">
        <f t="shared" si="88"/>
        <v/>
      </c>
      <c r="I1894" s="128"/>
      <c r="J1894" s="128"/>
      <c r="K1894" s="128"/>
      <c r="L1894" s="128"/>
      <c r="M1894" s="389"/>
      <c r="N1894" s="389"/>
      <c r="O1894" s="389"/>
      <c r="P1894" s="389"/>
      <c r="R1894" s="390" t="str">
        <f t="shared" si="90"/>
        <v>:</v>
      </c>
      <c r="S1894" s="181">
        <f t="shared" si="89"/>
        <v>0</v>
      </c>
    </row>
    <row r="1895" spans="2:19">
      <c r="B1895" s="121"/>
      <c r="C1895" s="490"/>
      <c r="D1895" s="490" t="str">
        <f t="shared" si="88"/>
        <v/>
      </c>
      <c r="I1895" s="128"/>
      <c r="J1895" s="128"/>
      <c r="K1895" s="128"/>
      <c r="L1895" s="128"/>
      <c r="M1895" s="389"/>
      <c r="N1895" s="389"/>
      <c r="O1895" s="389"/>
      <c r="P1895" s="389"/>
      <c r="R1895" s="390" t="str">
        <f t="shared" si="90"/>
        <v>:</v>
      </c>
      <c r="S1895" s="181">
        <f t="shared" si="89"/>
        <v>0</v>
      </c>
    </row>
    <row r="1896" spans="2:19">
      <c r="B1896" s="121"/>
      <c r="C1896" s="490"/>
      <c r="D1896" s="490" t="str">
        <f t="shared" si="88"/>
        <v/>
      </c>
      <c r="I1896" s="128"/>
      <c r="J1896" s="128"/>
      <c r="K1896" s="128"/>
      <c r="L1896" s="128"/>
      <c r="M1896" s="389"/>
      <c r="N1896" s="389"/>
      <c r="O1896" s="389"/>
      <c r="P1896" s="389"/>
      <c r="R1896" s="390" t="str">
        <f t="shared" si="90"/>
        <v>:</v>
      </c>
      <c r="S1896" s="181">
        <f t="shared" si="89"/>
        <v>0</v>
      </c>
    </row>
    <row r="1897" spans="2:19">
      <c r="B1897" s="121"/>
      <c r="C1897" s="490"/>
      <c r="D1897" s="490" t="str">
        <f t="shared" si="88"/>
        <v/>
      </c>
      <c r="I1897" s="128"/>
      <c r="J1897" s="128"/>
      <c r="K1897" s="128"/>
      <c r="L1897" s="128"/>
      <c r="M1897" s="389"/>
      <c r="N1897" s="389"/>
      <c r="O1897" s="389"/>
      <c r="P1897" s="389"/>
      <c r="R1897" s="390" t="str">
        <f t="shared" si="90"/>
        <v>:</v>
      </c>
      <c r="S1897" s="181">
        <f t="shared" si="89"/>
        <v>0</v>
      </c>
    </row>
    <row r="1898" spans="2:19">
      <c r="B1898" s="121"/>
      <c r="C1898" s="490"/>
      <c r="D1898" s="490" t="str">
        <f t="shared" si="88"/>
        <v/>
      </c>
      <c r="I1898" s="128"/>
      <c r="J1898" s="128"/>
      <c r="K1898" s="128"/>
      <c r="L1898" s="128"/>
      <c r="M1898" s="389"/>
      <c r="N1898" s="389"/>
      <c r="O1898" s="389"/>
      <c r="P1898" s="389"/>
      <c r="R1898" s="390" t="str">
        <f t="shared" si="90"/>
        <v>:</v>
      </c>
      <c r="S1898" s="181">
        <f t="shared" si="89"/>
        <v>0</v>
      </c>
    </row>
    <row r="1899" spans="2:19">
      <c r="B1899" s="121"/>
      <c r="C1899" s="490"/>
      <c r="D1899" s="490" t="str">
        <f t="shared" si="88"/>
        <v/>
      </c>
      <c r="I1899" s="128"/>
      <c r="J1899" s="128"/>
      <c r="K1899" s="128"/>
      <c r="L1899" s="128"/>
      <c r="M1899" s="389"/>
      <c r="N1899" s="389"/>
      <c r="O1899" s="389"/>
      <c r="P1899" s="389"/>
      <c r="R1899" s="390" t="str">
        <f t="shared" si="90"/>
        <v>:</v>
      </c>
      <c r="S1899" s="181">
        <f t="shared" si="89"/>
        <v>0</v>
      </c>
    </row>
    <row r="1900" spans="2:19">
      <c r="B1900" s="121"/>
      <c r="C1900" s="490"/>
      <c r="D1900" s="490" t="str">
        <f t="shared" si="88"/>
        <v/>
      </c>
      <c r="I1900" s="128"/>
      <c r="J1900" s="128"/>
      <c r="K1900" s="128"/>
      <c r="L1900" s="128"/>
      <c r="M1900" s="389"/>
      <c r="N1900" s="389"/>
      <c r="O1900" s="389"/>
      <c r="P1900" s="389"/>
      <c r="R1900" s="390" t="str">
        <f t="shared" si="90"/>
        <v>:</v>
      </c>
      <c r="S1900" s="181">
        <f t="shared" si="89"/>
        <v>0</v>
      </c>
    </row>
    <row r="1901" spans="2:19">
      <c r="B1901" s="121"/>
      <c r="C1901" s="490"/>
      <c r="D1901" s="490" t="str">
        <f t="shared" si="88"/>
        <v/>
      </c>
      <c r="I1901" s="128"/>
      <c r="J1901" s="128"/>
      <c r="K1901" s="128"/>
      <c r="L1901" s="128"/>
      <c r="M1901" s="389"/>
      <c r="N1901" s="389"/>
      <c r="O1901" s="389"/>
      <c r="P1901" s="389"/>
      <c r="R1901" s="390" t="str">
        <f t="shared" si="90"/>
        <v>:</v>
      </c>
      <c r="S1901" s="181">
        <f t="shared" si="89"/>
        <v>0</v>
      </c>
    </row>
    <row r="1902" spans="2:19">
      <c r="B1902" s="121"/>
      <c r="C1902" s="490"/>
      <c r="D1902" s="490" t="str">
        <f t="shared" ref="D1902:D1965" si="91">IF(B1902="","",B1902&amp;":"&amp;C1902)</f>
        <v/>
      </c>
      <c r="I1902" s="128"/>
      <c r="J1902" s="128"/>
      <c r="K1902" s="128"/>
      <c r="L1902" s="128"/>
      <c r="M1902" s="389"/>
      <c r="N1902" s="389"/>
      <c r="O1902" s="389"/>
      <c r="P1902" s="389"/>
      <c r="R1902" s="390" t="str">
        <f t="shared" si="90"/>
        <v>:</v>
      </c>
      <c r="S1902" s="181">
        <f t="shared" si="89"/>
        <v>0</v>
      </c>
    </row>
    <row r="1903" spans="2:19">
      <c r="B1903" s="121"/>
      <c r="C1903" s="490"/>
      <c r="D1903" s="490" t="str">
        <f t="shared" si="91"/>
        <v/>
      </c>
      <c r="I1903" s="128"/>
      <c r="J1903" s="128"/>
      <c r="K1903" s="128"/>
      <c r="L1903" s="128"/>
      <c r="M1903" s="389"/>
      <c r="N1903" s="389"/>
      <c r="O1903" s="389"/>
      <c r="P1903" s="389"/>
      <c r="R1903" s="390" t="str">
        <f t="shared" si="90"/>
        <v>:</v>
      </c>
      <c r="S1903" s="181">
        <f t="shared" si="89"/>
        <v>0</v>
      </c>
    </row>
    <row r="1904" spans="2:19">
      <c r="B1904" s="121"/>
      <c r="C1904" s="490"/>
      <c r="D1904" s="490" t="str">
        <f t="shared" si="91"/>
        <v/>
      </c>
      <c r="I1904" s="128"/>
      <c r="J1904" s="128"/>
      <c r="K1904" s="128"/>
      <c r="L1904" s="128"/>
      <c r="M1904" s="389"/>
      <c r="N1904" s="389"/>
      <c r="O1904" s="389"/>
      <c r="P1904" s="389"/>
      <c r="R1904" s="390" t="str">
        <f t="shared" si="90"/>
        <v>:</v>
      </c>
      <c r="S1904" s="181">
        <f t="shared" si="89"/>
        <v>0</v>
      </c>
    </row>
    <row r="1905" spans="2:19">
      <c r="B1905" s="121"/>
      <c r="C1905" s="490"/>
      <c r="D1905" s="490" t="str">
        <f t="shared" si="91"/>
        <v/>
      </c>
      <c r="I1905" s="128"/>
      <c r="J1905" s="128"/>
      <c r="K1905" s="128"/>
      <c r="L1905" s="128"/>
      <c r="M1905" s="389"/>
      <c r="N1905" s="389"/>
      <c r="O1905" s="389"/>
      <c r="P1905" s="389"/>
      <c r="R1905" s="390" t="str">
        <f t="shared" si="90"/>
        <v>:</v>
      </c>
      <c r="S1905" s="181">
        <f t="shared" si="89"/>
        <v>0</v>
      </c>
    </row>
    <row r="1906" spans="2:19">
      <c r="B1906" s="121"/>
      <c r="C1906" s="490"/>
      <c r="D1906" s="490" t="str">
        <f t="shared" si="91"/>
        <v/>
      </c>
      <c r="I1906" s="128"/>
      <c r="J1906" s="128"/>
      <c r="K1906" s="128"/>
      <c r="L1906" s="128"/>
      <c r="M1906" s="389"/>
      <c r="N1906" s="389"/>
      <c r="O1906" s="389"/>
      <c r="P1906" s="389"/>
      <c r="R1906" s="390" t="str">
        <f t="shared" si="90"/>
        <v>:</v>
      </c>
      <c r="S1906" s="181">
        <f t="shared" si="89"/>
        <v>0</v>
      </c>
    </row>
    <row r="1907" spans="2:19">
      <c r="B1907" s="121"/>
      <c r="C1907" s="490"/>
      <c r="D1907" s="490" t="str">
        <f t="shared" si="91"/>
        <v/>
      </c>
      <c r="I1907" s="128"/>
      <c r="J1907" s="128"/>
      <c r="K1907" s="128"/>
      <c r="L1907" s="128"/>
      <c r="M1907" s="389"/>
      <c r="N1907" s="389"/>
      <c r="O1907" s="389"/>
      <c r="P1907" s="389"/>
      <c r="R1907" s="390" t="str">
        <f t="shared" si="90"/>
        <v>:</v>
      </c>
      <c r="S1907" s="181">
        <f t="shared" si="89"/>
        <v>0</v>
      </c>
    </row>
    <row r="1908" spans="2:19">
      <c r="B1908" s="121"/>
      <c r="C1908" s="490"/>
      <c r="D1908" s="490" t="str">
        <f t="shared" si="91"/>
        <v/>
      </c>
      <c r="I1908" s="128"/>
      <c r="J1908" s="128"/>
      <c r="K1908" s="128"/>
      <c r="L1908" s="128"/>
      <c r="M1908" s="389"/>
      <c r="N1908" s="389"/>
      <c r="O1908" s="389"/>
      <c r="P1908" s="389"/>
      <c r="R1908" s="390" t="str">
        <f t="shared" si="90"/>
        <v>:</v>
      </c>
      <c r="S1908" s="181">
        <f t="shared" si="89"/>
        <v>0</v>
      </c>
    </row>
    <row r="1909" spans="2:19">
      <c r="B1909" s="121"/>
      <c r="C1909" s="490"/>
      <c r="D1909" s="490" t="str">
        <f t="shared" si="91"/>
        <v/>
      </c>
      <c r="I1909" s="128"/>
      <c r="J1909" s="128"/>
      <c r="K1909" s="128"/>
      <c r="L1909" s="128"/>
      <c r="M1909" s="389"/>
      <c r="N1909" s="389"/>
      <c r="O1909" s="389"/>
      <c r="P1909" s="389"/>
      <c r="R1909" s="390" t="str">
        <f t="shared" si="90"/>
        <v>:</v>
      </c>
      <c r="S1909" s="181">
        <f t="shared" si="89"/>
        <v>0</v>
      </c>
    </row>
    <row r="1910" spans="2:19">
      <c r="B1910" s="121"/>
      <c r="C1910" s="490"/>
      <c r="D1910" s="490" t="str">
        <f t="shared" si="91"/>
        <v/>
      </c>
      <c r="I1910" s="128"/>
      <c r="J1910" s="128"/>
      <c r="K1910" s="128"/>
      <c r="L1910" s="128"/>
      <c r="M1910" s="389"/>
      <c r="N1910" s="389"/>
      <c r="O1910" s="389"/>
      <c r="P1910" s="389"/>
      <c r="R1910" s="390" t="str">
        <f t="shared" si="90"/>
        <v>:</v>
      </c>
      <c r="S1910" s="181">
        <f t="shared" si="89"/>
        <v>0</v>
      </c>
    </row>
    <row r="1911" spans="2:19">
      <c r="B1911" s="121"/>
      <c r="C1911" s="490"/>
      <c r="D1911" s="490" t="str">
        <f t="shared" si="91"/>
        <v/>
      </c>
      <c r="I1911" s="128"/>
      <c r="J1911" s="128"/>
      <c r="K1911" s="128"/>
      <c r="L1911" s="128"/>
      <c r="M1911" s="389"/>
      <c r="N1911" s="389"/>
      <c r="O1911" s="389"/>
      <c r="P1911" s="389"/>
      <c r="R1911" s="390" t="str">
        <f t="shared" si="90"/>
        <v>:</v>
      </c>
      <c r="S1911" s="181">
        <f t="shared" si="89"/>
        <v>0</v>
      </c>
    </row>
    <row r="1912" spans="2:19">
      <c r="B1912" s="121"/>
      <c r="C1912" s="490"/>
      <c r="D1912" s="490" t="str">
        <f t="shared" si="91"/>
        <v/>
      </c>
      <c r="I1912" s="128"/>
      <c r="J1912" s="128"/>
      <c r="K1912" s="128"/>
      <c r="L1912" s="128"/>
      <c r="M1912" s="389"/>
      <c r="N1912" s="389"/>
      <c r="O1912" s="389"/>
      <c r="P1912" s="389"/>
      <c r="R1912" s="390" t="str">
        <f t="shared" si="90"/>
        <v>:</v>
      </c>
      <c r="S1912" s="181">
        <f t="shared" si="89"/>
        <v>0</v>
      </c>
    </row>
    <row r="1913" spans="2:19">
      <c r="B1913" s="121"/>
      <c r="C1913" s="490"/>
      <c r="D1913" s="490" t="str">
        <f t="shared" si="91"/>
        <v/>
      </c>
      <c r="I1913" s="128"/>
      <c r="J1913" s="128"/>
      <c r="K1913" s="128"/>
      <c r="L1913" s="128"/>
      <c r="M1913" s="389"/>
      <c r="N1913" s="389"/>
      <c r="O1913" s="389"/>
      <c r="P1913" s="389"/>
      <c r="R1913" s="390" t="str">
        <f t="shared" si="90"/>
        <v>:</v>
      </c>
      <c r="S1913" s="181">
        <f t="shared" si="89"/>
        <v>0</v>
      </c>
    </row>
    <row r="1914" spans="2:19">
      <c r="B1914" s="121"/>
      <c r="C1914" s="490"/>
      <c r="D1914" s="490" t="str">
        <f t="shared" si="91"/>
        <v/>
      </c>
      <c r="I1914" s="128"/>
      <c r="J1914" s="128"/>
      <c r="K1914" s="128"/>
      <c r="L1914" s="128"/>
      <c r="M1914" s="389"/>
      <c r="N1914" s="389"/>
      <c r="O1914" s="389"/>
      <c r="P1914" s="389"/>
      <c r="R1914" s="390" t="str">
        <f t="shared" si="90"/>
        <v>:</v>
      </c>
      <c r="S1914" s="181">
        <f t="shared" si="89"/>
        <v>0</v>
      </c>
    </row>
    <row r="1915" spans="2:19">
      <c r="B1915" s="121"/>
      <c r="C1915" s="490"/>
      <c r="D1915" s="490" t="str">
        <f t="shared" si="91"/>
        <v/>
      </c>
      <c r="I1915" s="128"/>
      <c r="J1915" s="128"/>
      <c r="K1915" s="128"/>
      <c r="L1915" s="128"/>
      <c r="M1915" s="389"/>
      <c r="N1915" s="389"/>
      <c r="O1915" s="389"/>
      <c r="P1915" s="389"/>
      <c r="R1915" s="390" t="str">
        <f t="shared" si="90"/>
        <v>:</v>
      </c>
      <c r="S1915" s="181">
        <f t="shared" si="89"/>
        <v>0</v>
      </c>
    </row>
    <row r="1916" spans="2:19">
      <c r="B1916" s="121"/>
      <c r="C1916" s="490"/>
      <c r="D1916" s="490" t="str">
        <f t="shared" si="91"/>
        <v/>
      </c>
      <c r="I1916" s="128"/>
      <c r="J1916" s="128"/>
      <c r="K1916" s="128"/>
      <c r="L1916" s="128"/>
      <c r="M1916" s="389"/>
      <c r="N1916" s="389"/>
      <c r="O1916" s="389"/>
      <c r="P1916" s="389"/>
      <c r="R1916" s="390" t="str">
        <f t="shared" si="90"/>
        <v>:</v>
      </c>
      <c r="S1916" s="181">
        <f t="shared" si="89"/>
        <v>0</v>
      </c>
    </row>
    <row r="1917" spans="2:19">
      <c r="B1917" s="121"/>
      <c r="C1917" s="490"/>
      <c r="D1917" s="490" t="str">
        <f t="shared" si="91"/>
        <v/>
      </c>
      <c r="I1917" s="128"/>
      <c r="J1917" s="128"/>
      <c r="K1917" s="128"/>
      <c r="L1917" s="128"/>
      <c r="M1917" s="389"/>
      <c r="N1917" s="389"/>
      <c r="O1917" s="389"/>
      <c r="P1917" s="389"/>
      <c r="R1917" s="390" t="str">
        <f t="shared" si="90"/>
        <v>:</v>
      </c>
      <c r="S1917" s="181">
        <f t="shared" si="89"/>
        <v>0</v>
      </c>
    </row>
    <row r="1918" spans="2:19">
      <c r="B1918" s="121"/>
      <c r="C1918" s="490"/>
      <c r="D1918" s="490" t="str">
        <f t="shared" si="91"/>
        <v/>
      </c>
      <c r="I1918" s="128"/>
      <c r="J1918" s="128"/>
      <c r="K1918" s="128"/>
      <c r="L1918" s="128"/>
      <c r="M1918" s="389"/>
      <c r="N1918" s="389"/>
      <c r="O1918" s="389"/>
      <c r="P1918" s="389"/>
      <c r="R1918" s="390" t="str">
        <f t="shared" si="90"/>
        <v>:</v>
      </c>
      <c r="S1918" s="181">
        <f t="shared" si="89"/>
        <v>0</v>
      </c>
    </row>
    <row r="1919" spans="2:19">
      <c r="B1919" s="121"/>
      <c r="C1919" s="490"/>
      <c r="D1919" s="490" t="str">
        <f t="shared" si="91"/>
        <v/>
      </c>
      <c r="I1919" s="128"/>
      <c r="J1919" s="128"/>
      <c r="K1919" s="128"/>
      <c r="L1919" s="128"/>
      <c r="M1919" s="389"/>
      <c r="N1919" s="389"/>
      <c r="O1919" s="389"/>
      <c r="P1919" s="389"/>
      <c r="R1919" s="390" t="str">
        <f t="shared" si="90"/>
        <v>:</v>
      </c>
      <c r="S1919" s="181">
        <f t="shared" si="89"/>
        <v>0</v>
      </c>
    </row>
    <row r="1920" spans="2:19">
      <c r="B1920" s="121"/>
      <c r="C1920" s="490"/>
      <c r="D1920" s="490" t="str">
        <f t="shared" si="91"/>
        <v/>
      </c>
      <c r="I1920" s="128"/>
      <c r="J1920" s="128"/>
      <c r="K1920" s="128"/>
      <c r="L1920" s="128"/>
      <c r="M1920" s="389"/>
      <c r="N1920" s="389"/>
      <c r="O1920" s="389"/>
      <c r="P1920" s="389"/>
      <c r="R1920" s="390" t="str">
        <f t="shared" si="90"/>
        <v>:</v>
      </c>
      <c r="S1920" s="181">
        <f t="shared" si="89"/>
        <v>0</v>
      </c>
    </row>
    <row r="1921" spans="2:19">
      <c r="B1921" s="121"/>
      <c r="C1921" s="490"/>
      <c r="D1921" s="490" t="str">
        <f t="shared" si="91"/>
        <v/>
      </c>
      <c r="I1921" s="128"/>
      <c r="J1921" s="128"/>
      <c r="K1921" s="128"/>
      <c r="L1921" s="128"/>
      <c r="M1921" s="389"/>
      <c r="N1921" s="389"/>
      <c r="O1921" s="389"/>
      <c r="P1921" s="389"/>
      <c r="R1921" s="390" t="str">
        <f t="shared" si="90"/>
        <v>:</v>
      </c>
      <c r="S1921" s="181">
        <f t="shared" si="89"/>
        <v>0</v>
      </c>
    </row>
    <row r="1922" spans="2:19">
      <c r="B1922" s="121"/>
      <c r="C1922" s="490"/>
      <c r="D1922" s="490" t="str">
        <f t="shared" si="91"/>
        <v/>
      </c>
      <c r="I1922" s="128"/>
      <c r="J1922" s="128"/>
      <c r="K1922" s="128"/>
      <c r="L1922" s="128"/>
      <c r="M1922" s="389"/>
      <c r="N1922" s="389"/>
      <c r="O1922" s="389"/>
      <c r="P1922" s="389"/>
      <c r="R1922" s="390" t="str">
        <f t="shared" si="90"/>
        <v>:</v>
      </c>
      <c r="S1922" s="181">
        <f t="shared" si="89"/>
        <v>0</v>
      </c>
    </row>
    <row r="1923" spans="2:19">
      <c r="B1923" s="121"/>
      <c r="C1923" s="490"/>
      <c r="D1923" s="490" t="str">
        <f t="shared" si="91"/>
        <v/>
      </c>
      <c r="I1923" s="128"/>
      <c r="J1923" s="128"/>
      <c r="K1923" s="128"/>
      <c r="L1923" s="128"/>
      <c r="M1923" s="389"/>
      <c r="N1923" s="389"/>
      <c r="O1923" s="389"/>
      <c r="P1923" s="389"/>
      <c r="R1923" s="390" t="str">
        <f t="shared" si="90"/>
        <v>:</v>
      </c>
      <c r="S1923" s="181">
        <f t="shared" si="89"/>
        <v>0</v>
      </c>
    </row>
    <row r="1924" spans="2:19">
      <c r="B1924" s="121"/>
      <c r="C1924" s="490"/>
      <c r="D1924" s="490" t="str">
        <f t="shared" si="91"/>
        <v/>
      </c>
      <c r="I1924" s="128"/>
      <c r="J1924" s="128"/>
      <c r="K1924" s="128"/>
      <c r="L1924" s="128"/>
      <c r="M1924" s="389"/>
      <c r="N1924" s="389"/>
      <c r="O1924" s="389"/>
      <c r="P1924" s="389"/>
      <c r="R1924" s="390" t="str">
        <f t="shared" si="90"/>
        <v>:</v>
      </c>
      <c r="S1924" s="181">
        <f t="shared" si="89"/>
        <v>0</v>
      </c>
    </row>
    <row r="1925" spans="2:19">
      <c r="B1925" s="121"/>
      <c r="C1925" s="490"/>
      <c r="D1925" s="490" t="str">
        <f t="shared" si="91"/>
        <v/>
      </c>
      <c r="I1925" s="128"/>
      <c r="J1925" s="128"/>
      <c r="K1925" s="128"/>
      <c r="L1925" s="128"/>
      <c r="M1925" s="389"/>
      <c r="N1925" s="389"/>
      <c r="O1925" s="389"/>
      <c r="P1925" s="389"/>
      <c r="R1925" s="390" t="str">
        <f t="shared" si="90"/>
        <v>:</v>
      </c>
      <c r="S1925" s="181">
        <f t="shared" si="89"/>
        <v>0</v>
      </c>
    </row>
    <row r="1926" spans="2:19">
      <c r="B1926" s="121"/>
      <c r="C1926" s="490"/>
      <c r="D1926" s="490" t="str">
        <f t="shared" si="91"/>
        <v/>
      </c>
      <c r="I1926" s="128"/>
      <c r="J1926" s="128"/>
      <c r="K1926" s="128"/>
      <c r="L1926" s="128"/>
      <c r="M1926" s="389"/>
      <c r="N1926" s="389"/>
      <c r="O1926" s="389"/>
      <c r="P1926" s="389"/>
      <c r="R1926" s="390" t="str">
        <f t="shared" si="90"/>
        <v>:</v>
      </c>
      <c r="S1926" s="181">
        <f t="shared" si="89"/>
        <v>0</v>
      </c>
    </row>
    <row r="1927" spans="2:19">
      <c r="B1927" s="121"/>
      <c r="C1927" s="490"/>
      <c r="D1927" s="490" t="str">
        <f t="shared" si="91"/>
        <v/>
      </c>
      <c r="I1927" s="128"/>
      <c r="J1927" s="128"/>
      <c r="K1927" s="128"/>
      <c r="L1927" s="128"/>
      <c r="M1927" s="389"/>
      <c r="N1927" s="389"/>
      <c r="O1927" s="389"/>
      <c r="P1927" s="389"/>
      <c r="R1927" s="390" t="str">
        <f t="shared" si="90"/>
        <v>:</v>
      </c>
      <c r="S1927" s="181">
        <f t="shared" si="89"/>
        <v>0</v>
      </c>
    </row>
    <row r="1928" spans="2:19">
      <c r="B1928" s="121"/>
      <c r="C1928" s="490"/>
      <c r="D1928" s="490" t="str">
        <f t="shared" si="91"/>
        <v/>
      </c>
      <c r="I1928" s="128"/>
      <c r="J1928" s="128"/>
      <c r="K1928" s="128"/>
      <c r="L1928" s="128"/>
      <c r="M1928" s="389"/>
      <c r="N1928" s="389"/>
      <c r="O1928" s="389"/>
      <c r="P1928" s="389"/>
      <c r="R1928" s="390" t="str">
        <f t="shared" si="90"/>
        <v>:</v>
      </c>
      <c r="S1928" s="181">
        <f t="shared" si="89"/>
        <v>0</v>
      </c>
    </row>
    <row r="1929" spans="2:19">
      <c r="B1929" s="121"/>
      <c r="C1929" s="490"/>
      <c r="D1929" s="490" t="str">
        <f t="shared" si="91"/>
        <v/>
      </c>
      <c r="I1929" s="128"/>
      <c r="J1929" s="128"/>
      <c r="K1929" s="128"/>
      <c r="L1929" s="128"/>
      <c r="M1929" s="389"/>
      <c r="N1929" s="389"/>
      <c r="O1929" s="389"/>
      <c r="P1929" s="389"/>
      <c r="R1929" s="390" t="str">
        <f t="shared" si="90"/>
        <v>:</v>
      </c>
      <c r="S1929" s="181">
        <f t="shared" si="89"/>
        <v>0</v>
      </c>
    </row>
    <row r="1930" spans="2:19">
      <c r="B1930" s="121"/>
      <c r="C1930" s="490"/>
      <c r="D1930" s="490" t="str">
        <f t="shared" si="91"/>
        <v/>
      </c>
      <c r="I1930" s="128"/>
      <c r="J1930" s="128"/>
      <c r="K1930" s="128"/>
      <c r="L1930" s="128"/>
      <c r="M1930" s="389"/>
      <c r="N1930" s="389"/>
      <c r="O1930" s="389"/>
      <c r="P1930" s="389"/>
      <c r="R1930" s="390" t="str">
        <f t="shared" si="90"/>
        <v>:</v>
      </c>
      <c r="S1930" s="181">
        <f t="shared" ref="S1930:S1993" si="92">HLOOKUP($S$8,$L$8:$P$2000,ROW()-7,FALSE)</f>
        <v>0</v>
      </c>
    </row>
    <row r="1931" spans="2:19">
      <c r="B1931" s="121"/>
      <c r="C1931" s="490"/>
      <c r="D1931" s="490" t="str">
        <f t="shared" si="91"/>
        <v/>
      </c>
      <c r="I1931" s="128"/>
      <c r="J1931" s="128"/>
      <c r="K1931" s="128"/>
      <c r="L1931" s="128"/>
      <c r="M1931" s="389"/>
      <c r="N1931" s="389"/>
      <c r="O1931" s="389"/>
      <c r="P1931" s="389"/>
      <c r="R1931" s="390" t="str">
        <f t="shared" si="90"/>
        <v>:</v>
      </c>
      <c r="S1931" s="181">
        <f t="shared" si="92"/>
        <v>0</v>
      </c>
    </row>
    <row r="1932" spans="2:19">
      <c r="B1932" s="121"/>
      <c r="C1932" s="490"/>
      <c r="D1932" s="490" t="str">
        <f t="shared" si="91"/>
        <v/>
      </c>
      <c r="I1932" s="128"/>
      <c r="J1932" s="128"/>
      <c r="K1932" s="128"/>
      <c r="L1932" s="128"/>
      <c r="M1932" s="389"/>
      <c r="N1932" s="389"/>
      <c r="O1932" s="389"/>
      <c r="P1932" s="389"/>
      <c r="R1932" s="390" t="str">
        <f t="shared" si="90"/>
        <v>:</v>
      </c>
      <c r="S1932" s="181">
        <f t="shared" si="92"/>
        <v>0</v>
      </c>
    </row>
    <row r="1933" spans="2:19">
      <c r="B1933" s="121"/>
      <c r="C1933" s="490"/>
      <c r="D1933" s="490" t="str">
        <f t="shared" si="91"/>
        <v/>
      </c>
      <c r="I1933" s="128"/>
      <c r="J1933" s="128"/>
      <c r="K1933" s="128"/>
      <c r="L1933" s="128"/>
      <c r="M1933" s="389"/>
      <c r="N1933" s="389"/>
      <c r="O1933" s="389"/>
      <c r="P1933" s="389"/>
      <c r="R1933" s="390" t="str">
        <f t="shared" ref="R1933:R1996" si="93">I1933&amp;":"&amp;J1933&amp;K1933</f>
        <v>:</v>
      </c>
      <c r="S1933" s="181">
        <f t="shared" si="92"/>
        <v>0</v>
      </c>
    </row>
    <row r="1934" spans="2:19">
      <c r="B1934" s="121"/>
      <c r="C1934" s="490"/>
      <c r="D1934" s="490" t="str">
        <f t="shared" si="91"/>
        <v/>
      </c>
      <c r="I1934" s="128"/>
      <c r="J1934" s="128"/>
      <c r="K1934" s="128"/>
      <c r="L1934" s="128"/>
      <c r="M1934" s="389"/>
      <c r="N1934" s="389"/>
      <c r="O1934" s="389"/>
      <c r="P1934" s="389"/>
      <c r="R1934" s="390" t="str">
        <f t="shared" si="93"/>
        <v>:</v>
      </c>
      <c r="S1934" s="181">
        <f t="shared" si="92"/>
        <v>0</v>
      </c>
    </row>
    <row r="1935" spans="2:19">
      <c r="B1935" s="121"/>
      <c r="C1935" s="490"/>
      <c r="D1935" s="490" t="str">
        <f t="shared" si="91"/>
        <v/>
      </c>
      <c r="I1935" s="128"/>
      <c r="J1935" s="128"/>
      <c r="K1935" s="128"/>
      <c r="L1935" s="128"/>
      <c r="M1935" s="389"/>
      <c r="N1935" s="389"/>
      <c r="O1935" s="389"/>
      <c r="P1935" s="389"/>
      <c r="R1935" s="390" t="str">
        <f t="shared" si="93"/>
        <v>:</v>
      </c>
      <c r="S1935" s="181">
        <f t="shared" si="92"/>
        <v>0</v>
      </c>
    </row>
    <row r="1936" spans="2:19">
      <c r="B1936" s="121"/>
      <c r="C1936" s="490"/>
      <c r="D1936" s="490" t="str">
        <f t="shared" si="91"/>
        <v/>
      </c>
      <c r="I1936" s="128"/>
      <c r="J1936" s="128"/>
      <c r="K1936" s="128"/>
      <c r="L1936" s="128"/>
      <c r="M1936" s="389"/>
      <c r="N1936" s="389"/>
      <c r="O1936" s="389"/>
      <c r="P1936" s="389"/>
      <c r="R1936" s="390" t="str">
        <f t="shared" si="93"/>
        <v>:</v>
      </c>
      <c r="S1936" s="181">
        <f t="shared" si="92"/>
        <v>0</v>
      </c>
    </row>
    <row r="1937" spans="2:19">
      <c r="B1937" s="121"/>
      <c r="C1937" s="490"/>
      <c r="D1937" s="490" t="str">
        <f t="shared" si="91"/>
        <v/>
      </c>
      <c r="I1937" s="128"/>
      <c r="J1937" s="128"/>
      <c r="K1937" s="128"/>
      <c r="L1937" s="128"/>
      <c r="M1937" s="389"/>
      <c r="N1937" s="389"/>
      <c r="O1937" s="389"/>
      <c r="P1937" s="389"/>
      <c r="R1937" s="390" t="str">
        <f t="shared" si="93"/>
        <v>:</v>
      </c>
      <c r="S1937" s="181">
        <f t="shared" si="92"/>
        <v>0</v>
      </c>
    </row>
    <row r="1938" spans="2:19">
      <c r="B1938" s="121"/>
      <c r="C1938" s="490"/>
      <c r="D1938" s="490" t="str">
        <f t="shared" si="91"/>
        <v/>
      </c>
      <c r="I1938" s="128"/>
      <c r="J1938" s="128"/>
      <c r="K1938" s="128"/>
      <c r="L1938" s="128"/>
      <c r="M1938" s="389"/>
      <c r="N1938" s="389"/>
      <c r="O1938" s="389"/>
      <c r="P1938" s="389"/>
      <c r="R1938" s="390" t="str">
        <f t="shared" si="93"/>
        <v>:</v>
      </c>
      <c r="S1938" s="181">
        <f t="shared" si="92"/>
        <v>0</v>
      </c>
    </row>
    <row r="1939" spans="2:19">
      <c r="B1939" s="121"/>
      <c r="C1939" s="490"/>
      <c r="D1939" s="490" t="str">
        <f t="shared" si="91"/>
        <v/>
      </c>
      <c r="I1939" s="128"/>
      <c r="J1939" s="128"/>
      <c r="K1939" s="128"/>
      <c r="L1939" s="128"/>
      <c r="M1939" s="389"/>
      <c r="N1939" s="389"/>
      <c r="O1939" s="389"/>
      <c r="P1939" s="389"/>
      <c r="R1939" s="390" t="str">
        <f t="shared" si="93"/>
        <v>:</v>
      </c>
      <c r="S1939" s="181">
        <f t="shared" si="92"/>
        <v>0</v>
      </c>
    </row>
    <row r="1940" spans="2:19">
      <c r="B1940" s="121"/>
      <c r="C1940" s="490"/>
      <c r="D1940" s="490" t="str">
        <f t="shared" si="91"/>
        <v/>
      </c>
      <c r="I1940" s="128"/>
      <c r="J1940" s="128"/>
      <c r="K1940" s="128"/>
      <c r="L1940" s="128"/>
      <c r="M1940" s="389"/>
      <c r="N1940" s="389"/>
      <c r="O1940" s="389"/>
      <c r="P1940" s="389"/>
      <c r="R1940" s="390" t="str">
        <f t="shared" si="93"/>
        <v>:</v>
      </c>
      <c r="S1940" s="181">
        <f t="shared" si="92"/>
        <v>0</v>
      </c>
    </row>
    <row r="1941" spans="2:19">
      <c r="B1941" s="121"/>
      <c r="C1941" s="490"/>
      <c r="D1941" s="490" t="str">
        <f t="shared" si="91"/>
        <v/>
      </c>
      <c r="I1941" s="128"/>
      <c r="J1941" s="128"/>
      <c r="K1941" s="128"/>
      <c r="L1941" s="128"/>
      <c r="M1941" s="389"/>
      <c r="N1941" s="389"/>
      <c r="O1941" s="389"/>
      <c r="P1941" s="389"/>
      <c r="R1941" s="390" t="str">
        <f t="shared" si="93"/>
        <v>:</v>
      </c>
      <c r="S1941" s="181">
        <f t="shared" si="92"/>
        <v>0</v>
      </c>
    </row>
    <row r="1942" spans="2:19">
      <c r="B1942" s="121"/>
      <c r="C1942" s="490"/>
      <c r="D1942" s="490" t="str">
        <f t="shared" si="91"/>
        <v/>
      </c>
      <c r="I1942" s="128"/>
      <c r="J1942" s="128"/>
      <c r="K1942" s="128"/>
      <c r="L1942" s="128"/>
      <c r="M1942" s="389"/>
      <c r="N1942" s="389"/>
      <c r="O1942" s="389"/>
      <c r="P1942" s="389"/>
      <c r="R1942" s="390" t="str">
        <f t="shared" si="93"/>
        <v>:</v>
      </c>
      <c r="S1942" s="181">
        <f t="shared" si="92"/>
        <v>0</v>
      </c>
    </row>
    <row r="1943" spans="2:19">
      <c r="B1943" s="121"/>
      <c r="C1943" s="490"/>
      <c r="D1943" s="490" t="str">
        <f t="shared" si="91"/>
        <v/>
      </c>
      <c r="I1943" s="128"/>
      <c r="J1943" s="128"/>
      <c r="K1943" s="128"/>
      <c r="L1943" s="128"/>
      <c r="M1943" s="389"/>
      <c r="N1943" s="389"/>
      <c r="O1943" s="389"/>
      <c r="P1943" s="389"/>
      <c r="R1943" s="390" t="str">
        <f t="shared" si="93"/>
        <v>:</v>
      </c>
      <c r="S1943" s="181">
        <f t="shared" si="92"/>
        <v>0</v>
      </c>
    </row>
    <row r="1944" spans="2:19">
      <c r="B1944" s="121"/>
      <c r="C1944" s="490"/>
      <c r="D1944" s="490" t="str">
        <f t="shared" si="91"/>
        <v/>
      </c>
      <c r="I1944" s="128"/>
      <c r="J1944" s="128"/>
      <c r="K1944" s="128"/>
      <c r="L1944" s="128"/>
      <c r="M1944" s="389"/>
      <c r="N1944" s="389"/>
      <c r="O1944" s="389"/>
      <c r="P1944" s="389"/>
      <c r="R1944" s="390" t="str">
        <f t="shared" si="93"/>
        <v>:</v>
      </c>
      <c r="S1944" s="181">
        <f t="shared" si="92"/>
        <v>0</v>
      </c>
    </row>
    <row r="1945" spans="2:19">
      <c r="B1945" s="121"/>
      <c r="C1945" s="490"/>
      <c r="D1945" s="490" t="str">
        <f t="shared" si="91"/>
        <v/>
      </c>
      <c r="I1945" s="128"/>
      <c r="J1945" s="128"/>
      <c r="K1945" s="128"/>
      <c r="L1945" s="128"/>
      <c r="M1945" s="389"/>
      <c r="N1945" s="389"/>
      <c r="O1945" s="389"/>
      <c r="P1945" s="389"/>
      <c r="R1945" s="390" t="str">
        <f t="shared" si="93"/>
        <v>:</v>
      </c>
      <c r="S1945" s="181">
        <f t="shared" si="92"/>
        <v>0</v>
      </c>
    </row>
    <row r="1946" spans="2:19">
      <c r="B1946" s="121"/>
      <c r="C1946" s="490"/>
      <c r="D1946" s="490" t="str">
        <f t="shared" si="91"/>
        <v/>
      </c>
      <c r="I1946" s="128"/>
      <c r="J1946" s="128"/>
      <c r="K1946" s="128"/>
      <c r="L1946" s="128"/>
      <c r="M1946" s="389"/>
      <c r="N1946" s="389"/>
      <c r="O1946" s="389"/>
      <c r="P1946" s="389"/>
      <c r="R1946" s="390" t="str">
        <f t="shared" si="93"/>
        <v>:</v>
      </c>
      <c r="S1946" s="181">
        <f t="shared" si="92"/>
        <v>0</v>
      </c>
    </row>
    <row r="1947" spans="2:19">
      <c r="B1947" s="121"/>
      <c r="C1947" s="490"/>
      <c r="D1947" s="490" t="str">
        <f t="shared" si="91"/>
        <v/>
      </c>
      <c r="I1947" s="128"/>
      <c r="J1947" s="128"/>
      <c r="K1947" s="128"/>
      <c r="L1947" s="128"/>
      <c r="M1947" s="389"/>
      <c r="N1947" s="389"/>
      <c r="O1947" s="389"/>
      <c r="P1947" s="389"/>
      <c r="R1947" s="390" t="str">
        <f t="shared" si="93"/>
        <v>:</v>
      </c>
      <c r="S1947" s="181">
        <f t="shared" si="92"/>
        <v>0</v>
      </c>
    </row>
    <row r="1948" spans="2:19">
      <c r="B1948" s="121"/>
      <c r="C1948" s="490"/>
      <c r="D1948" s="490" t="str">
        <f t="shared" si="91"/>
        <v/>
      </c>
      <c r="I1948" s="128"/>
      <c r="J1948" s="128"/>
      <c r="K1948" s="128"/>
      <c r="L1948" s="128"/>
      <c r="M1948" s="389"/>
      <c r="N1948" s="389"/>
      <c r="O1948" s="389"/>
      <c r="P1948" s="389"/>
      <c r="R1948" s="390" t="str">
        <f t="shared" si="93"/>
        <v>:</v>
      </c>
      <c r="S1948" s="181">
        <f t="shared" si="92"/>
        <v>0</v>
      </c>
    </row>
    <row r="1949" spans="2:19">
      <c r="B1949" s="121"/>
      <c r="C1949" s="490"/>
      <c r="D1949" s="490" t="str">
        <f t="shared" si="91"/>
        <v/>
      </c>
      <c r="I1949" s="128"/>
      <c r="J1949" s="128"/>
      <c r="K1949" s="128"/>
      <c r="L1949" s="128"/>
      <c r="M1949" s="389"/>
      <c r="N1949" s="389"/>
      <c r="O1949" s="389"/>
      <c r="P1949" s="389"/>
      <c r="R1949" s="390" t="str">
        <f t="shared" si="93"/>
        <v>:</v>
      </c>
      <c r="S1949" s="181">
        <f t="shared" si="92"/>
        <v>0</v>
      </c>
    </row>
    <row r="1950" spans="2:19">
      <c r="B1950" s="121"/>
      <c r="C1950" s="490"/>
      <c r="D1950" s="490" t="str">
        <f t="shared" si="91"/>
        <v/>
      </c>
      <c r="I1950" s="128"/>
      <c r="J1950" s="128"/>
      <c r="K1950" s="128"/>
      <c r="L1950" s="128"/>
      <c r="M1950" s="389"/>
      <c r="N1950" s="389"/>
      <c r="O1950" s="389"/>
      <c r="P1950" s="389"/>
      <c r="R1950" s="390" t="str">
        <f t="shared" si="93"/>
        <v>:</v>
      </c>
      <c r="S1950" s="181">
        <f t="shared" si="92"/>
        <v>0</v>
      </c>
    </row>
    <row r="1951" spans="2:19">
      <c r="B1951" s="121"/>
      <c r="C1951" s="490"/>
      <c r="D1951" s="490" t="str">
        <f t="shared" si="91"/>
        <v/>
      </c>
      <c r="I1951" s="128"/>
      <c r="J1951" s="128"/>
      <c r="K1951" s="128"/>
      <c r="L1951" s="128"/>
      <c r="M1951" s="389"/>
      <c r="N1951" s="389"/>
      <c r="O1951" s="389"/>
      <c r="P1951" s="389"/>
      <c r="R1951" s="390" t="str">
        <f t="shared" si="93"/>
        <v>:</v>
      </c>
      <c r="S1951" s="181">
        <f t="shared" si="92"/>
        <v>0</v>
      </c>
    </row>
    <row r="1952" spans="2:19">
      <c r="B1952" s="121"/>
      <c r="C1952" s="490"/>
      <c r="D1952" s="490" t="str">
        <f t="shared" si="91"/>
        <v/>
      </c>
      <c r="I1952" s="128"/>
      <c r="J1952" s="128"/>
      <c r="K1952" s="128"/>
      <c r="L1952" s="128"/>
      <c r="M1952" s="389"/>
      <c r="N1952" s="389"/>
      <c r="O1952" s="389"/>
      <c r="P1952" s="389"/>
      <c r="R1952" s="390" t="str">
        <f t="shared" si="93"/>
        <v>:</v>
      </c>
      <c r="S1952" s="181">
        <f t="shared" si="92"/>
        <v>0</v>
      </c>
    </row>
    <row r="1953" spans="2:19">
      <c r="B1953" s="121"/>
      <c r="C1953" s="490"/>
      <c r="D1953" s="490" t="str">
        <f t="shared" si="91"/>
        <v/>
      </c>
      <c r="I1953" s="128"/>
      <c r="J1953" s="128"/>
      <c r="K1953" s="128"/>
      <c r="L1953" s="128"/>
      <c r="M1953" s="389"/>
      <c r="N1953" s="389"/>
      <c r="O1953" s="389"/>
      <c r="P1953" s="389"/>
      <c r="R1953" s="390" t="str">
        <f t="shared" si="93"/>
        <v>:</v>
      </c>
      <c r="S1953" s="181">
        <f t="shared" si="92"/>
        <v>0</v>
      </c>
    </row>
    <row r="1954" spans="2:19">
      <c r="B1954" s="121"/>
      <c r="C1954" s="490"/>
      <c r="D1954" s="490" t="str">
        <f t="shared" si="91"/>
        <v/>
      </c>
      <c r="I1954" s="128"/>
      <c r="J1954" s="128"/>
      <c r="K1954" s="128"/>
      <c r="L1954" s="128"/>
      <c r="M1954" s="389"/>
      <c r="N1954" s="389"/>
      <c r="O1954" s="389"/>
      <c r="P1954" s="389"/>
      <c r="R1954" s="390" t="str">
        <f t="shared" si="93"/>
        <v>:</v>
      </c>
      <c r="S1954" s="181">
        <f t="shared" si="92"/>
        <v>0</v>
      </c>
    </row>
    <row r="1955" spans="2:19">
      <c r="B1955" s="121"/>
      <c r="C1955" s="490"/>
      <c r="D1955" s="490" t="str">
        <f t="shared" si="91"/>
        <v/>
      </c>
      <c r="I1955" s="128"/>
      <c r="J1955" s="128"/>
      <c r="K1955" s="128"/>
      <c r="L1955" s="128"/>
      <c r="M1955" s="389"/>
      <c r="N1955" s="389"/>
      <c r="O1955" s="389"/>
      <c r="P1955" s="389"/>
      <c r="R1955" s="390" t="str">
        <f t="shared" si="93"/>
        <v>:</v>
      </c>
      <c r="S1955" s="181">
        <f t="shared" si="92"/>
        <v>0</v>
      </c>
    </row>
    <row r="1956" spans="2:19">
      <c r="B1956" s="121"/>
      <c r="C1956" s="490"/>
      <c r="D1956" s="490" t="str">
        <f t="shared" si="91"/>
        <v/>
      </c>
      <c r="I1956" s="128"/>
      <c r="J1956" s="128"/>
      <c r="K1956" s="128"/>
      <c r="L1956" s="128"/>
      <c r="M1956" s="389"/>
      <c r="N1956" s="389"/>
      <c r="O1956" s="389"/>
      <c r="P1956" s="389"/>
      <c r="R1956" s="390" t="str">
        <f t="shared" si="93"/>
        <v>:</v>
      </c>
      <c r="S1956" s="181">
        <f t="shared" si="92"/>
        <v>0</v>
      </c>
    </row>
    <row r="1957" spans="2:19">
      <c r="B1957" s="121"/>
      <c r="C1957" s="490"/>
      <c r="D1957" s="490" t="str">
        <f t="shared" si="91"/>
        <v/>
      </c>
      <c r="I1957" s="128"/>
      <c r="J1957" s="128"/>
      <c r="K1957" s="128"/>
      <c r="L1957" s="128"/>
      <c r="M1957" s="389"/>
      <c r="N1957" s="389"/>
      <c r="O1957" s="389"/>
      <c r="P1957" s="389"/>
      <c r="R1957" s="390" t="str">
        <f t="shared" si="93"/>
        <v>:</v>
      </c>
      <c r="S1957" s="181">
        <f t="shared" si="92"/>
        <v>0</v>
      </c>
    </row>
    <row r="1958" spans="2:19">
      <c r="B1958" s="121"/>
      <c r="C1958" s="490"/>
      <c r="D1958" s="490" t="str">
        <f t="shared" si="91"/>
        <v/>
      </c>
      <c r="I1958" s="128"/>
      <c r="J1958" s="128"/>
      <c r="K1958" s="128"/>
      <c r="L1958" s="128"/>
      <c r="M1958" s="389"/>
      <c r="N1958" s="389"/>
      <c r="O1958" s="389"/>
      <c r="P1958" s="389"/>
      <c r="R1958" s="390" t="str">
        <f t="shared" si="93"/>
        <v>:</v>
      </c>
      <c r="S1958" s="181">
        <f t="shared" si="92"/>
        <v>0</v>
      </c>
    </row>
    <row r="1959" spans="2:19">
      <c r="B1959" s="121"/>
      <c r="C1959" s="490"/>
      <c r="D1959" s="490" t="str">
        <f t="shared" si="91"/>
        <v/>
      </c>
      <c r="I1959" s="128"/>
      <c r="J1959" s="128"/>
      <c r="K1959" s="128"/>
      <c r="L1959" s="128"/>
      <c r="M1959" s="389"/>
      <c r="N1959" s="389"/>
      <c r="O1959" s="389"/>
      <c r="P1959" s="389"/>
      <c r="R1959" s="390" t="str">
        <f t="shared" si="93"/>
        <v>:</v>
      </c>
      <c r="S1959" s="181">
        <f t="shared" si="92"/>
        <v>0</v>
      </c>
    </row>
    <row r="1960" spans="2:19">
      <c r="B1960" s="121"/>
      <c r="C1960" s="490"/>
      <c r="D1960" s="490" t="str">
        <f t="shared" si="91"/>
        <v/>
      </c>
      <c r="I1960" s="128"/>
      <c r="J1960" s="128"/>
      <c r="K1960" s="128"/>
      <c r="L1960" s="128"/>
      <c r="M1960" s="389"/>
      <c r="N1960" s="389"/>
      <c r="O1960" s="389"/>
      <c r="P1960" s="389"/>
      <c r="R1960" s="390" t="str">
        <f t="shared" si="93"/>
        <v>:</v>
      </c>
      <c r="S1960" s="181">
        <f t="shared" si="92"/>
        <v>0</v>
      </c>
    </row>
    <row r="1961" spans="2:19">
      <c r="B1961" s="121"/>
      <c r="C1961" s="490"/>
      <c r="D1961" s="490" t="str">
        <f t="shared" si="91"/>
        <v/>
      </c>
      <c r="I1961" s="128"/>
      <c r="J1961" s="128"/>
      <c r="K1961" s="128"/>
      <c r="L1961" s="128"/>
      <c r="M1961" s="389"/>
      <c r="N1961" s="389"/>
      <c r="O1961" s="389"/>
      <c r="P1961" s="389"/>
      <c r="R1961" s="390" t="str">
        <f t="shared" si="93"/>
        <v>:</v>
      </c>
      <c r="S1961" s="181">
        <f t="shared" si="92"/>
        <v>0</v>
      </c>
    </row>
    <row r="1962" spans="2:19">
      <c r="B1962" s="121"/>
      <c r="C1962" s="490"/>
      <c r="D1962" s="490" t="str">
        <f t="shared" si="91"/>
        <v/>
      </c>
      <c r="I1962" s="128"/>
      <c r="J1962" s="128"/>
      <c r="K1962" s="128"/>
      <c r="L1962" s="128"/>
      <c r="M1962" s="389"/>
      <c r="N1962" s="389"/>
      <c r="O1962" s="389"/>
      <c r="P1962" s="389"/>
      <c r="R1962" s="390" t="str">
        <f t="shared" si="93"/>
        <v>:</v>
      </c>
      <c r="S1962" s="181">
        <f t="shared" si="92"/>
        <v>0</v>
      </c>
    </row>
    <row r="1963" spans="2:19">
      <c r="B1963" s="121"/>
      <c r="C1963" s="490"/>
      <c r="D1963" s="490" t="str">
        <f t="shared" si="91"/>
        <v/>
      </c>
      <c r="I1963" s="128"/>
      <c r="J1963" s="128"/>
      <c r="K1963" s="128"/>
      <c r="L1963" s="128"/>
      <c r="M1963" s="389"/>
      <c r="N1963" s="389"/>
      <c r="O1963" s="389"/>
      <c r="P1963" s="389"/>
      <c r="R1963" s="390" t="str">
        <f t="shared" si="93"/>
        <v>:</v>
      </c>
      <c r="S1963" s="181">
        <f t="shared" si="92"/>
        <v>0</v>
      </c>
    </row>
    <row r="1964" spans="2:19">
      <c r="B1964" s="121"/>
      <c r="C1964" s="490"/>
      <c r="D1964" s="490" t="str">
        <f t="shared" si="91"/>
        <v/>
      </c>
      <c r="I1964" s="128"/>
      <c r="J1964" s="128"/>
      <c r="K1964" s="128"/>
      <c r="L1964" s="128"/>
      <c r="M1964" s="389"/>
      <c r="N1964" s="389"/>
      <c r="O1964" s="389"/>
      <c r="P1964" s="389"/>
      <c r="R1964" s="390" t="str">
        <f t="shared" si="93"/>
        <v>:</v>
      </c>
      <c r="S1964" s="181">
        <f t="shared" si="92"/>
        <v>0</v>
      </c>
    </row>
    <row r="1965" spans="2:19">
      <c r="B1965" s="121"/>
      <c r="C1965" s="490"/>
      <c r="D1965" s="490" t="str">
        <f t="shared" si="91"/>
        <v/>
      </c>
      <c r="I1965" s="128"/>
      <c r="J1965" s="128"/>
      <c r="K1965" s="128"/>
      <c r="L1965" s="128"/>
      <c r="M1965" s="389"/>
      <c r="N1965" s="389"/>
      <c r="O1965" s="389"/>
      <c r="P1965" s="389"/>
      <c r="R1965" s="390" t="str">
        <f t="shared" si="93"/>
        <v>:</v>
      </c>
      <c r="S1965" s="181">
        <f t="shared" si="92"/>
        <v>0</v>
      </c>
    </row>
    <row r="1966" spans="2:19">
      <c r="B1966" s="121"/>
      <c r="C1966" s="490"/>
      <c r="D1966" s="490" t="str">
        <f t="shared" ref="D1966:D2000" si="94">IF(B1966="","",B1966&amp;":"&amp;C1966)</f>
        <v/>
      </c>
      <c r="I1966" s="128"/>
      <c r="J1966" s="128"/>
      <c r="K1966" s="128"/>
      <c r="L1966" s="128"/>
      <c r="M1966" s="389"/>
      <c r="N1966" s="389"/>
      <c r="O1966" s="389"/>
      <c r="P1966" s="389"/>
      <c r="R1966" s="390" t="str">
        <f t="shared" si="93"/>
        <v>:</v>
      </c>
      <c r="S1966" s="181">
        <f t="shared" si="92"/>
        <v>0</v>
      </c>
    </row>
    <row r="1967" spans="2:19">
      <c r="B1967" s="121"/>
      <c r="C1967" s="490"/>
      <c r="D1967" s="490" t="str">
        <f t="shared" si="94"/>
        <v/>
      </c>
      <c r="I1967" s="128"/>
      <c r="J1967" s="128"/>
      <c r="K1967" s="128"/>
      <c r="L1967" s="128"/>
      <c r="M1967" s="389"/>
      <c r="N1967" s="389"/>
      <c r="O1967" s="389"/>
      <c r="P1967" s="389"/>
      <c r="R1967" s="390" t="str">
        <f t="shared" si="93"/>
        <v>:</v>
      </c>
      <c r="S1967" s="181">
        <f t="shared" si="92"/>
        <v>0</v>
      </c>
    </row>
    <row r="1968" spans="2:19">
      <c r="B1968" s="121"/>
      <c r="C1968" s="490"/>
      <c r="D1968" s="490" t="str">
        <f t="shared" si="94"/>
        <v/>
      </c>
      <c r="I1968" s="128"/>
      <c r="J1968" s="128"/>
      <c r="K1968" s="128"/>
      <c r="L1968" s="128"/>
      <c r="M1968" s="389"/>
      <c r="N1968" s="389"/>
      <c r="O1968" s="389"/>
      <c r="P1968" s="389"/>
      <c r="R1968" s="390" t="str">
        <f t="shared" si="93"/>
        <v>:</v>
      </c>
      <c r="S1968" s="181">
        <f t="shared" si="92"/>
        <v>0</v>
      </c>
    </row>
    <row r="1969" spans="2:19">
      <c r="B1969" s="121"/>
      <c r="C1969" s="490"/>
      <c r="D1969" s="490" t="str">
        <f t="shared" si="94"/>
        <v/>
      </c>
      <c r="I1969" s="128"/>
      <c r="J1969" s="128"/>
      <c r="K1969" s="128"/>
      <c r="L1969" s="128"/>
      <c r="M1969" s="389"/>
      <c r="N1969" s="389"/>
      <c r="O1969" s="389"/>
      <c r="P1969" s="389"/>
      <c r="R1969" s="390" t="str">
        <f t="shared" si="93"/>
        <v>:</v>
      </c>
      <c r="S1969" s="181">
        <f t="shared" si="92"/>
        <v>0</v>
      </c>
    </row>
    <row r="1970" spans="2:19">
      <c r="B1970" s="121"/>
      <c r="C1970" s="490"/>
      <c r="D1970" s="490" t="str">
        <f t="shared" si="94"/>
        <v/>
      </c>
      <c r="I1970" s="128"/>
      <c r="J1970" s="128"/>
      <c r="K1970" s="128"/>
      <c r="L1970" s="128"/>
      <c r="M1970" s="389"/>
      <c r="N1970" s="389"/>
      <c r="O1970" s="389"/>
      <c r="P1970" s="389"/>
      <c r="R1970" s="390" t="str">
        <f t="shared" si="93"/>
        <v>:</v>
      </c>
      <c r="S1970" s="181">
        <f t="shared" si="92"/>
        <v>0</v>
      </c>
    </row>
    <row r="1971" spans="2:19">
      <c r="B1971" s="121"/>
      <c r="C1971" s="490"/>
      <c r="D1971" s="490" t="str">
        <f t="shared" si="94"/>
        <v/>
      </c>
      <c r="I1971" s="128"/>
      <c r="J1971" s="128"/>
      <c r="K1971" s="128"/>
      <c r="L1971" s="128"/>
      <c r="M1971" s="389"/>
      <c r="N1971" s="389"/>
      <c r="O1971" s="389"/>
      <c r="P1971" s="389"/>
      <c r="R1971" s="390" t="str">
        <f t="shared" si="93"/>
        <v>:</v>
      </c>
      <c r="S1971" s="181">
        <f t="shared" si="92"/>
        <v>0</v>
      </c>
    </row>
    <row r="1972" spans="2:19">
      <c r="B1972" s="121"/>
      <c r="C1972" s="490"/>
      <c r="D1972" s="490" t="str">
        <f t="shared" si="94"/>
        <v/>
      </c>
      <c r="I1972" s="128"/>
      <c r="J1972" s="128"/>
      <c r="K1972" s="128"/>
      <c r="L1972" s="128"/>
      <c r="M1972" s="389"/>
      <c r="N1972" s="389"/>
      <c r="O1972" s="389"/>
      <c r="P1972" s="389"/>
      <c r="R1972" s="390" t="str">
        <f t="shared" si="93"/>
        <v>:</v>
      </c>
      <c r="S1972" s="181">
        <f t="shared" si="92"/>
        <v>0</v>
      </c>
    </row>
    <row r="1973" spans="2:19">
      <c r="B1973" s="121"/>
      <c r="C1973" s="490"/>
      <c r="D1973" s="490" t="str">
        <f t="shared" si="94"/>
        <v/>
      </c>
      <c r="I1973" s="128"/>
      <c r="J1973" s="128"/>
      <c r="K1973" s="128"/>
      <c r="L1973" s="128"/>
      <c r="M1973" s="389"/>
      <c r="N1973" s="389"/>
      <c r="O1973" s="389"/>
      <c r="P1973" s="389"/>
      <c r="R1973" s="390" t="str">
        <f t="shared" si="93"/>
        <v>:</v>
      </c>
      <c r="S1973" s="181">
        <f t="shared" si="92"/>
        <v>0</v>
      </c>
    </row>
    <row r="1974" spans="2:19">
      <c r="B1974" s="121"/>
      <c r="C1974" s="490"/>
      <c r="D1974" s="490" t="str">
        <f t="shared" si="94"/>
        <v/>
      </c>
      <c r="I1974" s="128"/>
      <c r="J1974" s="128"/>
      <c r="K1974" s="128"/>
      <c r="L1974" s="128"/>
      <c r="M1974" s="389"/>
      <c r="N1974" s="389"/>
      <c r="O1974" s="389"/>
      <c r="P1974" s="389"/>
      <c r="R1974" s="390" t="str">
        <f t="shared" si="93"/>
        <v>:</v>
      </c>
      <c r="S1974" s="181">
        <f t="shared" si="92"/>
        <v>0</v>
      </c>
    </row>
    <row r="1975" spans="2:19">
      <c r="B1975" s="121"/>
      <c r="C1975" s="490"/>
      <c r="D1975" s="490" t="str">
        <f t="shared" si="94"/>
        <v/>
      </c>
      <c r="I1975" s="128"/>
      <c r="J1975" s="128"/>
      <c r="K1975" s="128"/>
      <c r="L1975" s="128"/>
      <c r="M1975" s="389"/>
      <c r="N1975" s="389"/>
      <c r="O1975" s="389"/>
      <c r="P1975" s="389"/>
      <c r="R1975" s="390" t="str">
        <f t="shared" si="93"/>
        <v>:</v>
      </c>
      <c r="S1975" s="181">
        <f t="shared" si="92"/>
        <v>0</v>
      </c>
    </row>
    <row r="1976" spans="2:19">
      <c r="B1976" s="121"/>
      <c r="C1976" s="490"/>
      <c r="D1976" s="490" t="str">
        <f t="shared" si="94"/>
        <v/>
      </c>
      <c r="I1976" s="128"/>
      <c r="J1976" s="128"/>
      <c r="K1976" s="128"/>
      <c r="L1976" s="128"/>
      <c r="M1976" s="389"/>
      <c r="N1976" s="389"/>
      <c r="O1976" s="389"/>
      <c r="P1976" s="389"/>
      <c r="R1976" s="390" t="str">
        <f t="shared" si="93"/>
        <v>:</v>
      </c>
      <c r="S1976" s="181">
        <f t="shared" si="92"/>
        <v>0</v>
      </c>
    </row>
    <row r="1977" spans="2:19">
      <c r="B1977" s="121"/>
      <c r="C1977" s="490"/>
      <c r="D1977" s="490" t="str">
        <f t="shared" si="94"/>
        <v/>
      </c>
      <c r="I1977" s="128"/>
      <c r="J1977" s="128"/>
      <c r="K1977" s="128"/>
      <c r="L1977" s="128"/>
      <c r="M1977" s="389"/>
      <c r="N1977" s="389"/>
      <c r="O1977" s="389"/>
      <c r="P1977" s="389"/>
      <c r="R1977" s="390" t="str">
        <f t="shared" si="93"/>
        <v>:</v>
      </c>
      <c r="S1977" s="181">
        <f t="shared" si="92"/>
        <v>0</v>
      </c>
    </row>
    <row r="1978" spans="2:19">
      <c r="B1978" s="121"/>
      <c r="C1978" s="490"/>
      <c r="D1978" s="490" t="str">
        <f t="shared" si="94"/>
        <v/>
      </c>
      <c r="I1978" s="128"/>
      <c r="J1978" s="128"/>
      <c r="K1978" s="128"/>
      <c r="L1978" s="128"/>
      <c r="M1978" s="389"/>
      <c r="N1978" s="389"/>
      <c r="O1978" s="389"/>
      <c r="P1978" s="389"/>
      <c r="R1978" s="390" t="str">
        <f t="shared" si="93"/>
        <v>:</v>
      </c>
      <c r="S1978" s="181">
        <f t="shared" si="92"/>
        <v>0</v>
      </c>
    </row>
    <row r="1979" spans="2:19">
      <c r="B1979" s="121"/>
      <c r="C1979" s="490"/>
      <c r="D1979" s="490" t="str">
        <f t="shared" si="94"/>
        <v/>
      </c>
      <c r="I1979" s="128"/>
      <c r="J1979" s="128"/>
      <c r="K1979" s="128"/>
      <c r="L1979" s="128"/>
      <c r="M1979" s="389"/>
      <c r="N1979" s="389"/>
      <c r="O1979" s="389"/>
      <c r="P1979" s="389"/>
      <c r="R1979" s="390" t="str">
        <f t="shared" si="93"/>
        <v>:</v>
      </c>
      <c r="S1979" s="181">
        <f t="shared" si="92"/>
        <v>0</v>
      </c>
    </row>
    <row r="1980" spans="2:19">
      <c r="B1980" s="121"/>
      <c r="C1980" s="490"/>
      <c r="D1980" s="490" t="str">
        <f t="shared" si="94"/>
        <v/>
      </c>
      <c r="I1980" s="128"/>
      <c r="J1980" s="128"/>
      <c r="K1980" s="128"/>
      <c r="L1980" s="128"/>
      <c r="M1980" s="389"/>
      <c r="N1980" s="389"/>
      <c r="O1980" s="389"/>
      <c r="P1980" s="389"/>
      <c r="R1980" s="390" t="str">
        <f t="shared" si="93"/>
        <v>:</v>
      </c>
      <c r="S1980" s="181">
        <f t="shared" si="92"/>
        <v>0</v>
      </c>
    </row>
    <row r="1981" spans="2:19">
      <c r="B1981" s="121"/>
      <c r="C1981" s="490"/>
      <c r="D1981" s="490" t="str">
        <f t="shared" si="94"/>
        <v/>
      </c>
      <c r="I1981" s="128"/>
      <c r="J1981" s="128"/>
      <c r="K1981" s="128"/>
      <c r="L1981" s="128"/>
      <c r="M1981" s="389"/>
      <c r="N1981" s="389"/>
      <c r="O1981" s="389"/>
      <c r="P1981" s="389"/>
      <c r="R1981" s="390" t="str">
        <f t="shared" si="93"/>
        <v>:</v>
      </c>
      <c r="S1981" s="181">
        <f t="shared" si="92"/>
        <v>0</v>
      </c>
    </row>
    <row r="1982" spans="2:19">
      <c r="B1982" s="121"/>
      <c r="C1982" s="490"/>
      <c r="D1982" s="490" t="str">
        <f t="shared" si="94"/>
        <v/>
      </c>
      <c r="I1982" s="128"/>
      <c r="J1982" s="128"/>
      <c r="K1982" s="128"/>
      <c r="L1982" s="128"/>
      <c r="M1982" s="389"/>
      <c r="N1982" s="389"/>
      <c r="O1982" s="389"/>
      <c r="P1982" s="389"/>
      <c r="R1982" s="390" t="str">
        <f t="shared" si="93"/>
        <v>:</v>
      </c>
      <c r="S1982" s="181">
        <f t="shared" si="92"/>
        <v>0</v>
      </c>
    </row>
    <row r="1983" spans="2:19">
      <c r="B1983" s="121"/>
      <c r="C1983" s="490"/>
      <c r="D1983" s="490" t="str">
        <f t="shared" si="94"/>
        <v/>
      </c>
      <c r="I1983" s="128"/>
      <c r="J1983" s="128"/>
      <c r="K1983" s="128"/>
      <c r="L1983" s="128"/>
      <c r="M1983" s="389"/>
      <c r="N1983" s="389"/>
      <c r="O1983" s="389"/>
      <c r="P1983" s="389"/>
      <c r="R1983" s="390" t="str">
        <f t="shared" si="93"/>
        <v>:</v>
      </c>
      <c r="S1983" s="181">
        <f t="shared" si="92"/>
        <v>0</v>
      </c>
    </row>
    <row r="1984" spans="2:19">
      <c r="B1984" s="121"/>
      <c r="C1984" s="490"/>
      <c r="D1984" s="490" t="str">
        <f t="shared" si="94"/>
        <v/>
      </c>
      <c r="I1984" s="128"/>
      <c r="J1984" s="128"/>
      <c r="K1984" s="128"/>
      <c r="L1984" s="128"/>
      <c r="M1984" s="389"/>
      <c r="N1984" s="389"/>
      <c r="O1984" s="389"/>
      <c r="P1984" s="389"/>
      <c r="R1984" s="390" t="str">
        <f t="shared" si="93"/>
        <v>:</v>
      </c>
      <c r="S1984" s="181">
        <f t="shared" si="92"/>
        <v>0</v>
      </c>
    </row>
    <row r="1985" spans="1:19">
      <c r="B1985" s="121"/>
      <c r="C1985" s="490"/>
      <c r="D1985" s="490" t="str">
        <f t="shared" si="94"/>
        <v/>
      </c>
      <c r="I1985" s="128"/>
      <c r="J1985" s="128"/>
      <c r="K1985" s="128"/>
      <c r="L1985" s="128"/>
      <c r="M1985" s="389"/>
      <c r="N1985" s="389"/>
      <c r="O1985" s="389"/>
      <c r="P1985" s="389"/>
      <c r="R1985" s="390" t="str">
        <f t="shared" si="93"/>
        <v>:</v>
      </c>
      <c r="S1985" s="181">
        <f t="shared" si="92"/>
        <v>0</v>
      </c>
    </row>
    <row r="1986" spans="1:19">
      <c r="B1986" s="121"/>
      <c r="C1986" s="490"/>
      <c r="D1986" s="490" t="str">
        <f t="shared" si="94"/>
        <v/>
      </c>
      <c r="I1986" s="128"/>
      <c r="J1986" s="128"/>
      <c r="K1986" s="128"/>
      <c r="L1986" s="128"/>
      <c r="M1986" s="389"/>
      <c r="N1986" s="389"/>
      <c r="O1986" s="389"/>
      <c r="P1986" s="389"/>
      <c r="R1986" s="390" t="str">
        <f t="shared" si="93"/>
        <v>:</v>
      </c>
      <c r="S1986" s="181">
        <f t="shared" si="92"/>
        <v>0</v>
      </c>
    </row>
    <row r="1987" spans="1:19">
      <c r="B1987" s="121"/>
      <c r="C1987" s="490"/>
      <c r="D1987" s="490" t="str">
        <f t="shared" si="94"/>
        <v/>
      </c>
      <c r="I1987" s="128"/>
      <c r="J1987" s="128"/>
      <c r="K1987" s="128"/>
      <c r="L1987" s="128"/>
      <c r="M1987" s="389"/>
      <c r="N1987" s="389"/>
      <c r="O1987" s="389"/>
      <c r="P1987" s="389"/>
      <c r="R1987" s="390" t="str">
        <f t="shared" si="93"/>
        <v>:</v>
      </c>
      <c r="S1987" s="181">
        <f t="shared" si="92"/>
        <v>0</v>
      </c>
    </row>
    <row r="1988" spans="1:19">
      <c r="B1988" s="121"/>
      <c r="C1988" s="490"/>
      <c r="D1988" s="490" t="str">
        <f t="shared" si="94"/>
        <v/>
      </c>
      <c r="I1988" s="128"/>
      <c r="J1988" s="128"/>
      <c r="K1988" s="128"/>
      <c r="L1988" s="128"/>
      <c r="M1988" s="389"/>
      <c r="N1988" s="389"/>
      <c r="O1988" s="389"/>
      <c r="P1988" s="389"/>
      <c r="R1988" s="390" t="str">
        <f t="shared" si="93"/>
        <v>:</v>
      </c>
      <c r="S1988" s="181">
        <f t="shared" si="92"/>
        <v>0</v>
      </c>
    </row>
    <row r="1989" spans="1:19">
      <c r="B1989" s="121"/>
      <c r="C1989" s="490"/>
      <c r="D1989" s="490" t="str">
        <f t="shared" si="94"/>
        <v/>
      </c>
      <c r="I1989" s="128"/>
      <c r="J1989" s="128"/>
      <c r="K1989" s="128"/>
      <c r="L1989" s="128"/>
      <c r="M1989" s="389"/>
      <c r="N1989" s="389"/>
      <c r="O1989" s="389"/>
      <c r="P1989" s="389"/>
      <c r="R1989" s="390" t="str">
        <f t="shared" si="93"/>
        <v>:</v>
      </c>
      <c r="S1989" s="181">
        <f t="shared" si="92"/>
        <v>0</v>
      </c>
    </row>
    <row r="1990" spans="1:19">
      <c r="B1990" s="121"/>
      <c r="C1990" s="490"/>
      <c r="D1990" s="490" t="str">
        <f t="shared" si="94"/>
        <v/>
      </c>
      <c r="I1990" s="128"/>
      <c r="J1990" s="128"/>
      <c r="K1990" s="128"/>
      <c r="L1990" s="128"/>
      <c r="M1990" s="389"/>
      <c r="N1990" s="389"/>
      <c r="O1990" s="389"/>
      <c r="P1990" s="389"/>
      <c r="R1990" s="390" t="str">
        <f t="shared" si="93"/>
        <v>:</v>
      </c>
      <c r="S1990" s="181">
        <f t="shared" si="92"/>
        <v>0</v>
      </c>
    </row>
    <row r="1991" spans="1:19">
      <c r="B1991" s="121"/>
      <c r="C1991" s="490"/>
      <c r="D1991" s="490" t="str">
        <f t="shared" si="94"/>
        <v/>
      </c>
      <c r="I1991" s="128"/>
      <c r="J1991" s="128"/>
      <c r="K1991" s="128"/>
      <c r="L1991" s="128"/>
      <c r="M1991" s="389"/>
      <c r="N1991" s="389"/>
      <c r="O1991" s="389"/>
      <c r="P1991" s="389"/>
      <c r="R1991" s="390" t="str">
        <f t="shared" si="93"/>
        <v>:</v>
      </c>
      <c r="S1991" s="181">
        <f t="shared" si="92"/>
        <v>0</v>
      </c>
    </row>
    <row r="1992" spans="1:19">
      <c r="B1992" s="121"/>
      <c r="C1992" s="490"/>
      <c r="D1992" s="490" t="str">
        <f t="shared" si="94"/>
        <v/>
      </c>
      <c r="I1992" s="128"/>
      <c r="J1992" s="128"/>
      <c r="K1992" s="128"/>
      <c r="L1992" s="128"/>
      <c r="M1992" s="389"/>
      <c r="N1992" s="389"/>
      <c r="O1992" s="389"/>
      <c r="P1992" s="389"/>
      <c r="R1992" s="390" t="str">
        <f t="shared" si="93"/>
        <v>:</v>
      </c>
      <c r="S1992" s="181">
        <f t="shared" si="92"/>
        <v>0</v>
      </c>
    </row>
    <row r="1993" spans="1:19">
      <c r="B1993" s="121"/>
      <c r="C1993" s="490"/>
      <c r="D1993" s="490" t="str">
        <f t="shared" si="94"/>
        <v/>
      </c>
      <c r="I1993" s="128"/>
      <c r="J1993" s="128"/>
      <c r="K1993" s="128"/>
      <c r="L1993" s="128"/>
      <c r="M1993" s="389"/>
      <c r="N1993" s="389"/>
      <c r="O1993" s="389"/>
      <c r="P1993" s="389"/>
      <c r="R1993" s="390" t="str">
        <f t="shared" si="93"/>
        <v>:</v>
      </c>
      <c r="S1993" s="181">
        <f t="shared" si="92"/>
        <v>0</v>
      </c>
    </row>
    <row r="1994" spans="1:19">
      <c r="B1994" s="121"/>
      <c r="C1994" s="490"/>
      <c r="D1994" s="490" t="str">
        <f t="shared" si="94"/>
        <v/>
      </c>
      <c r="I1994" s="128"/>
      <c r="J1994" s="128"/>
      <c r="K1994" s="128"/>
      <c r="L1994" s="128"/>
      <c r="M1994" s="389"/>
      <c r="N1994" s="389"/>
      <c r="O1994" s="389"/>
      <c r="P1994" s="389"/>
      <c r="R1994" s="390" t="str">
        <f t="shared" si="93"/>
        <v>:</v>
      </c>
      <c r="S1994" s="181">
        <f t="shared" ref="S1994:S2000" si="95">HLOOKUP($S$8,$L$8:$P$2000,ROW()-7,FALSE)</f>
        <v>0</v>
      </c>
    </row>
    <row r="1995" spans="1:19">
      <c r="B1995" s="121"/>
      <c r="C1995" s="490"/>
      <c r="D1995" s="490" t="str">
        <f t="shared" si="94"/>
        <v/>
      </c>
      <c r="I1995" s="128"/>
      <c r="J1995" s="128"/>
      <c r="K1995" s="128"/>
      <c r="L1995" s="128"/>
      <c r="M1995" s="389"/>
      <c r="N1995" s="389"/>
      <c r="O1995" s="389"/>
      <c r="P1995" s="389"/>
      <c r="R1995" s="390" t="str">
        <f t="shared" si="93"/>
        <v>:</v>
      </c>
      <c r="S1995" s="181">
        <f t="shared" si="95"/>
        <v>0</v>
      </c>
    </row>
    <row r="1996" spans="1:19">
      <c r="B1996" s="121"/>
      <c r="C1996" s="490"/>
      <c r="D1996" s="490" t="str">
        <f t="shared" si="94"/>
        <v/>
      </c>
      <c r="I1996" s="128"/>
      <c r="J1996" s="128"/>
      <c r="K1996" s="128"/>
      <c r="L1996" s="128"/>
      <c r="M1996" s="389"/>
      <c r="N1996" s="389"/>
      <c r="O1996" s="389"/>
      <c r="P1996" s="389"/>
      <c r="R1996" s="390" t="str">
        <f t="shared" si="93"/>
        <v>:</v>
      </c>
      <c r="S1996" s="181">
        <f t="shared" si="95"/>
        <v>0</v>
      </c>
    </row>
    <row r="1997" spans="1:19">
      <c r="B1997" s="121"/>
      <c r="C1997" s="490"/>
      <c r="D1997" s="490" t="str">
        <f t="shared" si="94"/>
        <v/>
      </c>
      <c r="I1997" s="128"/>
      <c r="J1997" s="128"/>
      <c r="K1997" s="128"/>
      <c r="L1997" s="128"/>
      <c r="M1997" s="389"/>
      <c r="N1997" s="389"/>
      <c r="O1997" s="389"/>
      <c r="P1997" s="389"/>
      <c r="R1997" s="390" t="str">
        <f t="shared" ref="R1997:R2000" si="96">I1997&amp;":"&amp;J1997&amp;K1997</f>
        <v>:</v>
      </c>
      <c r="S1997" s="181">
        <f t="shared" si="95"/>
        <v>0</v>
      </c>
    </row>
    <row r="1998" spans="1:19">
      <c r="B1998" s="121"/>
      <c r="C1998" s="490"/>
      <c r="D1998" s="490" t="str">
        <f t="shared" si="94"/>
        <v/>
      </c>
      <c r="I1998" s="128"/>
      <c r="J1998" s="128"/>
      <c r="K1998" s="128"/>
      <c r="L1998" s="128"/>
      <c r="M1998" s="389"/>
      <c r="N1998" s="389"/>
      <c r="O1998" s="389"/>
      <c r="P1998" s="389"/>
      <c r="R1998" s="390" t="str">
        <f t="shared" si="96"/>
        <v>:</v>
      </c>
      <c r="S1998" s="181">
        <f t="shared" si="95"/>
        <v>0</v>
      </c>
    </row>
    <row r="1999" spans="1:19">
      <c r="B1999" s="121"/>
      <c r="C1999" s="490"/>
      <c r="D1999" s="490" t="str">
        <f t="shared" si="94"/>
        <v/>
      </c>
      <c r="I1999" s="128"/>
      <c r="J1999" s="128"/>
      <c r="K1999" s="128"/>
      <c r="L1999" s="128"/>
      <c r="M1999" s="389"/>
      <c r="N1999" s="389"/>
      <c r="O1999" s="389"/>
      <c r="P1999" s="389"/>
      <c r="R1999" s="390" t="str">
        <f t="shared" si="96"/>
        <v>:</v>
      </c>
      <c r="S1999" s="181">
        <f t="shared" si="95"/>
        <v>0</v>
      </c>
    </row>
    <row r="2000" spans="1:19">
      <c r="A2000" t="s">
        <v>978</v>
      </c>
      <c r="B2000" s="121"/>
      <c r="C2000" s="490"/>
      <c r="D2000" s="490" t="str">
        <f t="shared" si="94"/>
        <v/>
      </c>
      <c r="I2000" s="128"/>
      <c r="J2000" s="128"/>
      <c r="K2000" s="128"/>
      <c r="L2000" s="128"/>
      <c r="M2000" s="389"/>
      <c r="N2000" s="389"/>
      <c r="O2000" s="389"/>
      <c r="P2000" s="389"/>
      <c r="R2000" s="390" t="str">
        <f t="shared" si="96"/>
        <v>:</v>
      </c>
      <c r="S2000" s="181">
        <f t="shared" si="95"/>
        <v>0</v>
      </c>
    </row>
  </sheetData>
  <sheetProtection algorithmName="SHA-512" hashValue="OLOZPK3pHYZYoZ6R3Dw9OqmcyzjZh6KFkfAbG3ENk5bKYztSg4VyBzOP3L0Gs6JNesiMr1ihPfvE2n45moKXug==" saltValue="TnSlmbIPB0Y5rOkNT3t3lw==" spinCount="100000" sheet="1" objects="1" scenarios="1"/>
  <mergeCells count="10">
    <mergeCell ref="R2:R3"/>
    <mergeCell ref="R7:R8"/>
    <mergeCell ref="I2:J3"/>
    <mergeCell ref="B7:B8"/>
    <mergeCell ref="C7:C8"/>
    <mergeCell ref="F7:F8"/>
    <mergeCell ref="K2:K3"/>
    <mergeCell ref="D7:D8"/>
    <mergeCell ref="K7:K8"/>
    <mergeCell ref="I7:J7"/>
  </mergeCells>
  <phoneticPr fontId="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0" tint="-0.14999847407452621"/>
  </sheetPr>
  <dimension ref="B1:AB200"/>
  <sheetViews>
    <sheetView zoomScaleNormal="100" workbookViewId="0"/>
  </sheetViews>
  <sheetFormatPr defaultRowHeight="18.75"/>
  <cols>
    <col min="3" max="3" width="33.125" bestFit="1" customWidth="1"/>
    <col min="4" max="4" width="38.125" customWidth="1"/>
    <col min="6" max="6" width="20.625" customWidth="1"/>
    <col min="8" max="8" width="36.125" bestFit="1" customWidth="1"/>
    <col min="9" max="11" width="11.5" bestFit="1" customWidth="1"/>
    <col min="12" max="13" width="13.75" bestFit="1" customWidth="1"/>
    <col min="14" max="14" width="5.75" customWidth="1"/>
    <col min="15" max="15" width="36.125" bestFit="1" customWidth="1"/>
    <col min="16" max="16" width="13.75" customWidth="1"/>
    <col min="17" max="17" width="5.5" customWidth="1"/>
    <col min="18" max="18" width="9.25" bestFit="1" customWidth="1"/>
    <col min="19" max="19" width="31.375" bestFit="1" customWidth="1"/>
    <col min="20" max="20" width="34.875" customWidth="1"/>
    <col min="21" max="23" width="11.5" bestFit="1" customWidth="1"/>
    <col min="24" max="25" width="13.75" bestFit="1" customWidth="1"/>
    <col min="27" max="27" width="31.375" bestFit="1" customWidth="1"/>
    <col min="28" max="28" width="16.5" customWidth="1"/>
  </cols>
  <sheetData>
    <row r="1" spans="2:28">
      <c r="P1" t="s">
        <v>742</v>
      </c>
      <c r="AB1" t="s">
        <v>742</v>
      </c>
    </row>
    <row r="2" spans="2:28" ht="18.75" customHeight="1">
      <c r="H2" s="1006" t="s">
        <v>610</v>
      </c>
      <c r="I2" s="180" t="s">
        <v>607</v>
      </c>
      <c r="J2" s="180" t="s">
        <v>607</v>
      </c>
      <c r="K2" s="180" t="s">
        <v>607</v>
      </c>
      <c r="L2" s="180" t="s">
        <v>607</v>
      </c>
      <c r="M2" s="180" t="s">
        <v>607</v>
      </c>
      <c r="N2" s="186"/>
      <c r="O2" s="999" t="s">
        <v>610</v>
      </c>
      <c r="P2" s="185" t="s">
        <v>607</v>
      </c>
      <c r="Q2" s="186"/>
      <c r="T2" s="1006" t="s">
        <v>609</v>
      </c>
      <c r="U2" s="180" t="s">
        <v>607</v>
      </c>
      <c r="V2" s="180" t="s">
        <v>607</v>
      </c>
      <c r="W2" s="180" t="s">
        <v>607</v>
      </c>
      <c r="X2" s="180" t="s">
        <v>607</v>
      </c>
      <c r="Y2" s="180" t="s">
        <v>607</v>
      </c>
      <c r="AA2" s="999" t="s">
        <v>609</v>
      </c>
      <c r="AB2" s="185" t="s">
        <v>607</v>
      </c>
    </row>
    <row r="3" spans="2:28">
      <c r="H3" s="1005"/>
      <c r="I3" s="180" t="s">
        <v>734</v>
      </c>
      <c r="J3" s="180" t="s">
        <v>735</v>
      </c>
      <c r="K3" s="180" t="s">
        <v>736</v>
      </c>
      <c r="L3" s="180" t="s">
        <v>737</v>
      </c>
      <c r="M3" s="180" t="s">
        <v>738</v>
      </c>
      <c r="N3" s="186"/>
      <c r="O3" s="1000"/>
      <c r="P3" s="185" t="str">
        <f>CONCATENATE(事業所概要_算定体制!$B$3,事業所概要_算定体制!$C$3,"年度")</f>
        <v>令和７年度</v>
      </c>
      <c r="Q3" s="186"/>
      <c r="T3" s="1005"/>
      <c r="U3" s="180" t="s">
        <v>734</v>
      </c>
      <c r="V3" s="180" t="s">
        <v>735</v>
      </c>
      <c r="W3" s="180" t="s">
        <v>736</v>
      </c>
      <c r="X3" s="180" t="s">
        <v>737</v>
      </c>
      <c r="Y3" s="180" t="s">
        <v>738</v>
      </c>
      <c r="AA3" s="1000"/>
      <c r="AB3" s="185" t="str">
        <f>CONCATENATE(事業所概要_算定体制!$B$3,事業所概要_算定体制!$C$3,"年度")</f>
        <v>令和７年度</v>
      </c>
    </row>
    <row r="4" spans="2:28">
      <c r="H4" s="121" t="s">
        <v>611</v>
      </c>
      <c r="I4" s="121">
        <v>40</v>
      </c>
      <c r="J4" s="121">
        <v>40</v>
      </c>
      <c r="K4" s="121">
        <v>40</v>
      </c>
      <c r="L4" s="121">
        <v>40</v>
      </c>
      <c r="M4" s="121">
        <v>40</v>
      </c>
      <c r="O4" s="121" t="s">
        <v>611</v>
      </c>
      <c r="P4" s="121">
        <f>HLOOKUP($P$3,$I$3:$M$4,2,FALSE)</f>
        <v>40</v>
      </c>
      <c r="T4" s="121" t="s">
        <v>477</v>
      </c>
      <c r="U4" s="121">
        <v>2.0499999999999998</v>
      </c>
      <c r="V4" s="121">
        <v>2.0499999999999998</v>
      </c>
      <c r="W4" s="121">
        <v>2.0499999999999998</v>
      </c>
      <c r="X4" s="121">
        <v>2.0499999999999998</v>
      </c>
      <c r="Y4" s="121">
        <v>2.0499999999999998</v>
      </c>
      <c r="AA4" s="121" t="s">
        <v>477</v>
      </c>
      <c r="AB4" s="121">
        <f>HLOOKUP($AB$3,$U$3:$Y$4,2,FALSE)</f>
        <v>2.0499999999999998</v>
      </c>
    </row>
    <row r="6" spans="2:28" ht="20.25">
      <c r="B6" s="1003" t="s">
        <v>408</v>
      </c>
      <c r="C6" s="1003" t="s">
        <v>655</v>
      </c>
      <c r="D6" s="1005" t="s">
        <v>656</v>
      </c>
      <c r="F6" s="1005" t="s">
        <v>621</v>
      </c>
      <c r="H6" s="180" t="s">
        <v>608</v>
      </c>
      <c r="I6" s="180" t="s">
        <v>607</v>
      </c>
      <c r="J6" s="180" t="s">
        <v>607</v>
      </c>
      <c r="K6" s="180" t="s">
        <v>607</v>
      </c>
      <c r="L6" s="180" t="s">
        <v>607</v>
      </c>
      <c r="M6" s="180" t="s">
        <v>607</v>
      </c>
      <c r="N6" s="186"/>
      <c r="O6" s="1009" t="s">
        <v>744</v>
      </c>
      <c r="P6" s="185" t="s">
        <v>607</v>
      </c>
      <c r="Q6" s="186"/>
      <c r="R6" s="1005" t="s">
        <v>646</v>
      </c>
      <c r="S6" s="1012" t="s">
        <v>616</v>
      </c>
      <c r="T6" s="1010" t="s">
        <v>651</v>
      </c>
      <c r="U6" s="180" t="s">
        <v>607</v>
      </c>
      <c r="V6" s="180" t="s">
        <v>607</v>
      </c>
      <c r="W6" s="180" t="s">
        <v>607</v>
      </c>
      <c r="X6" s="180" t="s">
        <v>607</v>
      </c>
      <c r="Y6" s="180" t="s">
        <v>607</v>
      </c>
      <c r="AA6" s="1009" t="s">
        <v>744</v>
      </c>
      <c r="AB6" s="185" t="s">
        <v>607</v>
      </c>
    </row>
    <row r="7" spans="2:28">
      <c r="B7" s="1004"/>
      <c r="C7" s="1004"/>
      <c r="D7" s="1005"/>
      <c r="F7" s="1005"/>
      <c r="H7" s="180" t="s">
        <v>606</v>
      </c>
      <c r="I7" s="180" t="s">
        <v>734</v>
      </c>
      <c r="J7" s="180" t="s">
        <v>735</v>
      </c>
      <c r="K7" s="180" t="s">
        <v>736</v>
      </c>
      <c r="L7" s="180" t="s">
        <v>737</v>
      </c>
      <c r="M7" s="180" t="s">
        <v>738</v>
      </c>
      <c r="N7" s="186"/>
      <c r="O7" s="1009"/>
      <c r="P7" s="185" t="str">
        <f>CONCATENATE(事業所概要_算定体制!$B$3,事業所概要_算定体制!$C$3,"年度")</f>
        <v>令和７年度</v>
      </c>
      <c r="Q7" s="186"/>
      <c r="R7" s="1005"/>
      <c r="S7" s="1013"/>
      <c r="T7" s="1011"/>
      <c r="U7" s="180" t="s">
        <v>734</v>
      </c>
      <c r="V7" s="180" t="s">
        <v>735</v>
      </c>
      <c r="W7" s="180" t="s">
        <v>736</v>
      </c>
      <c r="X7" s="180" t="s">
        <v>737</v>
      </c>
      <c r="Y7" s="180" t="s">
        <v>738</v>
      </c>
      <c r="AA7" s="1009"/>
      <c r="AB7" s="185" t="str">
        <f>CONCATENATE(事業所概要_算定体制!$B$3,事業所概要_算定体制!$C$3,"年度")</f>
        <v>令和７年度</v>
      </c>
    </row>
    <row r="8" spans="2:28">
      <c r="B8" s="121" t="s">
        <v>647</v>
      </c>
      <c r="C8" s="121" t="s">
        <v>643</v>
      </c>
      <c r="D8" s="121" t="str">
        <f>IF(C8="","",IF(B8="",C8,B8&amp;":"&amp;C8))</f>
        <v>A0020:東京ガス(株)_13A</v>
      </c>
      <c r="F8" s="124"/>
      <c r="H8" s="121" t="s">
        <v>643</v>
      </c>
      <c r="I8" s="121">
        <v>45</v>
      </c>
      <c r="J8" s="121">
        <v>45</v>
      </c>
      <c r="K8" s="121">
        <v>45</v>
      </c>
      <c r="L8" s="121">
        <v>45</v>
      </c>
      <c r="M8" s="121">
        <v>45</v>
      </c>
      <c r="O8" s="124" t="str">
        <f>IF(B8="",C8,B8&amp;":"&amp;C8)</f>
        <v>A0020:東京ガス(株)_13A</v>
      </c>
      <c r="P8" s="124">
        <f>HLOOKUP($P$7,$I$7:$M$200,ROW()-6,FALSE)</f>
        <v>45</v>
      </c>
      <c r="R8" s="124" t="s">
        <v>647</v>
      </c>
      <c r="S8" s="184" t="s">
        <v>643</v>
      </c>
      <c r="T8" s="124" t="s">
        <v>652</v>
      </c>
      <c r="U8" s="124">
        <v>0</v>
      </c>
      <c r="V8" s="124">
        <v>0</v>
      </c>
      <c r="W8" s="124">
        <v>0</v>
      </c>
      <c r="X8" s="124">
        <v>0</v>
      </c>
      <c r="Y8" s="124">
        <v>0</v>
      </c>
      <c r="AA8" s="121" t="str">
        <f>IF(R8="",S8,R8&amp;":"&amp;S8)&amp;T8</f>
        <v>A0020:東京ガス(株)_13AメニューA</v>
      </c>
      <c r="AB8" s="121">
        <f>IF(HLOOKUP($AB$7,$U$7:$Y$200,ROW()-6,FALSE)="","",HLOOKUP($AB$7,$U$7:$Y$200,ROW()-6,FALSE))</f>
        <v>0</v>
      </c>
    </row>
    <row r="9" spans="2:28">
      <c r="B9" s="121"/>
      <c r="C9" s="121" t="s">
        <v>626</v>
      </c>
      <c r="D9" s="121" t="str">
        <f t="shared" ref="D9:D72" si="0">IF(C9="","",IF(B9="",C9,B9&amp;":"&amp;C9))</f>
        <v>伊奈都市ガス(株)_13A</v>
      </c>
      <c r="F9" s="125" t="s">
        <v>652</v>
      </c>
      <c r="H9" s="121" t="s">
        <v>626</v>
      </c>
      <c r="I9" s="121">
        <v>45</v>
      </c>
      <c r="J9" s="121">
        <v>45</v>
      </c>
      <c r="K9" s="121">
        <v>45</v>
      </c>
      <c r="L9" s="121">
        <v>45</v>
      </c>
      <c r="M9" s="121">
        <v>45</v>
      </c>
      <c r="O9" s="124" t="str">
        <f t="shared" ref="O9:O72" si="1">IF(B9="",C9,B9&amp;":"&amp;C9)</f>
        <v>伊奈都市ガス(株)_13A</v>
      </c>
      <c r="P9" s="124">
        <f t="shared" ref="P9:P72" si="2">HLOOKUP($P$7,$I$7:$M$200,ROW()-6,FALSE)</f>
        <v>45</v>
      </c>
      <c r="R9" s="125" t="s">
        <v>647</v>
      </c>
      <c r="S9" s="176" t="s">
        <v>643</v>
      </c>
      <c r="T9" s="125" t="s">
        <v>654</v>
      </c>
      <c r="U9" s="125">
        <v>2.0499999999999998</v>
      </c>
      <c r="V9" s="125">
        <v>2.0499999999999998</v>
      </c>
      <c r="W9" s="125">
        <v>2.0499999999999998</v>
      </c>
      <c r="X9" s="125">
        <v>2.0499999999999998</v>
      </c>
      <c r="Y9" s="125">
        <v>2.0499999999999998</v>
      </c>
      <c r="AA9" s="121" t="str">
        <f t="shared" ref="AA9:AA72" si="3">IF(R9="",S9,R9&amp;":"&amp;S9)&amp;T9</f>
        <v>A0020:東京ガス(株)_13A残差</v>
      </c>
      <c r="AB9" s="121">
        <f t="shared" ref="AB9:AB72" si="4">IF(HLOOKUP($AB$7,$U$7:$Y$200,ROW()-6,FALSE)="","",HLOOKUP($AB$7,$U$7:$Y$200,ROW()-6,FALSE))</f>
        <v>2.0499999999999998</v>
      </c>
    </row>
    <row r="10" spans="2:28">
      <c r="B10" s="121"/>
      <c r="C10" s="121" t="s">
        <v>627</v>
      </c>
      <c r="D10" s="121" t="str">
        <f t="shared" si="0"/>
        <v>入間ガス(株)_13A</v>
      </c>
      <c r="F10" s="125" t="s">
        <v>729</v>
      </c>
      <c r="H10" s="121" t="s">
        <v>627</v>
      </c>
      <c r="I10" s="121">
        <v>45</v>
      </c>
      <c r="J10" s="121">
        <v>45</v>
      </c>
      <c r="K10" s="121">
        <v>45</v>
      </c>
      <c r="L10" s="121">
        <v>45</v>
      </c>
      <c r="M10" s="121">
        <v>45</v>
      </c>
      <c r="O10" s="124" t="str">
        <f t="shared" si="1"/>
        <v>入間ガス(株)_13A</v>
      </c>
      <c r="P10" s="124">
        <f t="shared" si="2"/>
        <v>45</v>
      </c>
      <c r="R10" s="125"/>
      <c r="S10" s="176" t="s">
        <v>626</v>
      </c>
      <c r="T10" s="125"/>
      <c r="U10" s="125" t="s">
        <v>791</v>
      </c>
      <c r="V10" s="125" t="s">
        <v>791</v>
      </c>
      <c r="W10" s="125" t="s">
        <v>791</v>
      </c>
      <c r="X10" s="125" t="s">
        <v>791</v>
      </c>
      <c r="Y10" s="125" t="s">
        <v>791</v>
      </c>
      <c r="AA10" s="121" t="str">
        <f t="shared" si="3"/>
        <v>伊奈都市ガス(株)_13A</v>
      </c>
      <c r="AB10" s="121" t="str">
        <f t="shared" si="4"/>
        <v>要記入</v>
      </c>
    </row>
    <row r="11" spans="2:28">
      <c r="B11" s="121"/>
      <c r="C11" s="121" t="s">
        <v>628</v>
      </c>
      <c r="D11" s="121" t="str">
        <f t="shared" si="0"/>
        <v>太田都市ガス(株)_13A</v>
      </c>
      <c r="F11" s="125" t="s">
        <v>730</v>
      </c>
      <c r="H11" s="121" t="s">
        <v>628</v>
      </c>
      <c r="I11" s="121">
        <v>45</v>
      </c>
      <c r="J11" s="121">
        <v>45</v>
      </c>
      <c r="K11" s="121">
        <v>45</v>
      </c>
      <c r="L11" s="121">
        <v>45</v>
      </c>
      <c r="M11" s="121">
        <v>45</v>
      </c>
      <c r="O11" s="124" t="str">
        <f t="shared" si="1"/>
        <v>太田都市ガス(株)_13A</v>
      </c>
      <c r="P11" s="124">
        <f t="shared" si="2"/>
        <v>45</v>
      </c>
      <c r="R11" s="125"/>
      <c r="S11" s="176" t="s">
        <v>627</v>
      </c>
      <c r="T11" s="125"/>
      <c r="U11" s="125" t="s">
        <v>791</v>
      </c>
      <c r="V11" s="125" t="s">
        <v>791</v>
      </c>
      <c r="W11" s="125" t="s">
        <v>791</v>
      </c>
      <c r="X11" s="125" t="s">
        <v>791</v>
      </c>
      <c r="Y11" s="125" t="s">
        <v>791</v>
      </c>
      <c r="AA11" s="121" t="str">
        <f t="shared" si="3"/>
        <v>入間ガス(株)_13A</v>
      </c>
      <c r="AB11" s="121" t="str">
        <f t="shared" si="4"/>
        <v>要記入</v>
      </c>
    </row>
    <row r="12" spans="2:28">
      <c r="B12" s="121"/>
      <c r="C12" s="121" t="s">
        <v>629</v>
      </c>
      <c r="D12" s="121" t="str">
        <f t="shared" si="0"/>
        <v>角栄ガス(株)_13A</v>
      </c>
      <c r="F12" s="125" t="s">
        <v>915</v>
      </c>
      <c r="H12" s="121" t="s">
        <v>629</v>
      </c>
      <c r="I12" s="121">
        <v>45</v>
      </c>
      <c r="J12" s="121">
        <v>45</v>
      </c>
      <c r="K12" s="121">
        <v>45</v>
      </c>
      <c r="L12" s="121">
        <v>45</v>
      </c>
      <c r="M12" s="121">
        <v>45</v>
      </c>
      <c r="O12" s="124" t="str">
        <f t="shared" si="1"/>
        <v>角栄ガス(株)_13A</v>
      </c>
      <c r="P12" s="124">
        <f t="shared" si="2"/>
        <v>45</v>
      </c>
      <c r="R12" s="125"/>
      <c r="S12" s="176" t="s">
        <v>628</v>
      </c>
      <c r="T12" s="125"/>
      <c r="U12" s="125" t="s">
        <v>791</v>
      </c>
      <c r="V12" s="125" t="s">
        <v>791</v>
      </c>
      <c r="W12" s="125" t="s">
        <v>791</v>
      </c>
      <c r="X12" s="125" t="s">
        <v>791</v>
      </c>
      <c r="Y12" s="125" t="s">
        <v>791</v>
      </c>
      <c r="AA12" s="121" t="str">
        <f t="shared" si="3"/>
        <v>太田都市ガス(株)_13A</v>
      </c>
      <c r="AB12" s="121" t="str">
        <f t="shared" si="4"/>
        <v>要記入</v>
      </c>
    </row>
    <row r="13" spans="2:28">
      <c r="B13" s="121"/>
      <c r="C13" s="121" t="s">
        <v>630</v>
      </c>
      <c r="D13" s="121" t="str">
        <f t="shared" si="0"/>
        <v>埼玉ガス(株)_13A</v>
      </c>
      <c r="F13" s="125" t="s">
        <v>916</v>
      </c>
      <c r="H13" s="121" t="s">
        <v>630</v>
      </c>
      <c r="I13" s="121">
        <v>45</v>
      </c>
      <c r="J13" s="121">
        <v>45</v>
      </c>
      <c r="K13" s="121">
        <v>45</v>
      </c>
      <c r="L13" s="121">
        <v>45</v>
      </c>
      <c r="M13" s="121">
        <v>45</v>
      </c>
      <c r="O13" s="124" t="str">
        <f t="shared" si="1"/>
        <v>埼玉ガス(株)_13A</v>
      </c>
      <c r="P13" s="124">
        <f t="shared" si="2"/>
        <v>45</v>
      </c>
      <c r="R13" s="125"/>
      <c r="S13" s="176" t="s">
        <v>629</v>
      </c>
      <c r="T13" s="125"/>
      <c r="U13" s="125" t="s">
        <v>791</v>
      </c>
      <c r="V13" s="125" t="s">
        <v>791</v>
      </c>
      <c r="W13" s="125" t="s">
        <v>791</v>
      </c>
      <c r="X13" s="125" t="s">
        <v>791</v>
      </c>
      <c r="Y13" s="125" t="s">
        <v>791</v>
      </c>
      <c r="AA13" s="121" t="str">
        <f t="shared" si="3"/>
        <v>角栄ガス(株)_13A</v>
      </c>
      <c r="AB13" s="121" t="str">
        <f t="shared" si="4"/>
        <v>要記入</v>
      </c>
    </row>
    <row r="14" spans="2:28">
      <c r="B14" s="121"/>
      <c r="C14" s="121" t="s">
        <v>631</v>
      </c>
      <c r="D14" s="121" t="str">
        <f t="shared" si="0"/>
        <v>坂戸ガス(株)_13A</v>
      </c>
      <c r="F14" s="128" t="s">
        <v>654</v>
      </c>
      <c r="H14" s="121" t="s">
        <v>631</v>
      </c>
      <c r="I14" s="121">
        <v>45</v>
      </c>
      <c r="J14" s="121">
        <v>45</v>
      </c>
      <c r="K14" s="121">
        <v>45</v>
      </c>
      <c r="L14" s="121">
        <v>45</v>
      </c>
      <c r="M14" s="121">
        <v>45</v>
      </c>
      <c r="O14" s="124" t="str">
        <f t="shared" si="1"/>
        <v>坂戸ガス(株)_13A</v>
      </c>
      <c r="P14" s="124">
        <f t="shared" si="2"/>
        <v>45</v>
      </c>
      <c r="R14" s="125"/>
      <c r="S14" s="176" t="s">
        <v>630</v>
      </c>
      <c r="T14" s="125"/>
      <c r="U14" s="125" t="s">
        <v>791</v>
      </c>
      <c r="V14" s="125" t="s">
        <v>791</v>
      </c>
      <c r="W14" s="125" t="s">
        <v>791</v>
      </c>
      <c r="X14" s="125" t="s">
        <v>791</v>
      </c>
      <c r="Y14" s="125" t="s">
        <v>791</v>
      </c>
      <c r="AA14" s="121" t="str">
        <f t="shared" si="3"/>
        <v>埼玉ガス(株)_13A</v>
      </c>
      <c r="AB14" s="121" t="str">
        <f t="shared" si="4"/>
        <v>要記入</v>
      </c>
    </row>
    <row r="15" spans="2:28">
      <c r="B15" s="121"/>
      <c r="C15" s="121" t="s">
        <v>632</v>
      </c>
      <c r="D15" s="121" t="str">
        <f t="shared" si="0"/>
        <v>幸手都市ガス(株)_13A</v>
      </c>
      <c r="H15" s="121" t="s">
        <v>632</v>
      </c>
      <c r="I15" s="121">
        <v>45</v>
      </c>
      <c r="J15" s="121">
        <v>45</v>
      </c>
      <c r="K15" s="121">
        <v>45</v>
      </c>
      <c r="L15" s="121">
        <v>45</v>
      </c>
      <c r="M15" s="121">
        <v>45</v>
      </c>
      <c r="O15" s="124" t="str">
        <f t="shared" si="1"/>
        <v>幸手都市ガス(株)_13A</v>
      </c>
      <c r="P15" s="124">
        <f t="shared" si="2"/>
        <v>45</v>
      </c>
      <c r="R15" s="125"/>
      <c r="S15" s="176" t="s">
        <v>631</v>
      </c>
      <c r="T15" s="125"/>
      <c r="U15" s="125" t="s">
        <v>791</v>
      </c>
      <c r="V15" s="125" t="s">
        <v>791</v>
      </c>
      <c r="W15" s="125" t="s">
        <v>791</v>
      </c>
      <c r="X15" s="125" t="s">
        <v>791</v>
      </c>
      <c r="Y15" s="125" t="s">
        <v>791</v>
      </c>
      <c r="AA15" s="121" t="str">
        <f t="shared" si="3"/>
        <v>坂戸ガス(株)_13A</v>
      </c>
      <c r="AB15" s="121" t="str">
        <f t="shared" si="4"/>
        <v>要記入</v>
      </c>
    </row>
    <row r="16" spans="2:28">
      <c r="B16" s="121"/>
      <c r="C16" s="121" t="s">
        <v>633</v>
      </c>
      <c r="D16" s="121" t="str">
        <f t="shared" si="0"/>
        <v>松栄ガス(株)_13A</v>
      </c>
      <c r="H16" s="121" t="s">
        <v>633</v>
      </c>
      <c r="I16" s="121">
        <v>45</v>
      </c>
      <c r="J16" s="121">
        <v>45</v>
      </c>
      <c r="K16" s="121">
        <v>45</v>
      </c>
      <c r="L16" s="121">
        <v>45</v>
      </c>
      <c r="M16" s="121">
        <v>45</v>
      </c>
      <c r="O16" s="124" t="str">
        <f t="shared" si="1"/>
        <v>松栄ガス(株)_13A</v>
      </c>
      <c r="P16" s="124">
        <f t="shared" si="2"/>
        <v>45</v>
      </c>
      <c r="R16" s="125"/>
      <c r="S16" s="176" t="s">
        <v>632</v>
      </c>
      <c r="T16" s="125"/>
      <c r="U16" s="125" t="s">
        <v>791</v>
      </c>
      <c r="V16" s="125" t="s">
        <v>791</v>
      </c>
      <c r="W16" s="125" t="s">
        <v>791</v>
      </c>
      <c r="X16" s="125" t="s">
        <v>791</v>
      </c>
      <c r="Y16" s="125" t="s">
        <v>791</v>
      </c>
      <c r="AA16" s="121" t="str">
        <f t="shared" si="3"/>
        <v>幸手都市ガス(株)_13A</v>
      </c>
      <c r="AB16" s="121" t="str">
        <f t="shared" si="4"/>
        <v>要記入</v>
      </c>
    </row>
    <row r="17" spans="2:28">
      <c r="B17" s="121"/>
      <c r="C17" s="121" t="s">
        <v>634</v>
      </c>
      <c r="D17" s="121" t="str">
        <f t="shared" si="0"/>
        <v>新日本瓦斯(株)_13A</v>
      </c>
      <c r="H17" s="121" t="s">
        <v>634</v>
      </c>
      <c r="I17" s="121">
        <v>45</v>
      </c>
      <c r="J17" s="121">
        <v>45</v>
      </c>
      <c r="K17" s="121">
        <v>45</v>
      </c>
      <c r="L17" s="121">
        <v>45</v>
      </c>
      <c r="M17" s="121">
        <v>45</v>
      </c>
      <c r="O17" s="124" t="str">
        <f t="shared" si="1"/>
        <v>新日本瓦斯(株)_13A</v>
      </c>
      <c r="P17" s="124">
        <f t="shared" si="2"/>
        <v>45</v>
      </c>
      <c r="R17" s="125"/>
      <c r="S17" s="176" t="s">
        <v>633</v>
      </c>
      <c r="T17" s="125"/>
      <c r="U17" s="125" t="s">
        <v>791</v>
      </c>
      <c r="V17" s="125" t="s">
        <v>791</v>
      </c>
      <c r="W17" s="125" t="s">
        <v>791</v>
      </c>
      <c r="X17" s="125" t="s">
        <v>791</v>
      </c>
      <c r="Y17" s="125" t="s">
        <v>791</v>
      </c>
      <c r="AA17" s="121" t="str">
        <f t="shared" si="3"/>
        <v>松栄ガス(株)_13A</v>
      </c>
      <c r="AB17" s="121" t="str">
        <f t="shared" si="4"/>
        <v>要記入</v>
      </c>
    </row>
    <row r="18" spans="2:28">
      <c r="B18" s="121"/>
      <c r="C18" s="121" t="s">
        <v>635</v>
      </c>
      <c r="D18" s="121" t="str">
        <f t="shared" si="0"/>
        <v>西武ガス(株)_13A</v>
      </c>
      <c r="H18" s="121" t="s">
        <v>635</v>
      </c>
      <c r="I18" s="121">
        <v>45</v>
      </c>
      <c r="J18" s="121">
        <v>45</v>
      </c>
      <c r="K18" s="121">
        <v>45</v>
      </c>
      <c r="L18" s="121">
        <v>45</v>
      </c>
      <c r="M18" s="121">
        <v>45</v>
      </c>
      <c r="O18" s="124" t="str">
        <f t="shared" si="1"/>
        <v>西武ガス(株)_13A</v>
      </c>
      <c r="P18" s="124">
        <f t="shared" si="2"/>
        <v>45</v>
      </c>
      <c r="R18" s="125"/>
      <c r="S18" s="176" t="s">
        <v>634</v>
      </c>
      <c r="T18" s="125"/>
      <c r="U18" s="125" t="s">
        <v>791</v>
      </c>
      <c r="V18" s="125" t="s">
        <v>791</v>
      </c>
      <c r="W18" s="125" t="s">
        <v>791</v>
      </c>
      <c r="X18" s="125" t="s">
        <v>791</v>
      </c>
      <c r="Y18" s="125" t="s">
        <v>791</v>
      </c>
      <c r="AA18" s="121" t="str">
        <f t="shared" si="3"/>
        <v>新日本瓦斯(株)_13A</v>
      </c>
      <c r="AB18" s="121" t="str">
        <f t="shared" si="4"/>
        <v>要記入</v>
      </c>
    </row>
    <row r="19" spans="2:28">
      <c r="B19" s="121"/>
      <c r="C19" s="121" t="s">
        <v>636</v>
      </c>
      <c r="D19" s="121" t="str">
        <f t="shared" si="0"/>
        <v>大東ガス(株)_13A</v>
      </c>
      <c r="H19" s="121" t="s">
        <v>636</v>
      </c>
      <c r="I19" s="121">
        <v>45</v>
      </c>
      <c r="J19" s="121">
        <v>45</v>
      </c>
      <c r="K19" s="121">
        <v>45</v>
      </c>
      <c r="L19" s="121">
        <v>45</v>
      </c>
      <c r="M19" s="121">
        <v>45</v>
      </c>
      <c r="O19" s="124" t="str">
        <f t="shared" si="1"/>
        <v>大東ガス(株)_13A</v>
      </c>
      <c r="P19" s="124">
        <f t="shared" si="2"/>
        <v>45</v>
      </c>
      <c r="R19" s="125"/>
      <c r="S19" s="176" t="s">
        <v>635</v>
      </c>
      <c r="T19" s="125"/>
      <c r="U19" s="125" t="s">
        <v>791</v>
      </c>
      <c r="V19" s="125" t="s">
        <v>791</v>
      </c>
      <c r="W19" s="125" t="s">
        <v>791</v>
      </c>
      <c r="X19" s="125" t="s">
        <v>791</v>
      </c>
      <c r="Y19" s="125" t="s">
        <v>791</v>
      </c>
      <c r="AA19" s="121" t="str">
        <f t="shared" si="3"/>
        <v>西武ガス(株)_13A</v>
      </c>
      <c r="AB19" s="121" t="str">
        <f t="shared" si="4"/>
        <v>要記入</v>
      </c>
    </row>
    <row r="20" spans="2:28">
      <c r="B20" s="121"/>
      <c r="C20" s="121" t="s">
        <v>637</v>
      </c>
      <c r="D20" s="121" t="str">
        <f t="shared" si="0"/>
        <v>秩父ガス(株)_13A</v>
      </c>
      <c r="H20" s="121" t="s">
        <v>637</v>
      </c>
      <c r="I20" s="121">
        <v>46.04</v>
      </c>
      <c r="J20" s="121">
        <v>46.04</v>
      </c>
      <c r="K20" s="121">
        <v>46.04</v>
      </c>
      <c r="L20" s="121">
        <v>46.04</v>
      </c>
      <c r="M20" s="121">
        <v>46.04</v>
      </c>
      <c r="O20" s="124" t="str">
        <f t="shared" si="1"/>
        <v>秩父ガス(株)_13A</v>
      </c>
      <c r="P20" s="124">
        <f t="shared" si="2"/>
        <v>46.04</v>
      </c>
      <c r="R20" s="125"/>
      <c r="S20" s="176" t="s">
        <v>636</v>
      </c>
      <c r="T20" s="125"/>
      <c r="U20" s="125" t="s">
        <v>791</v>
      </c>
      <c r="V20" s="125" t="s">
        <v>791</v>
      </c>
      <c r="W20" s="125" t="s">
        <v>791</v>
      </c>
      <c r="X20" s="125" t="s">
        <v>791</v>
      </c>
      <c r="Y20" s="125" t="s">
        <v>791</v>
      </c>
      <c r="AA20" s="121" t="str">
        <f t="shared" si="3"/>
        <v>大東ガス(株)_13A</v>
      </c>
      <c r="AB20" s="121" t="str">
        <f t="shared" si="4"/>
        <v>要記入</v>
      </c>
    </row>
    <row r="21" spans="2:28">
      <c r="B21" s="121"/>
      <c r="C21" s="121" t="s">
        <v>638</v>
      </c>
      <c r="D21" s="121" t="str">
        <f t="shared" si="0"/>
        <v>東彩ガス(株)_13A</v>
      </c>
      <c r="H21" s="121" t="s">
        <v>638</v>
      </c>
      <c r="I21" s="121">
        <v>45</v>
      </c>
      <c r="J21" s="121">
        <v>45</v>
      </c>
      <c r="K21" s="121">
        <v>45</v>
      </c>
      <c r="L21" s="121">
        <v>45</v>
      </c>
      <c r="M21" s="121">
        <v>45</v>
      </c>
      <c r="O21" s="124" t="str">
        <f t="shared" si="1"/>
        <v>東彩ガス(株)_13A</v>
      </c>
      <c r="P21" s="124">
        <f t="shared" si="2"/>
        <v>45</v>
      </c>
      <c r="R21" s="125"/>
      <c r="S21" s="176" t="s">
        <v>637</v>
      </c>
      <c r="T21" s="125"/>
      <c r="U21" s="125" t="s">
        <v>791</v>
      </c>
      <c r="V21" s="125" t="s">
        <v>791</v>
      </c>
      <c r="W21" s="125" t="s">
        <v>791</v>
      </c>
      <c r="X21" s="125" t="s">
        <v>791</v>
      </c>
      <c r="Y21" s="125" t="s">
        <v>791</v>
      </c>
      <c r="AA21" s="121" t="str">
        <f t="shared" si="3"/>
        <v>秩父ガス(株)_13A</v>
      </c>
      <c r="AB21" s="121" t="str">
        <f t="shared" si="4"/>
        <v>要記入</v>
      </c>
    </row>
    <row r="22" spans="2:28">
      <c r="B22" s="121"/>
      <c r="C22" s="121" t="s">
        <v>639</v>
      </c>
      <c r="D22" s="121" t="str">
        <f t="shared" si="0"/>
        <v>日高都市ガス(株)_13A</v>
      </c>
      <c r="H22" s="121" t="s">
        <v>639</v>
      </c>
      <c r="I22" s="121">
        <v>45</v>
      </c>
      <c r="J22" s="121">
        <v>45</v>
      </c>
      <c r="K22" s="121">
        <v>45</v>
      </c>
      <c r="L22" s="121">
        <v>45</v>
      </c>
      <c r="M22" s="121">
        <v>45</v>
      </c>
      <c r="O22" s="124" t="str">
        <f t="shared" si="1"/>
        <v>日高都市ガス(株)_13A</v>
      </c>
      <c r="P22" s="124">
        <f t="shared" si="2"/>
        <v>45</v>
      </c>
      <c r="R22" s="125"/>
      <c r="S22" s="176" t="s">
        <v>638</v>
      </c>
      <c r="T22" s="125"/>
      <c r="U22" s="125" t="s">
        <v>791</v>
      </c>
      <c r="V22" s="125" t="s">
        <v>791</v>
      </c>
      <c r="W22" s="125" t="s">
        <v>791</v>
      </c>
      <c r="X22" s="125" t="s">
        <v>791</v>
      </c>
      <c r="Y22" s="125" t="s">
        <v>791</v>
      </c>
      <c r="AA22" s="121" t="str">
        <f t="shared" si="3"/>
        <v>東彩ガス(株)_13A</v>
      </c>
      <c r="AB22" s="121" t="str">
        <f t="shared" si="4"/>
        <v>要記入</v>
      </c>
    </row>
    <row r="23" spans="2:28">
      <c r="B23" s="121"/>
      <c r="C23" s="121" t="s">
        <v>640</v>
      </c>
      <c r="D23" s="121" t="str">
        <f t="shared" si="0"/>
        <v>武州ガス(株)_13A</v>
      </c>
      <c r="H23" s="121" t="s">
        <v>640</v>
      </c>
      <c r="I23" s="121">
        <v>45</v>
      </c>
      <c r="J23" s="121">
        <v>45</v>
      </c>
      <c r="K23" s="121">
        <v>45</v>
      </c>
      <c r="L23" s="121">
        <v>45</v>
      </c>
      <c r="M23" s="121">
        <v>45</v>
      </c>
      <c r="O23" s="124" t="str">
        <f t="shared" si="1"/>
        <v>武州ガス(株)_13A</v>
      </c>
      <c r="P23" s="124">
        <f t="shared" si="2"/>
        <v>45</v>
      </c>
      <c r="R23" s="125"/>
      <c r="S23" s="176" t="s">
        <v>639</v>
      </c>
      <c r="T23" s="125"/>
      <c r="U23" s="125" t="s">
        <v>791</v>
      </c>
      <c r="V23" s="125" t="s">
        <v>791</v>
      </c>
      <c r="W23" s="125" t="s">
        <v>791</v>
      </c>
      <c r="X23" s="125" t="s">
        <v>791</v>
      </c>
      <c r="Y23" s="125" t="s">
        <v>791</v>
      </c>
      <c r="AA23" s="121" t="str">
        <f t="shared" si="3"/>
        <v>日高都市ガス(株)_13A</v>
      </c>
      <c r="AB23" s="121" t="str">
        <f t="shared" si="4"/>
        <v>要記入</v>
      </c>
    </row>
    <row r="24" spans="2:28">
      <c r="B24" s="121"/>
      <c r="C24" s="121" t="s">
        <v>641</v>
      </c>
      <c r="D24" s="121" t="str">
        <f t="shared" si="0"/>
        <v>本庄ガス(株)_13A</v>
      </c>
      <c r="H24" s="121" t="s">
        <v>641</v>
      </c>
      <c r="I24" s="121">
        <v>45</v>
      </c>
      <c r="J24" s="121">
        <v>45</v>
      </c>
      <c r="K24" s="121">
        <v>45</v>
      </c>
      <c r="L24" s="121">
        <v>45</v>
      </c>
      <c r="M24" s="121">
        <v>45</v>
      </c>
      <c r="O24" s="124" t="str">
        <f t="shared" si="1"/>
        <v>本庄ガス(株)_13A</v>
      </c>
      <c r="P24" s="124">
        <f t="shared" si="2"/>
        <v>45</v>
      </c>
      <c r="R24" s="125"/>
      <c r="S24" s="176" t="s">
        <v>640</v>
      </c>
      <c r="T24" s="125"/>
      <c r="U24" s="125" t="s">
        <v>791</v>
      </c>
      <c r="V24" s="125" t="s">
        <v>791</v>
      </c>
      <c r="W24" s="125" t="s">
        <v>791</v>
      </c>
      <c r="X24" s="125" t="s">
        <v>791</v>
      </c>
      <c r="Y24" s="125" t="s">
        <v>791</v>
      </c>
      <c r="AA24" s="121" t="str">
        <f t="shared" si="3"/>
        <v>武州ガス(株)_13A</v>
      </c>
      <c r="AB24" s="121" t="str">
        <f t="shared" si="4"/>
        <v>要記入</v>
      </c>
    </row>
    <row r="25" spans="2:28">
      <c r="B25" s="121"/>
      <c r="C25" s="121" t="s">
        <v>642</v>
      </c>
      <c r="D25" s="121" t="str">
        <f t="shared" si="0"/>
        <v>武蔵野ガス(株)_13A</v>
      </c>
      <c r="H25" s="121" t="s">
        <v>642</v>
      </c>
      <c r="I25" s="121">
        <v>45</v>
      </c>
      <c r="J25" s="121">
        <v>45</v>
      </c>
      <c r="K25" s="121">
        <v>45</v>
      </c>
      <c r="L25" s="121">
        <v>45</v>
      </c>
      <c r="M25" s="121">
        <v>45</v>
      </c>
      <c r="O25" s="124" t="str">
        <f t="shared" si="1"/>
        <v>武蔵野ガス(株)_13A</v>
      </c>
      <c r="P25" s="124">
        <f t="shared" si="2"/>
        <v>45</v>
      </c>
      <c r="R25" s="125"/>
      <c r="S25" s="176" t="s">
        <v>641</v>
      </c>
      <c r="T25" s="125"/>
      <c r="U25" s="125" t="s">
        <v>791</v>
      </c>
      <c r="V25" s="125" t="s">
        <v>791</v>
      </c>
      <c r="W25" s="125" t="s">
        <v>791</v>
      </c>
      <c r="X25" s="125" t="s">
        <v>791</v>
      </c>
      <c r="Y25" s="125" t="s">
        <v>791</v>
      </c>
      <c r="AA25" s="121" t="str">
        <f t="shared" si="3"/>
        <v>本庄ガス(株)_13A</v>
      </c>
      <c r="AB25" s="121" t="str">
        <f t="shared" si="4"/>
        <v>要記入</v>
      </c>
    </row>
    <row r="26" spans="2:28">
      <c r="B26" s="121"/>
      <c r="C26" s="121" t="s">
        <v>644</v>
      </c>
      <c r="D26" s="121" t="str">
        <f t="shared" si="0"/>
        <v>鷲宮ガス(株)_13A</v>
      </c>
      <c r="H26" s="121" t="s">
        <v>644</v>
      </c>
      <c r="I26" s="121">
        <v>45</v>
      </c>
      <c r="J26" s="121">
        <v>45</v>
      </c>
      <c r="K26" s="121">
        <v>45</v>
      </c>
      <c r="L26" s="121">
        <v>45</v>
      </c>
      <c r="M26" s="121">
        <v>45</v>
      </c>
      <c r="O26" s="124" t="str">
        <f t="shared" si="1"/>
        <v>鷲宮ガス(株)_13A</v>
      </c>
      <c r="P26" s="124">
        <f t="shared" si="2"/>
        <v>45</v>
      </c>
      <c r="R26" s="125"/>
      <c r="S26" s="176" t="s">
        <v>642</v>
      </c>
      <c r="T26" s="125"/>
      <c r="U26" s="125" t="s">
        <v>791</v>
      </c>
      <c r="V26" s="125" t="s">
        <v>791</v>
      </c>
      <c r="W26" s="125" t="s">
        <v>791</v>
      </c>
      <c r="X26" s="125" t="s">
        <v>791</v>
      </c>
      <c r="Y26" s="125" t="s">
        <v>791</v>
      </c>
      <c r="AA26" s="121" t="str">
        <f t="shared" si="3"/>
        <v>武蔵野ガス(株)_13A</v>
      </c>
      <c r="AB26" s="121" t="str">
        <f t="shared" si="4"/>
        <v>要記入</v>
      </c>
    </row>
    <row r="27" spans="2:28">
      <c r="B27" s="121"/>
      <c r="C27" s="121" t="s">
        <v>645</v>
      </c>
      <c r="D27" s="121" t="str">
        <f t="shared" si="0"/>
        <v>堀川産業(株)_13A</v>
      </c>
      <c r="H27" s="121" t="s">
        <v>645</v>
      </c>
      <c r="I27" s="121">
        <v>45</v>
      </c>
      <c r="J27" s="121">
        <v>45</v>
      </c>
      <c r="K27" s="121">
        <v>45</v>
      </c>
      <c r="L27" s="121">
        <v>45</v>
      </c>
      <c r="M27" s="121">
        <v>45</v>
      </c>
      <c r="O27" s="124" t="str">
        <f t="shared" si="1"/>
        <v>堀川産業(株)_13A</v>
      </c>
      <c r="P27" s="124">
        <f t="shared" si="2"/>
        <v>45</v>
      </c>
      <c r="R27" s="125"/>
      <c r="S27" s="176" t="s">
        <v>644</v>
      </c>
      <c r="T27" s="125"/>
      <c r="U27" s="125" t="s">
        <v>791</v>
      </c>
      <c r="V27" s="125" t="s">
        <v>791</v>
      </c>
      <c r="W27" s="125" t="s">
        <v>791</v>
      </c>
      <c r="X27" s="125" t="s">
        <v>791</v>
      </c>
      <c r="Y27" s="125" t="s">
        <v>791</v>
      </c>
      <c r="AA27" s="121" t="str">
        <f t="shared" si="3"/>
        <v>鷲宮ガス(株)_13A</v>
      </c>
      <c r="AB27" s="121" t="str">
        <f t="shared" si="4"/>
        <v>要記入</v>
      </c>
    </row>
    <row r="28" spans="2:28">
      <c r="B28" s="121" t="s">
        <v>648</v>
      </c>
      <c r="C28" s="121" t="s">
        <v>649</v>
      </c>
      <c r="D28" s="121" t="str">
        <f t="shared" si="0"/>
        <v>A0002:東京電力エナジーパートナー(株)</v>
      </c>
      <c r="H28" s="121" t="s">
        <v>650</v>
      </c>
      <c r="I28" s="121">
        <v>45</v>
      </c>
      <c r="J28" s="121">
        <v>45</v>
      </c>
      <c r="K28" s="121">
        <v>45</v>
      </c>
      <c r="L28" s="121">
        <v>45</v>
      </c>
      <c r="M28" s="121">
        <v>45</v>
      </c>
      <c r="O28" s="124" t="str">
        <f t="shared" si="1"/>
        <v>A0002:東京電力エナジーパートナー(株)</v>
      </c>
      <c r="P28" s="124">
        <f t="shared" si="2"/>
        <v>45</v>
      </c>
      <c r="R28" s="125"/>
      <c r="S28" s="176" t="s">
        <v>645</v>
      </c>
      <c r="T28" s="125"/>
      <c r="U28" s="125" t="s">
        <v>791</v>
      </c>
      <c r="V28" s="125" t="s">
        <v>791</v>
      </c>
      <c r="W28" s="125" t="s">
        <v>791</v>
      </c>
      <c r="X28" s="125" t="s">
        <v>791</v>
      </c>
      <c r="Y28" s="125" t="s">
        <v>791</v>
      </c>
      <c r="AA28" s="121" t="str">
        <f t="shared" si="3"/>
        <v>堀川産業(株)_13A</v>
      </c>
      <c r="AB28" s="121" t="str">
        <f t="shared" si="4"/>
        <v>要記入</v>
      </c>
    </row>
    <row r="29" spans="2:28">
      <c r="B29" s="121"/>
      <c r="C29" s="121"/>
      <c r="D29" s="121" t="str">
        <f t="shared" si="0"/>
        <v/>
      </c>
      <c r="H29" s="121"/>
      <c r="I29" s="121"/>
      <c r="J29" s="121"/>
      <c r="K29" s="121"/>
      <c r="L29" s="121"/>
      <c r="M29" s="121"/>
      <c r="O29" s="124">
        <f t="shared" si="1"/>
        <v>0</v>
      </c>
      <c r="P29" s="124">
        <f t="shared" si="2"/>
        <v>0</v>
      </c>
      <c r="R29" s="128" t="s">
        <v>648</v>
      </c>
      <c r="S29" s="128" t="s">
        <v>649</v>
      </c>
      <c r="T29" s="128"/>
      <c r="U29" s="128">
        <v>2.0499999999999998</v>
      </c>
      <c r="V29" s="128">
        <v>2.0499999999999998</v>
      </c>
      <c r="W29" s="128">
        <v>2.0499999999999998</v>
      </c>
      <c r="X29" s="128">
        <v>2.0499999999999998</v>
      </c>
      <c r="Y29" s="128">
        <v>2.0499999999999998</v>
      </c>
      <c r="AA29" s="121" t="str">
        <f t="shared" si="3"/>
        <v>A0002:東京電力エナジーパートナー(株)</v>
      </c>
      <c r="AB29" s="121">
        <f t="shared" si="4"/>
        <v>2.0499999999999998</v>
      </c>
    </row>
    <row r="30" spans="2:28">
      <c r="B30" s="121"/>
      <c r="C30" s="121"/>
      <c r="D30" s="121" t="str">
        <f t="shared" si="0"/>
        <v/>
      </c>
      <c r="H30" s="121"/>
      <c r="I30" s="121"/>
      <c r="J30" s="121"/>
      <c r="K30" s="121"/>
      <c r="L30" s="121"/>
      <c r="M30" s="121"/>
      <c r="O30" s="124">
        <f t="shared" si="1"/>
        <v>0</v>
      </c>
      <c r="P30" s="124">
        <f t="shared" si="2"/>
        <v>0</v>
      </c>
      <c r="R30" s="121"/>
      <c r="S30" s="121"/>
      <c r="T30" s="121"/>
      <c r="U30" s="121"/>
      <c r="V30" s="121"/>
      <c r="W30" s="121"/>
      <c r="X30" s="121"/>
      <c r="Y30" s="121"/>
      <c r="AA30" s="121" t="str">
        <f t="shared" si="3"/>
        <v/>
      </c>
      <c r="AB30" s="121" t="str">
        <f t="shared" si="4"/>
        <v/>
      </c>
    </row>
    <row r="31" spans="2:28">
      <c r="B31" s="121"/>
      <c r="C31" s="121"/>
      <c r="D31" s="121" t="str">
        <f t="shared" si="0"/>
        <v/>
      </c>
      <c r="H31" s="121"/>
      <c r="I31" s="121"/>
      <c r="J31" s="121"/>
      <c r="K31" s="121"/>
      <c r="L31" s="121"/>
      <c r="M31" s="121"/>
      <c r="O31" s="124">
        <f t="shared" si="1"/>
        <v>0</v>
      </c>
      <c r="P31" s="124">
        <f t="shared" si="2"/>
        <v>0</v>
      </c>
      <c r="R31" s="121"/>
      <c r="S31" s="121"/>
      <c r="T31" s="121"/>
      <c r="U31" s="121"/>
      <c r="V31" s="121"/>
      <c r="W31" s="121"/>
      <c r="X31" s="121"/>
      <c r="Y31" s="121"/>
      <c r="AA31" s="121" t="str">
        <f t="shared" si="3"/>
        <v/>
      </c>
      <c r="AB31" s="121" t="str">
        <f t="shared" si="4"/>
        <v/>
      </c>
    </row>
    <row r="32" spans="2:28">
      <c r="B32" s="121"/>
      <c r="C32" s="121"/>
      <c r="D32" s="121" t="str">
        <f t="shared" si="0"/>
        <v/>
      </c>
      <c r="H32" s="121"/>
      <c r="I32" s="121"/>
      <c r="J32" s="121"/>
      <c r="K32" s="121"/>
      <c r="L32" s="121"/>
      <c r="M32" s="121"/>
      <c r="O32" s="124">
        <f t="shared" si="1"/>
        <v>0</v>
      </c>
      <c r="P32" s="124">
        <f t="shared" si="2"/>
        <v>0</v>
      </c>
      <c r="R32" s="121"/>
      <c r="S32" s="121"/>
      <c r="T32" s="121"/>
      <c r="U32" s="121"/>
      <c r="V32" s="121"/>
      <c r="W32" s="121"/>
      <c r="X32" s="121"/>
      <c r="Y32" s="121"/>
      <c r="AA32" s="121" t="str">
        <f t="shared" si="3"/>
        <v/>
      </c>
      <c r="AB32" s="121" t="str">
        <f t="shared" si="4"/>
        <v/>
      </c>
    </row>
    <row r="33" spans="2:28">
      <c r="B33" s="121"/>
      <c r="C33" s="121"/>
      <c r="D33" s="121" t="str">
        <f t="shared" si="0"/>
        <v/>
      </c>
      <c r="H33" s="121"/>
      <c r="I33" s="121"/>
      <c r="J33" s="121"/>
      <c r="K33" s="121"/>
      <c r="L33" s="121"/>
      <c r="M33" s="121"/>
      <c r="O33" s="124">
        <f t="shared" si="1"/>
        <v>0</v>
      </c>
      <c r="P33" s="124">
        <f t="shared" si="2"/>
        <v>0</v>
      </c>
      <c r="R33" s="121"/>
      <c r="S33" s="121"/>
      <c r="T33" s="121"/>
      <c r="U33" s="121"/>
      <c r="V33" s="121"/>
      <c r="W33" s="121"/>
      <c r="X33" s="121"/>
      <c r="Y33" s="121"/>
      <c r="AA33" s="121" t="str">
        <f t="shared" si="3"/>
        <v/>
      </c>
      <c r="AB33" s="121" t="str">
        <f t="shared" si="4"/>
        <v/>
      </c>
    </row>
    <row r="34" spans="2:28">
      <c r="B34" s="121"/>
      <c r="C34" s="121"/>
      <c r="D34" s="121" t="str">
        <f t="shared" si="0"/>
        <v/>
      </c>
      <c r="H34" s="121"/>
      <c r="I34" s="121"/>
      <c r="J34" s="121"/>
      <c r="K34" s="121"/>
      <c r="L34" s="121"/>
      <c r="M34" s="121"/>
      <c r="O34" s="124">
        <f t="shared" si="1"/>
        <v>0</v>
      </c>
      <c r="P34" s="124">
        <f t="shared" si="2"/>
        <v>0</v>
      </c>
      <c r="R34" s="121"/>
      <c r="S34" s="121"/>
      <c r="T34" s="121"/>
      <c r="U34" s="121"/>
      <c r="V34" s="121"/>
      <c r="W34" s="121"/>
      <c r="X34" s="121"/>
      <c r="Y34" s="121"/>
      <c r="AA34" s="121" t="str">
        <f t="shared" si="3"/>
        <v/>
      </c>
      <c r="AB34" s="121" t="str">
        <f t="shared" si="4"/>
        <v/>
      </c>
    </row>
    <row r="35" spans="2:28">
      <c r="B35" s="121"/>
      <c r="C35" s="121"/>
      <c r="D35" s="121" t="str">
        <f t="shared" si="0"/>
        <v/>
      </c>
      <c r="H35" s="121"/>
      <c r="I35" s="121"/>
      <c r="J35" s="121"/>
      <c r="K35" s="121"/>
      <c r="L35" s="121"/>
      <c r="M35" s="121"/>
      <c r="O35" s="124">
        <f t="shared" si="1"/>
        <v>0</v>
      </c>
      <c r="P35" s="124">
        <f t="shared" si="2"/>
        <v>0</v>
      </c>
      <c r="R35" s="121"/>
      <c r="S35" s="121"/>
      <c r="T35" s="121"/>
      <c r="U35" s="121"/>
      <c r="V35" s="121"/>
      <c r="W35" s="121"/>
      <c r="X35" s="121"/>
      <c r="Y35" s="121"/>
      <c r="AA35" s="121" t="str">
        <f t="shared" si="3"/>
        <v/>
      </c>
      <c r="AB35" s="121" t="str">
        <f t="shared" si="4"/>
        <v/>
      </c>
    </row>
    <row r="36" spans="2:28">
      <c r="B36" s="121"/>
      <c r="C36" s="121"/>
      <c r="D36" s="121" t="str">
        <f t="shared" si="0"/>
        <v/>
      </c>
      <c r="H36" s="121"/>
      <c r="I36" s="121"/>
      <c r="J36" s="121"/>
      <c r="K36" s="121"/>
      <c r="L36" s="121"/>
      <c r="M36" s="121"/>
      <c r="O36" s="124">
        <f t="shared" si="1"/>
        <v>0</v>
      </c>
      <c r="P36" s="124">
        <f t="shared" si="2"/>
        <v>0</v>
      </c>
      <c r="R36" s="121"/>
      <c r="S36" s="121"/>
      <c r="T36" s="121"/>
      <c r="U36" s="121"/>
      <c r="V36" s="121"/>
      <c r="W36" s="121"/>
      <c r="X36" s="121"/>
      <c r="Y36" s="121"/>
      <c r="AA36" s="121" t="str">
        <f t="shared" si="3"/>
        <v/>
      </c>
      <c r="AB36" s="121" t="str">
        <f t="shared" si="4"/>
        <v/>
      </c>
    </row>
    <row r="37" spans="2:28">
      <c r="B37" s="121"/>
      <c r="C37" s="121"/>
      <c r="D37" s="121" t="str">
        <f t="shared" si="0"/>
        <v/>
      </c>
      <c r="H37" s="121"/>
      <c r="I37" s="121"/>
      <c r="J37" s="121"/>
      <c r="K37" s="121"/>
      <c r="L37" s="121"/>
      <c r="M37" s="121"/>
      <c r="O37" s="124">
        <f t="shared" si="1"/>
        <v>0</v>
      </c>
      <c r="P37" s="124">
        <f t="shared" si="2"/>
        <v>0</v>
      </c>
      <c r="R37" s="121"/>
      <c r="S37" s="121"/>
      <c r="T37" s="121"/>
      <c r="U37" s="121"/>
      <c r="V37" s="121"/>
      <c r="W37" s="121"/>
      <c r="X37" s="121"/>
      <c r="Y37" s="121"/>
      <c r="AA37" s="121" t="str">
        <f t="shared" si="3"/>
        <v/>
      </c>
      <c r="AB37" s="121" t="str">
        <f t="shared" si="4"/>
        <v/>
      </c>
    </row>
    <row r="38" spans="2:28">
      <c r="B38" s="121"/>
      <c r="C38" s="121"/>
      <c r="D38" s="121" t="str">
        <f t="shared" si="0"/>
        <v/>
      </c>
      <c r="H38" s="121"/>
      <c r="I38" s="121"/>
      <c r="J38" s="121"/>
      <c r="K38" s="121"/>
      <c r="L38" s="121"/>
      <c r="M38" s="121"/>
      <c r="O38" s="124">
        <f t="shared" si="1"/>
        <v>0</v>
      </c>
      <c r="P38" s="124">
        <f t="shared" si="2"/>
        <v>0</v>
      </c>
      <c r="R38" s="121"/>
      <c r="S38" s="121"/>
      <c r="T38" s="121"/>
      <c r="U38" s="121"/>
      <c r="V38" s="121"/>
      <c r="W38" s="121"/>
      <c r="X38" s="121"/>
      <c r="Y38" s="121"/>
      <c r="AA38" s="121" t="str">
        <f t="shared" si="3"/>
        <v/>
      </c>
      <c r="AB38" s="121" t="str">
        <f t="shared" si="4"/>
        <v/>
      </c>
    </row>
    <row r="39" spans="2:28">
      <c r="B39" s="121"/>
      <c r="C39" s="121"/>
      <c r="D39" s="121" t="str">
        <f t="shared" si="0"/>
        <v/>
      </c>
      <c r="H39" s="121"/>
      <c r="I39" s="121"/>
      <c r="J39" s="121"/>
      <c r="K39" s="121"/>
      <c r="L39" s="121"/>
      <c r="M39" s="121"/>
      <c r="O39" s="124">
        <f t="shared" si="1"/>
        <v>0</v>
      </c>
      <c r="P39" s="124">
        <f t="shared" si="2"/>
        <v>0</v>
      </c>
      <c r="R39" s="121"/>
      <c r="S39" s="121"/>
      <c r="T39" s="121"/>
      <c r="U39" s="121"/>
      <c r="V39" s="121"/>
      <c r="W39" s="121"/>
      <c r="X39" s="121"/>
      <c r="Y39" s="121"/>
      <c r="AA39" s="121" t="str">
        <f t="shared" si="3"/>
        <v/>
      </c>
      <c r="AB39" s="121" t="str">
        <f t="shared" si="4"/>
        <v/>
      </c>
    </row>
    <row r="40" spans="2:28">
      <c r="B40" s="121"/>
      <c r="C40" s="121"/>
      <c r="D40" s="121" t="str">
        <f t="shared" si="0"/>
        <v/>
      </c>
      <c r="H40" s="121"/>
      <c r="I40" s="121"/>
      <c r="J40" s="121"/>
      <c r="K40" s="121"/>
      <c r="L40" s="121"/>
      <c r="M40" s="121"/>
      <c r="O40" s="124">
        <f t="shared" si="1"/>
        <v>0</v>
      </c>
      <c r="P40" s="124">
        <f t="shared" si="2"/>
        <v>0</v>
      </c>
      <c r="R40" s="121"/>
      <c r="S40" s="121"/>
      <c r="T40" s="121"/>
      <c r="U40" s="121"/>
      <c r="V40" s="121"/>
      <c r="W40" s="121"/>
      <c r="X40" s="121"/>
      <c r="Y40" s="121"/>
      <c r="AA40" s="121" t="str">
        <f t="shared" si="3"/>
        <v/>
      </c>
      <c r="AB40" s="121" t="str">
        <f t="shared" si="4"/>
        <v/>
      </c>
    </row>
    <row r="41" spans="2:28">
      <c r="B41" s="121"/>
      <c r="C41" s="121"/>
      <c r="D41" s="121" t="str">
        <f t="shared" si="0"/>
        <v/>
      </c>
      <c r="H41" s="121"/>
      <c r="I41" s="121"/>
      <c r="J41" s="121"/>
      <c r="K41" s="121"/>
      <c r="L41" s="121"/>
      <c r="M41" s="121"/>
      <c r="O41" s="124">
        <f t="shared" si="1"/>
        <v>0</v>
      </c>
      <c r="P41" s="124">
        <f t="shared" si="2"/>
        <v>0</v>
      </c>
      <c r="R41" s="121"/>
      <c r="S41" s="121"/>
      <c r="T41" s="121"/>
      <c r="U41" s="121"/>
      <c r="V41" s="121"/>
      <c r="W41" s="121"/>
      <c r="X41" s="121"/>
      <c r="Y41" s="121"/>
      <c r="AA41" s="121" t="str">
        <f t="shared" si="3"/>
        <v/>
      </c>
      <c r="AB41" s="121" t="str">
        <f t="shared" si="4"/>
        <v/>
      </c>
    </row>
    <row r="42" spans="2:28">
      <c r="B42" s="121"/>
      <c r="C42" s="121"/>
      <c r="D42" s="121" t="str">
        <f t="shared" si="0"/>
        <v/>
      </c>
      <c r="H42" s="121"/>
      <c r="I42" s="121"/>
      <c r="J42" s="121"/>
      <c r="K42" s="121"/>
      <c r="L42" s="121"/>
      <c r="M42" s="121"/>
      <c r="O42" s="124">
        <f t="shared" si="1"/>
        <v>0</v>
      </c>
      <c r="P42" s="124">
        <f t="shared" si="2"/>
        <v>0</v>
      </c>
      <c r="R42" s="121"/>
      <c r="S42" s="121"/>
      <c r="T42" s="121"/>
      <c r="U42" s="121"/>
      <c r="V42" s="121"/>
      <c r="W42" s="121"/>
      <c r="X42" s="121"/>
      <c r="Y42" s="121"/>
      <c r="AA42" s="121" t="str">
        <f t="shared" si="3"/>
        <v/>
      </c>
      <c r="AB42" s="121" t="str">
        <f t="shared" si="4"/>
        <v/>
      </c>
    </row>
    <row r="43" spans="2:28">
      <c r="B43" s="121"/>
      <c r="C43" s="121"/>
      <c r="D43" s="121" t="str">
        <f t="shared" si="0"/>
        <v/>
      </c>
      <c r="H43" s="121"/>
      <c r="I43" s="121"/>
      <c r="J43" s="121"/>
      <c r="K43" s="121"/>
      <c r="L43" s="121"/>
      <c r="M43" s="121"/>
      <c r="O43" s="124">
        <f t="shared" si="1"/>
        <v>0</v>
      </c>
      <c r="P43" s="124">
        <f t="shared" si="2"/>
        <v>0</v>
      </c>
      <c r="R43" s="121"/>
      <c r="S43" s="121"/>
      <c r="T43" s="121"/>
      <c r="U43" s="121"/>
      <c r="V43" s="121"/>
      <c r="W43" s="121"/>
      <c r="X43" s="121"/>
      <c r="Y43" s="121"/>
      <c r="AA43" s="121" t="str">
        <f t="shared" si="3"/>
        <v/>
      </c>
      <c r="AB43" s="121" t="str">
        <f t="shared" si="4"/>
        <v/>
      </c>
    </row>
    <row r="44" spans="2:28">
      <c r="B44" s="121"/>
      <c r="C44" s="121"/>
      <c r="D44" s="121" t="str">
        <f t="shared" si="0"/>
        <v/>
      </c>
      <c r="H44" s="121"/>
      <c r="I44" s="121"/>
      <c r="J44" s="121"/>
      <c r="K44" s="121"/>
      <c r="L44" s="121"/>
      <c r="M44" s="121"/>
      <c r="O44" s="124">
        <f t="shared" si="1"/>
        <v>0</v>
      </c>
      <c r="P44" s="124">
        <f t="shared" si="2"/>
        <v>0</v>
      </c>
      <c r="R44" s="121"/>
      <c r="S44" s="121"/>
      <c r="T44" s="121"/>
      <c r="U44" s="121"/>
      <c r="V44" s="121"/>
      <c r="W44" s="121"/>
      <c r="X44" s="121"/>
      <c r="Y44" s="121"/>
      <c r="AA44" s="121" t="str">
        <f t="shared" si="3"/>
        <v/>
      </c>
      <c r="AB44" s="121" t="str">
        <f t="shared" si="4"/>
        <v/>
      </c>
    </row>
    <row r="45" spans="2:28">
      <c r="B45" s="121"/>
      <c r="C45" s="121"/>
      <c r="D45" s="121" t="str">
        <f t="shared" si="0"/>
        <v/>
      </c>
      <c r="H45" s="121"/>
      <c r="I45" s="121"/>
      <c r="J45" s="121"/>
      <c r="K45" s="121"/>
      <c r="L45" s="121"/>
      <c r="M45" s="121"/>
      <c r="O45" s="124">
        <f t="shared" si="1"/>
        <v>0</v>
      </c>
      <c r="P45" s="124">
        <f t="shared" si="2"/>
        <v>0</v>
      </c>
      <c r="R45" s="121"/>
      <c r="S45" s="121"/>
      <c r="T45" s="121"/>
      <c r="U45" s="121"/>
      <c r="V45" s="121"/>
      <c r="W45" s="121"/>
      <c r="X45" s="121"/>
      <c r="Y45" s="121"/>
      <c r="AA45" s="121" t="str">
        <f t="shared" si="3"/>
        <v/>
      </c>
      <c r="AB45" s="121" t="str">
        <f t="shared" si="4"/>
        <v/>
      </c>
    </row>
    <row r="46" spans="2:28">
      <c r="B46" s="121"/>
      <c r="C46" s="121"/>
      <c r="D46" s="121" t="str">
        <f t="shared" si="0"/>
        <v/>
      </c>
      <c r="H46" s="121"/>
      <c r="I46" s="121"/>
      <c r="J46" s="121"/>
      <c r="K46" s="121"/>
      <c r="L46" s="121"/>
      <c r="M46" s="121"/>
      <c r="O46" s="124">
        <f t="shared" si="1"/>
        <v>0</v>
      </c>
      <c r="P46" s="124">
        <f t="shared" si="2"/>
        <v>0</v>
      </c>
      <c r="R46" s="121"/>
      <c r="S46" s="121"/>
      <c r="T46" s="121"/>
      <c r="U46" s="121"/>
      <c r="V46" s="121"/>
      <c r="W46" s="121"/>
      <c r="X46" s="121"/>
      <c r="Y46" s="121"/>
      <c r="AA46" s="121" t="str">
        <f t="shared" si="3"/>
        <v/>
      </c>
      <c r="AB46" s="121" t="str">
        <f t="shared" si="4"/>
        <v/>
      </c>
    </row>
    <row r="47" spans="2:28">
      <c r="B47" s="121"/>
      <c r="C47" s="121"/>
      <c r="D47" s="121" t="str">
        <f t="shared" si="0"/>
        <v/>
      </c>
      <c r="H47" s="121"/>
      <c r="I47" s="121"/>
      <c r="J47" s="121"/>
      <c r="K47" s="121"/>
      <c r="L47" s="121"/>
      <c r="M47" s="121"/>
      <c r="O47" s="124">
        <f t="shared" si="1"/>
        <v>0</v>
      </c>
      <c r="P47" s="124">
        <f t="shared" si="2"/>
        <v>0</v>
      </c>
      <c r="R47" s="121"/>
      <c r="S47" s="121"/>
      <c r="T47" s="121"/>
      <c r="U47" s="121"/>
      <c r="V47" s="121"/>
      <c r="W47" s="121"/>
      <c r="X47" s="121"/>
      <c r="Y47" s="121"/>
      <c r="AA47" s="121" t="str">
        <f t="shared" si="3"/>
        <v/>
      </c>
      <c r="AB47" s="121" t="str">
        <f t="shared" si="4"/>
        <v/>
      </c>
    </row>
    <row r="48" spans="2:28">
      <c r="B48" s="121"/>
      <c r="C48" s="121"/>
      <c r="D48" s="121" t="str">
        <f t="shared" si="0"/>
        <v/>
      </c>
      <c r="H48" s="121"/>
      <c r="I48" s="121"/>
      <c r="J48" s="121"/>
      <c r="K48" s="121"/>
      <c r="L48" s="121"/>
      <c r="M48" s="121"/>
      <c r="O48" s="124">
        <f t="shared" si="1"/>
        <v>0</v>
      </c>
      <c r="P48" s="124">
        <f t="shared" si="2"/>
        <v>0</v>
      </c>
      <c r="R48" s="121"/>
      <c r="S48" s="121"/>
      <c r="T48" s="121"/>
      <c r="U48" s="121"/>
      <c r="V48" s="121"/>
      <c r="W48" s="121"/>
      <c r="X48" s="121"/>
      <c r="Y48" s="121"/>
      <c r="AA48" s="121" t="str">
        <f t="shared" si="3"/>
        <v/>
      </c>
      <c r="AB48" s="121" t="str">
        <f t="shared" si="4"/>
        <v/>
      </c>
    </row>
    <row r="49" spans="2:28">
      <c r="B49" s="121"/>
      <c r="C49" s="121"/>
      <c r="D49" s="121" t="str">
        <f t="shared" si="0"/>
        <v/>
      </c>
      <c r="H49" s="121"/>
      <c r="I49" s="121"/>
      <c r="J49" s="121"/>
      <c r="K49" s="121"/>
      <c r="L49" s="121"/>
      <c r="M49" s="121"/>
      <c r="O49" s="124">
        <f t="shared" si="1"/>
        <v>0</v>
      </c>
      <c r="P49" s="124">
        <f t="shared" si="2"/>
        <v>0</v>
      </c>
      <c r="R49" s="121"/>
      <c r="S49" s="121"/>
      <c r="T49" s="121"/>
      <c r="U49" s="121"/>
      <c r="V49" s="121"/>
      <c r="W49" s="121"/>
      <c r="X49" s="121"/>
      <c r="Y49" s="121"/>
      <c r="AA49" s="121" t="str">
        <f t="shared" si="3"/>
        <v/>
      </c>
      <c r="AB49" s="121" t="str">
        <f t="shared" si="4"/>
        <v/>
      </c>
    </row>
    <row r="50" spans="2:28">
      <c r="B50" s="121"/>
      <c r="C50" s="121"/>
      <c r="D50" s="121" t="str">
        <f t="shared" si="0"/>
        <v/>
      </c>
      <c r="H50" s="121"/>
      <c r="I50" s="121"/>
      <c r="J50" s="121"/>
      <c r="K50" s="121"/>
      <c r="L50" s="121"/>
      <c r="M50" s="121"/>
      <c r="O50" s="124">
        <f t="shared" si="1"/>
        <v>0</v>
      </c>
      <c r="P50" s="124">
        <f t="shared" si="2"/>
        <v>0</v>
      </c>
      <c r="R50" s="121"/>
      <c r="S50" s="121"/>
      <c r="T50" s="121"/>
      <c r="U50" s="121"/>
      <c r="V50" s="121"/>
      <c r="W50" s="121"/>
      <c r="X50" s="121"/>
      <c r="Y50" s="121"/>
      <c r="AA50" s="121" t="str">
        <f t="shared" si="3"/>
        <v/>
      </c>
      <c r="AB50" s="121" t="str">
        <f t="shared" si="4"/>
        <v/>
      </c>
    </row>
    <row r="51" spans="2:28">
      <c r="B51" s="121"/>
      <c r="C51" s="121"/>
      <c r="D51" s="121" t="str">
        <f t="shared" si="0"/>
        <v/>
      </c>
      <c r="H51" s="121"/>
      <c r="I51" s="121"/>
      <c r="J51" s="121"/>
      <c r="K51" s="121"/>
      <c r="L51" s="121"/>
      <c r="M51" s="121"/>
      <c r="O51" s="124">
        <f t="shared" si="1"/>
        <v>0</v>
      </c>
      <c r="P51" s="124">
        <f t="shared" si="2"/>
        <v>0</v>
      </c>
      <c r="R51" s="121"/>
      <c r="S51" s="121"/>
      <c r="T51" s="121"/>
      <c r="U51" s="121"/>
      <c r="V51" s="121"/>
      <c r="W51" s="121"/>
      <c r="X51" s="121"/>
      <c r="Y51" s="121"/>
      <c r="AA51" s="121" t="str">
        <f t="shared" si="3"/>
        <v/>
      </c>
      <c r="AB51" s="121" t="str">
        <f t="shared" si="4"/>
        <v/>
      </c>
    </row>
    <row r="52" spans="2:28">
      <c r="B52" s="121"/>
      <c r="C52" s="121"/>
      <c r="D52" s="121" t="str">
        <f t="shared" si="0"/>
        <v/>
      </c>
      <c r="H52" s="121"/>
      <c r="I52" s="121"/>
      <c r="J52" s="121"/>
      <c r="K52" s="121"/>
      <c r="L52" s="121"/>
      <c r="M52" s="121"/>
      <c r="O52" s="124">
        <f t="shared" si="1"/>
        <v>0</v>
      </c>
      <c r="P52" s="124">
        <f t="shared" si="2"/>
        <v>0</v>
      </c>
      <c r="R52" s="121"/>
      <c r="S52" s="121"/>
      <c r="T52" s="121"/>
      <c r="U52" s="121"/>
      <c r="V52" s="121"/>
      <c r="W52" s="121"/>
      <c r="X52" s="121"/>
      <c r="Y52" s="121"/>
      <c r="AA52" s="121" t="str">
        <f t="shared" si="3"/>
        <v/>
      </c>
      <c r="AB52" s="121" t="str">
        <f t="shared" si="4"/>
        <v/>
      </c>
    </row>
    <row r="53" spans="2:28">
      <c r="B53" s="121"/>
      <c r="C53" s="121"/>
      <c r="D53" s="121" t="str">
        <f t="shared" si="0"/>
        <v/>
      </c>
      <c r="H53" s="121"/>
      <c r="I53" s="121"/>
      <c r="J53" s="121"/>
      <c r="K53" s="121"/>
      <c r="L53" s="121"/>
      <c r="M53" s="121"/>
      <c r="O53" s="124">
        <f t="shared" si="1"/>
        <v>0</v>
      </c>
      <c r="P53" s="124">
        <f t="shared" si="2"/>
        <v>0</v>
      </c>
      <c r="R53" s="121"/>
      <c r="S53" s="121"/>
      <c r="T53" s="121"/>
      <c r="U53" s="121"/>
      <c r="V53" s="121"/>
      <c r="W53" s="121"/>
      <c r="X53" s="121"/>
      <c r="Y53" s="121"/>
      <c r="AA53" s="121" t="str">
        <f t="shared" si="3"/>
        <v/>
      </c>
      <c r="AB53" s="121" t="str">
        <f t="shared" si="4"/>
        <v/>
      </c>
    </row>
    <row r="54" spans="2:28">
      <c r="B54" s="121"/>
      <c r="C54" s="121"/>
      <c r="D54" s="121" t="str">
        <f t="shared" si="0"/>
        <v/>
      </c>
      <c r="H54" s="121"/>
      <c r="I54" s="121"/>
      <c r="J54" s="121"/>
      <c r="K54" s="121"/>
      <c r="L54" s="121"/>
      <c r="M54" s="121"/>
      <c r="O54" s="124">
        <f t="shared" si="1"/>
        <v>0</v>
      </c>
      <c r="P54" s="124">
        <f t="shared" si="2"/>
        <v>0</v>
      </c>
      <c r="R54" s="121"/>
      <c r="S54" s="121"/>
      <c r="T54" s="121"/>
      <c r="U54" s="121"/>
      <c r="V54" s="121"/>
      <c r="W54" s="121"/>
      <c r="X54" s="121"/>
      <c r="Y54" s="121"/>
      <c r="AA54" s="121" t="str">
        <f t="shared" si="3"/>
        <v/>
      </c>
      <c r="AB54" s="121" t="str">
        <f t="shared" si="4"/>
        <v/>
      </c>
    </row>
    <row r="55" spans="2:28">
      <c r="B55" s="121"/>
      <c r="C55" s="121"/>
      <c r="D55" s="121" t="str">
        <f t="shared" si="0"/>
        <v/>
      </c>
      <c r="H55" s="121"/>
      <c r="I55" s="121"/>
      <c r="J55" s="121"/>
      <c r="K55" s="121"/>
      <c r="L55" s="121"/>
      <c r="M55" s="121"/>
      <c r="O55" s="124">
        <f t="shared" si="1"/>
        <v>0</v>
      </c>
      <c r="P55" s="124">
        <f t="shared" si="2"/>
        <v>0</v>
      </c>
      <c r="R55" s="121"/>
      <c r="S55" s="121"/>
      <c r="T55" s="121"/>
      <c r="U55" s="121"/>
      <c r="V55" s="121"/>
      <c r="W55" s="121"/>
      <c r="X55" s="121"/>
      <c r="Y55" s="121"/>
      <c r="AA55" s="121" t="str">
        <f t="shared" si="3"/>
        <v/>
      </c>
      <c r="AB55" s="121" t="str">
        <f t="shared" si="4"/>
        <v/>
      </c>
    </row>
    <row r="56" spans="2:28">
      <c r="B56" s="121"/>
      <c r="C56" s="121"/>
      <c r="D56" s="121" t="str">
        <f t="shared" si="0"/>
        <v/>
      </c>
      <c r="H56" s="121"/>
      <c r="I56" s="121"/>
      <c r="J56" s="121"/>
      <c r="K56" s="121"/>
      <c r="L56" s="121"/>
      <c r="M56" s="121"/>
      <c r="O56" s="124">
        <f t="shared" si="1"/>
        <v>0</v>
      </c>
      <c r="P56" s="124">
        <f t="shared" si="2"/>
        <v>0</v>
      </c>
      <c r="R56" s="121"/>
      <c r="S56" s="121"/>
      <c r="T56" s="121"/>
      <c r="U56" s="121"/>
      <c r="V56" s="121"/>
      <c r="W56" s="121"/>
      <c r="X56" s="121"/>
      <c r="Y56" s="121"/>
      <c r="AA56" s="121" t="str">
        <f t="shared" si="3"/>
        <v/>
      </c>
      <c r="AB56" s="121" t="str">
        <f t="shared" si="4"/>
        <v/>
      </c>
    </row>
    <row r="57" spans="2:28">
      <c r="B57" s="121"/>
      <c r="C57" s="121"/>
      <c r="D57" s="121" t="str">
        <f t="shared" si="0"/>
        <v/>
      </c>
      <c r="H57" s="121"/>
      <c r="I57" s="121"/>
      <c r="J57" s="121"/>
      <c r="K57" s="121"/>
      <c r="L57" s="121"/>
      <c r="M57" s="121"/>
      <c r="O57" s="124">
        <f t="shared" si="1"/>
        <v>0</v>
      </c>
      <c r="P57" s="124">
        <f t="shared" si="2"/>
        <v>0</v>
      </c>
      <c r="R57" s="121"/>
      <c r="S57" s="121"/>
      <c r="T57" s="121"/>
      <c r="U57" s="121"/>
      <c r="V57" s="121"/>
      <c r="W57" s="121"/>
      <c r="X57" s="121"/>
      <c r="Y57" s="121"/>
      <c r="AA57" s="121" t="str">
        <f t="shared" si="3"/>
        <v/>
      </c>
      <c r="AB57" s="121" t="str">
        <f t="shared" si="4"/>
        <v/>
      </c>
    </row>
    <row r="58" spans="2:28">
      <c r="B58" s="121"/>
      <c r="C58" s="121"/>
      <c r="D58" s="121" t="str">
        <f t="shared" si="0"/>
        <v/>
      </c>
      <c r="H58" s="121"/>
      <c r="I58" s="121"/>
      <c r="J58" s="121"/>
      <c r="K58" s="121"/>
      <c r="L58" s="121"/>
      <c r="M58" s="121"/>
      <c r="O58" s="124">
        <f t="shared" si="1"/>
        <v>0</v>
      </c>
      <c r="P58" s="124">
        <f t="shared" si="2"/>
        <v>0</v>
      </c>
      <c r="R58" s="121"/>
      <c r="S58" s="121"/>
      <c r="T58" s="121"/>
      <c r="U58" s="121"/>
      <c r="V58" s="121"/>
      <c r="W58" s="121"/>
      <c r="X58" s="121"/>
      <c r="Y58" s="121"/>
      <c r="AA58" s="121" t="str">
        <f t="shared" si="3"/>
        <v/>
      </c>
      <c r="AB58" s="121" t="str">
        <f t="shared" si="4"/>
        <v/>
      </c>
    </row>
    <row r="59" spans="2:28">
      <c r="B59" s="121"/>
      <c r="C59" s="121"/>
      <c r="D59" s="121" t="str">
        <f t="shared" si="0"/>
        <v/>
      </c>
      <c r="H59" s="121"/>
      <c r="I59" s="121"/>
      <c r="J59" s="121"/>
      <c r="K59" s="121"/>
      <c r="L59" s="121"/>
      <c r="M59" s="121"/>
      <c r="O59" s="124">
        <f t="shared" si="1"/>
        <v>0</v>
      </c>
      <c r="P59" s="124">
        <f t="shared" si="2"/>
        <v>0</v>
      </c>
      <c r="R59" s="121"/>
      <c r="S59" s="121"/>
      <c r="T59" s="121"/>
      <c r="U59" s="121"/>
      <c r="V59" s="121"/>
      <c r="W59" s="121"/>
      <c r="X59" s="121"/>
      <c r="Y59" s="121"/>
      <c r="AA59" s="121" t="str">
        <f t="shared" si="3"/>
        <v/>
      </c>
      <c r="AB59" s="121" t="str">
        <f t="shared" si="4"/>
        <v/>
      </c>
    </row>
    <row r="60" spans="2:28">
      <c r="B60" s="121"/>
      <c r="C60" s="121"/>
      <c r="D60" s="121" t="str">
        <f t="shared" si="0"/>
        <v/>
      </c>
      <c r="H60" s="121"/>
      <c r="I60" s="121"/>
      <c r="J60" s="121"/>
      <c r="K60" s="121"/>
      <c r="L60" s="121"/>
      <c r="M60" s="121"/>
      <c r="O60" s="124">
        <f t="shared" si="1"/>
        <v>0</v>
      </c>
      <c r="P60" s="124">
        <f t="shared" si="2"/>
        <v>0</v>
      </c>
      <c r="R60" s="121"/>
      <c r="S60" s="121"/>
      <c r="T60" s="121"/>
      <c r="U60" s="121"/>
      <c r="V60" s="121"/>
      <c r="W60" s="121"/>
      <c r="X60" s="121"/>
      <c r="Y60" s="121"/>
      <c r="AA60" s="121" t="str">
        <f t="shared" si="3"/>
        <v/>
      </c>
      <c r="AB60" s="121" t="str">
        <f t="shared" si="4"/>
        <v/>
      </c>
    </row>
    <row r="61" spans="2:28">
      <c r="B61" s="121"/>
      <c r="C61" s="121"/>
      <c r="D61" s="121" t="str">
        <f t="shared" si="0"/>
        <v/>
      </c>
      <c r="H61" s="121"/>
      <c r="I61" s="121"/>
      <c r="J61" s="121"/>
      <c r="K61" s="121"/>
      <c r="L61" s="121"/>
      <c r="M61" s="121"/>
      <c r="O61" s="124">
        <f t="shared" si="1"/>
        <v>0</v>
      </c>
      <c r="P61" s="124">
        <f t="shared" si="2"/>
        <v>0</v>
      </c>
      <c r="R61" s="121"/>
      <c r="S61" s="121"/>
      <c r="T61" s="121"/>
      <c r="U61" s="121"/>
      <c r="V61" s="121"/>
      <c r="W61" s="121"/>
      <c r="X61" s="121"/>
      <c r="Y61" s="121"/>
      <c r="AA61" s="121" t="str">
        <f t="shared" si="3"/>
        <v/>
      </c>
      <c r="AB61" s="121" t="str">
        <f t="shared" si="4"/>
        <v/>
      </c>
    </row>
    <row r="62" spans="2:28">
      <c r="B62" s="121"/>
      <c r="C62" s="121"/>
      <c r="D62" s="121" t="str">
        <f t="shared" si="0"/>
        <v/>
      </c>
      <c r="H62" s="121"/>
      <c r="I62" s="121"/>
      <c r="J62" s="121"/>
      <c r="K62" s="121"/>
      <c r="L62" s="121"/>
      <c r="M62" s="121"/>
      <c r="O62" s="124">
        <f t="shared" si="1"/>
        <v>0</v>
      </c>
      <c r="P62" s="124">
        <f t="shared" si="2"/>
        <v>0</v>
      </c>
      <c r="R62" s="121"/>
      <c r="S62" s="121"/>
      <c r="T62" s="121"/>
      <c r="U62" s="121"/>
      <c r="V62" s="121"/>
      <c r="W62" s="121"/>
      <c r="X62" s="121"/>
      <c r="Y62" s="121"/>
      <c r="AA62" s="121" t="str">
        <f t="shared" si="3"/>
        <v/>
      </c>
      <c r="AB62" s="121" t="str">
        <f t="shared" si="4"/>
        <v/>
      </c>
    </row>
    <row r="63" spans="2:28">
      <c r="B63" s="121"/>
      <c r="C63" s="121"/>
      <c r="D63" s="121" t="str">
        <f t="shared" si="0"/>
        <v/>
      </c>
      <c r="H63" s="121"/>
      <c r="I63" s="121"/>
      <c r="J63" s="121"/>
      <c r="K63" s="121"/>
      <c r="L63" s="121"/>
      <c r="M63" s="121"/>
      <c r="O63" s="124">
        <f t="shared" si="1"/>
        <v>0</v>
      </c>
      <c r="P63" s="124">
        <f t="shared" si="2"/>
        <v>0</v>
      </c>
      <c r="R63" s="121"/>
      <c r="S63" s="121"/>
      <c r="T63" s="121"/>
      <c r="U63" s="121"/>
      <c r="V63" s="121"/>
      <c r="W63" s="121"/>
      <c r="X63" s="121"/>
      <c r="Y63" s="121"/>
      <c r="AA63" s="121" t="str">
        <f t="shared" si="3"/>
        <v/>
      </c>
      <c r="AB63" s="121" t="str">
        <f t="shared" si="4"/>
        <v/>
      </c>
    </row>
    <row r="64" spans="2:28">
      <c r="B64" s="121"/>
      <c r="C64" s="121"/>
      <c r="D64" s="121" t="str">
        <f t="shared" si="0"/>
        <v/>
      </c>
      <c r="H64" s="121"/>
      <c r="I64" s="121"/>
      <c r="J64" s="121"/>
      <c r="K64" s="121"/>
      <c r="L64" s="121"/>
      <c r="M64" s="121"/>
      <c r="O64" s="124">
        <f t="shared" si="1"/>
        <v>0</v>
      </c>
      <c r="P64" s="124">
        <f t="shared" si="2"/>
        <v>0</v>
      </c>
      <c r="R64" s="121"/>
      <c r="S64" s="121"/>
      <c r="T64" s="121"/>
      <c r="U64" s="121"/>
      <c r="V64" s="121"/>
      <c r="W64" s="121"/>
      <c r="X64" s="121"/>
      <c r="Y64" s="121"/>
      <c r="AA64" s="121" t="str">
        <f t="shared" si="3"/>
        <v/>
      </c>
      <c r="AB64" s="121" t="str">
        <f t="shared" si="4"/>
        <v/>
      </c>
    </row>
    <row r="65" spans="2:28">
      <c r="B65" s="121"/>
      <c r="C65" s="121"/>
      <c r="D65" s="121" t="str">
        <f t="shared" si="0"/>
        <v/>
      </c>
      <c r="H65" s="121"/>
      <c r="I65" s="121"/>
      <c r="J65" s="121"/>
      <c r="K65" s="121"/>
      <c r="L65" s="121"/>
      <c r="M65" s="121"/>
      <c r="O65" s="124">
        <f t="shared" si="1"/>
        <v>0</v>
      </c>
      <c r="P65" s="124">
        <f t="shared" si="2"/>
        <v>0</v>
      </c>
      <c r="R65" s="121"/>
      <c r="S65" s="121"/>
      <c r="T65" s="121"/>
      <c r="U65" s="121"/>
      <c r="V65" s="121"/>
      <c r="W65" s="121"/>
      <c r="X65" s="121"/>
      <c r="Y65" s="121"/>
      <c r="AA65" s="121" t="str">
        <f t="shared" si="3"/>
        <v/>
      </c>
      <c r="AB65" s="121" t="str">
        <f t="shared" si="4"/>
        <v/>
      </c>
    </row>
    <row r="66" spans="2:28">
      <c r="B66" s="121"/>
      <c r="C66" s="121"/>
      <c r="D66" s="121" t="str">
        <f t="shared" si="0"/>
        <v/>
      </c>
      <c r="H66" s="121"/>
      <c r="I66" s="121"/>
      <c r="J66" s="121"/>
      <c r="K66" s="121"/>
      <c r="L66" s="121"/>
      <c r="M66" s="121"/>
      <c r="O66" s="124">
        <f t="shared" si="1"/>
        <v>0</v>
      </c>
      <c r="P66" s="124">
        <f t="shared" si="2"/>
        <v>0</v>
      </c>
      <c r="R66" s="121"/>
      <c r="S66" s="121"/>
      <c r="T66" s="121"/>
      <c r="U66" s="121"/>
      <c r="V66" s="121"/>
      <c r="W66" s="121"/>
      <c r="X66" s="121"/>
      <c r="Y66" s="121"/>
      <c r="AA66" s="121" t="str">
        <f t="shared" si="3"/>
        <v/>
      </c>
      <c r="AB66" s="121" t="str">
        <f t="shared" si="4"/>
        <v/>
      </c>
    </row>
    <row r="67" spans="2:28">
      <c r="B67" s="121"/>
      <c r="C67" s="121"/>
      <c r="D67" s="121" t="str">
        <f t="shared" si="0"/>
        <v/>
      </c>
      <c r="H67" s="121"/>
      <c r="I67" s="121"/>
      <c r="J67" s="121"/>
      <c r="K67" s="121"/>
      <c r="L67" s="121"/>
      <c r="M67" s="121"/>
      <c r="O67" s="124">
        <f t="shared" si="1"/>
        <v>0</v>
      </c>
      <c r="P67" s="124">
        <f t="shared" si="2"/>
        <v>0</v>
      </c>
      <c r="R67" s="121"/>
      <c r="S67" s="121"/>
      <c r="T67" s="121"/>
      <c r="U67" s="121"/>
      <c r="V67" s="121"/>
      <c r="W67" s="121"/>
      <c r="X67" s="121"/>
      <c r="Y67" s="121"/>
      <c r="AA67" s="121" t="str">
        <f t="shared" si="3"/>
        <v/>
      </c>
      <c r="AB67" s="121" t="str">
        <f t="shared" si="4"/>
        <v/>
      </c>
    </row>
    <row r="68" spans="2:28">
      <c r="B68" s="121"/>
      <c r="C68" s="121"/>
      <c r="D68" s="121" t="str">
        <f t="shared" si="0"/>
        <v/>
      </c>
      <c r="H68" s="121"/>
      <c r="I68" s="121"/>
      <c r="J68" s="121"/>
      <c r="K68" s="121"/>
      <c r="L68" s="121"/>
      <c r="M68" s="121"/>
      <c r="O68" s="124">
        <f t="shared" si="1"/>
        <v>0</v>
      </c>
      <c r="P68" s="124">
        <f t="shared" si="2"/>
        <v>0</v>
      </c>
      <c r="R68" s="121"/>
      <c r="S68" s="121"/>
      <c r="T68" s="121"/>
      <c r="U68" s="121"/>
      <c r="V68" s="121"/>
      <c r="W68" s="121"/>
      <c r="X68" s="121"/>
      <c r="Y68" s="121"/>
      <c r="AA68" s="121" t="str">
        <f t="shared" si="3"/>
        <v/>
      </c>
      <c r="AB68" s="121" t="str">
        <f t="shared" si="4"/>
        <v/>
      </c>
    </row>
    <row r="69" spans="2:28">
      <c r="B69" s="121"/>
      <c r="C69" s="121"/>
      <c r="D69" s="121" t="str">
        <f t="shared" si="0"/>
        <v/>
      </c>
      <c r="H69" s="121"/>
      <c r="I69" s="121"/>
      <c r="J69" s="121"/>
      <c r="K69" s="121"/>
      <c r="L69" s="121"/>
      <c r="M69" s="121"/>
      <c r="O69" s="124">
        <f t="shared" si="1"/>
        <v>0</v>
      </c>
      <c r="P69" s="124">
        <f t="shared" si="2"/>
        <v>0</v>
      </c>
      <c r="R69" s="121"/>
      <c r="S69" s="121"/>
      <c r="T69" s="121"/>
      <c r="U69" s="121"/>
      <c r="V69" s="121"/>
      <c r="W69" s="121"/>
      <c r="X69" s="121"/>
      <c r="Y69" s="121"/>
      <c r="AA69" s="121" t="str">
        <f t="shared" si="3"/>
        <v/>
      </c>
      <c r="AB69" s="121" t="str">
        <f t="shared" si="4"/>
        <v/>
      </c>
    </row>
    <row r="70" spans="2:28">
      <c r="B70" s="121"/>
      <c r="C70" s="121"/>
      <c r="D70" s="121" t="str">
        <f t="shared" si="0"/>
        <v/>
      </c>
      <c r="H70" s="121"/>
      <c r="I70" s="121"/>
      <c r="J70" s="121"/>
      <c r="K70" s="121"/>
      <c r="L70" s="121"/>
      <c r="M70" s="121"/>
      <c r="O70" s="124">
        <f t="shared" si="1"/>
        <v>0</v>
      </c>
      <c r="P70" s="124">
        <f t="shared" si="2"/>
        <v>0</v>
      </c>
      <c r="R70" s="121"/>
      <c r="S70" s="121"/>
      <c r="T70" s="121"/>
      <c r="U70" s="121"/>
      <c r="V70" s="121"/>
      <c r="W70" s="121"/>
      <c r="X70" s="121"/>
      <c r="Y70" s="121"/>
      <c r="AA70" s="121" t="str">
        <f t="shared" si="3"/>
        <v/>
      </c>
      <c r="AB70" s="121" t="str">
        <f t="shared" si="4"/>
        <v/>
      </c>
    </row>
    <row r="71" spans="2:28">
      <c r="B71" s="121"/>
      <c r="C71" s="121"/>
      <c r="D71" s="121" t="str">
        <f t="shared" si="0"/>
        <v/>
      </c>
      <c r="H71" s="121"/>
      <c r="I71" s="121"/>
      <c r="J71" s="121"/>
      <c r="K71" s="121"/>
      <c r="L71" s="121"/>
      <c r="M71" s="121"/>
      <c r="O71" s="124">
        <f t="shared" si="1"/>
        <v>0</v>
      </c>
      <c r="P71" s="124">
        <f t="shared" si="2"/>
        <v>0</v>
      </c>
      <c r="R71" s="121"/>
      <c r="S71" s="121"/>
      <c r="T71" s="121"/>
      <c r="U71" s="121"/>
      <c r="V71" s="121"/>
      <c r="W71" s="121"/>
      <c r="X71" s="121"/>
      <c r="Y71" s="121"/>
      <c r="AA71" s="121" t="str">
        <f t="shared" si="3"/>
        <v/>
      </c>
      <c r="AB71" s="121" t="str">
        <f t="shared" si="4"/>
        <v/>
      </c>
    </row>
    <row r="72" spans="2:28">
      <c r="B72" s="121"/>
      <c r="C72" s="121"/>
      <c r="D72" s="121" t="str">
        <f t="shared" si="0"/>
        <v/>
      </c>
      <c r="H72" s="121"/>
      <c r="I72" s="121"/>
      <c r="J72" s="121"/>
      <c r="K72" s="121"/>
      <c r="L72" s="121"/>
      <c r="M72" s="121"/>
      <c r="O72" s="124">
        <f t="shared" si="1"/>
        <v>0</v>
      </c>
      <c r="P72" s="124">
        <f t="shared" si="2"/>
        <v>0</v>
      </c>
      <c r="R72" s="121"/>
      <c r="S72" s="121"/>
      <c r="T72" s="121"/>
      <c r="U72" s="121"/>
      <c r="V72" s="121"/>
      <c r="W72" s="121"/>
      <c r="X72" s="121"/>
      <c r="Y72" s="121"/>
      <c r="AA72" s="121" t="str">
        <f t="shared" si="3"/>
        <v/>
      </c>
      <c r="AB72" s="121" t="str">
        <f t="shared" si="4"/>
        <v/>
      </c>
    </row>
    <row r="73" spans="2:28">
      <c r="B73" s="121"/>
      <c r="C73" s="121"/>
      <c r="D73" s="121" t="str">
        <f t="shared" ref="D73:D136" si="5">IF(C73="","",IF(B73="",C73,B73&amp;":"&amp;C73))</f>
        <v/>
      </c>
      <c r="H73" s="121"/>
      <c r="I73" s="121"/>
      <c r="J73" s="121"/>
      <c r="K73" s="121"/>
      <c r="L73" s="121"/>
      <c r="M73" s="121"/>
      <c r="O73" s="124">
        <f t="shared" ref="O73:O136" si="6">IF(B73="",C73,B73&amp;":"&amp;C73)</f>
        <v>0</v>
      </c>
      <c r="P73" s="124">
        <f t="shared" ref="P73:P136" si="7">HLOOKUP($P$7,$I$7:$M$200,ROW()-6,FALSE)</f>
        <v>0</v>
      </c>
      <c r="R73" s="121"/>
      <c r="S73" s="121"/>
      <c r="T73" s="121"/>
      <c r="U73" s="121"/>
      <c r="V73" s="121"/>
      <c r="W73" s="121"/>
      <c r="X73" s="121"/>
      <c r="Y73" s="121"/>
      <c r="AA73" s="121" t="str">
        <f t="shared" ref="AA73:AA136" si="8">IF(R73="",S73,R73&amp;":"&amp;S73)&amp;T73</f>
        <v/>
      </c>
      <c r="AB73" s="121" t="str">
        <f t="shared" ref="AB73:AB136" si="9">IF(HLOOKUP($AB$7,$U$7:$Y$200,ROW()-6,FALSE)="","",HLOOKUP($AB$7,$U$7:$Y$200,ROW()-6,FALSE))</f>
        <v/>
      </c>
    </row>
    <row r="74" spans="2:28">
      <c r="B74" s="121"/>
      <c r="C74" s="121"/>
      <c r="D74" s="121" t="str">
        <f t="shared" si="5"/>
        <v/>
      </c>
      <c r="H74" s="121"/>
      <c r="I74" s="121"/>
      <c r="J74" s="121"/>
      <c r="K74" s="121"/>
      <c r="L74" s="121"/>
      <c r="M74" s="121"/>
      <c r="O74" s="124">
        <f t="shared" si="6"/>
        <v>0</v>
      </c>
      <c r="P74" s="124">
        <f t="shared" si="7"/>
        <v>0</v>
      </c>
      <c r="R74" s="121"/>
      <c r="S74" s="121"/>
      <c r="T74" s="121"/>
      <c r="U74" s="121"/>
      <c r="V74" s="121"/>
      <c r="W74" s="121"/>
      <c r="X74" s="121"/>
      <c r="Y74" s="121"/>
      <c r="AA74" s="121" t="str">
        <f t="shared" si="8"/>
        <v/>
      </c>
      <c r="AB74" s="121" t="str">
        <f t="shared" si="9"/>
        <v/>
      </c>
    </row>
    <row r="75" spans="2:28">
      <c r="B75" s="121"/>
      <c r="C75" s="121"/>
      <c r="D75" s="121" t="str">
        <f t="shared" si="5"/>
        <v/>
      </c>
      <c r="H75" s="121"/>
      <c r="I75" s="121"/>
      <c r="J75" s="121"/>
      <c r="K75" s="121"/>
      <c r="L75" s="121"/>
      <c r="M75" s="121"/>
      <c r="O75" s="124">
        <f t="shared" si="6"/>
        <v>0</v>
      </c>
      <c r="P75" s="124">
        <f t="shared" si="7"/>
        <v>0</v>
      </c>
      <c r="R75" s="121"/>
      <c r="S75" s="121"/>
      <c r="T75" s="121"/>
      <c r="U75" s="121"/>
      <c r="V75" s="121"/>
      <c r="W75" s="121"/>
      <c r="X75" s="121"/>
      <c r="Y75" s="121"/>
      <c r="AA75" s="121" t="str">
        <f t="shared" si="8"/>
        <v/>
      </c>
      <c r="AB75" s="121" t="str">
        <f t="shared" si="9"/>
        <v/>
      </c>
    </row>
    <row r="76" spans="2:28">
      <c r="B76" s="121"/>
      <c r="C76" s="121"/>
      <c r="D76" s="121" t="str">
        <f t="shared" si="5"/>
        <v/>
      </c>
      <c r="H76" s="121"/>
      <c r="I76" s="121"/>
      <c r="J76" s="121"/>
      <c r="K76" s="121"/>
      <c r="L76" s="121"/>
      <c r="M76" s="121"/>
      <c r="O76" s="124">
        <f t="shared" si="6"/>
        <v>0</v>
      </c>
      <c r="P76" s="124">
        <f t="shared" si="7"/>
        <v>0</v>
      </c>
      <c r="R76" s="121"/>
      <c r="S76" s="121"/>
      <c r="T76" s="121"/>
      <c r="U76" s="121"/>
      <c r="V76" s="121"/>
      <c r="W76" s="121"/>
      <c r="X76" s="121"/>
      <c r="Y76" s="121"/>
      <c r="AA76" s="121" t="str">
        <f t="shared" si="8"/>
        <v/>
      </c>
      <c r="AB76" s="121" t="str">
        <f t="shared" si="9"/>
        <v/>
      </c>
    </row>
    <row r="77" spans="2:28">
      <c r="B77" s="121"/>
      <c r="C77" s="121"/>
      <c r="D77" s="121" t="str">
        <f t="shared" si="5"/>
        <v/>
      </c>
      <c r="H77" s="121"/>
      <c r="I77" s="121"/>
      <c r="J77" s="121"/>
      <c r="K77" s="121"/>
      <c r="L77" s="121"/>
      <c r="M77" s="121"/>
      <c r="O77" s="124">
        <f t="shared" si="6"/>
        <v>0</v>
      </c>
      <c r="P77" s="124">
        <f t="shared" si="7"/>
        <v>0</v>
      </c>
      <c r="R77" s="121"/>
      <c r="S77" s="121"/>
      <c r="T77" s="121"/>
      <c r="U77" s="121"/>
      <c r="V77" s="121"/>
      <c r="W77" s="121"/>
      <c r="X77" s="121"/>
      <c r="Y77" s="121"/>
      <c r="AA77" s="121" t="str">
        <f t="shared" si="8"/>
        <v/>
      </c>
      <c r="AB77" s="121" t="str">
        <f t="shared" si="9"/>
        <v/>
      </c>
    </row>
    <row r="78" spans="2:28">
      <c r="B78" s="121"/>
      <c r="C78" s="121"/>
      <c r="D78" s="121" t="str">
        <f t="shared" si="5"/>
        <v/>
      </c>
      <c r="H78" s="121"/>
      <c r="I78" s="121"/>
      <c r="J78" s="121"/>
      <c r="K78" s="121"/>
      <c r="L78" s="121"/>
      <c r="M78" s="121"/>
      <c r="O78" s="124">
        <f t="shared" si="6"/>
        <v>0</v>
      </c>
      <c r="P78" s="124">
        <f t="shared" si="7"/>
        <v>0</v>
      </c>
      <c r="R78" s="121"/>
      <c r="S78" s="121"/>
      <c r="T78" s="121"/>
      <c r="U78" s="121"/>
      <c r="V78" s="121"/>
      <c r="W78" s="121"/>
      <c r="X78" s="121"/>
      <c r="Y78" s="121"/>
      <c r="AA78" s="121" t="str">
        <f t="shared" si="8"/>
        <v/>
      </c>
      <c r="AB78" s="121" t="str">
        <f t="shared" si="9"/>
        <v/>
      </c>
    </row>
    <row r="79" spans="2:28">
      <c r="B79" s="121"/>
      <c r="C79" s="121"/>
      <c r="D79" s="121" t="str">
        <f t="shared" si="5"/>
        <v/>
      </c>
      <c r="H79" s="121"/>
      <c r="I79" s="121"/>
      <c r="J79" s="121"/>
      <c r="K79" s="121"/>
      <c r="L79" s="121"/>
      <c r="M79" s="121"/>
      <c r="O79" s="124">
        <f t="shared" si="6"/>
        <v>0</v>
      </c>
      <c r="P79" s="124">
        <f t="shared" si="7"/>
        <v>0</v>
      </c>
      <c r="R79" s="121"/>
      <c r="S79" s="121"/>
      <c r="T79" s="121"/>
      <c r="U79" s="121"/>
      <c r="V79" s="121"/>
      <c r="W79" s="121"/>
      <c r="X79" s="121"/>
      <c r="Y79" s="121"/>
      <c r="AA79" s="121" t="str">
        <f t="shared" si="8"/>
        <v/>
      </c>
      <c r="AB79" s="121" t="str">
        <f t="shared" si="9"/>
        <v/>
      </c>
    </row>
    <row r="80" spans="2:28">
      <c r="B80" s="121"/>
      <c r="C80" s="121"/>
      <c r="D80" s="121" t="str">
        <f t="shared" si="5"/>
        <v/>
      </c>
      <c r="H80" s="121"/>
      <c r="I80" s="121"/>
      <c r="J80" s="121"/>
      <c r="K80" s="121"/>
      <c r="L80" s="121"/>
      <c r="M80" s="121"/>
      <c r="O80" s="124">
        <f t="shared" si="6"/>
        <v>0</v>
      </c>
      <c r="P80" s="124">
        <f t="shared" si="7"/>
        <v>0</v>
      </c>
      <c r="R80" s="121"/>
      <c r="S80" s="121"/>
      <c r="T80" s="121"/>
      <c r="U80" s="121"/>
      <c r="V80" s="121"/>
      <c r="W80" s="121"/>
      <c r="X80" s="121"/>
      <c r="Y80" s="121"/>
      <c r="AA80" s="121" t="str">
        <f t="shared" si="8"/>
        <v/>
      </c>
      <c r="AB80" s="121" t="str">
        <f t="shared" si="9"/>
        <v/>
      </c>
    </row>
    <row r="81" spans="2:28">
      <c r="B81" s="121"/>
      <c r="C81" s="121"/>
      <c r="D81" s="121" t="str">
        <f t="shared" si="5"/>
        <v/>
      </c>
      <c r="H81" s="121"/>
      <c r="I81" s="121"/>
      <c r="J81" s="121"/>
      <c r="K81" s="121"/>
      <c r="L81" s="121"/>
      <c r="M81" s="121"/>
      <c r="O81" s="124">
        <f t="shared" si="6"/>
        <v>0</v>
      </c>
      <c r="P81" s="124">
        <f t="shared" si="7"/>
        <v>0</v>
      </c>
      <c r="R81" s="121"/>
      <c r="S81" s="121"/>
      <c r="T81" s="121"/>
      <c r="U81" s="121"/>
      <c r="V81" s="121"/>
      <c r="W81" s="121"/>
      <c r="X81" s="121"/>
      <c r="Y81" s="121"/>
      <c r="AA81" s="121" t="str">
        <f t="shared" si="8"/>
        <v/>
      </c>
      <c r="AB81" s="121" t="str">
        <f t="shared" si="9"/>
        <v/>
      </c>
    </row>
    <row r="82" spans="2:28">
      <c r="B82" s="121"/>
      <c r="C82" s="121"/>
      <c r="D82" s="121" t="str">
        <f t="shared" si="5"/>
        <v/>
      </c>
      <c r="H82" s="121"/>
      <c r="I82" s="121"/>
      <c r="J82" s="121"/>
      <c r="K82" s="121"/>
      <c r="L82" s="121"/>
      <c r="M82" s="121"/>
      <c r="O82" s="124">
        <f t="shared" si="6"/>
        <v>0</v>
      </c>
      <c r="P82" s="124">
        <f t="shared" si="7"/>
        <v>0</v>
      </c>
      <c r="R82" s="121"/>
      <c r="S82" s="121"/>
      <c r="T82" s="121"/>
      <c r="U82" s="121"/>
      <c r="V82" s="121"/>
      <c r="W82" s="121"/>
      <c r="X82" s="121"/>
      <c r="Y82" s="121"/>
      <c r="AA82" s="121" t="str">
        <f t="shared" si="8"/>
        <v/>
      </c>
      <c r="AB82" s="121" t="str">
        <f t="shared" si="9"/>
        <v/>
      </c>
    </row>
    <row r="83" spans="2:28">
      <c r="B83" s="121"/>
      <c r="C83" s="121"/>
      <c r="D83" s="121" t="str">
        <f t="shared" si="5"/>
        <v/>
      </c>
      <c r="H83" s="121"/>
      <c r="I83" s="121"/>
      <c r="J83" s="121"/>
      <c r="K83" s="121"/>
      <c r="L83" s="121"/>
      <c r="M83" s="121"/>
      <c r="O83" s="124">
        <f t="shared" si="6"/>
        <v>0</v>
      </c>
      <c r="P83" s="124">
        <f t="shared" si="7"/>
        <v>0</v>
      </c>
      <c r="R83" s="121"/>
      <c r="S83" s="121"/>
      <c r="T83" s="121"/>
      <c r="U83" s="121"/>
      <c r="V83" s="121"/>
      <c r="W83" s="121"/>
      <c r="X83" s="121"/>
      <c r="Y83" s="121"/>
      <c r="AA83" s="121" t="str">
        <f t="shared" si="8"/>
        <v/>
      </c>
      <c r="AB83" s="121" t="str">
        <f t="shared" si="9"/>
        <v/>
      </c>
    </row>
    <row r="84" spans="2:28">
      <c r="B84" s="121"/>
      <c r="C84" s="121"/>
      <c r="D84" s="121" t="str">
        <f t="shared" si="5"/>
        <v/>
      </c>
      <c r="H84" s="121"/>
      <c r="I84" s="121"/>
      <c r="J84" s="121"/>
      <c r="K84" s="121"/>
      <c r="L84" s="121"/>
      <c r="M84" s="121"/>
      <c r="O84" s="124">
        <f t="shared" si="6"/>
        <v>0</v>
      </c>
      <c r="P84" s="124">
        <f t="shared" si="7"/>
        <v>0</v>
      </c>
      <c r="R84" s="121"/>
      <c r="S84" s="121"/>
      <c r="T84" s="121"/>
      <c r="U84" s="121"/>
      <c r="V84" s="121"/>
      <c r="W84" s="121"/>
      <c r="X84" s="121"/>
      <c r="Y84" s="121"/>
      <c r="AA84" s="121" t="str">
        <f t="shared" si="8"/>
        <v/>
      </c>
      <c r="AB84" s="121" t="str">
        <f t="shared" si="9"/>
        <v/>
      </c>
    </row>
    <row r="85" spans="2:28">
      <c r="B85" s="121"/>
      <c r="C85" s="121"/>
      <c r="D85" s="121" t="str">
        <f t="shared" si="5"/>
        <v/>
      </c>
      <c r="H85" s="121"/>
      <c r="I85" s="121"/>
      <c r="J85" s="121"/>
      <c r="K85" s="121"/>
      <c r="L85" s="121"/>
      <c r="M85" s="121"/>
      <c r="O85" s="124">
        <f t="shared" si="6"/>
        <v>0</v>
      </c>
      <c r="P85" s="124">
        <f t="shared" si="7"/>
        <v>0</v>
      </c>
      <c r="R85" s="121"/>
      <c r="S85" s="121"/>
      <c r="T85" s="121"/>
      <c r="U85" s="121"/>
      <c r="V85" s="121"/>
      <c r="W85" s="121"/>
      <c r="X85" s="121"/>
      <c r="Y85" s="121"/>
      <c r="AA85" s="121" t="str">
        <f t="shared" si="8"/>
        <v/>
      </c>
      <c r="AB85" s="121" t="str">
        <f t="shared" si="9"/>
        <v/>
      </c>
    </row>
    <row r="86" spans="2:28">
      <c r="B86" s="121"/>
      <c r="C86" s="121"/>
      <c r="D86" s="121" t="str">
        <f t="shared" si="5"/>
        <v/>
      </c>
      <c r="H86" s="121"/>
      <c r="I86" s="121"/>
      <c r="J86" s="121"/>
      <c r="K86" s="121"/>
      <c r="L86" s="121"/>
      <c r="M86" s="121"/>
      <c r="O86" s="124">
        <f t="shared" si="6"/>
        <v>0</v>
      </c>
      <c r="P86" s="124">
        <f t="shared" si="7"/>
        <v>0</v>
      </c>
      <c r="R86" s="121"/>
      <c r="S86" s="121"/>
      <c r="T86" s="121"/>
      <c r="U86" s="121"/>
      <c r="V86" s="121"/>
      <c r="W86" s="121"/>
      <c r="X86" s="121"/>
      <c r="Y86" s="121"/>
      <c r="AA86" s="121" t="str">
        <f t="shared" si="8"/>
        <v/>
      </c>
      <c r="AB86" s="121" t="str">
        <f t="shared" si="9"/>
        <v/>
      </c>
    </row>
    <row r="87" spans="2:28">
      <c r="B87" s="121"/>
      <c r="C87" s="121"/>
      <c r="D87" s="121" t="str">
        <f t="shared" si="5"/>
        <v/>
      </c>
      <c r="H87" s="121"/>
      <c r="I87" s="121"/>
      <c r="J87" s="121"/>
      <c r="K87" s="121"/>
      <c r="L87" s="121"/>
      <c r="M87" s="121"/>
      <c r="O87" s="124">
        <f t="shared" si="6"/>
        <v>0</v>
      </c>
      <c r="P87" s="124">
        <f t="shared" si="7"/>
        <v>0</v>
      </c>
      <c r="R87" s="121"/>
      <c r="S87" s="121"/>
      <c r="T87" s="121"/>
      <c r="U87" s="121"/>
      <c r="V87" s="121"/>
      <c r="W87" s="121"/>
      <c r="X87" s="121"/>
      <c r="Y87" s="121"/>
      <c r="AA87" s="121" t="str">
        <f t="shared" si="8"/>
        <v/>
      </c>
      <c r="AB87" s="121" t="str">
        <f t="shared" si="9"/>
        <v/>
      </c>
    </row>
    <row r="88" spans="2:28">
      <c r="B88" s="121"/>
      <c r="C88" s="121"/>
      <c r="D88" s="121" t="str">
        <f t="shared" si="5"/>
        <v/>
      </c>
      <c r="H88" s="121"/>
      <c r="I88" s="121"/>
      <c r="J88" s="121"/>
      <c r="K88" s="121"/>
      <c r="L88" s="121"/>
      <c r="M88" s="121"/>
      <c r="O88" s="124">
        <f t="shared" si="6"/>
        <v>0</v>
      </c>
      <c r="P88" s="124">
        <f t="shared" si="7"/>
        <v>0</v>
      </c>
      <c r="R88" s="121"/>
      <c r="S88" s="121"/>
      <c r="T88" s="121"/>
      <c r="U88" s="121"/>
      <c r="V88" s="121"/>
      <c r="W88" s="121"/>
      <c r="X88" s="121"/>
      <c r="Y88" s="121"/>
      <c r="AA88" s="121" t="str">
        <f t="shared" si="8"/>
        <v/>
      </c>
      <c r="AB88" s="121" t="str">
        <f t="shared" si="9"/>
        <v/>
      </c>
    </row>
    <row r="89" spans="2:28">
      <c r="B89" s="121"/>
      <c r="C89" s="121"/>
      <c r="D89" s="121" t="str">
        <f t="shared" si="5"/>
        <v/>
      </c>
      <c r="H89" s="121"/>
      <c r="I89" s="121"/>
      <c r="J89" s="121"/>
      <c r="K89" s="121"/>
      <c r="L89" s="121"/>
      <c r="M89" s="121"/>
      <c r="O89" s="124">
        <f t="shared" si="6"/>
        <v>0</v>
      </c>
      <c r="P89" s="124">
        <f t="shared" si="7"/>
        <v>0</v>
      </c>
      <c r="R89" s="121"/>
      <c r="S89" s="121"/>
      <c r="T89" s="121"/>
      <c r="U89" s="121"/>
      <c r="V89" s="121"/>
      <c r="W89" s="121"/>
      <c r="X89" s="121"/>
      <c r="Y89" s="121"/>
      <c r="AA89" s="121" t="str">
        <f t="shared" si="8"/>
        <v/>
      </c>
      <c r="AB89" s="121" t="str">
        <f t="shared" si="9"/>
        <v/>
      </c>
    </row>
    <row r="90" spans="2:28">
      <c r="B90" s="121"/>
      <c r="C90" s="121"/>
      <c r="D90" s="121" t="str">
        <f t="shared" si="5"/>
        <v/>
      </c>
      <c r="H90" s="121"/>
      <c r="I90" s="121"/>
      <c r="J90" s="121"/>
      <c r="K90" s="121"/>
      <c r="L90" s="121"/>
      <c r="M90" s="121"/>
      <c r="O90" s="124">
        <f t="shared" si="6"/>
        <v>0</v>
      </c>
      <c r="P90" s="124">
        <f t="shared" si="7"/>
        <v>0</v>
      </c>
      <c r="R90" s="121"/>
      <c r="S90" s="121"/>
      <c r="T90" s="121"/>
      <c r="U90" s="121"/>
      <c r="V90" s="121"/>
      <c r="W90" s="121"/>
      <c r="X90" s="121"/>
      <c r="Y90" s="121"/>
      <c r="AA90" s="121" t="str">
        <f t="shared" si="8"/>
        <v/>
      </c>
      <c r="AB90" s="121" t="str">
        <f t="shared" si="9"/>
        <v/>
      </c>
    </row>
    <row r="91" spans="2:28">
      <c r="B91" s="121"/>
      <c r="C91" s="121"/>
      <c r="D91" s="121" t="str">
        <f t="shared" si="5"/>
        <v/>
      </c>
      <c r="H91" s="121"/>
      <c r="I91" s="121"/>
      <c r="J91" s="121"/>
      <c r="K91" s="121"/>
      <c r="L91" s="121"/>
      <c r="M91" s="121"/>
      <c r="O91" s="124">
        <f t="shared" si="6"/>
        <v>0</v>
      </c>
      <c r="P91" s="124">
        <f t="shared" si="7"/>
        <v>0</v>
      </c>
      <c r="R91" s="121"/>
      <c r="S91" s="121"/>
      <c r="T91" s="121"/>
      <c r="U91" s="121"/>
      <c r="V91" s="121"/>
      <c r="W91" s="121"/>
      <c r="X91" s="121"/>
      <c r="Y91" s="121"/>
      <c r="AA91" s="121" t="str">
        <f t="shared" si="8"/>
        <v/>
      </c>
      <c r="AB91" s="121" t="str">
        <f t="shared" si="9"/>
        <v/>
      </c>
    </row>
    <row r="92" spans="2:28">
      <c r="B92" s="121"/>
      <c r="C92" s="121"/>
      <c r="D92" s="121" t="str">
        <f t="shared" si="5"/>
        <v/>
      </c>
      <c r="H92" s="121"/>
      <c r="I92" s="121"/>
      <c r="J92" s="121"/>
      <c r="K92" s="121"/>
      <c r="L92" s="121"/>
      <c r="M92" s="121"/>
      <c r="O92" s="124">
        <f t="shared" si="6"/>
        <v>0</v>
      </c>
      <c r="P92" s="124">
        <f t="shared" si="7"/>
        <v>0</v>
      </c>
      <c r="R92" s="121"/>
      <c r="S92" s="121"/>
      <c r="T92" s="121"/>
      <c r="U92" s="121"/>
      <c r="V92" s="121"/>
      <c r="W92" s="121"/>
      <c r="X92" s="121"/>
      <c r="Y92" s="121"/>
      <c r="AA92" s="121" t="str">
        <f t="shared" si="8"/>
        <v/>
      </c>
      <c r="AB92" s="121" t="str">
        <f t="shared" si="9"/>
        <v/>
      </c>
    </row>
    <row r="93" spans="2:28">
      <c r="B93" s="121"/>
      <c r="C93" s="121"/>
      <c r="D93" s="121" t="str">
        <f t="shared" si="5"/>
        <v/>
      </c>
      <c r="H93" s="121"/>
      <c r="I93" s="121"/>
      <c r="J93" s="121"/>
      <c r="K93" s="121"/>
      <c r="L93" s="121"/>
      <c r="M93" s="121"/>
      <c r="O93" s="124">
        <f t="shared" si="6"/>
        <v>0</v>
      </c>
      <c r="P93" s="124">
        <f t="shared" si="7"/>
        <v>0</v>
      </c>
      <c r="R93" s="121"/>
      <c r="S93" s="121"/>
      <c r="T93" s="121"/>
      <c r="U93" s="121"/>
      <c r="V93" s="121"/>
      <c r="W93" s="121"/>
      <c r="X93" s="121"/>
      <c r="Y93" s="121"/>
      <c r="AA93" s="121" t="str">
        <f t="shared" si="8"/>
        <v/>
      </c>
      <c r="AB93" s="121" t="str">
        <f t="shared" si="9"/>
        <v/>
      </c>
    </row>
    <row r="94" spans="2:28">
      <c r="B94" s="121"/>
      <c r="C94" s="121"/>
      <c r="D94" s="121" t="str">
        <f t="shared" si="5"/>
        <v/>
      </c>
      <c r="H94" s="121"/>
      <c r="I94" s="121"/>
      <c r="J94" s="121"/>
      <c r="K94" s="121"/>
      <c r="L94" s="121"/>
      <c r="M94" s="121"/>
      <c r="O94" s="124">
        <f t="shared" si="6"/>
        <v>0</v>
      </c>
      <c r="P94" s="124">
        <f t="shared" si="7"/>
        <v>0</v>
      </c>
      <c r="R94" s="121"/>
      <c r="S94" s="121"/>
      <c r="T94" s="121"/>
      <c r="U94" s="121"/>
      <c r="V94" s="121"/>
      <c r="W94" s="121"/>
      <c r="X94" s="121"/>
      <c r="Y94" s="121"/>
      <c r="AA94" s="121" t="str">
        <f t="shared" si="8"/>
        <v/>
      </c>
      <c r="AB94" s="121" t="str">
        <f t="shared" si="9"/>
        <v/>
      </c>
    </row>
    <row r="95" spans="2:28">
      <c r="B95" s="121"/>
      <c r="C95" s="121"/>
      <c r="D95" s="121" t="str">
        <f t="shared" si="5"/>
        <v/>
      </c>
      <c r="H95" s="121"/>
      <c r="I95" s="121"/>
      <c r="J95" s="121"/>
      <c r="K95" s="121"/>
      <c r="L95" s="121"/>
      <c r="M95" s="121"/>
      <c r="O95" s="124">
        <f t="shared" si="6"/>
        <v>0</v>
      </c>
      <c r="P95" s="124">
        <f t="shared" si="7"/>
        <v>0</v>
      </c>
      <c r="R95" s="121"/>
      <c r="S95" s="121"/>
      <c r="T95" s="121"/>
      <c r="U95" s="121"/>
      <c r="V95" s="121"/>
      <c r="W95" s="121"/>
      <c r="X95" s="121"/>
      <c r="Y95" s="121"/>
      <c r="AA95" s="121" t="str">
        <f t="shared" si="8"/>
        <v/>
      </c>
      <c r="AB95" s="121" t="str">
        <f t="shared" si="9"/>
        <v/>
      </c>
    </row>
    <row r="96" spans="2:28">
      <c r="B96" s="121"/>
      <c r="C96" s="121"/>
      <c r="D96" s="121" t="str">
        <f t="shared" si="5"/>
        <v/>
      </c>
      <c r="H96" s="121"/>
      <c r="I96" s="121"/>
      <c r="J96" s="121"/>
      <c r="K96" s="121"/>
      <c r="L96" s="121"/>
      <c r="M96" s="121"/>
      <c r="O96" s="124">
        <f t="shared" si="6"/>
        <v>0</v>
      </c>
      <c r="P96" s="124">
        <f t="shared" si="7"/>
        <v>0</v>
      </c>
      <c r="R96" s="121"/>
      <c r="S96" s="121"/>
      <c r="T96" s="121"/>
      <c r="U96" s="121"/>
      <c r="V96" s="121"/>
      <c r="W96" s="121"/>
      <c r="X96" s="121"/>
      <c r="Y96" s="121"/>
      <c r="AA96" s="121" t="str">
        <f t="shared" si="8"/>
        <v/>
      </c>
      <c r="AB96" s="121" t="str">
        <f t="shared" si="9"/>
        <v/>
      </c>
    </row>
    <row r="97" spans="2:28">
      <c r="B97" s="121"/>
      <c r="C97" s="121"/>
      <c r="D97" s="121" t="str">
        <f t="shared" si="5"/>
        <v/>
      </c>
      <c r="H97" s="121"/>
      <c r="I97" s="121"/>
      <c r="J97" s="121"/>
      <c r="K97" s="121"/>
      <c r="L97" s="121"/>
      <c r="M97" s="121"/>
      <c r="O97" s="124">
        <f t="shared" si="6"/>
        <v>0</v>
      </c>
      <c r="P97" s="124">
        <f t="shared" si="7"/>
        <v>0</v>
      </c>
      <c r="R97" s="121"/>
      <c r="S97" s="121"/>
      <c r="T97" s="121"/>
      <c r="U97" s="121"/>
      <c r="V97" s="121"/>
      <c r="W97" s="121"/>
      <c r="X97" s="121"/>
      <c r="Y97" s="121"/>
      <c r="AA97" s="121" t="str">
        <f t="shared" si="8"/>
        <v/>
      </c>
      <c r="AB97" s="121" t="str">
        <f t="shared" si="9"/>
        <v/>
      </c>
    </row>
    <row r="98" spans="2:28">
      <c r="B98" s="121"/>
      <c r="C98" s="121"/>
      <c r="D98" s="121" t="str">
        <f t="shared" si="5"/>
        <v/>
      </c>
      <c r="H98" s="121"/>
      <c r="I98" s="121"/>
      <c r="J98" s="121"/>
      <c r="K98" s="121"/>
      <c r="L98" s="121"/>
      <c r="M98" s="121"/>
      <c r="O98" s="124">
        <f t="shared" si="6"/>
        <v>0</v>
      </c>
      <c r="P98" s="124">
        <f t="shared" si="7"/>
        <v>0</v>
      </c>
      <c r="R98" s="121"/>
      <c r="S98" s="121"/>
      <c r="T98" s="121"/>
      <c r="U98" s="121"/>
      <c r="V98" s="121"/>
      <c r="W98" s="121"/>
      <c r="X98" s="121"/>
      <c r="Y98" s="121"/>
      <c r="AA98" s="121" t="str">
        <f t="shared" si="8"/>
        <v/>
      </c>
      <c r="AB98" s="121" t="str">
        <f t="shared" si="9"/>
        <v/>
      </c>
    </row>
    <row r="99" spans="2:28">
      <c r="B99" s="121"/>
      <c r="C99" s="121"/>
      <c r="D99" s="121" t="str">
        <f t="shared" si="5"/>
        <v/>
      </c>
      <c r="H99" s="121"/>
      <c r="I99" s="121"/>
      <c r="J99" s="121"/>
      <c r="K99" s="121"/>
      <c r="L99" s="121"/>
      <c r="M99" s="121"/>
      <c r="O99" s="124">
        <f t="shared" si="6"/>
        <v>0</v>
      </c>
      <c r="P99" s="124">
        <f t="shared" si="7"/>
        <v>0</v>
      </c>
      <c r="R99" s="121"/>
      <c r="S99" s="121"/>
      <c r="T99" s="121"/>
      <c r="U99" s="121"/>
      <c r="V99" s="121"/>
      <c r="W99" s="121"/>
      <c r="X99" s="121"/>
      <c r="Y99" s="121"/>
      <c r="AA99" s="121" t="str">
        <f t="shared" si="8"/>
        <v/>
      </c>
      <c r="AB99" s="121" t="str">
        <f t="shared" si="9"/>
        <v/>
      </c>
    </row>
    <row r="100" spans="2:28">
      <c r="B100" s="121"/>
      <c r="C100" s="121"/>
      <c r="D100" s="121" t="str">
        <f t="shared" si="5"/>
        <v/>
      </c>
      <c r="H100" s="121"/>
      <c r="I100" s="121"/>
      <c r="J100" s="121"/>
      <c r="K100" s="121"/>
      <c r="L100" s="121"/>
      <c r="M100" s="121"/>
      <c r="O100" s="124">
        <f t="shared" si="6"/>
        <v>0</v>
      </c>
      <c r="P100" s="124">
        <f t="shared" si="7"/>
        <v>0</v>
      </c>
      <c r="R100" s="121"/>
      <c r="S100" s="121"/>
      <c r="T100" s="121"/>
      <c r="U100" s="121"/>
      <c r="V100" s="121"/>
      <c r="W100" s="121"/>
      <c r="X100" s="121"/>
      <c r="Y100" s="121"/>
      <c r="AA100" s="121" t="str">
        <f t="shared" si="8"/>
        <v/>
      </c>
      <c r="AB100" s="121" t="str">
        <f t="shared" si="9"/>
        <v/>
      </c>
    </row>
    <row r="101" spans="2:28">
      <c r="B101" s="121"/>
      <c r="C101" s="121"/>
      <c r="D101" s="121" t="str">
        <f t="shared" si="5"/>
        <v/>
      </c>
      <c r="H101" s="121"/>
      <c r="I101" s="121"/>
      <c r="J101" s="121"/>
      <c r="K101" s="121"/>
      <c r="L101" s="121"/>
      <c r="M101" s="121"/>
      <c r="O101" s="124">
        <f t="shared" si="6"/>
        <v>0</v>
      </c>
      <c r="P101" s="124">
        <f t="shared" si="7"/>
        <v>0</v>
      </c>
      <c r="R101" s="121"/>
      <c r="S101" s="121"/>
      <c r="T101" s="121"/>
      <c r="U101" s="121"/>
      <c r="V101" s="121"/>
      <c r="W101" s="121"/>
      <c r="X101" s="121"/>
      <c r="Y101" s="121"/>
      <c r="AA101" s="121" t="str">
        <f t="shared" si="8"/>
        <v/>
      </c>
      <c r="AB101" s="121" t="str">
        <f t="shared" si="9"/>
        <v/>
      </c>
    </row>
    <row r="102" spans="2:28">
      <c r="B102" s="121"/>
      <c r="C102" s="121"/>
      <c r="D102" s="121" t="str">
        <f t="shared" si="5"/>
        <v/>
      </c>
      <c r="H102" s="121"/>
      <c r="I102" s="121"/>
      <c r="J102" s="121"/>
      <c r="K102" s="121"/>
      <c r="L102" s="121"/>
      <c r="M102" s="121"/>
      <c r="O102" s="124">
        <f t="shared" si="6"/>
        <v>0</v>
      </c>
      <c r="P102" s="124">
        <f t="shared" si="7"/>
        <v>0</v>
      </c>
      <c r="R102" s="121"/>
      <c r="S102" s="121"/>
      <c r="T102" s="121"/>
      <c r="U102" s="121"/>
      <c r="V102" s="121"/>
      <c r="W102" s="121"/>
      <c r="X102" s="121"/>
      <c r="Y102" s="121"/>
      <c r="AA102" s="121" t="str">
        <f t="shared" si="8"/>
        <v/>
      </c>
      <c r="AB102" s="121" t="str">
        <f t="shared" si="9"/>
        <v/>
      </c>
    </row>
    <row r="103" spans="2:28">
      <c r="B103" s="121"/>
      <c r="C103" s="121"/>
      <c r="D103" s="121" t="str">
        <f t="shared" si="5"/>
        <v/>
      </c>
      <c r="H103" s="121"/>
      <c r="I103" s="121"/>
      <c r="J103" s="121"/>
      <c r="K103" s="121"/>
      <c r="L103" s="121"/>
      <c r="M103" s="121"/>
      <c r="O103" s="124">
        <f t="shared" si="6"/>
        <v>0</v>
      </c>
      <c r="P103" s="124">
        <f t="shared" si="7"/>
        <v>0</v>
      </c>
      <c r="R103" s="121"/>
      <c r="S103" s="121"/>
      <c r="T103" s="121"/>
      <c r="U103" s="121"/>
      <c r="V103" s="121"/>
      <c r="W103" s="121"/>
      <c r="X103" s="121"/>
      <c r="Y103" s="121"/>
      <c r="AA103" s="121" t="str">
        <f t="shared" si="8"/>
        <v/>
      </c>
      <c r="AB103" s="121" t="str">
        <f t="shared" si="9"/>
        <v/>
      </c>
    </row>
    <row r="104" spans="2:28">
      <c r="B104" s="121"/>
      <c r="C104" s="121"/>
      <c r="D104" s="121" t="str">
        <f t="shared" si="5"/>
        <v/>
      </c>
      <c r="H104" s="121"/>
      <c r="I104" s="121"/>
      <c r="J104" s="121"/>
      <c r="K104" s="121"/>
      <c r="L104" s="121"/>
      <c r="M104" s="121"/>
      <c r="O104" s="124">
        <f t="shared" si="6"/>
        <v>0</v>
      </c>
      <c r="P104" s="124">
        <f t="shared" si="7"/>
        <v>0</v>
      </c>
      <c r="R104" s="121"/>
      <c r="S104" s="121"/>
      <c r="T104" s="121"/>
      <c r="U104" s="121"/>
      <c r="V104" s="121"/>
      <c r="W104" s="121"/>
      <c r="X104" s="121"/>
      <c r="Y104" s="121"/>
      <c r="AA104" s="121" t="str">
        <f t="shared" si="8"/>
        <v/>
      </c>
      <c r="AB104" s="121" t="str">
        <f t="shared" si="9"/>
        <v/>
      </c>
    </row>
    <row r="105" spans="2:28">
      <c r="B105" s="121"/>
      <c r="C105" s="121"/>
      <c r="D105" s="121" t="str">
        <f t="shared" si="5"/>
        <v/>
      </c>
      <c r="H105" s="121"/>
      <c r="I105" s="121"/>
      <c r="J105" s="121"/>
      <c r="K105" s="121"/>
      <c r="L105" s="121"/>
      <c r="M105" s="121"/>
      <c r="O105" s="124">
        <f t="shared" si="6"/>
        <v>0</v>
      </c>
      <c r="P105" s="124">
        <f t="shared" si="7"/>
        <v>0</v>
      </c>
      <c r="R105" s="121"/>
      <c r="S105" s="121"/>
      <c r="T105" s="121"/>
      <c r="U105" s="121"/>
      <c r="V105" s="121"/>
      <c r="W105" s="121"/>
      <c r="X105" s="121"/>
      <c r="Y105" s="121"/>
      <c r="AA105" s="121" t="str">
        <f t="shared" si="8"/>
        <v/>
      </c>
      <c r="AB105" s="121" t="str">
        <f t="shared" si="9"/>
        <v/>
      </c>
    </row>
    <row r="106" spans="2:28">
      <c r="B106" s="121"/>
      <c r="C106" s="121"/>
      <c r="D106" s="121" t="str">
        <f t="shared" si="5"/>
        <v/>
      </c>
      <c r="H106" s="121"/>
      <c r="I106" s="121"/>
      <c r="J106" s="121"/>
      <c r="K106" s="121"/>
      <c r="L106" s="121"/>
      <c r="M106" s="121"/>
      <c r="O106" s="124">
        <f t="shared" si="6"/>
        <v>0</v>
      </c>
      <c r="P106" s="124">
        <f t="shared" si="7"/>
        <v>0</v>
      </c>
      <c r="R106" s="121"/>
      <c r="S106" s="121"/>
      <c r="T106" s="121"/>
      <c r="U106" s="121"/>
      <c r="V106" s="121"/>
      <c r="W106" s="121"/>
      <c r="X106" s="121"/>
      <c r="Y106" s="121"/>
      <c r="AA106" s="121" t="str">
        <f t="shared" si="8"/>
        <v/>
      </c>
      <c r="AB106" s="121" t="str">
        <f t="shared" si="9"/>
        <v/>
      </c>
    </row>
    <row r="107" spans="2:28">
      <c r="B107" s="121"/>
      <c r="C107" s="121"/>
      <c r="D107" s="121" t="str">
        <f t="shared" si="5"/>
        <v/>
      </c>
      <c r="H107" s="121"/>
      <c r="I107" s="121"/>
      <c r="J107" s="121"/>
      <c r="K107" s="121"/>
      <c r="L107" s="121"/>
      <c r="M107" s="121"/>
      <c r="O107" s="124">
        <f t="shared" si="6"/>
        <v>0</v>
      </c>
      <c r="P107" s="124">
        <f t="shared" si="7"/>
        <v>0</v>
      </c>
      <c r="R107" s="121"/>
      <c r="S107" s="121"/>
      <c r="T107" s="121"/>
      <c r="U107" s="121"/>
      <c r="V107" s="121"/>
      <c r="W107" s="121"/>
      <c r="X107" s="121"/>
      <c r="Y107" s="121"/>
      <c r="AA107" s="121" t="str">
        <f t="shared" si="8"/>
        <v/>
      </c>
      <c r="AB107" s="121" t="str">
        <f t="shared" si="9"/>
        <v/>
      </c>
    </row>
    <row r="108" spans="2:28">
      <c r="B108" s="121"/>
      <c r="C108" s="121"/>
      <c r="D108" s="121" t="str">
        <f t="shared" si="5"/>
        <v/>
      </c>
      <c r="H108" s="121"/>
      <c r="I108" s="121"/>
      <c r="J108" s="121"/>
      <c r="K108" s="121"/>
      <c r="L108" s="121"/>
      <c r="M108" s="121"/>
      <c r="O108" s="124">
        <f t="shared" si="6"/>
        <v>0</v>
      </c>
      <c r="P108" s="124">
        <f t="shared" si="7"/>
        <v>0</v>
      </c>
      <c r="R108" s="121"/>
      <c r="S108" s="121"/>
      <c r="T108" s="121"/>
      <c r="U108" s="121"/>
      <c r="V108" s="121"/>
      <c r="W108" s="121"/>
      <c r="X108" s="121"/>
      <c r="Y108" s="121"/>
      <c r="AA108" s="121" t="str">
        <f t="shared" si="8"/>
        <v/>
      </c>
      <c r="AB108" s="121" t="str">
        <f t="shared" si="9"/>
        <v/>
      </c>
    </row>
    <row r="109" spans="2:28">
      <c r="B109" s="121"/>
      <c r="C109" s="121"/>
      <c r="D109" s="121" t="str">
        <f t="shared" si="5"/>
        <v/>
      </c>
      <c r="H109" s="121"/>
      <c r="I109" s="121"/>
      <c r="J109" s="121"/>
      <c r="K109" s="121"/>
      <c r="L109" s="121"/>
      <c r="M109" s="121"/>
      <c r="O109" s="124">
        <f t="shared" si="6"/>
        <v>0</v>
      </c>
      <c r="P109" s="124">
        <f t="shared" si="7"/>
        <v>0</v>
      </c>
      <c r="R109" s="121"/>
      <c r="S109" s="121"/>
      <c r="T109" s="121"/>
      <c r="U109" s="121"/>
      <c r="V109" s="121"/>
      <c r="W109" s="121"/>
      <c r="X109" s="121"/>
      <c r="Y109" s="121"/>
      <c r="AA109" s="121" t="str">
        <f t="shared" si="8"/>
        <v/>
      </c>
      <c r="AB109" s="121" t="str">
        <f t="shared" si="9"/>
        <v/>
      </c>
    </row>
    <row r="110" spans="2:28">
      <c r="B110" s="121"/>
      <c r="C110" s="121"/>
      <c r="D110" s="121" t="str">
        <f t="shared" si="5"/>
        <v/>
      </c>
      <c r="H110" s="121"/>
      <c r="I110" s="121"/>
      <c r="J110" s="121"/>
      <c r="K110" s="121"/>
      <c r="L110" s="121"/>
      <c r="M110" s="121"/>
      <c r="O110" s="124">
        <f t="shared" si="6"/>
        <v>0</v>
      </c>
      <c r="P110" s="124">
        <f t="shared" si="7"/>
        <v>0</v>
      </c>
      <c r="R110" s="121"/>
      <c r="S110" s="121"/>
      <c r="T110" s="121"/>
      <c r="U110" s="121"/>
      <c r="V110" s="121"/>
      <c r="W110" s="121"/>
      <c r="X110" s="121"/>
      <c r="Y110" s="121"/>
      <c r="AA110" s="121" t="str">
        <f t="shared" si="8"/>
        <v/>
      </c>
      <c r="AB110" s="121" t="str">
        <f t="shared" si="9"/>
        <v/>
      </c>
    </row>
    <row r="111" spans="2:28">
      <c r="B111" s="121"/>
      <c r="C111" s="121"/>
      <c r="D111" s="121" t="str">
        <f t="shared" si="5"/>
        <v/>
      </c>
      <c r="H111" s="121"/>
      <c r="I111" s="121"/>
      <c r="J111" s="121"/>
      <c r="K111" s="121"/>
      <c r="L111" s="121"/>
      <c r="M111" s="121"/>
      <c r="O111" s="124">
        <f t="shared" si="6"/>
        <v>0</v>
      </c>
      <c r="P111" s="124">
        <f t="shared" si="7"/>
        <v>0</v>
      </c>
      <c r="R111" s="121"/>
      <c r="S111" s="121"/>
      <c r="T111" s="121"/>
      <c r="U111" s="121"/>
      <c r="V111" s="121"/>
      <c r="W111" s="121"/>
      <c r="X111" s="121"/>
      <c r="Y111" s="121"/>
      <c r="AA111" s="121" t="str">
        <f t="shared" si="8"/>
        <v/>
      </c>
      <c r="AB111" s="121" t="str">
        <f t="shared" si="9"/>
        <v/>
      </c>
    </row>
    <row r="112" spans="2:28">
      <c r="B112" s="121"/>
      <c r="C112" s="121"/>
      <c r="D112" s="121" t="str">
        <f t="shared" si="5"/>
        <v/>
      </c>
      <c r="H112" s="121"/>
      <c r="I112" s="121"/>
      <c r="J112" s="121"/>
      <c r="K112" s="121"/>
      <c r="L112" s="121"/>
      <c r="M112" s="121"/>
      <c r="O112" s="124">
        <f t="shared" si="6"/>
        <v>0</v>
      </c>
      <c r="P112" s="124">
        <f t="shared" si="7"/>
        <v>0</v>
      </c>
      <c r="R112" s="121"/>
      <c r="S112" s="121"/>
      <c r="T112" s="121"/>
      <c r="U112" s="121"/>
      <c r="V112" s="121"/>
      <c r="W112" s="121"/>
      <c r="X112" s="121"/>
      <c r="Y112" s="121"/>
      <c r="AA112" s="121" t="str">
        <f t="shared" si="8"/>
        <v/>
      </c>
      <c r="AB112" s="121" t="str">
        <f t="shared" si="9"/>
        <v/>
      </c>
    </row>
    <row r="113" spans="2:28">
      <c r="B113" s="121"/>
      <c r="C113" s="121"/>
      <c r="D113" s="121" t="str">
        <f t="shared" si="5"/>
        <v/>
      </c>
      <c r="H113" s="121"/>
      <c r="I113" s="121"/>
      <c r="J113" s="121"/>
      <c r="K113" s="121"/>
      <c r="L113" s="121"/>
      <c r="M113" s="121"/>
      <c r="O113" s="124">
        <f t="shared" si="6"/>
        <v>0</v>
      </c>
      <c r="P113" s="124">
        <f t="shared" si="7"/>
        <v>0</v>
      </c>
      <c r="R113" s="121"/>
      <c r="S113" s="121"/>
      <c r="T113" s="121"/>
      <c r="U113" s="121"/>
      <c r="V113" s="121"/>
      <c r="W113" s="121"/>
      <c r="X113" s="121"/>
      <c r="Y113" s="121"/>
      <c r="AA113" s="121" t="str">
        <f t="shared" si="8"/>
        <v/>
      </c>
      <c r="AB113" s="121" t="str">
        <f t="shared" si="9"/>
        <v/>
      </c>
    </row>
    <row r="114" spans="2:28">
      <c r="B114" s="121"/>
      <c r="C114" s="121"/>
      <c r="D114" s="121" t="str">
        <f t="shared" si="5"/>
        <v/>
      </c>
      <c r="H114" s="121"/>
      <c r="I114" s="121"/>
      <c r="J114" s="121"/>
      <c r="K114" s="121"/>
      <c r="L114" s="121"/>
      <c r="M114" s="121"/>
      <c r="O114" s="124">
        <f t="shared" si="6"/>
        <v>0</v>
      </c>
      <c r="P114" s="124">
        <f t="shared" si="7"/>
        <v>0</v>
      </c>
      <c r="R114" s="121"/>
      <c r="S114" s="121"/>
      <c r="T114" s="121"/>
      <c r="U114" s="121"/>
      <c r="V114" s="121"/>
      <c r="W114" s="121"/>
      <c r="X114" s="121"/>
      <c r="Y114" s="121"/>
      <c r="AA114" s="121" t="str">
        <f t="shared" si="8"/>
        <v/>
      </c>
      <c r="AB114" s="121" t="str">
        <f t="shared" si="9"/>
        <v/>
      </c>
    </row>
    <row r="115" spans="2:28">
      <c r="B115" s="121"/>
      <c r="C115" s="121"/>
      <c r="D115" s="121" t="str">
        <f t="shared" si="5"/>
        <v/>
      </c>
      <c r="H115" s="121"/>
      <c r="I115" s="121"/>
      <c r="J115" s="121"/>
      <c r="K115" s="121"/>
      <c r="L115" s="121"/>
      <c r="M115" s="121"/>
      <c r="O115" s="124">
        <f t="shared" si="6"/>
        <v>0</v>
      </c>
      <c r="P115" s="124">
        <f t="shared" si="7"/>
        <v>0</v>
      </c>
      <c r="R115" s="121"/>
      <c r="S115" s="121"/>
      <c r="T115" s="121"/>
      <c r="U115" s="121"/>
      <c r="V115" s="121"/>
      <c r="W115" s="121"/>
      <c r="X115" s="121"/>
      <c r="Y115" s="121"/>
      <c r="AA115" s="121" t="str">
        <f t="shared" si="8"/>
        <v/>
      </c>
      <c r="AB115" s="121" t="str">
        <f t="shared" si="9"/>
        <v/>
      </c>
    </row>
    <row r="116" spans="2:28">
      <c r="B116" s="121"/>
      <c r="C116" s="121"/>
      <c r="D116" s="121" t="str">
        <f t="shared" si="5"/>
        <v/>
      </c>
      <c r="H116" s="121"/>
      <c r="I116" s="121"/>
      <c r="J116" s="121"/>
      <c r="K116" s="121"/>
      <c r="L116" s="121"/>
      <c r="M116" s="121"/>
      <c r="O116" s="124">
        <f t="shared" si="6"/>
        <v>0</v>
      </c>
      <c r="P116" s="124">
        <f t="shared" si="7"/>
        <v>0</v>
      </c>
      <c r="R116" s="121"/>
      <c r="S116" s="121"/>
      <c r="T116" s="121"/>
      <c r="U116" s="121"/>
      <c r="V116" s="121"/>
      <c r="W116" s="121"/>
      <c r="X116" s="121"/>
      <c r="Y116" s="121"/>
      <c r="AA116" s="121" t="str">
        <f t="shared" si="8"/>
        <v/>
      </c>
      <c r="AB116" s="121" t="str">
        <f t="shared" si="9"/>
        <v/>
      </c>
    </row>
    <row r="117" spans="2:28">
      <c r="B117" s="121"/>
      <c r="C117" s="121"/>
      <c r="D117" s="121" t="str">
        <f t="shared" si="5"/>
        <v/>
      </c>
      <c r="H117" s="121"/>
      <c r="I117" s="121"/>
      <c r="J117" s="121"/>
      <c r="K117" s="121"/>
      <c r="L117" s="121"/>
      <c r="M117" s="121"/>
      <c r="O117" s="124">
        <f t="shared" si="6"/>
        <v>0</v>
      </c>
      <c r="P117" s="124">
        <f t="shared" si="7"/>
        <v>0</v>
      </c>
      <c r="R117" s="121"/>
      <c r="S117" s="121"/>
      <c r="T117" s="121"/>
      <c r="U117" s="121"/>
      <c r="V117" s="121"/>
      <c r="W117" s="121"/>
      <c r="X117" s="121"/>
      <c r="Y117" s="121"/>
      <c r="AA117" s="121" t="str">
        <f t="shared" si="8"/>
        <v/>
      </c>
      <c r="AB117" s="121" t="str">
        <f t="shared" si="9"/>
        <v/>
      </c>
    </row>
    <row r="118" spans="2:28">
      <c r="B118" s="121"/>
      <c r="C118" s="121"/>
      <c r="D118" s="121" t="str">
        <f t="shared" si="5"/>
        <v/>
      </c>
      <c r="H118" s="121"/>
      <c r="I118" s="121"/>
      <c r="J118" s="121"/>
      <c r="K118" s="121"/>
      <c r="L118" s="121"/>
      <c r="M118" s="121"/>
      <c r="O118" s="124">
        <f t="shared" si="6"/>
        <v>0</v>
      </c>
      <c r="P118" s="124">
        <f t="shared" si="7"/>
        <v>0</v>
      </c>
      <c r="R118" s="121"/>
      <c r="S118" s="121"/>
      <c r="T118" s="121"/>
      <c r="U118" s="121"/>
      <c r="V118" s="121"/>
      <c r="W118" s="121"/>
      <c r="X118" s="121"/>
      <c r="Y118" s="121"/>
      <c r="AA118" s="121" t="str">
        <f t="shared" si="8"/>
        <v/>
      </c>
      <c r="AB118" s="121" t="str">
        <f t="shared" si="9"/>
        <v/>
      </c>
    </row>
    <row r="119" spans="2:28">
      <c r="B119" s="121"/>
      <c r="C119" s="121"/>
      <c r="D119" s="121" t="str">
        <f t="shared" si="5"/>
        <v/>
      </c>
      <c r="H119" s="121"/>
      <c r="I119" s="121"/>
      <c r="J119" s="121"/>
      <c r="K119" s="121"/>
      <c r="L119" s="121"/>
      <c r="M119" s="121"/>
      <c r="O119" s="124">
        <f t="shared" si="6"/>
        <v>0</v>
      </c>
      <c r="P119" s="124">
        <f t="shared" si="7"/>
        <v>0</v>
      </c>
      <c r="R119" s="121"/>
      <c r="S119" s="121"/>
      <c r="T119" s="121"/>
      <c r="U119" s="121"/>
      <c r="V119" s="121"/>
      <c r="W119" s="121"/>
      <c r="X119" s="121"/>
      <c r="Y119" s="121"/>
      <c r="AA119" s="121" t="str">
        <f t="shared" si="8"/>
        <v/>
      </c>
      <c r="AB119" s="121" t="str">
        <f t="shared" si="9"/>
        <v/>
      </c>
    </row>
    <row r="120" spans="2:28">
      <c r="B120" s="121"/>
      <c r="C120" s="121"/>
      <c r="D120" s="121" t="str">
        <f t="shared" si="5"/>
        <v/>
      </c>
      <c r="H120" s="121"/>
      <c r="I120" s="121"/>
      <c r="J120" s="121"/>
      <c r="K120" s="121"/>
      <c r="L120" s="121"/>
      <c r="M120" s="121"/>
      <c r="O120" s="124">
        <f t="shared" si="6"/>
        <v>0</v>
      </c>
      <c r="P120" s="124">
        <f t="shared" si="7"/>
        <v>0</v>
      </c>
      <c r="R120" s="121"/>
      <c r="S120" s="121"/>
      <c r="T120" s="121"/>
      <c r="U120" s="121"/>
      <c r="V120" s="121"/>
      <c r="W120" s="121"/>
      <c r="X120" s="121"/>
      <c r="Y120" s="121"/>
      <c r="AA120" s="121" t="str">
        <f t="shared" si="8"/>
        <v/>
      </c>
      <c r="AB120" s="121" t="str">
        <f t="shared" si="9"/>
        <v/>
      </c>
    </row>
    <row r="121" spans="2:28">
      <c r="B121" s="121"/>
      <c r="C121" s="121"/>
      <c r="D121" s="121" t="str">
        <f t="shared" si="5"/>
        <v/>
      </c>
      <c r="H121" s="121"/>
      <c r="I121" s="121"/>
      <c r="J121" s="121"/>
      <c r="K121" s="121"/>
      <c r="L121" s="121"/>
      <c r="M121" s="121"/>
      <c r="O121" s="124">
        <f t="shared" si="6"/>
        <v>0</v>
      </c>
      <c r="P121" s="124">
        <f t="shared" si="7"/>
        <v>0</v>
      </c>
      <c r="R121" s="121"/>
      <c r="S121" s="121"/>
      <c r="T121" s="121"/>
      <c r="U121" s="121"/>
      <c r="V121" s="121"/>
      <c r="W121" s="121"/>
      <c r="X121" s="121"/>
      <c r="Y121" s="121"/>
      <c r="AA121" s="121" t="str">
        <f t="shared" si="8"/>
        <v/>
      </c>
      <c r="AB121" s="121" t="str">
        <f t="shared" si="9"/>
        <v/>
      </c>
    </row>
    <row r="122" spans="2:28">
      <c r="B122" s="121"/>
      <c r="C122" s="121"/>
      <c r="D122" s="121" t="str">
        <f t="shared" si="5"/>
        <v/>
      </c>
      <c r="H122" s="121"/>
      <c r="I122" s="121"/>
      <c r="J122" s="121"/>
      <c r="K122" s="121"/>
      <c r="L122" s="121"/>
      <c r="M122" s="121"/>
      <c r="O122" s="124">
        <f t="shared" si="6"/>
        <v>0</v>
      </c>
      <c r="P122" s="124">
        <f t="shared" si="7"/>
        <v>0</v>
      </c>
      <c r="R122" s="121"/>
      <c r="S122" s="121"/>
      <c r="T122" s="121"/>
      <c r="U122" s="121"/>
      <c r="V122" s="121"/>
      <c r="W122" s="121"/>
      <c r="X122" s="121"/>
      <c r="Y122" s="121"/>
      <c r="AA122" s="121" t="str">
        <f t="shared" si="8"/>
        <v/>
      </c>
      <c r="AB122" s="121" t="str">
        <f t="shared" si="9"/>
        <v/>
      </c>
    </row>
    <row r="123" spans="2:28">
      <c r="B123" s="121"/>
      <c r="C123" s="121"/>
      <c r="D123" s="121" t="str">
        <f t="shared" si="5"/>
        <v/>
      </c>
      <c r="H123" s="121"/>
      <c r="I123" s="121"/>
      <c r="J123" s="121"/>
      <c r="K123" s="121"/>
      <c r="L123" s="121"/>
      <c r="M123" s="121"/>
      <c r="O123" s="124">
        <f t="shared" si="6"/>
        <v>0</v>
      </c>
      <c r="P123" s="124">
        <f t="shared" si="7"/>
        <v>0</v>
      </c>
      <c r="R123" s="121"/>
      <c r="S123" s="121"/>
      <c r="T123" s="121"/>
      <c r="U123" s="121"/>
      <c r="V123" s="121"/>
      <c r="W123" s="121"/>
      <c r="X123" s="121"/>
      <c r="Y123" s="121"/>
      <c r="AA123" s="121" t="str">
        <f t="shared" si="8"/>
        <v/>
      </c>
      <c r="AB123" s="121" t="str">
        <f t="shared" si="9"/>
        <v/>
      </c>
    </row>
    <row r="124" spans="2:28">
      <c r="B124" s="121"/>
      <c r="C124" s="121"/>
      <c r="D124" s="121" t="str">
        <f t="shared" si="5"/>
        <v/>
      </c>
      <c r="H124" s="121"/>
      <c r="I124" s="121"/>
      <c r="J124" s="121"/>
      <c r="K124" s="121"/>
      <c r="L124" s="121"/>
      <c r="M124" s="121"/>
      <c r="O124" s="124">
        <f t="shared" si="6"/>
        <v>0</v>
      </c>
      <c r="P124" s="124">
        <f t="shared" si="7"/>
        <v>0</v>
      </c>
      <c r="R124" s="121"/>
      <c r="S124" s="121"/>
      <c r="T124" s="121"/>
      <c r="U124" s="121"/>
      <c r="V124" s="121"/>
      <c r="W124" s="121"/>
      <c r="X124" s="121"/>
      <c r="Y124" s="121"/>
      <c r="AA124" s="121" t="str">
        <f t="shared" si="8"/>
        <v/>
      </c>
      <c r="AB124" s="121" t="str">
        <f t="shared" si="9"/>
        <v/>
      </c>
    </row>
    <row r="125" spans="2:28">
      <c r="B125" s="121"/>
      <c r="C125" s="121"/>
      <c r="D125" s="121" t="str">
        <f t="shared" si="5"/>
        <v/>
      </c>
      <c r="H125" s="121"/>
      <c r="I125" s="121"/>
      <c r="J125" s="121"/>
      <c r="K125" s="121"/>
      <c r="L125" s="121"/>
      <c r="M125" s="121"/>
      <c r="O125" s="124">
        <f t="shared" si="6"/>
        <v>0</v>
      </c>
      <c r="P125" s="124">
        <f t="shared" si="7"/>
        <v>0</v>
      </c>
      <c r="R125" s="121"/>
      <c r="S125" s="121"/>
      <c r="T125" s="121"/>
      <c r="U125" s="121"/>
      <c r="V125" s="121"/>
      <c r="W125" s="121"/>
      <c r="X125" s="121"/>
      <c r="Y125" s="121"/>
      <c r="AA125" s="121" t="str">
        <f t="shared" si="8"/>
        <v/>
      </c>
      <c r="AB125" s="121" t="str">
        <f t="shared" si="9"/>
        <v/>
      </c>
    </row>
    <row r="126" spans="2:28">
      <c r="B126" s="121"/>
      <c r="C126" s="121"/>
      <c r="D126" s="121" t="str">
        <f t="shared" si="5"/>
        <v/>
      </c>
      <c r="H126" s="121"/>
      <c r="I126" s="121"/>
      <c r="J126" s="121"/>
      <c r="K126" s="121"/>
      <c r="L126" s="121"/>
      <c r="M126" s="121"/>
      <c r="O126" s="124">
        <f t="shared" si="6"/>
        <v>0</v>
      </c>
      <c r="P126" s="124">
        <f t="shared" si="7"/>
        <v>0</v>
      </c>
      <c r="R126" s="121"/>
      <c r="S126" s="121"/>
      <c r="T126" s="121"/>
      <c r="U126" s="121"/>
      <c r="V126" s="121"/>
      <c r="W126" s="121"/>
      <c r="X126" s="121"/>
      <c r="Y126" s="121"/>
      <c r="AA126" s="121" t="str">
        <f t="shared" si="8"/>
        <v/>
      </c>
      <c r="AB126" s="121" t="str">
        <f t="shared" si="9"/>
        <v/>
      </c>
    </row>
    <row r="127" spans="2:28">
      <c r="B127" s="121"/>
      <c r="C127" s="121"/>
      <c r="D127" s="121" t="str">
        <f t="shared" si="5"/>
        <v/>
      </c>
      <c r="H127" s="121"/>
      <c r="I127" s="121"/>
      <c r="J127" s="121"/>
      <c r="K127" s="121"/>
      <c r="L127" s="121"/>
      <c r="M127" s="121"/>
      <c r="O127" s="124">
        <f t="shared" si="6"/>
        <v>0</v>
      </c>
      <c r="P127" s="124">
        <f t="shared" si="7"/>
        <v>0</v>
      </c>
      <c r="R127" s="121"/>
      <c r="S127" s="121"/>
      <c r="T127" s="121"/>
      <c r="U127" s="121"/>
      <c r="V127" s="121"/>
      <c r="W127" s="121"/>
      <c r="X127" s="121"/>
      <c r="Y127" s="121"/>
      <c r="AA127" s="121" t="str">
        <f t="shared" si="8"/>
        <v/>
      </c>
      <c r="AB127" s="121" t="str">
        <f t="shared" si="9"/>
        <v/>
      </c>
    </row>
    <row r="128" spans="2:28">
      <c r="B128" s="121"/>
      <c r="C128" s="121"/>
      <c r="D128" s="121" t="str">
        <f t="shared" si="5"/>
        <v/>
      </c>
      <c r="H128" s="121"/>
      <c r="I128" s="121"/>
      <c r="J128" s="121"/>
      <c r="K128" s="121"/>
      <c r="L128" s="121"/>
      <c r="M128" s="121"/>
      <c r="O128" s="124">
        <f t="shared" si="6"/>
        <v>0</v>
      </c>
      <c r="P128" s="124">
        <f t="shared" si="7"/>
        <v>0</v>
      </c>
      <c r="R128" s="121"/>
      <c r="S128" s="121"/>
      <c r="T128" s="121"/>
      <c r="U128" s="121"/>
      <c r="V128" s="121"/>
      <c r="W128" s="121"/>
      <c r="X128" s="121"/>
      <c r="Y128" s="121"/>
      <c r="AA128" s="121" t="str">
        <f t="shared" si="8"/>
        <v/>
      </c>
      <c r="AB128" s="121" t="str">
        <f t="shared" si="9"/>
        <v/>
      </c>
    </row>
    <row r="129" spans="2:28">
      <c r="B129" s="121"/>
      <c r="C129" s="121"/>
      <c r="D129" s="121" t="str">
        <f t="shared" si="5"/>
        <v/>
      </c>
      <c r="H129" s="121"/>
      <c r="I129" s="121"/>
      <c r="J129" s="121"/>
      <c r="K129" s="121"/>
      <c r="L129" s="121"/>
      <c r="M129" s="121"/>
      <c r="O129" s="124">
        <f t="shared" si="6"/>
        <v>0</v>
      </c>
      <c r="P129" s="124">
        <f t="shared" si="7"/>
        <v>0</v>
      </c>
      <c r="R129" s="121"/>
      <c r="S129" s="121"/>
      <c r="T129" s="121"/>
      <c r="U129" s="121"/>
      <c r="V129" s="121"/>
      <c r="W129" s="121"/>
      <c r="X129" s="121"/>
      <c r="Y129" s="121"/>
      <c r="AA129" s="121" t="str">
        <f t="shared" si="8"/>
        <v/>
      </c>
      <c r="AB129" s="121" t="str">
        <f t="shared" si="9"/>
        <v/>
      </c>
    </row>
    <row r="130" spans="2:28">
      <c r="B130" s="121"/>
      <c r="C130" s="121"/>
      <c r="D130" s="121" t="str">
        <f t="shared" si="5"/>
        <v/>
      </c>
      <c r="H130" s="121"/>
      <c r="I130" s="121"/>
      <c r="J130" s="121"/>
      <c r="K130" s="121"/>
      <c r="L130" s="121"/>
      <c r="M130" s="121"/>
      <c r="O130" s="124">
        <f t="shared" si="6"/>
        <v>0</v>
      </c>
      <c r="P130" s="124">
        <f t="shared" si="7"/>
        <v>0</v>
      </c>
      <c r="R130" s="121"/>
      <c r="S130" s="121"/>
      <c r="T130" s="121"/>
      <c r="U130" s="121"/>
      <c r="V130" s="121"/>
      <c r="W130" s="121"/>
      <c r="X130" s="121"/>
      <c r="Y130" s="121"/>
      <c r="AA130" s="121" t="str">
        <f t="shared" si="8"/>
        <v/>
      </c>
      <c r="AB130" s="121" t="str">
        <f t="shared" si="9"/>
        <v/>
      </c>
    </row>
    <row r="131" spans="2:28">
      <c r="B131" s="121"/>
      <c r="C131" s="121"/>
      <c r="D131" s="121" t="str">
        <f t="shared" si="5"/>
        <v/>
      </c>
      <c r="H131" s="121"/>
      <c r="I131" s="121"/>
      <c r="J131" s="121"/>
      <c r="K131" s="121"/>
      <c r="L131" s="121"/>
      <c r="M131" s="121"/>
      <c r="O131" s="124">
        <f t="shared" si="6"/>
        <v>0</v>
      </c>
      <c r="P131" s="124">
        <f t="shared" si="7"/>
        <v>0</v>
      </c>
      <c r="R131" s="121"/>
      <c r="S131" s="121"/>
      <c r="T131" s="121"/>
      <c r="U131" s="121"/>
      <c r="V131" s="121"/>
      <c r="W131" s="121"/>
      <c r="X131" s="121"/>
      <c r="Y131" s="121"/>
      <c r="AA131" s="121" t="str">
        <f t="shared" si="8"/>
        <v/>
      </c>
      <c r="AB131" s="121" t="str">
        <f t="shared" si="9"/>
        <v/>
      </c>
    </row>
    <row r="132" spans="2:28">
      <c r="B132" s="121"/>
      <c r="C132" s="121"/>
      <c r="D132" s="121" t="str">
        <f t="shared" si="5"/>
        <v/>
      </c>
      <c r="H132" s="121"/>
      <c r="I132" s="121"/>
      <c r="J132" s="121"/>
      <c r="K132" s="121"/>
      <c r="L132" s="121"/>
      <c r="M132" s="121"/>
      <c r="O132" s="124">
        <f t="shared" si="6"/>
        <v>0</v>
      </c>
      <c r="P132" s="124">
        <f t="shared" si="7"/>
        <v>0</v>
      </c>
      <c r="R132" s="121"/>
      <c r="S132" s="121"/>
      <c r="T132" s="121"/>
      <c r="U132" s="121"/>
      <c r="V132" s="121"/>
      <c r="W132" s="121"/>
      <c r="X132" s="121"/>
      <c r="Y132" s="121"/>
      <c r="AA132" s="121" t="str">
        <f t="shared" si="8"/>
        <v/>
      </c>
      <c r="AB132" s="121" t="str">
        <f t="shared" si="9"/>
        <v/>
      </c>
    </row>
    <row r="133" spans="2:28">
      <c r="B133" s="121"/>
      <c r="C133" s="121"/>
      <c r="D133" s="121" t="str">
        <f t="shared" si="5"/>
        <v/>
      </c>
      <c r="H133" s="121"/>
      <c r="I133" s="121"/>
      <c r="J133" s="121"/>
      <c r="K133" s="121"/>
      <c r="L133" s="121"/>
      <c r="M133" s="121"/>
      <c r="O133" s="124">
        <f t="shared" si="6"/>
        <v>0</v>
      </c>
      <c r="P133" s="124">
        <f t="shared" si="7"/>
        <v>0</v>
      </c>
      <c r="R133" s="121"/>
      <c r="S133" s="121"/>
      <c r="T133" s="121"/>
      <c r="U133" s="121"/>
      <c r="V133" s="121"/>
      <c r="W133" s="121"/>
      <c r="X133" s="121"/>
      <c r="Y133" s="121"/>
      <c r="AA133" s="121" t="str">
        <f t="shared" si="8"/>
        <v/>
      </c>
      <c r="AB133" s="121" t="str">
        <f t="shared" si="9"/>
        <v/>
      </c>
    </row>
    <row r="134" spans="2:28">
      <c r="B134" s="121"/>
      <c r="C134" s="121"/>
      <c r="D134" s="121" t="str">
        <f t="shared" si="5"/>
        <v/>
      </c>
      <c r="H134" s="121"/>
      <c r="I134" s="121"/>
      <c r="J134" s="121"/>
      <c r="K134" s="121"/>
      <c r="L134" s="121"/>
      <c r="M134" s="121"/>
      <c r="O134" s="124">
        <f t="shared" si="6"/>
        <v>0</v>
      </c>
      <c r="P134" s="124">
        <f t="shared" si="7"/>
        <v>0</v>
      </c>
      <c r="R134" s="121"/>
      <c r="S134" s="121"/>
      <c r="T134" s="121"/>
      <c r="U134" s="121"/>
      <c r="V134" s="121"/>
      <c r="W134" s="121"/>
      <c r="X134" s="121"/>
      <c r="Y134" s="121"/>
      <c r="AA134" s="121" t="str">
        <f t="shared" si="8"/>
        <v/>
      </c>
      <c r="AB134" s="121" t="str">
        <f t="shared" si="9"/>
        <v/>
      </c>
    </row>
    <row r="135" spans="2:28">
      <c r="B135" s="121"/>
      <c r="C135" s="121"/>
      <c r="D135" s="121" t="str">
        <f t="shared" si="5"/>
        <v/>
      </c>
      <c r="H135" s="121"/>
      <c r="I135" s="121"/>
      <c r="J135" s="121"/>
      <c r="K135" s="121"/>
      <c r="L135" s="121"/>
      <c r="M135" s="121"/>
      <c r="O135" s="124">
        <f t="shared" si="6"/>
        <v>0</v>
      </c>
      <c r="P135" s="124">
        <f t="shared" si="7"/>
        <v>0</v>
      </c>
      <c r="R135" s="121"/>
      <c r="S135" s="121"/>
      <c r="T135" s="121"/>
      <c r="U135" s="121"/>
      <c r="V135" s="121"/>
      <c r="W135" s="121"/>
      <c r="X135" s="121"/>
      <c r="Y135" s="121"/>
      <c r="AA135" s="121" t="str">
        <f t="shared" si="8"/>
        <v/>
      </c>
      <c r="AB135" s="121" t="str">
        <f t="shared" si="9"/>
        <v/>
      </c>
    </row>
    <row r="136" spans="2:28">
      <c r="B136" s="121"/>
      <c r="C136" s="121"/>
      <c r="D136" s="121" t="str">
        <f t="shared" si="5"/>
        <v/>
      </c>
      <c r="H136" s="121"/>
      <c r="I136" s="121"/>
      <c r="J136" s="121"/>
      <c r="K136" s="121"/>
      <c r="L136" s="121"/>
      <c r="M136" s="121"/>
      <c r="O136" s="124">
        <f t="shared" si="6"/>
        <v>0</v>
      </c>
      <c r="P136" s="124">
        <f t="shared" si="7"/>
        <v>0</v>
      </c>
      <c r="R136" s="121"/>
      <c r="S136" s="121"/>
      <c r="T136" s="121"/>
      <c r="U136" s="121"/>
      <c r="V136" s="121"/>
      <c r="W136" s="121"/>
      <c r="X136" s="121"/>
      <c r="Y136" s="121"/>
      <c r="AA136" s="121" t="str">
        <f t="shared" si="8"/>
        <v/>
      </c>
      <c r="AB136" s="121" t="str">
        <f t="shared" si="9"/>
        <v/>
      </c>
    </row>
    <row r="137" spans="2:28">
      <c r="B137" s="121"/>
      <c r="C137" s="121"/>
      <c r="D137" s="121" t="str">
        <f t="shared" ref="D137:D200" si="10">IF(C137="","",IF(B137="",C137,B137&amp;":"&amp;C137))</f>
        <v/>
      </c>
      <c r="H137" s="121"/>
      <c r="I137" s="121"/>
      <c r="J137" s="121"/>
      <c r="K137" s="121"/>
      <c r="L137" s="121"/>
      <c r="M137" s="121"/>
      <c r="O137" s="124">
        <f t="shared" ref="O137:O200" si="11">IF(B137="",C137,B137&amp;":"&amp;C137)</f>
        <v>0</v>
      </c>
      <c r="P137" s="124">
        <f t="shared" ref="P137:P200" si="12">HLOOKUP($P$7,$I$7:$M$200,ROW()-6,FALSE)</f>
        <v>0</v>
      </c>
      <c r="R137" s="121"/>
      <c r="S137" s="121"/>
      <c r="T137" s="121"/>
      <c r="U137" s="121"/>
      <c r="V137" s="121"/>
      <c r="W137" s="121"/>
      <c r="X137" s="121"/>
      <c r="Y137" s="121"/>
      <c r="AA137" s="121" t="str">
        <f t="shared" ref="AA137:AA200" si="13">IF(R137="",S137,R137&amp;":"&amp;S137)&amp;T137</f>
        <v/>
      </c>
      <c r="AB137" s="121" t="str">
        <f t="shared" ref="AB137:AB200" si="14">IF(HLOOKUP($AB$7,$U$7:$Y$200,ROW()-6,FALSE)="","",HLOOKUP($AB$7,$U$7:$Y$200,ROW()-6,FALSE))</f>
        <v/>
      </c>
    </row>
    <row r="138" spans="2:28">
      <c r="B138" s="121"/>
      <c r="C138" s="121"/>
      <c r="D138" s="121" t="str">
        <f t="shared" si="10"/>
        <v/>
      </c>
      <c r="H138" s="121"/>
      <c r="I138" s="121"/>
      <c r="J138" s="121"/>
      <c r="K138" s="121"/>
      <c r="L138" s="121"/>
      <c r="M138" s="121"/>
      <c r="O138" s="124">
        <f t="shared" si="11"/>
        <v>0</v>
      </c>
      <c r="P138" s="124">
        <f t="shared" si="12"/>
        <v>0</v>
      </c>
      <c r="R138" s="121"/>
      <c r="S138" s="121"/>
      <c r="T138" s="121"/>
      <c r="U138" s="121"/>
      <c r="V138" s="121"/>
      <c r="W138" s="121"/>
      <c r="X138" s="121"/>
      <c r="Y138" s="121"/>
      <c r="AA138" s="121" t="str">
        <f t="shared" si="13"/>
        <v/>
      </c>
      <c r="AB138" s="121" t="str">
        <f t="shared" si="14"/>
        <v/>
      </c>
    </row>
    <row r="139" spans="2:28">
      <c r="B139" s="121"/>
      <c r="C139" s="121"/>
      <c r="D139" s="121" t="str">
        <f t="shared" si="10"/>
        <v/>
      </c>
      <c r="H139" s="121"/>
      <c r="I139" s="121"/>
      <c r="J139" s="121"/>
      <c r="K139" s="121"/>
      <c r="L139" s="121"/>
      <c r="M139" s="121"/>
      <c r="O139" s="124">
        <f t="shared" si="11"/>
        <v>0</v>
      </c>
      <c r="P139" s="124">
        <f t="shared" si="12"/>
        <v>0</v>
      </c>
      <c r="R139" s="121"/>
      <c r="S139" s="121"/>
      <c r="T139" s="121"/>
      <c r="U139" s="121"/>
      <c r="V139" s="121"/>
      <c r="W139" s="121"/>
      <c r="X139" s="121"/>
      <c r="Y139" s="121"/>
      <c r="AA139" s="121" t="str">
        <f t="shared" si="13"/>
        <v/>
      </c>
      <c r="AB139" s="121" t="str">
        <f t="shared" si="14"/>
        <v/>
      </c>
    </row>
    <row r="140" spans="2:28">
      <c r="B140" s="121"/>
      <c r="C140" s="121"/>
      <c r="D140" s="121" t="str">
        <f t="shared" si="10"/>
        <v/>
      </c>
      <c r="H140" s="121"/>
      <c r="I140" s="121"/>
      <c r="J140" s="121"/>
      <c r="K140" s="121"/>
      <c r="L140" s="121"/>
      <c r="M140" s="121"/>
      <c r="O140" s="124">
        <f t="shared" si="11"/>
        <v>0</v>
      </c>
      <c r="P140" s="124">
        <f t="shared" si="12"/>
        <v>0</v>
      </c>
      <c r="R140" s="121"/>
      <c r="S140" s="121"/>
      <c r="T140" s="121"/>
      <c r="U140" s="121"/>
      <c r="V140" s="121"/>
      <c r="W140" s="121"/>
      <c r="X140" s="121"/>
      <c r="Y140" s="121"/>
      <c r="AA140" s="121" t="str">
        <f t="shared" si="13"/>
        <v/>
      </c>
      <c r="AB140" s="121" t="str">
        <f t="shared" si="14"/>
        <v/>
      </c>
    </row>
    <row r="141" spans="2:28">
      <c r="B141" s="121"/>
      <c r="C141" s="121"/>
      <c r="D141" s="121" t="str">
        <f t="shared" si="10"/>
        <v/>
      </c>
      <c r="H141" s="121"/>
      <c r="I141" s="121"/>
      <c r="J141" s="121"/>
      <c r="K141" s="121"/>
      <c r="L141" s="121"/>
      <c r="M141" s="121"/>
      <c r="O141" s="124">
        <f t="shared" si="11"/>
        <v>0</v>
      </c>
      <c r="P141" s="124">
        <f t="shared" si="12"/>
        <v>0</v>
      </c>
      <c r="R141" s="121"/>
      <c r="S141" s="121"/>
      <c r="T141" s="121"/>
      <c r="U141" s="121"/>
      <c r="V141" s="121"/>
      <c r="W141" s="121"/>
      <c r="X141" s="121"/>
      <c r="Y141" s="121"/>
      <c r="AA141" s="121" t="str">
        <f t="shared" si="13"/>
        <v/>
      </c>
      <c r="AB141" s="121" t="str">
        <f t="shared" si="14"/>
        <v/>
      </c>
    </row>
    <row r="142" spans="2:28">
      <c r="B142" s="121"/>
      <c r="C142" s="121"/>
      <c r="D142" s="121" t="str">
        <f t="shared" si="10"/>
        <v/>
      </c>
      <c r="H142" s="121"/>
      <c r="I142" s="121"/>
      <c r="J142" s="121"/>
      <c r="K142" s="121"/>
      <c r="L142" s="121"/>
      <c r="M142" s="121"/>
      <c r="O142" s="124">
        <f t="shared" si="11"/>
        <v>0</v>
      </c>
      <c r="P142" s="124">
        <f t="shared" si="12"/>
        <v>0</v>
      </c>
      <c r="R142" s="121"/>
      <c r="S142" s="121"/>
      <c r="T142" s="121"/>
      <c r="U142" s="121"/>
      <c r="V142" s="121"/>
      <c r="W142" s="121"/>
      <c r="X142" s="121"/>
      <c r="Y142" s="121"/>
      <c r="AA142" s="121" t="str">
        <f t="shared" si="13"/>
        <v/>
      </c>
      <c r="AB142" s="121" t="str">
        <f t="shared" si="14"/>
        <v/>
      </c>
    </row>
    <row r="143" spans="2:28">
      <c r="B143" s="121"/>
      <c r="C143" s="121"/>
      <c r="D143" s="121" t="str">
        <f t="shared" si="10"/>
        <v/>
      </c>
      <c r="H143" s="121"/>
      <c r="I143" s="121"/>
      <c r="J143" s="121"/>
      <c r="K143" s="121"/>
      <c r="L143" s="121"/>
      <c r="M143" s="121"/>
      <c r="O143" s="124">
        <f t="shared" si="11"/>
        <v>0</v>
      </c>
      <c r="P143" s="124">
        <f t="shared" si="12"/>
        <v>0</v>
      </c>
      <c r="R143" s="121"/>
      <c r="S143" s="121"/>
      <c r="T143" s="121"/>
      <c r="U143" s="121"/>
      <c r="V143" s="121"/>
      <c r="W143" s="121"/>
      <c r="X143" s="121"/>
      <c r="Y143" s="121"/>
      <c r="AA143" s="121" t="str">
        <f t="shared" si="13"/>
        <v/>
      </c>
      <c r="AB143" s="121" t="str">
        <f t="shared" si="14"/>
        <v/>
      </c>
    </row>
    <row r="144" spans="2:28">
      <c r="B144" s="121"/>
      <c r="C144" s="121"/>
      <c r="D144" s="121" t="str">
        <f t="shared" si="10"/>
        <v/>
      </c>
      <c r="H144" s="121"/>
      <c r="I144" s="121"/>
      <c r="J144" s="121"/>
      <c r="K144" s="121"/>
      <c r="L144" s="121"/>
      <c r="M144" s="121"/>
      <c r="O144" s="124">
        <f t="shared" si="11"/>
        <v>0</v>
      </c>
      <c r="P144" s="124">
        <f t="shared" si="12"/>
        <v>0</v>
      </c>
      <c r="R144" s="121"/>
      <c r="S144" s="121"/>
      <c r="T144" s="121"/>
      <c r="U144" s="121"/>
      <c r="V144" s="121"/>
      <c r="W144" s="121"/>
      <c r="X144" s="121"/>
      <c r="Y144" s="121"/>
      <c r="AA144" s="121" t="str">
        <f t="shared" si="13"/>
        <v/>
      </c>
      <c r="AB144" s="121" t="str">
        <f t="shared" si="14"/>
        <v/>
      </c>
    </row>
    <row r="145" spans="2:28">
      <c r="B145" s="121"/>
      <c r="C145" s="121"/>
      <c r="D145" s="121" t="str">
        <f t="shared" si="10"/>
        <v/>
      </c>
      <c r="H145" s="121"/>
      <c r="I145" s="121"/>
      <c r="J145" s="121"/>
      <c r="K145" s="121"/>
      <c r="L145" s="121"/>
      <c r="M145" s="121"/>
      <c r="O145" s="124">
        <f t="shared" si="11"/>
        <v>0</v>
      </c>
      <c r="P145" s="124">
        <f t="shared" si="12"/>
        <v>0</v>
      </c>
      <c r="R145" s="121"/>
      <c r="S145" s="121"/>
      <c r="T145" s="121"/>
      <c r="U145" s="121"/>
      <c r="V145" s="121"/>
      <c r="W145" s="121"/>
      <c r="X145" s="121"/>
      <c r="Y145" s="121"/>
      <c r="AA145" s="121" t="str">
        <f t="shared" si="13"/>
        <v/>
      </c>
      <c r="AB145" s="121" t="str">
        <f t="shared" si="14"/>
        <v/>
      </c>
    </row>
    <row r="146" spans="2:28">
      <c r="B146" s="121"/>
      <c r="C146" s="121"/>
      <c r="D146" s="121" t="str">
        <f t="shared" si="10"/>
        <v/>
      </c>
      <c r="H146" s="121"/>
      <c r="I146" s="121"/>
      <c r="J146" s="121"/>
      <c r="K146" s="121"/>
      <c r="L146" s="121"/>
      <c r="M146" s="121"/>
      <c r="O146" s="124">
        <f t="shared" si="11"/>
        <v>0</v>
      </c>
      <c r="P146" s="124">
        <f t="shared" si="12"/>
        <v>0</v>
      </c>
      <c r="R146" s="121"/>
      <c r="S146" s="121"/>
      <c r="T146" s="121"/>
      <c r="U146" s="121"/>
      <c r="V146" s="121"/>
      <c r="W146" s="121"/>
      <c r="X146" s="121"/>
      <c r="Y146" s="121"/>
      <c r="AA146" s="121" t="str">
        <f t="shared" si="13"/>
        <v/>
      </c>
      <c r="AB146" s="121" t="str">
        <f t="shared" si="14"/>
        <v/>
      </c>
    </row>
    <row r="147" spans="2:28">
      <c r="B147" s="121"/>
      <c r="C147" s="121"/>
      <c r="D147" s="121" t="str">
        <f t="shared" si="10"/>
        <v/>
      </c>
      <c r="H147" s="121"/>
      <c r="I147" s="121"/>
      <c r="J147" s="121"/>
      <c r="K147" s="121"/>
      <c r="L147" s="121"/>
      <c r="M147" s="121"/>
      <c r="O147" s="124">
        <f t="shared" si="11"/>
        <v>0</v>
      </c>
      <c r="P147" s="124">
        <f t="shared" si="12"/>
        <v>0</v>
      </c>
      <c r="R147" s="121"/>
      <c r="S147" s="121"/>
      <c r="T147" s="121"/>
      <c r="U147" s="121"/>
      <c r="V147" s="121"/>
      <c r="W147" s="121"/>
      <c r="X147" s="121"/>
      <c r="Y147" s="121"/>
      <c r="AA147" s="121" t="str">
        <f t="shared" si="13"/>
        <v/>
      </c>
      <c r="AB147" s="121" t="str">
        <f t="shared" si="14"/>
        <v/>
      </c>
    </row>
    <row r="148" spans="2:28">
      <c r="B148" s="121"/>
      <c r="C148" s="121"/>
      <c r="D148" s="121" t="str">
        <f t="shared" si="10"/>
        <v/>
      </c>
      <c r="H148" s="121"/>
      <c r="I148" s="121"/>
      <c r="J148" s="121"/>
      <c r="K148" s="121"/>
      <c r="L148" s="121"/>
      <c r="M148" s="121"/>
      <c r="O148" s="124">
        <f t="shared" si="11"/>
        <v>0</v>
      </c>
      <c r="P148" s="124">
        <f t="shared" si="12"/>
        <v>0</v>
      </c>
      <c r="R148" s="121"/>
      <c r="S148" s="121"/>
      <c r="T148" s="121"/>
      <c r="U148" s="121"/>
      <c r="V148" s="121"/>
      <c r="W148" s="121"/>
      <c r="X148" s="121"/>
      <c r="Y148" s="121"/>
      <c r="AA148" s="121" t="str">
        <f t="shared" si="13"/>
        <v/>
      </c>
      <c r="AB148" s="121" t="str">
        <f t="shared" si="14"/>
        <v/>
      </c>
    </row>
    <row r="149" spans="2:28">
      <c r="B149" s="121"/>
      <c r="C149" s="121"/>
      <c r="D149" s="121" t="str">
        <f t="shared" si="10"/>
        <v/>
      </c>
      <c r="H149" s="121"/>
      <c r="I149" s="121"/>
      <c r="J149" s="121"/>
      <c r="K149" s="121"/>
      <c r="L149" s="121"/>
      <c r="M149" s="121"/>
      <c r="O149" s="124">
        <f t="shared" si="11"/>
        <v>0</v>
      </c>
      <c r="P149" s="124">
        <f t="shared" si="12"/>
        <v>0</v>
      </c>
      <c r="R149" s="121"/>
      <c r="S149" s="121"/>
      <c r="T149" s="121"/>
      <c r="U149" s="121"/>
      <c r="V149" s="121"/>
      <c r="W149" s="121"/>
      <c r="X149" s="121"/>
      <c r="Y149" s="121"/>
      <c r="AA149" s="121" t="str">
        <f t="shared" si="13"/>
        <v/>
      </c>
      <c r="AB149" s="121" t="str">
        <f t="shared" si="14"/>
        <v/>
      </c>
    </row>
    <row r="150" spans="2:28">
      <c r="B150" s="121"/>
      <c r="C150" s="121"/>
      <c r="D150" s="121" t="str">
        <f t="shared" si="10"/>
        <v/>
      </c>
      <c r="H150" s="121"/>
      <c r="I150" s="121"/>
      <c r="J150" s="121"/>
      <c r="K150" s="121"/>
      <c r="L150" s="121"/>
      <c r="M150" s="121"/>
      <c r="O150" s="124">
        <f t="shared" si="11"/>
        <v>0</v>
      </c>
      <c r="P150" s="124">
        <f t="shared" si="12"/>
        <v>0</v>
      </c>
      <c r="R150" s="121"/>
      <c r="S150" s="121"/>
      <c r="T150" s="121"/>
      <c r="U150" s="121"/>
      <c r="V150" s="121"/>
      <c r="W150" s="121"/>
      <c r="X150" s="121"/>
      <c r="Y150" s="121"/>
      <c r="AA150" s="121" t="str">
        <f t="shared" si="13"/>
        <v/>
      </c>
      <c r="AB150" s="121" t="str">
        <f t="shared" si="14"/>
        <v/>
      </c>
    </row>
    <row r="151" spans="2:28">
      <c r="B151" s="121"/>
      <c r="C151" s="121"/>
      <c r="D151" s="121" t="str">
        <f t="shared" si="10"/>
        <v/>
      </c>
      <c r="H151" s="121"/>
      <c r="I151" s="121"/>
      <c r="J151" s="121"/>
      <c r="K151" s="121"/>
      <c r="L151" s="121"/>
      <c r="M151" s="121"/>
      <c r="O151" s="124">
        <f t="shared" si="11"/>
        <v>0</v>
      </c>
      <c r="P151" s="124">
        <f t="shared" si="12"/>
        <v>0</v>
      </c>
      <c r="R151" s="121"/>
      <c r="S151" s="121"/>
      <c r="T151" s="121"/>
      <c r="U151" s="121"/>
      <c r="V151" s="121"/>
      <c r="W151" s="121"/>
      <c r="X151" s="121"/>
      <c r="Y151" s="121"/>
      <c r="AA151" s="121" t="str">
        <f t="shared" si="13"/>
        <v/>
      </c>
      <c r="AB151" s="121" t="str">
        <f t="shared" si="14"/>
        <v/>
      </c>
    </row>
    <row r="152" spans="2:28">
      <c r="B152" s="121"/>
      <c r="C152" s="121"/>
      <c r="D152" s="121" t="str">
        <f t="shared" si="10"/>
        <v/>
      </c>
      <c r="H152" s="121"/>
      <c r="I152" s="121"/>
      <c r="J152" s="121"/>
      <c r="K152" s="121"/>
      <c r="L152" s="121"/>
      <c r="M152" s="121"/>
      <c r="O152" s="124">
        <f t="shared" si="11"/>
        <v>0</v>
      </c>
      <c r="P152" s="124">
        <f t="shared" si="12"/>
        <v>0</v>
      </c>
      <c r="R152" s="121"/>
      <c r="S152" s="121"/>
      <c r="T152" s="121"/>
      <c r="U152" s="121"/>
      <c r="V152" s="121"/>
      <c r="W152" s="121"/>
      <c r="X152" s="121"/>
      <c r="Y152" s="121"/>
      <c r="AA152" s="121" t="str">
        <f t="shared" si="13"/>
        <v/>
      </c>
      <c r="AB152" s="121" t="str">
        <f t="shared" si="14"/>
        <v/>
      </c>
    </row>
    <row r="153" spans="2:28">
      <c r="B153" s="121"/>
      <c r="C153" s="121"/>
      <c r="D153" s="121" t="str">
        <f t="shared" si="10"/>
        <v/>
      </c>
      <c r="H153" s="121"/>
      <c r="I153" s="121"/>
      <c r="J153" s="121"/>
      <c r="K153" s="121"/>
      <c r="L153" s="121"/>
      <c r="M153" s="121"/>
      <c r="O153" s="124">
        <f t="shared" si="11"/>
        <v>0</v>
      </c>
      <c r="P153" s="124">
        <f t="shared" si="12"/>
        <v>0</v>
      </c>
      <c r="R153" s="121"/>
      <c r="S153" s="121"/>
      <c r="T153" s="121"/>
      <c r="U153" s="121"/>
      <c r="V153" s="121"/>
      <c r="W153" s="121"/>
      <c r="X153" s="121"/>
      <c r="Y153" s="121"/>
      <c r="AA153" s="121" t="str">
        <f t="shared" si="13"/>
        <v/>
      </c>
      <c r="AB153" s="121" t="str">
        <f t="shared" si="14"/>
        <v/>
      </c>
    </row>
    <row r="154" spans="2:28">
      <c r="B154" s="121"/>
      <c r="C154" s="121"/>
      <c r="D154" s="121" t="str">
        <f t="shared" si="10"/>
        <v/>
      </c>
      <c r="H154" s="121"/>
      <c r="I154" s="121"/>
      <c r="J154" s="121"/>
      <c r="K154" s="121"/>
      <c r="L154" s="121"/>
      <c r="M154" s="121"/>
      <c r="O154" s="124">
        <f t="shared" si="11"/>
        <v>0</v>
      </c>
      <c r="P154" s="124">
        <f t="shared" si="12"/>
        <v>0</v>
      </c>
      <c r="R154" s="121"/>
      <c r="S154" s="121"/>
      <c r="T154" s="121"/>
      <c r="U154" s="121"/>
      <c r="V154" s="121"/>
      <c r="W154" s="121"/>
      <c r="X154" s="121"/>
      <c r="Y154" s="121"/>
      <c r="AA154" s="121" t="str">
        <f t="shared" si="13"/>
        <v/>
      </c>
      <c r="AB154" s="121" t="str">
        <f t="shared" si="14"/>
        <v/>
      </c>
    </row>
    <row r="155" spans="2:28">
      <c r="B155" s="121"/>
      <c r="C155" s="121"/>
      <c r="D155" s="121" t="str">
        <f t="shared" si="10"/>
        <v/>
      </c>
      <c r="H155" s="121"/>
      <c r="I155" s="121"/>
      <c r="J155" s="121"/>
      <c r="K155" s="121"/>
      <c r="L155" s="121"/>
      <c r="M155" s="121"/>
      <c r="O155" s="124">
        <f t="shared" si="11"/>
        <v>0</v>
      </c>
      <c r="P155" s="124">
        <f t="shared" si="12"/>
        <v>0</v>
      </c>
      <c r="R155" s="121"/>
      <c r="S155" s="121"/>
      <c r="T155" s="121"/>
      <c r="U155" s="121"/>
      <c r="V155" s="121"/>
      <c r="W155" s="121"/>
      <c r="X155" s="121"/>
      <c r="Y155" s="121"/>
      <c r="AA155" s="121" t="str">
        <f t="shared" si="13"/>
        <v/>
      </c>
      <c r="AB155" s="121" t="str">
        <f t="shared" si="14"/>
        <v/>
      </c>
    </row>
    <row r="156" spans="2:28">
      <c r="B156" s="121"/>
      <c r="C156" s="121"/>
      <c r="D156" s="121" t="str">
        <f t="shared" si="10"/>
        <v/>
      </c>
      <c r="H156" s="121"/>
      <c r="I156" s="121"/>
      <c r="J156" s="121"/>
      <c r="K156" s="121"/>
      <c r="L156" s="121"/>
      <c r="M156" s="121"/>
      <c r="O156" s="124">
        <f t="shared" si="11"/>
        <v>0</v>
      </c>
      <c r="P156" s="124">
        <f t="shared" si="12"/>
        <v>0</v>
      </c>
      <c r="R156" s="121"/>
      <c r="S156" s="121"/>
      <c r="T156" s="121"/>
      <c r="U156" s="121"/>
      <c r="V156" s="121"/>
      <c r="W156" s="121"/>
      <c r="X156" s="121"/>
      <c r="Y156" s="121"/>
      <c r="AA156" s="121" t="str">
        <f t="shared" si="13"/>
        <v/>
      </c>
      <c r="AB156" s="121" t="str">
        <f t="shared" si="14"/>
        <v/>
      </c>
    </row>
    <row r="157" spans="2:28">
      <c r="B157" s="121"/>
      <c r="C157" s="121"/>
      <c r="D157" s="121" t="str">
        <f t="shared" si="10"/>
        <v/>
      </c>
      <c r="H157" s="121"/>
      <c r="I157" s="121"/>
      <c r="J157" s="121"/>
      <c r="K157" s="121"/>
      <c r="L157" s="121"/>
      <c r="M157" s="121"/>
      <c r="O157" s="124">
        <f t="shared" si="11"/>
        <v>0</v>
      </c>
      <c r="P157" s="124">
        <f t="shared" si="12"/>
        <v>0</v>
      </c>
      <c r="R157" s="121"/>
      <c r="S157" s="121"/>
      <c r="T157" s="121"/>
      <c r="U157" s="121"/>
      <c r="V157" s="121"/>
      <c r="W157" s="121"/>
      <c r="X157" s="121"/>
      <c r="Y157" s="121"/>
      <c r="AA157" s="121" t="str">
        <f t="shared" si="13"/>
        <v/>
      </c>
      <c r="AB157" s="121" t="str">
        <f t="shared" si="14"/>
        <v/>
      </c>
    </row>
    <row r="158" spans="2:28">
      <c r="B158" s="121"/>
      <c r="C158" s="121"/>
      <c r="D158" s="121" t="str">
        <f t="shared" si="10"/>
        <v/>
      </c>
      <c r="H158" s="121"/>
      <c r="I158" s="121"/>
      <c r="J158" s="121"/>
      <c r="K158" s="121"/>
      <c r="L158" s="121"/>
      <c r="M158" s="121"/>
      <c r="O158" s="124">
        <f t="shared" si="11"/>
        <v>0</v>
      </c>
      <c r="P158" s="124">
        <f t="shared" si="12"/>
        <v>0</v>
      </c>
      <c r="R158" s="121"/>
      <c r="S158" s="121"/>
      <c r="T158" s="121"/>
      <c r="U158" s="121"/>
      <c r="V158" s="121"/>
      <c r="W158" s="121"/>
      <c r="X158" s="121"/>
      <c r="Y158" s="121"/>
      <c r="AA158" s="121" t="str">
        <f t="shared" si="13"/>
        <v/>
      </c>
      <c r="AB158" s="121" t="str">
        <f t="shared" si="14"/>
        <v/>
      </c>
    </row>
    <row r="159" spans="2:28">
      <c r="B159" s="121"/>
      <c r="C159" s="121"/>
      <c r="D159" s="121" t="str">
        <f t="shared" si="10"/>
        <v/>
      </c>
      <c r="H159" s="121"/>
      <c r="I159" s="121"/>
      <c r="J159" s="121"/>
      <c r="K159" s="121"/>
      <c r="L159" s="121"/>
      <c r="M159" s="121"/>
      <c r="O159" s="124">
        <f t="shared" si="11"/>
        <v>0</v>
      </c>
      <c r="P159" s="124">
        <f t="shared" si="12"/>
        <v>0</v>
      </c>
      <c r="R159" s="121"/>
      <c r="S159" s="121"/>
      <c r="T159" s="121"/>
      <c r="U159" s="121"/>
      <c r="V159" s="121"/>
      <c r="W159" s="121"/>
      <c r="X159" s="121"/>
      <c r="Y159" s="121"/>
      <c r="AA159" s="121" t="str">
        <f t="shared" si="13"/>
        <v/>
      </c>
      <c r="AB159" s="121" t="str">
        <f t="shared" si="14"/>
        <v/>
      </c>
    </row>
    <row r="160" spans="2:28">
      <c r="B160" s="121"/>
      <c r="C160" s="121"/>
      <c r="D160" s="121" t="str">
        <f t="shared" si="10"/>
        <v/>
      </c>
      <c r="H160" s="121"/>
      <c r="I160" s="121"/>
      <c r="J160" s="121"/>
      <c r="K160" s="121"/>
      <c r="L160" s="121"/>
      <c r="M160" s="121"/>
      <c r="O160" s="124">
        <f t="shared" si="11"/>
        <v>0</v>
      </c>
      <c r="P160" s="124">
        <f t="shared" si="12"/>
        <v>0</v>
      </c>
      <c r="R160" s="121"/>
      <c r="S160" s="121"/>
      <c r="T160" s="121"/>
      <c r="U160" s="121"/>
      <c r="V160" s="121"/>
      <c r="W160" s="121"/>
      <c r="X160" s="121"/>
      <c r="Y160" s="121"/>
      <c r="AA160" s="121" t="str">
        <f t="shared" si="13"/>
        <v/>
      </c>
      <c r="AB160" s="121" t="str">
        <f t="shared" si="14"/>
        <v/>
      </c>
    </row>
    <row r="161" spans="2:28">
      <c r="B161" s="121"/>
      <c r="C161" s="121"/>
      <c r="D161" s="121" t="str">
        <f t="shared" si="10"/>
        <v/>
      </c>
      <c r="H161" s="121"/>
      <c r="I161" s="121"/>
      <c r="J161" s="121"/>
      <c r="K161" s="121"/>
      <c r="L161" s="121"/>
      <c r="M161" s="121"/>
      <c r="O161" s="124">
        <f t="shared" si="11"/>
        <v>0</v>
      </c>
      <c r="P161" s="124">
        <f t="shared" si="12"/>
        <v>0</v>
      </c>
      <c r="R161" s="121"/>
      <c r="S161" s="121"/>
      <c r="T161" s="121"/>
      <c r="U161" s="121"/>
      <c r="V161" s="121"/>
      <c r="W161" s="121"/>
      <c r="X161" s="121"/>
      <c r="Y161" s="121"/>
      <c r="AA161" s="121" t="str">
        <f t="shared" si="13"/>
        <v/>
      </c>
      <c r="AB161" s="121" t="str">
        <f t="shared" si="14"/>
        <v/>
      </c>
    </row>
    <row r="162" spans="2:28">
      <c r="B162" s="121"/>
      <c r="C162" s="121"/>
      <c r="D162" s="121" t="str">
        <f t="shared" si="10"/>
        <v/>
      </c>
      <c r="H162" s="121"/>
      <c r="I162" s="121"/>
      <c r="J162" s="121"/>
      <c r="K162" s="121"/>
      <c r="L162" s="121"/>
      <c r="M162" s="121"/>
      <c r="O162" s="124">
        <f t="shared" si="11"/>
        <v>0</v>
      </c>
      <c r="P162" s="124">
        <f t="shared" si="12"/>
        <v>0</v>
      </c>
      <c r="R162" s="121"/>
      <c r="S162" s="121"/>
      <c r="T162" s="121"/>
      <c r="U162" s="121"/>
      <c r="V162" s="121"/>
      <c r="W162" s="121"/>
      <c r="X162" s="121"/>
      <c r="Y162" s="121"/>
      <c r="AA162" s="121" t="str">
        <f t="shared" si="13"/>
        <v/>
      </c>
      <c r="AB162" s="121" t="str">
        <f t="shared" si="14"/>
        <v/>
      </c>
    </row>
    <row r="163" spans="2:28">
      <c r="B163" s="121"/>
      <c r="C163" s="121"/>
      <c r="D163" s="121" t="str">
        <f t="shared" si="10"/>
        <v/>
      </c>
      <c r="H163" s="121"/>
      <c r="I163" s="121"/>
      <c r="J163" s="121"/>
      <c r="K163" s="121"/>
      <c r="L163" s="121"/>
      <c r="M163" s="121"/>
      <c r="O163" s="124">
        <f t="shared" si="11"/>
        <v>0</v>
      </c>
      <c r="P163" s="124">
        <f t="shared" si="12"/>
        <v>0</v>
      </c>
      <c r="R163" s="121"/>
      <c r="S163" s="121"/>
      <c r="T163" s="121"/>
      <c r="U163" s="121"/>
      <c r="V163" s="121"/>
      <c r="W163" s="121"/>
      <c r="X163" s="121"/>
      <c r="Y163" s="121"/>
      <c r="AA163" s="121" t="str">
        <f t="shared" si="13"/>
        <v/>
      </c>
      <c r="AB163" s="121" t="str">
        <f t="shared" si="14"/>
        <v/>
      </c>
    </row>
    <row r="164" spans="2:28">
      <c r="B164" s="121"/>
      <c r="C164" s="121"/>
      <c r="D164" s="121" t="str">
        <f t="shared" si="10"/>
        <v/>
      </c>
      <c r="H164" s="121"/>
      <c r="I164" s="121"/>
      <c r="J164" s="121"/>
      <c r="K164" s="121"/>
      <c r="L164" s="121"/>
      <c r="M164" s="121"/>
      <c r="O164" s="124">
        <f t="shared" si="11"/>
        <v>0</v>
      </c>
      <c r="P164" s="124">
        <f t="shared" si="12"/>
        <v>0</v>
      </c>
      <c r="R164" s="121"/>
      <c r="S164" s="121"/>
      <c r="T164" s="121"/>
      <c r="U164" s="121"/>
      <c r="V164" s="121"/>
      <c r="W164" s="121"/>
      <c r="X164" s="121"/>
      <c r="Y164" s="121"/>
      <c r="AA164" s="121" t="str">
        <f t="shared" si="13"/>
        <v/>
      </c>
      <c r="AB164" s="121" t="str">
        <f t="shared" si="14"/>
        <v/>
      </c>
    </row>
    <row r="165" spans="2:28">
      <c r="B165" s="121"/>
      <c r="C165" s="121"/>
      <c r="D165" s="121" t="str">
        <f t="shared" si="10"/>
        <v/>
      </c>
      <c r="H165" s="121"/>
      <c r="I165" s="121"/>
      <c r="J165" s="121"/>
      <c r="K165" s="121"/>
      <c r="L165" s="121"/>
      <c r="M165" s="121"/>
      <c r="O165" s="124">
        <f t="shared" si="11"/>
        <v>0</v>
      </c>
      <c r="P165" s="124">
        <f t="shared" si="12"/>
        <v>0</v>
      </c>
      <c r="R165" s="121"/>
      <c r="S165" s="121"/>
      <c r="T165" s="121"/>
      <c r="U165" s="121"/>
      <c r="V165" s="121"/>
      <c r="W165" s="121"/>
      <c r="X165" s="121"/>
      <c r="Y165" s="121"/>
      <c r="AA165" s="121" t="str">
        <f t="shared" si="13"/>
        <v/>
      </c>
      <c r="AB165" s="121" t="str">
        <f t="shared" si="14"/>
        <v/>
      </c>
    </row>
    <row r="166" spans="2:28">
      <c r="B166" s="121"/>
      <c r="C166" s="121"/>
      <c r="D166" s="121" t="str">
        <f t="shared" si="10"/>
        <v/>
      </c>
      <c r="H166" s="121"/>
      <c r="I166" s="121"/>
      <c r="J166" s="121"/>
      <c r="K166" s="121"/>
      <c r="L166" s="121"/>
      <c r="M166" s="121"/>
      <c r="O166" s="124">
        <f t="shared" si="11"/>
        <v>0</v>
      </c>
      <c r="P166" s="124">
        <f t="shared" si="12"/>
        <v>0</v>
      </c>
      <c r="R166" s="121"/>
      <c r="S166" s="121"/>
      <c r="T166" s="121"/>
      <c r="U166" s="121"/>
      <c r="V166" s="121"/>
      <c r="W166" s="121"/>
      <c r="X166" s="121"/>
      <c r="Y166" s="121"/>
      <c r="AA166" s="121" t="str">
        <f t="shared" si="13"/>
        <v/>
      </c>
      <c r="AB166" s="121" t="str">
        <f t="shared" si="14"/>
        <v/>
      </c>
    </row>
    <row r="167" spans="2:28">
      <c r="B167" s="121"/>
      <c r="C167" s="121"/>
      <c r="D167" s="121" t="str">
        <f t="shared" si="10"/>
        <v/>
      </c>
      <c r="H167" s="121"/>
      <c r="I167" s="121"/>
      <c r="J167" s="121"/>
      <c r="K167" s="121"/>
      <c r="L167" s="121"/>
      <c r="M167" s="121"/>
      <c r="O167" s="124">
        <f t="shared" si="11"/>
        <v>0</v>
      </c>
      <c r="P167" s="124">
        <f t="shared" si="12"/>
        <v>0</v>
      </c>
      <c r="R167" s="121"/>
      <c r="S167" s="121"/>
      <c r="T167" s="121"/>
      <c r="U167" s="121"/>
      <c r="V167" s="121"/>
      <c r="W167" s="121"/>
      <c r="X167" s="121"/>
      <c r="Y167" s="121"/>
      <c r="AA167" s="121" t="str">
        <f t="shared" si="13"/>
        <v/>
      </c>
      <c r="AB167" s="121" t="str">
        <f t="shared" si="14"/>
        <v/>
      </c>
    </row>
    <row r="168" spans="2:28">
      <c r="B168" s="121"/>
      <c r="C168" s="121"/>
      <c r="D168" s="121" t="str">
        <f t="shared" si="10"/>
        <v/>
      </c>
      <c r="H168" s="121"/>
      <c r="I168" s="121"/>
      <c r="J168" s="121"/>
      <c r="K168" s="121"/>
      <c r="L168" s="121"/>
      <c r="M168" s="121"/>
      <c r="O168" s="124">
        <f t="shared" si="11"/>
        <v>0</v>
      </c>
      <c r="P168" s="124">
        <f t="shared" si="12"/>
        <v>0</v>
      </c>
      <c r="R168" s="121"/>
      <c r="S168" s="121"/>
      <c r="T168" s="121"/>
      <c r="U168" s="121"/>
      <c r="V168" s="121"/>
      <c r="W168" s="121"/>
      <c r="X168" s="121"/>
      <c r="Y168" s="121"/>
      <c r="AA168" s="121" t="str">
        <f t="shared" si="13"/>
        <v/>
      </c>
      <c r="AB168" s="121" t="str">
        <f t="shared" si="14"/>
        <v/>
      </c>
    </row>
    <row r="169" spans="2:28">
      <c r="B169" s="121"/>
      <c r="C169" s="121"/>
      <c r="D169" s="121" t="str">
        <f t="shared" si="10"/>
        <v/>
      </c>
      <c r="H169" s="121"/>
      <c r="I169" s="121"/>
      <c r="J169" s="121"/>
      <c r="K169" s="121"/>
      <c r="L169" s="121"/>
      <c r="M169" s="121"/>
      <c r="O169" s="124">
        <f t="shared" si="11"/>
        <v>0</v>
      </c>
      <c r="P169" s="124">
        <f t="shared" si="12"/>
        <v>0</v>
      </c>
      <c r="R169" s="121"/>
      <c r="S169" s="121"/>
      <c r="T169" s="121"/>
      <c r="U169" s="121"/>
      <c r="V169" s="121"/>
      <c r="W169" s="121"/>
      <c r="X169" s="121"/>
      <c r="Y169" s="121"/>
      <c r="AA169" s="121" t="str">
        <f t="shared" si="13"/>
        <v/>
      </c>
      <c r="AB169" s="121" t="str">
        <f t="shared" si="14"/>
        <v/>
      </c>
    </row>
    <row r="170" spans="2:28">
      <c r="B170" s="121"/>
      <c r="C170" s="121"/>
      <c r="D170" s="121" t="str">
        <f t="shared" si="10"/>
        <v/>
      </c>
      <c r="H170" s="121"/>
      <c r="I170" s="121"/>
      <c r="J170" s="121"/>
      <c r="K170" s="121"/>
      <c r="L170" s="121"/>
      <c r="M170" s="121"/>
      <c r="O170" s="124">
        <f t="shared" si="11"/>
        <v>0</v>
      </c>
      <c r="P170" s="124">
        <f t="shared" si="12"/>
        <v>0</v>
      </c>
      <c r="R170" s="121"/>
      <c r="S170" s="121"/>
      <c r="T170" s="121"/>
      <c r="U170" s="121"/>
      <c r="V170" s="121"/>
      <c r="W170" s="121"/>
      <c r="X170" s="121"/>
      <c r="Y170" s="121"/>
      <c r="AA170" s="121" t="str">
        <f t="shared" si="13"/>
        <v/>
      </c>
      <c r="AB170" s="121" t="str">
        <f t="shared" si="14"/>
        <v/>
      </c>
    </row>
    <row r="171" spans="2:28">
      <c r="B171" s="121"/>
      <c r="C171" s="121"/>
      <c r="D171" s="121" t="str">
        <f t="shared" si="10"/>
        <v/>
      </c>
      <c r="H171" s="121"/>
      <c r="I171" s="121"/>
      <c r="J171" s="121"/>
      <c r="K171" s="121"/>
      <c r="L171" s="121"/>
      <c r="M171" s="121"/>
      <c r="O171" s="124">
        <f t="shared" si="11"/>
        <v>0</v>
      </c>
      <c r="P171" s="124">
        <f t="shared" si="12"/>
        <v>0</v>
      </c>
      <c r="R171" s="121"/>
      <c r="S171" s="121"/>
      <c r="T171" s="121"/>
      <c r="U171" s="121"/>
      <c r="V171" s="121"/>
      <c r="W171" s="121"/>
      <c r="X171" s="121"/>
      <c r="Y171" s="121"/>
      <c r="AA171" s="121" t="str">
        <f t="shared" si="13"/>
        <v/>
      </c>
      <c r="AB171" s="121" t="str">
        <f t="shared" si="14"/>
        <v/>
      </c>
    </row>
    <row r="172" spans="2:28">
      <c r="B172" s="121"/>
      <c r="C172" s="121"/>
      <c r="D172" s="121" t="str">
        <f t="shared" si="10"/>
        <v/>
      </c>
      <c r="H172" s="121"/>
      <c r="I172" s="121"/>
      <c r="J172" s="121"/>
      <c r="K172" s="121"/>
      <c r="L172" s="121"/>
      <c r="M172" s="121"/>
      <c r="O172" s="124">
        <f t="shared" si="11"/>
        <v>0</v>
      </c>
      <c r="P172" s="124">
        <f t="shared" si="12"/>
        <v>0</v>
      </c>
      <c r="R172" s="121"/>
      <c r="S172" s="121"/>
      <c r="T172" s="121"/>
      <c r="U172" s="121"/>
      <c r="V172" s="121"/>
      <c r="W172" s="121"/>
      <c r="X172" s="121"/>
      <c r="Y172" s="121"/>
      <c r="AA172" s="121" t="str">
        <f t="shared" si="13"/>
        <v/>
      </c>
      <c r="AB172" s="121" t="str">
        <f t="shared" si="14"/>
        <v/>
      </c>
    </row>
    <row r="173" spans="2:28">
      <c r="B173" s="121"/>
      <c r="C173" s="121"/>
      <c r="D173" s="121" t="str">
        <f t="shared" si="10"/>
        <v/>
      </c>
      <c r="H173" s="121"/>
      <c r="I173" s="121"/>
      <c r="J173" s="121"/>
      <c r="K173" s="121"/>
      <c r="L173" s="121"/>
      <c r="M173" s="121"/>
      <c r="O173" s="124">
        <f t="shared" si="11"/>
        <v>0</v>
      </c>
      <c r="P173" s="124">
        <f t="shared" si="12"/>
        <v>0</v>
      </c>
      <c r="R173" s="121"/>
      <c r="S173" s="121"/>
      <c r="T173" s="121"/>
      <c r="U173" s="121"/>
      <c r="V173" s="121"/>
      <c r="W173" s="121"/>
      <c r="X173" s="121"/>
      <c r="Y173" s="121"/>
      <c r="AA173" s="121" t="str">
        <f t="shared" si="13"/>
        <v/>
      </c>
      <c r="AB173" s="121" t="str">
        <f t="shared" si="14"/>
        <v/>
      </c>
    </row>
    <row r="174" spans="2:28">
      <c r="B174" s="121"/>
      <c r="C174" s="121"/>
      <c r="D174" s="121" t="str">
        <f t="shared" si="10"/>
        <v/>
      </c>
      <c r="H174" s="121"/>
      <c r="I174" s="121"/>
      <c r="J174" s="121"/>
      <c r="K174" s="121"/>
      <c r="L174" s="121"/>
      <c r="M174" s="121"/>
      <c r="O174" s="124">
        <f t="shared" si="11"/>
        <v>0</v>
      </c>
      <c r="P174" s="124">
        <f t="shared" si="12"/>
        <v>0</v>
      </c>
      <c r="R174" s="121"/>
      <c r="S174" s="121"/>
      <c r="T174" s="121"/>
      <c r="U174" s="121"/>
      <c r="V174" s="121"/>
      <c r="W174" s="121"/>
      <c r="X174" s="121"/>
      <c r="Y174" s="121"/>
      <c r="AA174" s="121" t="str">
        <f t="shared" si="13"/>
        <v/>
      </c>
      <c r="AB174" s="121" t="str">
        <f t="shared" si="14"/>
        <v/>
      </c>
    </row>
    <row r="175" spans="2:28">
      <c r="B175" s="121"/>
      <c r="C175" s="121"/>
      <c r="D175" s="121" t="str">
        <f t="shared" si="10"/>
        <v/>
      </c>
      <c r="H175" s="121"/>
      <c r="I175" s="121"/>
      <c r="J175" s="121"/>
      <c r="K175" s="121"/>
      <c r="L175" s="121"/>
      <c r="M175" s="121"/>
      <c r="O175" s="124">
        <f t="shared" si="11"/>
        <v>0</v>
      </c>
      <c r="P175" s="124">
        <f t="shared" si="12"/>
        <v>0</v>
      </c>
      <c r="R175" s="121"/>
      <c r="S175" s="121"/>
      <c r="T175" s="121"/>
      <c r="U175" s="121"/>
      <c r="V175" s="121"/>
      <c r="W175" s="121"/>
      <c r="X175" s="121"/>
      <c r="Y175" s="121"/>
      <c r="AA175" s="121" t="str">
        <f t="shared" si="13"/>
        <v/>
      </c>
      <c r="AB175" s="121" t="str">
        <f t="shared" si="14"/>
        <v/>
      </c>
    </row>
    <row r="176" spans="2:28">
      <c r="B176" s="121"/>
      <c r="C176" s="121"/>
      <c r="D176" s="121" t="str">
        <f t="shared" si="10"/>
        <v/>
      </c>
      <c r="H176" s="121"/>
      <c r="I176" s="121"/>
      <c r="J176" s="121"/>
      <c r="K176" s="121"/>
      <c r="L176" s="121"/>
      <c r="M176" s="121"/>
      <c r="O176" s="124">
        <f t="shared" si="11"/>
        <v>0</v>
      </c>
      <c r="P176" s="124">
        <f t="shared" si="12"/>
        <v>0</v>
      </c>
      <c r="R176" s="121"/>
      <c r="S176" s="121"/>
      <c r="T176" s="121"/>
      <c r="U176" s="121"/>
      <c r="V176" s="121"/>
      <c r="W176" s="121"/>
      <c r="X176" s="121"/>
      <c r="Y176" s="121"/>
      <c r="AA176" s="121" t="str">
        <f t="shared" si="13"/>
        <v/>
      </c>
      <c r="AB176" s="121" t="str">
        <f t="shared" si="14"/>
        <v/>
      </c>
    </row>
    <row r="177" spans="2:28">
      <c r="B177" s="121"/>
      <c r="C177" s="121"/>
      <c r="D177" s="121" t="str">
        <f t="shared" si="10"/>
        <v/>
      </c>
      <c r="H177" s="121"/>
      <c r="I177" s="121"/>
      <c r="J177" s="121"/>
      <c r="K177" s="121"/>
      <c r="L177" s="121"/>
      <c r="M177" s="121"/>
      <c r="O177" s="124">
        <f t="shared" si="11"/>
        <v>0</v>
      </c>
      <c r="P177" s="124">
        <f t="shared" si="12"/>
        <v>0</v>
      </c>
      <c r="R177" s="121"/>
      <c r="S177" s="121"/>
      <c r="T177" s="121"/>
      <c r="U177" s="121"/>
      <c r="V177" s="121"/>
      <c r="W177" s="121"/>
      <c r="X177" s="121"/>
      <c r="Y177" s="121"/>
      <c r="AA177" s="121" t="str">
        <f t="shared" si="13"/>
        <v/>
      </c>
      <c r="AB177" s="121" t="str">
        <f t="shared" si="14"/>
        <v/>
      </c>
    </row>
    <row r="178" spans="2:28">
      <c r="B178" s="121"/>
      <c r="C178" s="121"/>
      <c r="D178" s="121" t="str">
        <f t="shared" si="10"/>
        <v/>
      </c>
      <c r="H178" s="121"/>
      <c r="I178" s="121"/>
      <c r="J178" s="121"/>
      <c r="K178" s="121"/>
      <c r="L178" s="121"/>
      <c r="M178" s="121"/>
      <c r="O178" s="124">
        <f t="shared" si="11"/>
        <v>0</v>
      </c>
      <c r="P178" s="124">
        <f t="shared" si="12"/>
        <v>0</v>
      </c>
      <c r="R178" s="121"/>
      <c r="S178" s="121"/>
      <c r="T178" s="121"/>
      <c r="U178" s="121"/>
      <c r="V178" s="121"/>
      <c r="W178" s="121"/>
      <c r="X178" s="121"/>
      <c r="Y178" s="121"/>
      <c r="AA178" s="121" t="str">
        <f t="shared" si="13"/>
        <v/>
      </c>
      <c r="AB178" s="121" t="str">
        <f t="shared" si="14"/>
        <v/>
      </c>
    </row>
    <row r="179" spans="2:28">
      <c r="B179" s="121"/>
      <c r="C179" s="121"/>
      <c r="D179" s="121" t="str">
        <f t="shared" si="10"/>
        <v/>
      </c>
      <c r="H179" s="121"/>
      <c r="I179" s="121"/>
      <c r="J179" s="121"/>
      <c r="K179" s="121"/>
      <c r="L179" s="121"/>
      <c r="M179" s="121"/>
      <c r="O179" s="124">
        <f t="shared" si="11"/>
        <v>0</v>
      </c>
      <c r="P179" s="124">
        <f t="shared" si="12"/>
        <v>0</v>
      </c>
      <c r="R179" s="121"/>
      <c r="S179" s="121"/>
      <c r="T179" s="121"/>
      <c r="U179" s="121"/>
      <c r="V179" s="121"/>
      <c r="W179" s="121"/>
      <c r="X179" s="121"/>
      <c r="Y179" s="121"/>
      <c r="AA179" s="121" t="str">
        <f t="shared" si="13"/>
        <v/>
      </c>
      <c r="AB179" s="121" t="str">
        <f t="shared" si="14"/>
        <v/>
      </c>
    </row>
    <row r="180" spans="2:28">
      <c r="B180" s="121"/>
      <c r="C180" s="121"/>
      <c r="D180" s="121" t="str">
        <f t="shared" si="10"/>
        <v/>
      </c>
      <c r="H180" s="121"/>
      <c r="I180" s="121"/>
      <c r="J180" s="121"/>
      <c r="K180" s="121"/>
      <c r="L180" s="121"/>
      <c r="M180" s="121"/>
      <c r="O180" s="124">
        <f t="shared" si="11"/>
        <v>0</v>
      </c>
      <c r="P180" s="124">
        <f t="shared" si="12"/>
        <v>0</v>
      </c>
      <c r="R180" s="121"/>
      <c r="S180" s="121"/>
      <c r="T180" s="121"/>
      <c r="U180" s="121"/>
      <c r="V180" s="121"/>
      <c r="W180" s="121"/>
      <c r="X180" s="121"/>
      <c r="Y180" s="121"/>
      <c r="AA180" s="121" t="str">
        <f t="shared" si="13"/>
        <v/>
      </c>
      <c r="AB180" s="121" t="str">
        <f t="shared" si="14"/>
        <v/>
      </c>
    </row>
    <row r="181" spans="2:28">
      <c r="B181" s="121"/>
      <c r="C181" s="121"/>
      <c r="D181" s="121" t="str">
        <f t="shared" si="10"/>
        <v/>
      </c>
      <c r="H181" s="121"/>
      <c r="I181" s="121"/>
      <c r="J181" s="121"/>
      <c r="K181" s="121"/>
      <c r="L181" s="121"/>
      <c r="M181" s="121"/>
      <c r="O181" s="124">
        <f t="shared" si="11"/>
        <v>0</v>
      </c>
      <c r="P181" s="124">
        <f t="shared" si="12"/>
        <v>0</v>
      </c>
      <c r="R181" s="121"/>
      <c r="S181" s="121"/>
      <c r="T181" s="121"/>
      <c r="U181" s="121"/>
      <c r="V181" s="121"/>
      <c r="W181" s="121"/>
      <c r="X181" s="121"/>
      <c r="Y181" s="121"/>
      <c r="AA181" s="121" t="str">
        <f t="shared" si="13"/>
        <v/>
      </c>
      <c r="AB181" s="121" t="str">
        <f t="shared" si="14"/>
        <v/>
      </c>
    </row>
    <row r="182" spans="2:28">
      <c r="B182" s="121"/>
      <c r="C182" s="121"/>
      <c r="D182" s="121" t="str">
        <f t="shared" si="10"/>
        <v/>
      </c>
      <c r="H182" s="121"/>
      <c r="I182" s="121"/>
      <c r="J182" s="121"/>
      <c r="K182" s="121"/>
      <c r="L182" s="121"/>
      <c r="M182" s="121"/>
      <c r="O182" s="124">
        <f t="shared" si="11"/>
        <v>0</v>
      </c>
      <c r="P182" s="124">
        <f t="shared" si="12"/>
        <v>0</v>
      </c>
      <c r="R182" s="121"/>
      <c r="S182" s="121"/>
      <c r="T182" s="121"/>
      <c r="U182" s="121"/>
      <c r="V182" s="121"/>
      <c r="W182" s="121"/>
      <c r="X182" s="121"/>
      <c r="Y182" s="121"/>
      <c r="AA182" s="121" t="str">
        <f t="shared" si="13"/>
        <v/>
      </c>
      <c r="AB182" s="121" t="str">
        <f t="shared" si="14"/>
        <v/>
      </c>
    </row>
    <row r="183" spans="2:28">
      <c r="B183" s="121"/>
      <c r="C183" s="121"/>
      <c r="D183" s="121" t="str">
        <f t="shared" si="10"/>
        <v/>
      </c>
      <c r="H183" s="121"/>
      <c r="I183" s="121"/>
      <c r="J183" s="121"/>
      <c r="K183" s="121"/>
      <c r="L183" s="121"/>
      <c r="M183" s="121"/>
      <c r="O183" s="124">
        <f t="shared" si="11"/>
        <v>0</v>
      </c>
      <c r="P183" s="124">
        <f t="shared" si="12"/>
        <v>0</v>
      </c>
      <c r="R183" s="121"/>
      <c r="S183" s="121"/>
      <c r="T183" s="121"/>
      <c r="U183" s="121"/>
      <c r="V183" s="121"/>
      <c r="W183" s="121"/>
      <c r="X183" s="121"/>
      <c r="Y183" s="121"/>
      <c r="AA183" s="121" t="str">
        <f t="shared" si="13"/>
        <v/>
      </c>
      <c r="AB183" s="121" t="str">
        <f t="shared" si="14"/>
        <v/>
      </c>
    </row>
    <row r="184" spans="2:28">
      <c r="B184" s="121"/>
      <c r="C184" s="121"/>
      <c r="D184" s="121" t="str">
        <f t="shared" si="10"/>
        <v/>
      </c>
      <c r="H184" s="121"/>
      <c r="I184" s="121"/>
      <c r="J184" s="121"/>
      <c r="K184" s="121"/>
      <c r="L184" s="121"/>
      <c r="M184" s="121"/>
      <c r="O184" s="124">
        <f t="shared" si="11"/>
        <v>0</v>
      </c>
      <c r="P184" s="124">
        <f t="shared" si="12"/>
        <v>0</v>
      </c>
      <c r="R184" s="121"/>
      <c r="S184" s="121"/>
      <c r="T184" s="121"/>
      <c r="U184" s="121"/>
      <c r="V184" s="121"/>
      <c r="W184" s="121"/>
      <c r="X184" s="121"/>
      <c r="Y184" s="121"/>
      <c r="AA184" s="121" t="str">
        <f t="shared" si="13"/>
        <v/>
      </c>
      <c r="AB184" s="121" t="str">
        <f t="shared" si="14"/>
        <v/>
      </c>
    </row>
    <row r="185" spans="2:28">
      <c r="B185" s="121"/>
      <c r="C185" s="121"/>
      <c r="D185" s="121" t="str">
        <f t="shared" si="10"/>
        <v/>
      </c>
      <c r="H185" s="121"/>
      <c r="I185" s="121"/>
      <c r="J185" s="121"/>
      <c r="K185" s="121"/>
      <c r="L185" s="121"/>
      <c r="M185" s="121"/>
      <c r="O185" s="124">
        <f t="shared" si="11"/>
        <v>0</v>
      </c>
      <c r="P185" s="124">
        <f t="shared" si="12"/>
        <v>0</v>
      </c>
      <c r="R185" s="121"/>
      <c r="S185" s="121"/>
      <c r="T185" s="121"/>
      <c r="U185" s="121"/>
      <c r="V185" s="121"/>
      <c r="W185" s="121"/>
      <c r="X185" s="121"/>
      <c r="Y185" s="121"/>
      <c r="AA185" s="121" t="str">
        <f t="shared" si="13"/>
        <v/>
      </c>
      <c r="AB185" s="121" t="str">
        <f t="shared" si="14"/>
        <v/>
      </c>
    </row>
    <row r="186" spans="2:28">
      <c r="B186" s="121"/>
      <c r="C186" s="121"/>
      <c r="D186" s="121" t="str">
        <f t="shared" si="10"/>
        <v/>
      </c>
      <c r="H186" s="121"/>
      <c r="I186" s="121"/>
      <c r="J186" s="121"/>
      <c r="K186" s="121"/>
      <c r="L186" s="121"/>
      <c r="M186" s="121"/>
      <c r="O186" s="124">
        <f t="shared" si="11"/>
        <v>0</v>
      </c>
      <c r="P186" s="124">
        <f t="shared" si="12"/>
        <v>0</v>
      </c>
      <c r="R186" s="121"/>
      <c r="S186" s="121"/>
      <c r="T186" s="121"/>
      <c r="U186" s="121"/>
      <c r="V186" s="121"/>
      <c r="W186" s="121"/>
      <c r="X186" s="121"/>
      <c r="Y186" s="121"/>
      <c r="AA186" s="121" t="str">
        <f t="shared" si="13"/>
        <v/>
      </c>
      <c r="AB186" s="121" t="str">
        <f t="shared" si="14"/>
        <v/>
      </c>
    </row>
    <row r="187" spans="2:28">
      <c r="B187" s="121"/>
      <c r="C187" s="121"/>
      <c r="D187" s="121" t="str">
        <f t="shared" si="10"/>
        <v/>
      </c>
      <c r="H187" s="121"/>
      <c r="I187" s="121"/>
      <c r="J187" s="121"/>
      <c r="K187" s="121"/>
      <c r="L187" s="121"/>
      <c r="M187" s="121"/>
      <c r="O187" s="124">
        <f t="shared" si="11"/>
        <v>0</v>
      </c>
      <c r="P187" s="124">
        <f t="shared" si="12"/>
        <v>0</v>
      </c>
      <c r="R187" s="121"/>
      <c r="S187" s="121"/>
      <c r="T187" s="121"/>
      <c r="U187" s="121"/>
      <c r="V187" s="121"/>
      <c r="W187" s="121"/>
      <c r="X187" s="121"/>
      <c r="Y187" s="121"/>
      <c r="AA187" s="121" t="str">
        <f t="shared" si="13"/>
        <v/>
      </c>
      <c r="AB187" s="121" t="str">
        <f t="shared" si="14"/>
        <v/>
      </c>
    </row>
    <row r="188" spans="2:28">
      <c r="B188" s="121"/>
      <c r="C188" s="121"/>
      <c r="D188" s="121" t="str">
        <f t="shared" si="10"/>
        <v/>
      </c>
      <c r="H188" s="121"/>
      <c r="I188" s="121"/>
      <c r="J188" s="121"/>
      <c r="K188" s="121"/>
      <c r="L188" s="121"/>
      <c r="M188" s="121"/>
      <c r="O188" s="124">
        <f t="shared" si="11"/>
        <v>0</v>
      </c>
      <c r="P188" s="124">
        <f t="shared" si="12"/>
        <v>0</v>
      </c>
      <c r="R188" s="121"/>
      <c r="S188" s="121"/>
      <c r="T188" s="121"/>
      <c r="U188" s="121"/>
      <c r="V188" s="121"/>
      <c r="W188" s="121"/>
      <c r="X188" s="121"/>
      <c r="Y188" s="121"/>
      <c r="AA188" s="121" t="str">
        <f t="shared" si="13"/>
        <v/>
      </c>
      <c r="AB188" s="121" t="str">
        <f t="shared" si="14"/>
        <v/>
      </c>
    </row>
    <row r="189" spans="2:28">
      <c r="B189" s="121"/>
      <c r="C189" s="121"/>
      <c r="D189" s="121" t="str">
        <f t="shared" si="10"/>
        <v/>
      </c>
      <c r="H189" s="121"/>
      <c r="I189" s="121"/>
      <c r="J189" s="121"/>
      <c r="K189" s="121"/>
      <c r="L189" s="121"/>
      <c r="M189" s="121"/>
      <c r="O189" s="124">
        <f t="shared" si="11"/>
        <v>0</v>
      </c>
      <c r="P189" s="124">
        <f t="shared" si="12"/>
        <v>0</v>
      </c>
      <c r="R189" s="121"/>
      <c r="S189" s="121"/>
      <c r="T189" s="121"/>
      <c r="U189" s="121"/>
      <c r="V189" s="121"/>
      <c r="W189" s="121"/>
      <c r="X189" s="121"/>
      <c r="Y189" s="121"/>
      <c r="AA189" s="121" t="str">
        <f t="shared" si="13"/>
        <v/>
      </c>
      <c r="AB189" s="121" t="str">
        <f t="shared" si="14"/>
        <v/>
      </c>
    </row>
    <row r="190" spans="2:28">
      <c r="B190" s="121"/>
      <c r="C190" s="121"/>
      <c r="D190" s="121" t="str">
        <f t="shared" si="10"/>
        <v/>
      </c>
      <c r="H190" s="121"/>
      <c r="I190" s="121"/>
      <c r="J190" s="121"/>
      <c r="K190" s="121"/>
      <c r="L190" s="121"/>
      <c r="M190" s="121"/>
      <c r="O190" s="124">
        <f t="shared" si="11"/>
        <v>0</v>
      </c>
      <c r="P190" s="124">
        <f t="shared" si="12"/>
        <v>0</v>
      </c>
      <c r="R190" s="121"/>
      <c r="S190" s="121"/>
      <c r="T190" s="121"/>
      <c r="U190" s="121"/>
      <c r="V190" s="121"/>
      <c r="W190" s="121"/>
      <c r="X190" s="121"/>
      <c r="Y190" s="121"/>
      <c r="AA190" s="121" t="str">
        <f t="shared" si="13"/>
        <v/>
      </c>
      <c r="AB190" s="121" t="str">
        <f t="shared" si="14"/>
        <v/>
      </c>
    </row>
    <row r="191" spans="2:28">
      <c r="B191" s="121"/>
      <c r="C191" s="121"/>
      <c r="D191" s="121" t="str">
        <f t="shared" si="10"/>
        <v/>
      </c>
      <c r="H191" s="121"/>
      <c r="I191" s="121"/>
      <c r="J191" s="121"/>
      <c r="K191" s="121"/>
      <c r="L191" s="121"/>
      <c r="M191" s="121"/>
      <c r="O191" s="124">
        <f t="shared" si="11"/>
        <v>0</v>
      </c>
      <c r="P191" s="124">
        <f t="shared" si="12"/>
        <v>0</v>
      </c>
      <c r="R191" s="121"/>
      <c r="S191" s="121"/>
      <c r="T191" s="121"/>
      <c r="U191" s="121"/>
      <c r="V191" s="121"/>
      <c r="W191" s="121"/>
      <c r="X191" s="121"/>
      <c r="Y191" s="121"/>
      <c r="AA191" s="121" t="str">
        <f t="shared" si="13"/>
        <v/>
      </c>
      <c r="AB191" s="121" t="str">
        <f t="shared" si="14"/>
        <v/>
      </c>
    </row>
    <row r="192" spans="2:28">
      <c r="B192" s="121"/>
      <c r="C192" s="121"/>
      <c r="D192" s="121" t="str">
        <f t="shared" si="10"/>
        <v/>
      </c>
      <c r="H192" s="121"/>
      <c r="I192" s="121"/>
      <c r="J192" s="121"/>
      <c r="K192" s="121"/>
      <c r="L192" s="121"/>
      <c r="M192" s="121"/>
      <c r="O192" s="124">
        <f t="shared" si="11"/>
        <v>0</v>
      </c>
      <c r="P192" s="124">
        <f t="shared" si="12"/>
        <v>0</v>
      </c>
      <c r="R192" s="121"/>
      <c r="S192" s="121"/>
      <c r="T192" s="121"/>
      <c r="U192" s="121"/>
      <c r="V192" s="121"/>
      <c r="W192" s="121"/>
      <c r="X192" s="121"/>
      <c r="Y192" s="121"/>
      <c r="AA192" s="121" t="str">
        <f t="shared" si="13"/>
        <v/>
      </c>
      <c r="AB192" s="121" t="str">
        <f t="shared" si="14"/>
        <v/>
      </c>
    </row>
    <row r="193" spans="2:28">
      <c r="B193" s="121"/>
      <c r="C193" s="121"/>
      <c r="D193" s="121" t="str">
        <f t="shared" si="10"/>
        <v/>
      </c>
      <c r="H193" s="121"/>
      <c r="I193" s="121"/>
      <c r="J193" s="121"/>
      <c r="K193" s="121"/>
      <c r="L193" s="121"/>
      <c r="M193" s="121"/>
      <c r="O193" s="124">
        <f t="shared" si="11"/>
        <v>0</v>
      </c>
      <c r="P193" s="124">
        <f t="shared" si="12"/>
        <v>0</v>
      </c>
      <c r="R193" s="121"/>
      <c r="S193" s="121"/>
      <c r="T193" s="121"/>
      <c r="U193" s="121"/>
      <c r="V193" s="121"/>
      <c r="W193" s="121"/>
      <c r="X193" s="121"/>
      <c r="Y193" s="121"/>
      <c r="AA193" s="121" t="str">
        <f t="shared" si="13"/>
        <v/>
      </c>
      <c r="AB193" s="121" t="str">
        <f t="shared" si="14"/>
        <v/>
      </c>
    </row>
    <row r="194" spans="2:28">
      <c r="B194" s="121"/>
      <c r="C194" s="121"/>
      <c r="D194" s="121" t="str">
        <f t="shared" si="10"/>
        <v/>
      </c>
      <c r="H194" s="121"/>
      <c r="I194" s="121"/>
      <c r="J194" s="121"/>
      <c r="K194" s="121"/>
      <c r="L194" s="121"/>
      <c r="M194" s="121"/>
      <c r="O194" s="124">
        <f t="shared" si="11"/>
        <v>0</v>
      </c>
      <c r="P194" s="124">
        <f t="shared" si="12"/>
        <v>0</v>
      </c>
      <c r="R194" s="121"/>
      <c r="S194" s="121"/>
      <c r="T194" s="121"/>
      <c r="U194" s="121"/>
      <c r="V194" s="121"/>
      <c r="W194" s="121"/>
      <c r="X194" s="121"/>
      <c r="Y194" s="121"/>
      <c r="AA194" s="121" t="str">
        <f t="shared" si="13"/>
        <v/>
      </c>
      <c r="AB194" s="121" t="str">
        <f t="shared" si="14"/>
        <v/>
      </c>
    </row>
    <row r="195" spans="2:28">
      <c r="B195" s="121"/>
      <c r="C195" s="121"/>
      <c r="D195" s="121" t="str">
        <f t="shared" si="10"/>
        <v/>
      </c>
      <c r="H195" s="121"/>
      <c r="I195" s="121"/>
      <c r="J195" s="121"/>
      <c r="K195" s="121"/>
      <c r="L195" s="121"/>
      <c r="M195" s="121"/>
      <c r="O195" s="124">
        <f t="shared" si="11"/>
        <v>0</v>
      </c>
      <c r="P195" s="124">
        <f t="shared" si="12"/>
        <v>0</v>
      </c>
      <c r="R195" s="121"/>
      <c r="S195" s="121"/>
      <c r="T195" s="121"/>
      <c r="U195" s="121"/>
      <c r="V195" s="121"/>
      <c r="W195" s="121"/>
      <c r="X195" s="121"/>
      <c r="Y195" s="121"/>
      <c r="AA195" s="121" t="str">
        <f t="shared" si="13"/>
        <v/>
      </c>
      <c r="AB195" s="121" t="str">
        <f t="shared" si="14"/>
        <v/>
      </c>
    </row>
    <row r="196" spans="2:28">
      <c r="B196" s="121"/>
      <c r="C196" s="121"/>
      <c r="D196" s="121" t="str">
        <f t="shared" si="10"/>
        <v/>
      </c>
      <c r="H196" s="121"/>
      <c r="I196" s="121"/>
      <c r="J196" s="121"/>
      <c r="K196" s="121"/>
      <c r="L196" s="121"/>
      <c r="M196" s="121"/>
      <c r="O196" s="124">
        <f t="shared" si="11"/>
        <v>0</v>
      </c>
      <c r="P196" s="124">
        <f t="shared" si="12"/>
        <v>0</v>
      </c>
      <c r="R196" s="121"/>
      <c r="S196" s="121"/>
      <c r="T196" s="121"/>
      <c r="U196" s="121"/>
      <c r="V196" s="121"/>
      <c r="W196" s="121"/>
      <c r="X196" s="121"/>
      <c r="Y196" s="121"/>
      <c r="AA196" s="121" t="str">
        <f t="shared" si="13"/>
        <v/>
      </c>
      <c r="AB196" s="121" t="str">
        <f t="shared" si="14"/>
        <v/>
      </c>
    </row>
    <row r="197" spans="2:28">
      <c r="B197" s="121"/>
      <c r="C197" s="121"/>
      <c r="D197" s="121" t="str">
        <f t="shared" si="10"/>
        <v/>
      </c>
      <c r="H197" s="121"/>
      <c r="I197" s="121"/>
      <c r="J197" s="121"/>
      <c r="K197" s="121"/>
      <c r="L197" s="121"/>
      <c r="M197" s="121"/>
      <c r="O197" s="124">
        <f t="shared" si="11"/>
        <v>0</v>
      </c>
      <c r="P197" s="124">
        <f t="shared" si="12"/>
        <v>0</v>
      </c>
      <c r="R197" s="121"/>
      <c r="S197" s="121"/>
      <c r="T197" s="121"/>
      <c r="U197" s="121"/>
      <c r="V197" s="121"/>
      <c r="W197" s="121"/>
      <c r="X197" s="121"/>
      <c r="Y197" s="121"/>
      <c r="AA197" s="121" t="str">
        <f t="shared" si="13"/>
        <v/>
      </c>
      <c r="AB197" s="121" t="str">
        <f t="shared" si="14"/>
        <v/>
      </c>
    </row>
    <row r="198" spans="2:28">
      <c r="B198" s="121"/>
      <c r="C198" s="121"/>
      <c r="D198" s="121" t="str">
        <f t="shared" si="10"/>
        <v/>
      </c>
      <c r="H198" s="121"/>
      <c r="I198" s="121"/>
      <c r="J198" s="121"/>
      <c r="K198" s="121"/>
      <c r="L198" s="121"/>
      <c r="M198" s="121"/>
      <c r="O198" s="124">
        <f t="shared" si="11"/>
        <v>0</v>
      </c>
      <c r="P198" s="124">
        <f t="shared" si="12"/>
        <v>0</v>
      </c>
      <c r="R198" s="121"/>
      <c r="S198" s="121"/>
      <c r="T198" s="121"/>
      <c r="U198" s="121"/>
      <c r="V198" s="121"/>
      <c r="W198" s="121"/>
      <c r="X198" s="121"/>
      <c r="Y198" s="121"/>
      <c r="AA198" s="121" t="str">
        <f t="shared" si="13"/>
        <v/>
      </c>
      <c r="AB198" s="121" t="str">
        <f t="shared" si="14"/>
        <v/>
      </c>
    </row>
    <row r="199" spans="2:28">
      <c r="B199" s="121"/>
      <c r="C199" s="121"/>
      <c r="D199" s="121" t="str">
        <f t="shared" si="10"/>
        <v/>
      </c>
      <c r="H199" s="121"/>
      <c r="I199" s="121"/>
      <c r="J199" s="121"/>
      <c r="K199" s="121"/>
      <c r="L199" s="121"/>
      <c r="M199" s="121"/>
      <c r="O199" s="124">
        <f t="shared" si="11"/>
        <v>0</v>
      </c>
      <c r="P199" s="124">
        <f t="shared" si="12"/>
        <v>0</v>
      </c>
      <c r="R199" s="121"/>
      <c r="S199" s="121"/>
      <c r="T199" s="121"/>
      <c r="U199" s="121"/>
      <c r="V199" s="121"/>
      <c r="W199" s="121"/>
      <c r="X199" s="121"/>
      <c r="Y199" s="121"/>
      <c r="AA199" s="121" t="str">
        <f t="shared" si="13"/>
        <v/>
      </c>
      <c r="AB199" s="121" t="str">
        <f t="shared" si="14"/>
        <v/>
      </c>
    </row>
    <row r="200" spans="2:28">
      <c r="B200" s="121"/>
      <c r="C200" s="121"/>
      <c r="D200" s="121" t="str">
        <f t="shared" si="10"/>
        <v/>
      </c>
      <c r="H200" s="121"/>
      <c r="I200" s="121"/>
      <c r="J200" s="121"/>
      <c r="K200" s="121"/>
      <c r="L200" s="121"/>
      <c r="M200" s="121"/>
      <c r="O200" s="121">
        <f t="shared" si="11"/>
        <v>0</v>
      </c>
      <c r="P200" s="121">
        <f t="shared" si="12"/>
        <v>0</v>
      </c>
      <c r="R200" s="121"/>
      <c r="S200" s="121"/>
      <c r="T200" s="121"/>
      <c r="U200" s="121"/>
      <c r="V200" s="121"/>
      <c r="W200" s="121"/>
      <c r="X200" s="121"/>
      <c r="Y200" s="121"/>
      <c r="AA200" s="121" t="str">
        <f t="shared" si="13"/>
        <v/>
      </c>
      <c r="AB200" s="121" t="str">
        <f t="shared" si="14"/>
        <v/>
      </c>
    </row>
  </sheetData>
  <sheetProtection algorithmName="SHA-512" hashValue="oOf+XD2wfhy5k31d9epJrakkk2sU6cXp1KUsZkNtNRsp8XY3MpK9xyoCBSn51J9uEjDwRlu/ciTcHoBqkM9tEA==" saltValue="+8V8GLuKae9ORIwqTd983A==" spinCount="100000" sheet="1" objects="1" scenarios="1"/>
  <mergeCells count="13">
    <mergeCell ref="B6:B7"/>
    <mergeCell ref="C6:C7"/>
    <mergeCell ref="D6:D7"/>
    <mergeCell ref="F6:F7"/>
    <mergeCell ref="S6:S7"/>
    <mergeCell ref="O6:O7"/>
    <mergeCell ref="AA2:AA3"/>
    <mergeCell ref="AA6:AA7"/>
    <mergeCell ref="H2:H3"/>
    <mergeCell ref="R6:R7"/>
    <mergeCell ref="T6:T7"/>
    <mergeCell ref="T2:T3"/>
    <mergeCell ref="O2:O3"/>
  </mergeCells>
  <phoneticPr fontId="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theme="0" tint="-0.14999847407452621"/>
  </sheetPr>
  <dimension ref="B1:T200"/>
  <sheetViews>
    <sheetView zoomScaleNormal="100" workbookViewId="0"/>
  </sheetViews>
  <sheetFormatPr defaultRowHeight="18.75"/>
  <cols>
    <col min="2" max="2" width="9.5" bestFit="1" customWidth="1"/>
    <col min="3" max="4" width="21.75" customWidth="1"/>
    <col min="5" max="5" width="39.5" bestFit="1" customWidth="1"/>
    <col min="6" max="6" width="7" customWidth="1"/>
    <col min="7" max="7" width="26.875" customWidth="1"/>
    <col min="9" max="9" width="9.5" bestFit="1" customWidth="1"/>
    <col min="10" max="11" width="34.5" customWidth="1"/>
    <col min="12" max="12" width="11.5" bestFit="1" customWidth="1"/>
    <col min="13" max="17" width="14" customWidth="1"/>
    <col min="19" max="19" width="70.875" bestFit="1" customWidth="1"/>
    <col min="20" max="20" width="29" customWidth="1"/>
  </cols>
  <sheetData>
    <row r="1" spans="2:20">
      <c r="T1" t="s">
        <v>742</v>
      </c>
    </row>
    <row r="2" spans="2:20" ht="18.75" customHeight="1">
      <c r="L2" s="1006" t="s">
        <v>731</v>
      </c>
      <c r="M2" s="180" t="s">
        <v>607</v>
      </c>
      <c r="N2" s="180" t="s">
        <v>607</v>
      </c>
      <c r="O2" s="180" t="s">
        <v>607</v>
      </c>
      <c r="P2" s="180" t="s">
        <v>607</v>
      </c>
      <c r="Q2" s="180" t="s">
        <v>607</v>
      </c>
      <c r="S2" s="999" t="s">
        <v>731</v>
      </c>
      <c r="T2" s="185" t="s">
        <v>607</v>
      </c>
    </row>
    <row r="3" spans="2:20">
      <c r="L3" s="1005"/>
      <c r="M3" s="180" t="s">
        <v>734</v>
      </c>
      <c r="N3" s="180" t="s">
        <v>735</v>
      </c>
      <c r="O3" s="180" t="s">
        <v>736</v>
      </c>
      <c r="P3" s="180" t="s">
        <v>737</v>
      </c>
      <c r="Q3" s="180" t="s">
        <v>738</v>
      </c>
      <c r="S3" s="1000"/>
      <c r="T3" s="185" t="str">
        <f>CONCATENATE(事業所概要_算定体制!$B$3,事業所概要_算定体制!$C$3,"年度")</f>
        <v>令和７年度</v>
      </c>
    </row>
    <row r="4" spans="2:20">
      <c r="L4" s="121" t="s">
        <v>477</v>
      </c>
      <c r="M4" s="121">
        <v>5.3199999999999997E-2</v>
      </c>
      <c r="N4" s="121">
        <v>5.3199999999999997E-2</v>
      </c>
      <c r="O4" s="121">
        <v>5.3199999999999997E-2</v>
      </c>
      <c r="P4" s="121">
        <v>5.3199999999999997E-2</v>
      </c>
      <c r="Q4" s="121">
        <v>5.3199999999999997E-2</v>
      </c>
      <c r="S4" s="121" t="s">
        <v>477</v>
      </c>
      <c r="T4" s="121">
        <f>HLOOKUP($T$3,$M$3:$Q$4,2,FALSE)</f>
        <v>5.3199999999999997E-2</v>
      </c>
    </row>
    <row r="6" spans="2:20">
      <c r="B6" s="1005" t="s">
        <v>408</v>
      </c>
      <c r="C6" s="1005" t="s">
        <v>727</v>
      </c>
      <c r="D6" s="1003" t="s">
        <v>774</v>
      </c>
      <c r="E6" s="1005" t="s">
        <v>728</v>
      </c>
      <c r="G6" s="1005" t="s">
        <v>621</v>
      </c>
      <c r="I6" s="1005" t="s">
        <v>408</v>
      </c>
      <c r="J6" s="1005" t="s">
        <v>727</v>
      </c>
      <c r="K6" s="1005"/>
      <c r="L6" s="1005" t="s">
        <v>409</v>
      </c>
      <c r="M6" s="180" t="s">
        <v>607</v>
      </c>
      <c r="N6" s="180" t="s">
        <v>607</v>
      </c>
      <c r="O6" s="180" t="s">
        <v>607</v>
      </c>
      <c r="P6" s="180" t="s">
        <v>607</v>
      </c>
      <c r="Q6" s="180" t="s">
        <v>607</v>
      </c>
      <c r="S6" s="1009" t="s">
        <v>744</v>
      </c>
      <c r="T6" s="185" t="s">
        <v>607</v>
      </c>
    </row>
    <row r="7" spans="2:20">
      <c r="B7" s="1005"/>
      <c r="C7" s="1005"/>
      <c r="D7" s="1004"/>
      <c r="E7" s="1005"/>
      <c r="G7" s="1005"/>
      <c r="I7" s="1005"/>
      <c r="J7" s="1005"/>
      <c r="K7" s="1005"/>
      <c r="L7" s="1005"/>
      <c r="M7" s="180" t="s">
        <v>734</v>
      </c>
      <c r="N7" s="180" t="s">
        <v>735</v>
      </c>
      <c r="O7" s="180" t="s">
        <v>736</v>
      </c>
      <c r="P7" s="180" t="s">
        <v>737</v>
      </c>
      <c r="Q7" s="180" t="s">
        <v>738</v>
      </c>
      <c r="S7" s="1009"/>
      <c r="T7" s="185" t="str">
        <f>CONCATENATE(事業所概要_算定体制!$B$3,事業所概要_算定体制!$C$3,"年度")</f>
        <v>令和７年度</v>
      </c>
    </row>
    <row r="8" spans="2:20">
      <c r="B8" s="121" t="s">
        <v>750</v>
      </c>
      <c r="C8" s="121" t="s">
        <v>751</v>
      </c>
      <c r="D8" s="121" t="s">
        <v>752</v>
      </c>
      <c r="E8" s="490" t="str">
        <f>IF(B8="","",B8&amp;":"&amp;C8&amp;" "&amp;D8)</f>
        <v>002:東京ガスエンジニアリングソリューションズ株式会社 田町駅東口北地域</v>
      </c>
      <c r="G8" s="124"/>
      <c r="I8" s="491" t="s">
        <v>657</v>
      </c>
      <c r="J8" s="492" t="s">
        <v>658</v>
      </c>
      <c r="K8" s="492" t="s">
        <v>659</v>
      </c>
      <c r="L8" s="493"/>
      <c r="M8" s="494">
        <v>0.05</v>
      </c>
      <c r="N8" s="494">
        <v>0.05</v>
      </c>
      <c r="O8" s="494">
        <v>0.05</v>
      </c>
      <c r="P8" s="494">
        <v>0.05</v>
      </c>
      <c r="Q8" s="494">
        <v>0.05</v>
      </c>
      <c r="S8" s="501" t="str">
        <f>I8&amp;":"&amp;J8&amp;" "&amp;K8&amp;L8</f>
        <v>002:東京ガスエンジニアリングソリューションズ株式会社 田町駅東口北地域</v>
      </c>
      <c r="T8" s="502">
        <f>HLOOKUP($T$7,$M$7:$Q$200,ROW()-6,FALSE)</f>
        <v>0.05</v>
      </c>
    </row>
    <row r="9" spans="2:20">
      <c r="B9" s="121" t="s">
        <v>719</v>
      </c>
      <c r="C9" s="121" t="s">
        <v>661</v>
      </c>
      <c r="D9" s="121"/>
      <c r="E9" s="490" t="str">
        <f t="shared" ref="E9:E72" si="0">IF(B9="","",B9&amp;":"&amp;C9&amp;" "&amp;D9)</f>
        <v xml:space="preserve">006:丸の内熱供給株式会社 </v>
      </c>
      <c r="G9" s="125" t="s">
        <v>652</v>
      </c>
      <c r="I9" s="491" t="s">
        <v>660</v>
      </c>
      <c r="J9" s="492" t="s">
        <v>661</v>
      </c>
      <c r="K9" s="492"/>
      <c r="L9" s="493" t="s">
        <v>716</v>
      </c>
      <c r="M9" s="494">
        <v>0</v>
      </c>
      <c r="N9" s="494">
        <v>0</v>
      </c>
      <c r="O9" s="494">
        <v>0</v>
      </c>
      <c r="P9" s="494">
        <v>0</v>
      </c>
      <c r="Q9" s="494">
        <v>0</v>
      </c>
      <c r="S9" s="501" t="str">
        <f t="shared" ref="S9:S44" si="1">I9&amp;":"&amp;J9&amp;" "&amp;K9&amp;L9</f>
        <v>006:丸の内熱供給株式会社 メニューA</v>
      </c>
      <c r="T9" s="502">
        <f t="shared" ref="T9:T72" si="2">HLOOKUP($T$7,$M$7:$Q$200,ROW()-6,FALSE)</f>
        <v>0</v>
      </c>
    </row>
    <row r="10" spans="2:20">
      <c r="B10" s="121" t="s">
        <v>720</v>
      </c>
      <c r="C10" s="121" t="s">
        <v>721</v>
      </c>
      <c r="D10" s="121" t="s">
        <v>753</v>
      </c>
      <c r="E10" s="490" t="str">
        <f t="shared" si="0"/>
        <v>009:池袋地域冷暖房株式会社 東池袋地域</v>
      </c>
      <c r="G10" s="125" t="s">
        <v>729</v>
      </c>
      <c r="I10" s="495" t="s">
        <v>719</v>
      </c>
      <c r="J10" s="492" t="s">
        <v>661</v>
      </c>
      <c r="K10" s="492"/>
      <c r="L10" s="493" t="s">
        <v>662</v>
      </c>
      <c r="M10" s="494">
        <v>4.36E-2</v>
      </c>
      <c r="N10" s="494">
        <v>4.36E-2</v>
      </c>
      <c r="O10" s="494">
        <v>4.36E-2</v>
      </c>
      <c r="P10" s="494">
        <v>4.36E-2</v>
      </c>
      <c r="Q10" s="494">
        <v>4.36E-2</v>
      </c>
      <c r="S10" s="501" t="str">
        <f t="shared" si="1"/>
        <v>006:丸の内熱供給株式会社 残差</v>
      </c>
      <c r="T10" s="502">
        <f t="shared" si="2"/>
        <v>4.36E-2</v>
      </c>
    </row>
    <row r="11" spans="2:20">
      <c r="B11" s="121" t="s">
        <v>720</v>
      </c>
      <c r="C11" s="121" t="s">
        <v>721</v>
      </c>
      <c r="D11" s="121"/>
      <c r="E11" s="490" t="str">
        <f t="shared" si="0"/>
        <v xml:space="preserve">009:池袋地域冷暖房株式会社 </v>
      </c>
      <c r="G11" s="125" t="s">
        <v>730</v>
      </c>
      <c r="I11" s="491" t="s">
        <v>663</v>
      </c>
      <c r="J11" s="492" t="s">
        <v>664</v>
      </c>
      <c r="K11" s="492" t="s">
        <v>665</v>
      </c>
      <c r="L11" s="493" t="s">
        <v>716</v>
      </c>
      <c r="M11" s="494">
        <v>0</v>
      </c>
      <c r="N11" s="494">
        <v>0</v>
      </c>
      <c r="O11" s="494">
        <v>0</v>
      </c>
      <c r="P11" s="494">
        <v>0</v>
      </c>
      <c r="Q11" s="494">
        <v>0</v>
      </c>
      <c r="S11" s="501" t="str">
        <f t="shared" si="1"/>
        <v>009:池袋地域冷暖房株式会社 東池袋地域メニューA</v>
      </c>
      <c r="T11" s="502">
        <f t="shared" si="2"/>
        <v>0</v>
      </c>
    </row>
    <row r="12" spans="2:20">
      <c r="B12" s="121" t="s">
        <v>754</v>
      </c>
      <c r="C12" s="121" t="s">
        <v>755</v>
      </c>
      <c r="D12" s="121"/>
      <c r="E12" s="490" t="str">
        <f t="shared" si="0"/>
        <v xml:space="preserve">014:新都市熱供給株式会社 </v>
      </c>
      <c r="G12" s="125" t="s">
        <v>915</v>
      </c>
      <c r="I12" s="495" t="s">
        <v>720</v>
      </c>
      <c r="J12" s="492" t="s">
        <v>721</v>
      </c>
      <c r="K12" s="492"/>
      <c r="L12" s="493" t="s">
        <v>653</v>
      </c>
      <c r="M12" s="494">
        <v>4.5400000000000003E-2</v>
      </c>
      <c r="N12" s="494">
        <v>4.5400000000000003E-2</v>
      </c>
      <c r="O12" s="494">
        <v>4.5400000000000003E-2</v>
      </c>
      <c r="P12" s="494">
        <v>4.5400000000000003E-2</v>
      </c>
      <c r="Q12" s="494">
        <v>4.5400000000000003E-2</v>
      </c>
      <c r="S12" s="501" t="str">
        <f t="shared" si="1"/>
        <v>009:池袋地域冷暖房株式会社 残差</v>
      </c>
      <c r="T12" s="502">
        <f t="shared" si="2"/>
        <v>4.5400000000000003E-2</v>
      </c>
    </row>
    <row r="13" spans="2:20">
      <c r="B13" s="121" t="s">
        <v>756</v>
      </c>
      <c r="C13" s="121" t="s">
        <v>757</v>
      </c>
      <c r="D13" s="121" t="s">
        <v>758</v>
      </c>
      <c r="E13" s="490" t="str">
        <f t="shared" si="0"/>
        <v>016:西池袋熱供給株式会社 西池袋地域</v>
      </c>
      <c r="G13" s="125" t="s">
        <v>916</v>
      </c>
      <c r="I13" s="491" t="s">
        <v>666</v>
      </c>
      <c r="J13" s="492" t="s">
        <v>667</v>
      </c>
      <c r="K13" s="492"/>
      <c r="L13" s="493"/>
      <c r="M13" s="494">
        <v>5.0700000000000002E-2</v>
      </c>
      <c r="N13" s="494">
        <v>5.0700000000000002E-2</v>
      </c>
      <c r="O13" s="494">
        <v>5.0700000000000002E-2</v>
      </c>
      <c r="P13" s="494">
        <v>5.0700000000000002E-2</v>
      </c>
      <c r="Q13" s="494">
        <v>5.0700000000000002E-2</v>
      </c>
      <c r="S13" s="501" t="str">
        <f t="shared" si="1"/>
        <v xml:space="preserve">014:新都市熱供給株式会社 </v>
      </c>
      <c r="T13" s="502">
        <f t="shared" si="2"/>
        <v>5.0700000000000002E-2</v>
      </c>
    </row>
    <row r="14" spans="2:20">
      <c r="B14" s="121" t="s">
        <v>722</v>
      </c>
      <c r="C14" s="121" t="s">
        <v>723</v>
      </c>
      <c r="D14" s="121" t="s">
        <v>759</v>
      </c>
      <c r="E14" s="490" t="str">
        <f t="shared" si="0"/>
        <v>020:東京都市サービス株式会社 芝浦4丁目地域</v>
      </c>
      <c r="G14" s="128" t="s">
        <v>654</v>
      </c>
      <c r="I14" s="495" t="s">
        <v>668</v>
      </c>
      <c r="J14" s="492" t="s">
        <v>669</v>
      </c>
      <c r="K14" s="492" t="s">
        <v>670</v>
      </c>
      <c r="L14" s="493"/>
      <c r="M14" s="494">
        <v>4.5699999999999998E-2</v>
      </c>
      <c r="N14" s="494">
        <v>4.5699999999999998E-2</v>
      </c>
      <c r="O14" s="494">
        <v>4.5699999999999998E-2</v>
      </c>
      <c r="P14" s="494">
        <v>4.5699999999999998E-2</v>
      </c>
      <c r="Q14" s="494">
        <v>4.5699999999999998E-2</v>
      </c>
      <c r="S14" s="501" t="str">
        <f t="shared" si="1"/>
        <v>016:西池袋熱供給株式会社 西池袋地域</v>
      </c>
      <c r="T14" s="502">
        <f t="shared" si="2"/>
        <v>4.5699999999999998E-2</v>
      </c>
    </row>
    <row r="15" spans="2:20">
      <c r="B15" s="121" t="s">
        <v>722</v>
      </c>
      <c r="C15" s="121" t="s">
        <v>723</v>
      </c>
      <c r="D15" s="121" t="s">
        <v>674</v>
      </c>
      <c r="E15" s="490" t="str">
        <f t="shared" si="0"/>
        <v>020:東京都市サービス株式会社 銀座5・6丁目地域</v>
      </c>
      <c r="I15" s="491" t="s">
        <v>671</v>
      </c>
      <c r="J15" s="493" t="s">
        <v>672</v>
      </c>
      <c r="K15" s="492" t="s">
        <v>673</v>
      </c>
      <c r="L15" s="493"/>
      <c r="M15" s="494">
        <v>4.0800000000000003E-2</v>
      </c>
      <c r="N15" s="494">
        <v>4.0800000000000003E-2</v>
      </c>
      <c r="O15" s="494">
        <v>4.0800000000000003E-2</v>
      </c>
      <c r="P15" s="494">
        <v>4.0800000000000003E-2</v>
      </c>
      <c r="Q15" s="494">
        <v>4.0800000000000003E-2</v>
      </c>
      <c r="S15" s="501" t="str">
        <f t="shared" si="1"/>
        <v>020:東京都市サービス株式会社 芝浦4丁目地域</v>
      </c>
      <c r="T15" s="502">
        <f t="shared" si="2"/>
        <v>4.0800000000000003E-2</v>
      </c>
    </row>
    <row r="16" spans="2:20">
      <c r="B16" s="121" t="s">
        <v>722</v>
      </c>
      <c r="C16" s="121" t="s">
        <v>723</v>
      </c>
      <c r="D16" s="121" t="s">
        <v>675</v>
      </c>
      <c r="E16" s="490" t="str">
        <f t="shared" si="0"/>
        <v>020:東京都市サービス株式会社 新川地域</v>
      </c>
      <c r="I16" s="491" t="s">
        <v>671</v>
      </c>
      <c r="J16" s="493" t="s">
        <v>672</v>
      </c>
      <c r="K16" s="492" t="s">
        <v>674</v>
      </c>
      <c r="L16" s="493"/>
      <c r="M16" s="494">
        <v>2.9600000000000001E-2</v>
      </c>
      <c r="N16" s="494">
        <v>2.9600000000000001E-2</v>
      </c>
      <c r="O16" s="494">
        <v>2.9600000000000001E-2</v>
      </c>
      <c r="P16" s="494">
        <v>2.9600000000000001E-2</v>
      </c>
      <c r="Q16" s="494">
        <v>2.9600000000000001E-2</v>
      </c>
      <c r="S16" s="501" t="str">
        <f t="shared" si="1"/>
        <v>020:東京都市サービス株式会社 銀座5・6丁目地域</v>
      </c>
      <c r="T16" s="502">
        <f t="shared" si="2"/>
        <v>2.9600000000000001E-2</v>
      </c>
    </row>
    <row r="17" spans="2:20">
      <c r="B17" s="121" t="s">
        <v>722</v>
      </c>
      <c r="C17" s="121" t="s">
        <v>723</v>
      </c>
      <c r="D17" s="121" t="s">
        <v>676</v>
      </c>
      <c r="E17" s="490" t="str">
        <f t="shared" si="0"/>
        <v>020:東京都市サービス株式会社 神田駿河台地域</v>
      </c>
      <c r="I17" s="491" t="s">
        <v>671</v>
      </c>
      <c r="J17" s="493" t="s">
        <v>672</v>
      </c>
      <c r="K17" s="492" t="s">
        <v>675</v>
      </c>
      <c r="L17" s="493"/>
      <c r="M17" s="494">
        <v>3.2099999999999997E-2</v>
      </c>
      <c r="N17" s="494">
        <v>3.2099999999999997E-2</v>
      </c>
      <c r="O17" s="494">
        <v>3.2099999999999997E-2</v>
      </c>
      <c r="P17" s="494">
        <v>3.2099999999999997E-2</v>
      </c>
      <c r="Q17" s="494">
        <v>3.2099999999999997E-2</v>
      </c>
      <c r="S17" s="501" t="str">
        <f t="shared" si="1"/>
        <v>020:東京都市サービス株式会社 新川地域</v>
      </c>
      <c r="T17" s="502">
        <f t="shared" si="2"/>
        <v>3.2099999999999997E-2</v>
      </c>
    </row>
    <row r="18" spans="2:20">
      <c r="B18" s="121" t="s">
        <v>722</v>
      </c>
      <c r="C18" s="121" t="s">
        <v>723</v>
      </c>
      <c r="D18" s="121" t="s">
        <v>677</v>
      </c>
      <c r="E18" s="490" t="str">
        <f t="shared" si="0"/>
        <v>020:東京都市サービス株式会社 箱崎地域</v>
      </c>
      <c r="I18" s="491" t="s">
        <v>671</v>
      </c>
      <c r="J18" s="493" t="s">
        <v>672</v>
      </c>
      <c r="K18" s="492" t="s">
        <v>676</v>
      </c>
      <c r="L18" s="493"/>
      <c r="M18" s="494">
        <v>4.2500000000000003E-2</v>
      </c>
      <c r="N18" s="494">
        <v>4.2500000000000003E-2</v>
      </c>
      <c r="O18" s="494">
        <v>4.2500000000000003E-2</v>
      </c>
      <c r="P18" s="494">
        <v>4.2500000000000003E-2</v>
      </c>
      <c r="Q18" s="494">
        <v>4.2500000000000003E-2</v>
      </c>
      <c r="S18" s="501" t="str">
        <f t="shared" si="1"/>
        <v>020:東京都市サービス株式会社 神田駿河台地域</v>
      </c>
      <c r="T18" s="502">
        <f t="shared" si="2"/>
        <v>4.2500000000000003E-2</v>
      </c>
    </row>
    <row r="19" spans="2:20">
      <c r="B19" s="121" t="s">
        <v>722</v>
      </c>
      <c r="C19" s="121" t="s">
        <v>723</v>
      </c>
      <c r="D19" s="121" t="s">
        <v>678</v>
      </c>
      <c r="E19" s="490" t="str">
        <f t="shared" si="0"/>
        <v>020:東京都市サービス株式会社 幕張新都心ハイテク・ビジネス地域</v>
      </c>
      <c r="I19" s="491" t="s">
        <v>671</v>
      </c>
      <c r="J19" s="493" t="s">
        <v>672</v>
      </c>
      <c r="K19" s="492" t="s">
        <v>677</v>
      </c>
      <c r="L19" s="493"/>
      <c r="M19" s="494">
        <v>4.0899999999999999E-2</v>
      </c>
      <c r="N19" s="494">
        <v>4.0899999999999999E-2</v>
      </c>
      <c r="O19" s="494">
        <v>4.0899999999999999E-2</v>
      </c>
      <c r="P19" s="494">
        <v>4.0899999999999999E-2</v>
      </c>
      <c r="Q19" s="494">
        <v>4.0899999999999999E-2</v>
      </c>
      <c r="S19" s="501" t="str">
        <f t="shared" si="1"/>
        <v>020:東京都市サービス株式会社 箱崎地域</v>
      </c>
      <c r="T19" s="502">
        <f t="shared" si="2"/>
        <v>4.0899999999999999E-2</v>
      </c>
    </row>
    <row r="20" spans="2:20">
      <c r="B20" s="121" t="s">
        <v>722</v>
      </c>
      <c r="C20" s="121" t="s">
        <v>723</v>
      </c>
      <c r="D20" s="121" t="s">
        <v>679</v>
      </c>
      <c r="E20" s="490" t="str">
        <f t="shared" si="0"/>
        <v>020:東京都市サービス株式会社 高崎市中央・城址地域</v>
      </c>
      <c r="I20" s="491" t="s">
        <v>671</v>
      </c>
      <c r="J20" s="493" t="s">
        <v>672</v>
      </c>
      <c r="K20" s="492" t="s">
        <v>678</v>
      </c>
      <c r="L20" s="493"/>
      <c r="M20" s="494">
        <v>2.6499999999999999E-2</v>
      </c>
      <c r="N20" s="494">
        <v>2.6499999999999999E-2</v>
      </c>
      <c r="O20" s="494">
        <v>2.6499999999999999E-2</v>
      </c>
      <c r="P20" s="494">
        <v>2.6499999999999999E-2</v>
      </c>
      <c r="Q20" s="494">
        <v>2.6499999999999999E-2</v>
      </c>
      <c r="S20" s="501" t="str">
        <f t="shared" si="1"/>
        <v>020:東京都市サービス株式会社 幕張新都心ハイテク・ビジネス地域</v>
      </c>
      <c r="T20" s="502">
        <f t="shared" si="2"/>
        <v>2.6499999999999999E-2</v>
      </c>
    </row>
    <row r="21" spans="2:20">
      <c r="B21" s="121" t="s">
        <v>722</v>
      </c>
      <c r="C21" s="121" t="s">
        <v>723</v>
      </c>
      <c r="D21" s="121" t="s">
        <v>680</v>
      </c>
      <c r="E21" s="490" t="str">
        <f t="shared" si="0"/>
        <v>020:東京都市サービス株式会社 本駒込2丁目地域</v>
      </c>
      <c r="I21" s="491" t="s">
        <v>671</v>
      </c>
      <c r="J21" s="493" t="s">
        <v>672</v>
      </c>
      <c r="K21" s="492" t="s">
        <v>679</v>
      </c>
      <c r="L21" s="493"/>
      <c r="M21" s="494">
        <v>3.5799999999999998E-2</v>
      </c>
      <c r="N21" s="494">
        <v>3.5799999999999998E-2</v>
      </c>
      <c r="O21" s="494">
        <v>3.5799999999999998E-2</v>
      </c>
      <c r="P21" s="494">
        <v>3.5799999999999998E-2</v>
      </c>
      <c r="Q21" s="494">
        <v>3.5799999999999998E-2</v>
      </c>
      <c r="S21" s="501" t="str">
        <f t="shared" si="1"/>
        <v>020:東京都市サービス株式会社 高崎市中央・城址地域</v>
      </c>
      <c r="T21" s="502">
        <f t="shared" si="2"/>
        <v>3.5799999999999998E-2</v>
      </c>
    </row>
    <row r="22" spans="2:20">
      <c r="B22" s="121" t="s">
        <v>722</v>
      </c>
      <c r="C22" s="121" t="s">
        <v>723</v>
      </c>
      <c r="D22" s="121" t="s">
        <v>681</v>
      </c>
      <c r="E22" s="490" t="str">
        <f t="shared" si="0"/>
        <v>020:東京都市サービス株式会社 大崎1丁目地域</v>
      </c>
      <c r="I22" s="491" t="s">
        <v>671</v>
      </c>
      <c r="J22" s="493" t="s">
        <v>672</v>
      </c>
      <c r="K22" s="492" t="s">
        <v>680</v>
      </c>
      <c r="L22" s="493"/>
      <c r="M22" s="494">
        <v>4.5499999999999999E-2</v>
      </c>
      <c r="N22" s="494">
        <v>4.5499999999999999E-2</v>
      </c>
      <c r="O22" s="494">
        <v>4.5499999999999999E-2</v>
      </c>
      <c r="P22" s="494">
        <v>4.5499999999999999E-2</v>
      </c>
      <c r="Q22" s="494">
        <v>4.5499999999999999E-2</v>
      </c>
      <c r="S22" s="501" t="str">
        <f t="shared" si="1"/>
        <v>020:東京都市サービス株式会社 本駒込2丁目地域</v>
      </c>
      <c r="T22" s="502">
        <f t="shared" si="2"/>
        <v>4.5499999999999999E-2</v>
      </c>
    </row>
    <row r="23" spans="2:20">
      <c r="B23" s="121" t="s">
        <v>722</v>
      </c>
      <c r="C23" s="121" t="s">
        <v>723</v>
      </c>
      <c r="D23" s="121" t="s">
        <v>682</v>
      </c>
      <c r="E23" s="490" t="str">
        <f t="shared" si="0"/>
        <v>020:東京都市サービス株式会社 晴海アイランド地域</v>
      </c>
      <c r="I23" s="491" t="s">
        <v>671</v>
      </c>
      <c r="J23" s="493" t="s">
        <v>672</v>
      </c>
      <c r="K23" s="492" t="s">
        <v>681</v>
      </c>
      <c r="L23" s="493"/>
      <c r="M23" s="494">
        <v>4.2099999999999999E-2</v>
      </c>
      <c r="N23" s="494">
        <v>4.2099999999999999E-2</v>
      </c>
      <c r="O23" s="494">
        <v>4.2099999999999999E-2</v>
      </c>
      <c r="P23" s="494">
        <v>4.2099999999999999E-2</v>
      </c>
      <c r="Q23" s="494">
        <v>4.2099999999999999E-2</v>
      </c>
      <c r="S23" s="501" t="str">
        <f t="shared" si="1"/>
        <v>020:東京都市サービス株式会社 大崎1丁目地域</v>
      </c>
      <c r="T23" s="502">
        <f t="shared" si="2"/>
        <v>4.2099999999999999E-2</v>
      </c>
    </row>
    <row r="24" spans="2:20">
      <c r="B24" s="121" t="s">
        <v>722</v>
      </c>
      <c r="C24" s="121" t="s">
        <v>723</v>
      </c>
      <c r="D24" s="121" t="s">
        <v>683</v>
      </c>
      <c r="E24" s="490" t="str">
        <f t="shared" si="0"/>
        <v>020:東京都市サービス株式会社 府中日鋼町地域</v>
      </c>
      <c r="I24" s="491" t="s">
        <v>671</v>
      </c>
      <c r="J24" s="493" t="s">
        <v>672</v>
      </c>
      <c r="K24" s="492" t="s">
        <v>682</v>
      </c>
      <c r="L24" s="493"/>
      <c r="M24" s="494">
        <v>3.78E-2</v>
      </c>
      <c r="N24" s="494">
        <v>3.78E-2</v>
      </c>
      <c r="O24" s="494">
        <v>3.78E-2</v>
      </c>
      <c r="P24" s="494">
        <v>3.78E-2</v>
      </c>
      <c r="Q24" s="494">
        <v>3.78E-2</v>
      </c>
      <c r="S24" s="501" t="str">
        <f t="shared" si="1"/>
        <v>020:東京都市サービス株式会社 晴海アイランド地域</v>
      </c>
      <c r="T24" s="502">
        <f t="shared" si="2"/>
        <v>3.78E-2</v>
      </c>
    </row>
    <row r="25" spans="2:20">
      <c r="B25" s="121" t="s">
        <v>722</v>
      </c>
      <c r="C25" s="121" t="s">
        <v>723</v>
      </c>
      <c r="D25" s="121" t="s">
        <v>684</v>
      </c>
      <c r="E25" s="490" t="str">
        <f t="shared" si="0"/>
        <v>020:東京都市サービス株式会社 横浜市北仲通南地域</v>
      </c>
      <c r="I25" s="491" t="s">
        <v>671</v>
      </c>
      <c r="J25" s="493" t="s">
        <v>672</v>
      </c>
      <c r="K25" s="492" t="s">
        <v>683</v>
      </c>
      <c r="L25" s="493" t="s">
        <v>716</v>
      </c>
      <c r="M25" s="494">
        <v>0</v>
      </c>
      <c r="N25" s="494">
        <v>0</v>
      </c>
      <c r="O25" s="494">
        <v>0</v>
      </c>
      <c r="P25" s="494">
        <v>0</v>
      </c>
      <c r="Q25" s="494">
        <v>0</v>
      </c>
      <c r="S25" s="501" t="str">
        <f t="shared" si="1"/>
        <v>020:東京都市サービス株式会社 府中日鋼町地域メニューA</v>
      </c>
      <c r="T25" s="502">
        <f t="shared" si="2"/>
        <v>0</v>
      </c>
    </row>
    <row r="26" spans="2:20">
      <c r="B26" s="121" t="s">
        <v>724</v>
      </c>
      <c r="C26" s="121" t="s">
        <v>686</v>
      </c>
      <c r="D26" s="121"/>
      <c r="E26" s="490" t="str">
        <f t="shared" si="0"/>
        <v xml:space="preserve">024:みなとみらい二十一熱供給株式会社 </v>
      </c>
      <c r="I26" s="495" t="s">
        <v>722</v>
      </c>
      <c r="J26" s="493" t="s">
        <v>723</v>
      </c>
      <c r="K26" s="492" t="s">
        <v>683</v>
      </c>
      <c r="L26" s="493" t="s">
        <v>653</v>
      </c>
      <c r="M26" s="494">
        <v>3.04E-2</v>
      </c>
      <c r="N26" s="494">
        <v>3.04E-2</v>
      </c>
      <c r="O26" s="494">
        <v>3.04E-2</v>
      </c>
      <c r="P26" s="494">
        <v>3.04E-2</v>
      </c>
      <c r="Q26" s="494">
        <v>3.04E-2</v>
      </c>
      <c r="S26" s="501" t="str">
        <f t="shared" si="1"/>
        <v>020:東京都市サービス株式会社 府中日鋼町地域残差</v>
      </c>
      <c r="T26" s="502">
        <f t="shared" si="2"/>
        <v>3.04E-2</v>
      </c>
    </row>
    <row r="27" spans="2:20">
      <c r="B27" s="121" t="s">
        <v>760</v>
      </c>
      <c r="C27" s="121" t="s">
        <v>761</v>
      </c>
      <c r="D27" s="121"/>
      <c r="E27" s="490" t="str">
        <f t="shared" si="0"/>
        <v xml:space="preserve">033:新宿熱供給株式会社 </v>
      </c>
      <c r="I27" s="495" t="s">
        <v>722</v>
      </c>
      <c r="J27" s="493" t="s">
        <v>723</v>
      </c>
      <c r="K27" s="492" t="s">
        <v>684</v>
      </c>
      <c r="L27" s="493"/>
      <c r="M27" s="494">
        <v>3.4599999999999999E-2</v>
      </c>
      <c r="N27" s="494">
        <v>3.4599999999999999E-2</v>
      </c>
      <c r="O27" s="494">
        <v>3.4599999999999999E-2</v>
      </c>
      <c r="P27" s="494">
        <v>3.4599999999999999E-2</v>
      </c>
      <c r="Q27" s="494">
        <v>3.4599999999999999E-2</v>
      </c>
      <c r="S27" s="501" t="str">
        <f t="shared" si="1"/>
        <v>020:東京都市サービス株式会社 横浜市北仲通南地域</v>
      </c>
      <c r="T27" s="502">
        <f t="shared" si="2"/>
        <v>3.4599999999999999E-2</v>
      </c>
    </row>
    <row r="28" spans="2:20">
      <c r="B28" s="121" t="s">
        <v>725</v>
      </c>
      <c r="C28" s="121" t="s">
        <v>690</v>
      </c>
      <c r="D28" s="121" t="s">
        <v>762</v>
      </c>
      <c r="E28" s="490" t="str">
        <f t="shared" si="0"/>
        <v>039:株式会社福岡エネルギーサービス シーサイドももち地域</v>
      </c>
      <c r="I28" s="491" t="s">
        <v>685</v>
      </c>
      <c r="J28" s="493" t="s">
        <v>686</v>
      </c>
      <c r="K28" s="493"/>
      <c r="L28" s="493" t="s">
        <v>391</v>
      </c>
      <c r="M28" s="496">
        <v>0</v>
      </c>
      <c r="N28" s="496">
        <v>0</v>
      </c>
      <c r="O28" s="496">
        <v>0</v>
      </c>
      <c r="P28" s="496">
        <v>0</v>
      </c>
      <c r="Q28" s="496">
        <v>0</v>
      </c>
      <c r="S28" s="501" t="str">
        <f t="shared" si="1"/>
        <v>024:みなとみらい二十一熱供給株式会社 メニューA</v>
      </c>
      <c r="T28" s="502">
        <f t="shared" si="2"/>
        <v>0</v>
      </c>
    </row>
    <row r="29" spans="2:20">
      <c r="B29" s="121" t="s">
        <v>725</v>
      </c>
      <c r="C29" s="121" t="s">
        <v>690</v>
      </c>
      <c r="D29" s="121" t="s">
        <v>692</v>
      </c>
      <c r="E29" s="490" t="str">
        <f t="shared" si="0"/>
        <v>039:株式会社福岡エネルギーサービス 西鉄福岡駅再開発地域</v>
      </c>
      <c r="I29" s="495" t="s">
        <v>724</v>
      </c>
      <c r="J29" s="493" t="s">
        <v>686</v>
      </c>
      <c r="K29" s="493"/>
      <c r="L29" s="493" t="s">
        <v>717</v>
      </c>
      <c r="M29" s="496">
        <v>0</v>
      </c>
      <c r="N29" s="496">
        <v>0</v>
      </c>
      <c r="O29" s="496">
        <v>0</v>
      </c>
      <c r="P29" s="496">
        <v>0</v>
      </c>
      <c r="Q29" s="496">
        <v>0</v>
      </c>
      <c r="S29" s="501" t="str">
        <f t="shared" si="1"/>
        <v>024:みなとみらい二十一熱供給株式会社 メニューB</v>
      </c>
      <c r="T29" s="502">
        <f t="shared" si="2"/>
        <v>0</v>
      </c>
    </row>
    <row r="30" spans="2:20">
      <c r="B30" s="121" t="s">
        <v>725</v>
      </c>
      <c r="C30" s="121" t="s">
        <v>690</v>
      </c>
      <c r="D30" s="121" t="s">
        <v>693</v>
      </c>
      <c r="E30" s="490" t="str">
        <f t="shared" si="0"/>
        <v>039:株式会社福岡エネルギーサービス 下川端再開発地域</v>
      </c>
      <c r="I30" s="495" t="s">
        <v>724</v>
      </c>
      <c r="J30" s="493" t="s">
        <v>686</v>
      </c>
      <c r="K30" s="493"/>
      <c r="L30" s="493" t="s">
        <v>653</v>
      </c>
      <c r="M30" s="496">
        <v>4.5699999999999998E-2</v>
      </c>
      <c r="N30" s="496">
        <v>4.5699999999999998E-2</v>
      </c>
      <c r="O30" s="496">
        <v>4.5699999999999998E-2</v>
      </c>
      <c r="P30" s="496">
        <v>4.5699999999999998E-2</v>
      </c>
      <c r="Q30" s="496">
        <v>4.5699999999999998E-2</v>
      </c>
      <c r="S30" s="501" t="str">
        <f t="shared" si="1"/>
        <v>024:みなとみらい二十一熱供給株式会社 残差</v>
      </c>
      <c r="T30" s="502">
        <f t="shared" si="2"/>
        <v>4.5699999999999998E-2</v>
      </c>
    </row>
    <row r="31" spans="2:20">
      <c r="B31" s="121" t="s">
        <v>763</v>
      </c>
      <c r="C31" s="121" t="s">
        <v>764</v>
      </c>
      <c r="D31" s="121" t="s">
        <v>696</v>
      </c>
      <c r="E31" s="490" t="str">
        <f t="shared" si="0"/>
        <v>047:東京下水道エネルギー株式会社　後楽事業所 後楽一丁目地域</v>
      </c>
      <c r="I31" s="495" t="s">
        <v>687</v>
      </c>
      <c r="J31" s="492" t="s">
        <v>688</v>
      </c>
      <c r="K31" s="493"/>
      <c r="L31" s="497"/>
      <c r="M31" s="498">
        <v>4.8899999999999999E-2</v>
      </c>
      <c r="N31" s="498">
        <v>4.8899999999999999E-2</v>
      </c>
      <c r="O31" s="498">
        <v>4.8899999999999999E-2</v>
      </c>
      <c r="P31" s="498">
        <v>4.8899999999999999E-2</v>
      </c>
      <c r="Q31" s="498">
        <v>4.8899999999999999E-2</v>
      </c>
      <c r="S31" s="501" t="str">
        <f t="shared" si="1"/>
        <v xml:space="preserve">033:新宿熱供給株式会社 </v>
      </c>
      <c r="T31" s="502">
        <f t="shared" si="2"/>
        <v>4.8899999999999999E-2</v>
      </c>
    </row>
    <row r="32" spans="2:20">
      <c r="B32" s="121" t="s">
        <v>765</v>
      </c>
      <c r="C32" s="121" t="s">
        <v>766</v>
      </c>
      <c r="D32" s="121"/>
      <c r="E32" s="490" t="str">
        <f t="shared" si="0"/>
        <v xml:space="preserve">050:新宿南エネルギーサービス株式会社 </v>
      </c>
      <c r="I32" s="491" t="s">
        <v>689</v>
      </c>
      <c r="J32" s="493" t="s">
        <v>690</v>
      </c>
      <c r="K32" s="493" t="s">
        <v>691</v>
      </c>
      <c r="L32" s="493"/>
      <c r="M32" s="496">
        <v>4.2299999999999997E-2</v>
      </c>
      <c r="N32" s="496">
        <v>4.2299999999999997E-2</v>
      </c>
      <c r="O32" s="496">
        <v>4.2299999999999997E-2</v>
      </c>
      <c r="P32" s="496">
        <v>4.2299999999999997E-2</v>
      </c>
      <c r="Q32" s="496">
        <v>4.2299999999999997E-2</v>
      </c>
      <c r="S32" s="501" t="str">
        <f t="shared" si="1"/>
        <v>039:株式会社福岡エネルギーサービス シーサイドももち地域</v>
      </c>
      <c r="T32" s="502">
        <f t="shared" si="2"/>
        <v>4.2299999999999997E-2</v>
      </c>
    </row>
    <row r="33" spans="2:20">
      <c r="B33" s="121" t="s">
        <v>699</v>
      </c>
      <c r="C33" s="121" t="s">
        <v>767</v>
      </c>
      <c r="D33" s="121"/>
      <c r="E33" s="490" t="str">
        <f t="shared" si="0"/>
        <v xml:space="preserve">057:錦糸町熱供給株式会社 </v>
      </c>
      <c r="I33" s="495" t="s">
        <v>725</v>
      </c>
      <c r="J33" s="493" t="s">
        <v>690</v>
      </c>
      <c r="K33" s="493" t="s">
        <v>692</v>
      </c>
      <c r="L33" s="493"/>
      <c r="M33" s="496">
        <v>3.49E-2</v>
      </c>
      <c r="N33" s="496">
        <v>3.49E-2</v>
      </c>
      <c r="O33" s="496">
        <v>3.49E-2</v>
      </c>
      <c r="P33" s="496">
        <v>3.49E-2</v>
      </c>
      <c r="Q33" s="496">
        <v>3.49E-2</v>
      </c>
      <c r="S33" s="501" t="str">
        <f t="shared" si="1"/>
        <v>039:株式会社福岡エネルギーサービス 西鉄福岡駅再開発地域</v>
      </c>
      <c r="T33" s="502">
        <f t="shared" si="2"/>
        <v>3.49E-2</v>
      </c>
    </row>
    <row r="34" spans="2:20">
      <c r="B34" s="121" t="s">
        <v>701</v>
      </c>
      <c r="C34" s="121" t="s">
        <v>702</v>
      </c>
      <c r="D34" s="121" t="s">
        <v>703</v>
      </c>
      <c r="E34" s="490" t="str">
        <f t="shared" si="0"/>
        <v>058:品川熱供給株式会社 品川東口南地域</v>
      </c>
      <c r="I34" s="495" t="s">
        <v>725</v>
      </c>
      <c r="J34" s="493" t="s">
        <v>690</v>
      </c>
      <c r="K34" s="493" t="s">
        <v>693</v>
      </c>
      <c r="L34" s="493"/>
      <c r="M34" s="496">
        <v>5.5599999999999997E-2</v>
      </c>
      <c r="N34" s="496">
        <v>5.5599999999999997E-2</v>
      </c>
      <c r="O34" s="496">
        <v>5.5599999999999997E-2</v>
      </c>
      <c r="P34" s="496">
        <v>5.5599999999999997E-2</v>
      </c>
      <c r="Q34" s="496">
        <v>5.5599999999999997E-2</v>
      </c>
      <c r="S34" s="501" t="str">
        <f t="shared" si="1"/>
        <v>039:株式会社福岡エネルギーサービス 下川端再開発地域</v>
      </c>
      <c r="T34" s="502">
        <f t="shared" si="2"/>
        <v>5.5599999999999997E-2</v>
      </c>
    </row>
    <row r="35" spans="2:20">
      <c r="B35" s="121" t="s">
        <v>768</v>
      </c>
      <c r="C35" s="121" t="s">
        <v>705</v>
      </c>
      <c r="D35" s="121"/>
      <c r="E35" s="490" t="str">
        <f t="shared" si="0"/>
        <v xml:space="preserve">064:山王熱供給株式会社 </v>
      </c>
      <c r="I35" s="495" t="s">
        <v>694</v>
      </c>
      <c r="J35" s="492" t="s">
        <v>695</v>
      </c>
      <c r="K35" s="492" t="s">
        <v>696</v>
      </c>
      <c r="L35" s="497"/>
      <c r="M35" s="498">
        <v>3.5900000000000001E-2</v>
      </c>
      <c r="N35" s="498">
        <v>3.5900000000000001E-2</v>
      </c>
      <c r="O35" s="498">
        <v>3.5900000000000001E-2</v>
      </c>
      <c r="P35" s="498">
        <v>3.5900000000000001E-2</v>
      </c>
      <c r="Q35" s="498">
        <v>3.5900000000000001E-2</v>
      </c>
      <c r="S35" s="501" t="str">
        <f t="shared" si="1"/>
        <v>047:東京下水道エネルギー株式会社　後楽事業所 後楽一丁目地域</v>
      </c>
      <c r="T35" s="502">
        <f t="shared" si="2"/>
        <v>3.5900000000000001E-2</v>
      </c>
    </row>
    <row r="36" spans="2:20">
      <c r="B36" s="121" t="s">
        <v>706</v>
      </c>
      <c r="C36" s="121" t="s">
        <v>769</v>
      </c>
      <c r="D36" s="121"/>
      <c r="E36" s="490" t="str">
        <f t="shared" si="0"/>
        <v xml:space="preserve">065:渋谷熱供給株式会社 </v>
      </c>
      <c r="I36" s="495" t="s">
        <v>697</v>
      </c>
      <c r="J36" s="493" t="s">
        <v>698</v>
      </c>
      <c r="K36" s="493"/>
      <c r="L36" s="497"/>
      <c r="M36" s="498">
        <v>4.6399999999999997E-2</v>
      </c>
      <c r="N36" s="498">
        <v>4.6399999999999997E-2</v>
      </c>
      <c r="O36" s="498">
        <v>4.6399999999999997E-2</v>
      </c>
      <c r="P36" s="498">
        <v>4.6399999999999997E-2</v>
      </c>
      <c r="Q36" s="498">
        <v>4.6399999999999997E-2</v>
      </c>
      <c r="S36" s="501" t="str">
        <f t="shared" si="1"/>
        <v xml:space="preserve">050:新宿南エネルギーサービス株式会社 </v>
      </c>
      <c r="T36" s="502">
        <f t="shared" si="2"/>
        <v>4.6399999999999997E-2</v>
      </c>
    </row>
    <row r="37" spans="2:20">
      <c r="B37" s="121" t="s">
        <v>770</v>
      </c>
      <c r="C37" s="121" t="s">
        <v>771</v>
      </c>
      <c r="D37" s="121"/>
      <c r="E37" s="490" t="str">
        <f t="shared" si="0"/>
        <v xml:space="preserve">069:品川エネルギーサービス株式会社 </v>
      </c>
      <c r="I37" s="495" t="s">
        <v>699</v>
      </c>
      <c r="J37" s="493" t="s">
        <v>700</v>
      </c>
      <c r="K37" s="493"/>
      <c r="L37" s="493"/>
      <c r="M37" s="499">
        <v>0.04</v>
      </c>
      <c r="N37" s="499">
        <v>0.04</v>
      </c>
      <c r="O37" s="499">
        <v>0.04</v>
      </c>
      <c r="P37" s="499">
        <v>0.04</v>
      </c>
      <c r="Q37" s="499">
        <v>0.04</v>
      </c>
      <c r="S37" s="501" t="str">
        <f t="shared" si="1"/>
        <v xml:space="preserve">057:錦糸町熱供給株式会社 </v>
      </c>
      <c r="T37" s="502">
        <f t="shared" si="2"/>
        <v>0.04</v>
      </c>
    </row>
    <row r="38" spans="2:20">
      <c r="B38" s="121" t="s">
        <v>772</v>
      </c>
      <c r="C38" s="121" t="s">
        <v>773</v>
      </c>
      <c r="D38" s="121" t="s">
        <v>711</v>
      </c>
      <c r="E38" s="490" t="str">
        <f t="shared" si="0"/>
        <v>073:ＤＨＣ名古屋株式会社 名駅東地域</v>
      </c>
      <c r="I38" s="495" t="s">
        <v>701</v>
      </c>
      <c r="J38" s="493" t="s">
        <v>702</v>
      </c>
      <c r="K38" s="493" t="s">
        <v>703</v>
      </c>
      <c r="L38" s="493"/>
      <c r="M38" s="499">
        <v>4.2299999999999997E-2</v>
      </c>
      <c r="N38" s="499">
        <v>4.2299999999999997E-2</v>
      </c>
      <c r="O38" s="499">
        <v>4.2299999999999997E-2</v>
      </c>
      <c r="P38" s="499">
        <v>4.2299999999999997E-2</v>
      </c>
      <c r="Q38" s="499">
        <v>4.2299999999999997E-2</v>
      </c>
      <c r="S38" s="501" t="str">
        <f t="shared" si="1"/>
        <v>058:品川熱供給株式会社 品川東口南地域</v>
      </c>
      <c r="T38" s="502">
        <f t="shared" si="2"/>
        <v>4.2299999999999997E-2</v>
      </c>
    </row>
    <row r="39" spans="2:20">
      <c r="B39" s="121" t="s">
        <v>726</v>
      </c>
      <c r="C39" s="121" t="s">
        <v>713</v>
      </c>
      <c r="D39" s="121" t="s">
        <v>714</v>
      </c>
      <c r="E39" s="490" t="str">
        <f t="shared" si="0"/>
        <v>079:虎ノ門エネルギーネットワーク株式会社 虎ノ門一・二丁目地域</v>
      </c>
      <c r="I39" s="495" t="s">
        <v>704</v>
      </c>
      <c r="J39" s="493" t="s">
        <v>705</v>
      </c>
      <c r="K39" s="493"/>
      <c r="L39" s="493"/>
      <c r="M39" s="499">
        <v>4.36E-2</v>
      </c>
      <c r="N39" s="499">
        <v>4.36E-2</v>
      </c>
      <c r="O39" s="499">
        <v>4.36E-2</v>
      </c>
      <c r="P39" s="499">
        <v>4.36E-2</v>
      </c>
      <c r="Q39" s="499">
        <v>4.36E-2</v>
      </c>
      <c r="S39" s="501" t="str">
        <f t="shared" si="1"/>
        <v xml:space="preserve">064:山王熱供給株式会社 </v>
      </c>
      <c r="T39" s="502">
        <f t="shared" si="2"/>
        <v>4.36E-2</v>
      </c>
    </row>
    <row r="40" spans="2:20">
      <c r="B40" s="121"/>
      <c r="C40" s="121"/>
      <c r="D40" s="121"/>
      <c r="E40" s="490" t="str">
        <f t="shared" si="0"/>
        <v/>
      </c>
      <c r="I40" s="495" t="s">
        <v>706</v>
      </c>
      <c r="J40" s="493" t="s">
        <v>707</v>
      </c>
      <c r="K40" s="493"/>
      <c r="L40" s="493"/>
      <c r="M40" s="499">
        <v>0.05</v>
      </c>
      <c r="N40" s="499">
        <v>0.05</v>
      </c>
      <c r="O40" s="499">
        <v>0.05</v>
      </c>
      <c r="P40" s="499">
        <v>0.05</v>
      </c>
      <c r="Q40" s="499">
        <v>0.05</v>
      </c>
      <c r="S40" s="501" t="str">
        <f t="shared" si="1"/>
        <v xml:space="preserve">065:渋谷熱供給株式会社 </v>
      </c>
      <c r="T40" s="502">
        <f t="shared" si="2"/>
        <v>0.05</v>
      </c>
    </row>
    <row r="41" spans="2:20">
      <c r="B41" s="121"/>
      <c r="C41" s="121"/>
      <c r="D41" s="121"/>
      <c r="E41" s="490" t="str">
        <f t="shared" si="0"/>
        <v/>
      </c>
      <c r="I41" s="491" t="s">
        <v>708</v>
      </c>
      <c r="J41" s="493" t="s">
        <v>718</v>
      </c>
      <c r="K41" s="493"/>
      <c r="L41" s="493"/>
      <c r="M41" s="499">
        <v>4.3799999999999999E-2</v>
      </c>
      <c r="N41" s="499">
        <v>4.3799999999999999E-2</v>
      </c>
      <c r="O41" s="499">
        <v>4.3799999999999999E-2</v>
      </c>
      <c r="P41" s="499">
        <v>4.3799999999999999E-2</v>
      </c>
      <c r="Q41" s="499">
        <v>4.3799999999999999E-2</v>
      </c>
      <c r="S41" s="501" t="str">
        <f t="shared" si="1"/>
        <v xml:space="preserve">069:品川エネルギーサービス株式会社 </v>
      </c>
      <c r="T41" s="502">
        <f t="shared" si="2"/>
        <v>4.3799999999999999E-2</v>
      </c>
    </row>
    <row r="42" spans="2:20">
      <c r="B42" s="121"/>
      <c r="C42" s="121"/>
      <c r="D42" s="121"/>
      <c r="E42" s="490" t="str">
        <f t="shared" si="0"/>
        <v/>
      </c>
      <c r="I42" s="491" t="s">
        <v>709</v>
      </c>
      <c r="J42" s="492" t="s">
        <v>710</v>
      </c>
      <c r="K42" s="492" t="s">
        <v>711</v>
      </c>
      <c r="L42" s="493"/>
      <c r="M42" s="499">
        <v>3.4799999999999998E-2</v>
      </c>
      <c r="N42" s="499">
        <v>3.4799999999999998E-2</v>
      </c>
      <c r="O42" s="499">
        <v>3.4799999999999998E-2</v>
      </c>
      <c r="P42" s="499">
        <v>3.4799999999999998E-2</v>
      </c>
      <c r="Q42" s="499">
        <v>3.4799999999999998E-2</v>
      </c>
      <c r="S42" s="501" t="str">
        <f t="shared" si="1"/>
        <v>073:ＤＨＣ名古屋株式会社 名駅東地域</v>
      </c>
      <c r="T42" s="502">
        <f t="shared" si="2"/>
        <v>3.4799999999999998E-2</v>
      </c>
    </row>
    <row r="43" spans="2:20">
      <c r="B43" s="121"/>
      <c r="C43" s="121"/>
      <c r="D43" s="121"/>
      <c r="E43" s="490" t="str">
        <f t="shared" si="0"/>
        <v/>
      </c>
      <c r="I43" s="491" t="s">
        <v>712</v>
      </c>
      <c r="J43" s="493" t="s">
        <v>713</v>
      </c>
      <c r="K43" s="493" t="s">
        <v>714</v>
      </c>
      <c r="L43" s="500"/>
      <c r="M43" s="494">
        <v>4.3799999999999999E-2</v>
      </c>
      <c r="N43" s="494">
        <v>4.3799999999999999E-2</v>
      </c>
      <c r="O43" s="494">
        <v>4.3799999999999999E-2</v>
      </c>
      <c r="P43" s="494">
        <v>4.3799999999999999E-2</v>
      </c>
      <c r="Q43" s="494">
        <v>4.3799999999999999E-2</v>
      </c>
      <c r="S43" s="501" t="str">
        <f t="shared" si="1"/>
        <v>079:虎ノ門エネルギーネットワーク株式会社 虎ノ門一・二丁目地域</v>
      </c>
      <c r="T43" s="502">
        <f t="shared" si="2"/>
        <v>4.3799999999999999E-2</v>
      </c>
    </row>
    <row r="44" spans="2:20">
      <c r="B44" s="121"/>
      <c r="C44" s="121"/>
      <c r="D44" s="121"/>
      <c r="E44" s="490" t="str">
        <f t="shared" si="0"/>
        <v/>
      </c>
      <c r="I44" s="495" t="s">
        <v>726</v>
      </c>
      <c r="J44" s="493" t="s">
        <v>713</v>
      </c>
      <c r="K44" s="493" t="s">
        <v>715</v>
      </c>
      <c r="L44" s="500"/>
      <c r="M44" s="494">
        <v>4.2000000000000003E-2</v>
      </c>
      <c r="N44" s="494">
        <v>4.2000000000000003E-2</v>
      </c>
      <c r="O44" s="494">
        <v>4.2000000000000003E-2</v>
      </c>
      <c r="P44" s="494">
        <v>4.2000000000000003E-2</v>
      </c>
      <c r="Q44" s="494">
        <v>4.2000000000000003E-2</v>
      </c>
      <c r="S44" s="501" t="str">
        <f t="shared" si="1"/>
        <v>079:虎ノ門エネルギーネットワーク株式会社 虎ノ門・麻布台地域</v>
      </c>
      <c r="T44" s="502">
        <f t="shared" si="2"/>
        <v>4.2000000000000003E-2</v>
      </c>
    </row>
    <row r="45" spans="2:20">
      <c r="B45" s="121"/>
      <c r="C45" s="121"/>
      <c r="D45" s="121"/>
      <c r="E45" s="490" t="str">
        <f t="shared" si="0"/>
        <v/>
      </c>
      <c r="I45" s="495"/>
      <c r="J45" s="493"/>
      <c r="K45" s="493"/>
      <c r="L45" s="500"/>
      <c r="M45" s="494"/>
      <c r="N45" s="494"/>
      <c r="O45" s="494"/>
      <c r="P45" s="494"/>
      <c r="Q45" s="494"/>
      <c r="S45" s="501" t="str">
        <f t="shared" ref="S45:S108" si="3">I45&amp;":"&amp;J45&amp;" "&amp;K45&amp;L45</f>
        <v xml:space="preserve">: </v>
      </c>
      <c r="T45" s="502">
        <f t="shared" si="2"/>
        <v>0</v>
      </c>
    </row>
    <row r="46" spans="2:20">
      <c r="B46" s="121"/>
      <c r="C46" s="121"/>
      <c r="D46" s="121"/>
      <c r="E46" s="490" t="str">
        <f t="shared" si="0"/>
        <v/>
      </c>
      <c r="I46" s="495"/>
      <c r="J46" s="493"/>
      <c r="K46" s="493"/>
      <c r="L46" s="500"/>
      <c r="M46" s="494"/>
      <c r="N46" s="494"/>
      <c r="O46" s="494"/>
      <c r="P46" s="494"/>
      <c r="Q46" s="494"/>
      <c r="S46" s="501" t="str">
        <f t="shared" si="3"/>
        <v xml:space="preserve">: </v>
      </c>
      <c r="T46" s="502">
        <f t="shared" si="2"/>
        <v>0</v>
      </c>
    </row>
    <row r="47" spans="2:20">
      <c r="B47" s="121"/>
      <c r="C47" s="121"/>
      <c r="D47" s="121"/>
      <c r="E47" s="490" t="str">
        <f t="shared" si="0"/>
        <v/>
      </c>
      <c r="I47" s="495"/>
      <c r="J47" s="493"/>
      <c r="K47" s="493"/>
      <c r="L47" s="500"/>
      <c r="M47" s="494"/>
      <c r="N47" s="494"/>
      <c r="O47" s="494"/>
      <c r="P47" s="494"/>
      <c r="Q47" s="494"/>
      <c r="S47" s="501" t="str">
        <f t="shared" si="3"/>
        <v xml:space="preserve">: </v>
      </c>
      <c r="T47" s="502">
        <f t="shared" si="2"/>
        <v>0</v>
      </c>
    </row>
    <row r="48" spans="2:20">
      <c r="B48" s="121"/>
      <c r="C48" s="121"/>
      <c r="D48" s="121"/>
      <c r="E48" s="490" t="str">
        <f t="shared" si="0"/>
        <v/>
      </c>
      <c r="I48" s="495"/>
      <c r="J48" s="493"/>
      <c r="K48" s="493"/>
      <c r="L48" s="500"/>
      <c r="M48" s="494"/>
      <c r="N48" s="494"/>
      <c r="O48" s="494"/>
      <c r="P48" s="494"/>
      <c r="Q48" s="494"/>
      <c r="S48" s="501" t="str">
        <f t="shared" si="3"/>
        <v xml:space="preserve">: </v>
      </c>
      <c r="T48" s="502">
        <f t="shared" si="2"/>
        <v>0</v>
      </c>
    </row>
    <row r="49" spans="2:20">
      <c r="B49" s="121"/>
      <c r="C49" s="121"/>
      <c r="D49" s="121"/>
      <c r="E49" s="490" t="str">
        <f t="shared" si="0"/>
        <v/>
      </c>
      <c r="I49" s="495"/>
      <c r="J49" s="493"/>
      <c r="K49" s="493"/>
      <c r="L49" s="500"/>
      <c r="M49" s="494"/>
      <c r="N49" s="494"/>
      <c r="O49" s="494"/>
      <c r="P49" s="494"/>
      <c r="Q49" s="494"/>
      <c r="S49" s="501" t="str">
        <f t="shared" si="3"/>
        <v xml:space="preserve">: </v>
      </c>
      <c r="T49" s="502">
        <f t="shared" si="2"/>
        <v>0</v>
      </c>
    </row>
    <row r="50" spans="2:20">
      <c r="B50" s="121"/>
      <c r="C50" s="121"/>
      <c r="D50" s="121"/>
      <c r="E50" s="490" t="str">
        <f t="shared" si="0"/>
        <v/>
      </c>
      <c r="I50" s="495"/>
      <c r="J50" s="493"/>
      <c r="K50" s="493"/>
      <c r="L50" s="500"/>
      <c r="M50" s="494"/>
      <c r="N50" s="494"/>
      <c r="O50" s="494"/>
      <c r="P50" s="494"/>
      <c r="Q50" s="494"/>
      <c r="S50" s="501" t="str">
        <f t="shared" si="3"/>
        <v xml:space="preserve">: </v>
      </c>
      <c r="T50" s="502">
        <f t="shared" si="2"/>
        <v>0</v>
      </c>
    </row>
    <row r="51" spans="2:20">
      <c r="B51" s="121"/>
      <c r="C51" s="121"/>
      <c r="D51" s="121"/>
      <c r="E51" s="490" t="str">
        <f t="shared" si="0"/>
        <v/>
      </c>
      <c r="I51" s="495"/>
      <c r="J51" s="493"/>
      <c r="K51" s="493"/>
      <c r="L51" s="500"/>
      <c r="M51" s="494"/>
      <c r="N51" s="494"/>
      <c r="O51" s="494"/>
      <c r="P51" s="494"/>
      <c r="Q51" s="494"/>
      <c r="S51" s="501" t="str">
        <f t="shared" si="3"/>
        <v xml:space="preserve">: </v>
      </c>
      <c r="T51" s="502">
        <f t="shared" si="2"/>
        <v>0</v>
      </c>
    </row>
    <row r="52" spans="2:20">
      <c r="B52" s="121"/>
      <c r="C52" s="121"/>
      <c r="D52" s="121"/>
      <c r="E52" s="490" t="str">
        <f t="shared" si="0"/>
        <v/>
      </c>
      <c r="I52" s="495"/>
      <c r="J52" s="493"/>
      <c r="K52" s="493"/>
      <c r="L52" s="500"/>
      <c r="M52" s="494"/>
      <c r="N52" s="494"/>
      <c r="O52" s="494"/>
      <c r="P52" s="494"/>
      <c r="Q52" s="494"/>
      <c r="S52" s="501" t="str">
        <f t="shared" si="3"/>
        <v xml:space="preserve">: </v>
      </c>
      <c r="T52" s="502">
        <f t="shared" si="2"/>
        <v>0</v>
      </c>
    </row>
    <row r="53" spans="2:20">
      <c r="B53" s="121"/>
      <c r="C53" s="121"/>
      <c r="D53" s="121"/>
      <c r="E53" s="490" t="str">
        <f t="shared" si="0"/>
        <v/>
      </c>
      <c r="I53" s="495"/>
      <c r="J53" s="493"/>
      <c r="K53" s="493"/>
      <c r="L53" s="500"/>
      <c r="M53" s="494"/>
      <c r="N53" s="494"/>
      <c r="O53" s="494"/>
      <c r="P53" s="494"/>
      <c r="Q53" s="494"/>
      <c r="S53" s="501" t="str">
        <f t="shared" si="3"/>
        <v xml:space="preserve">: </v>
      </c>
      <c r="T53" s="502">
        <f t="shared" si="2"/>
        <v>0</v>
      </c>
    </row>
    <row r="54" spans="2:20">
      <c r="B54" s="121"/>
      <c r="C54" s="121"/>
      <c r="D54" s="121"/>
      <c r="E54" s="490" t="str">
        <f t="shared" si="0"/>
        <v/>
      </c>
      <c r="I54" s="495"/>
      <c r="J54" s="493"/>
      <c r="K54" s="493"/>
      <c r="L54" s="500"/>
      <c r="M54" s="494"/>
      <c r="N54" s="494"/>
      <c r="O54" s="494"/>
      <c r="P54" s="494"/>
      <c r="Q54" s="494"/>
      <c r="S54" s="501" t="str">
        <f t="shared" si="3"/>
        <v xml:space="preserve">: </v>
      </c>
      <c r="T54" s="502">
        <f t="shared" si="2"/>
        <v>0</v>
      </c>
    </row>
    <row r="55" spans="2:20">
      <c r="B55" s="121"/>
      <c r="C55" s="121"/>
      <c r="D55" s="121"/>
      <c r="E55" s="490" t="str">
        <f t="shared" si="0"/>
        <v/>
      </c>
      <c r="I55" s="495"/>
      <c r="J55" s="493"/>
      <c r="K55" s="493"/>
      <c r="L55" s="500"/>
      <c r="M55" s="494"/>
      <c r="N55" s="494"/>
      <c r="O55" s="494"/>
      <c r="P55" s="494"/>
      <c r="Q55" s="494"/>
      <c r="S55" s="501" t="str">
        <f t="shared" si="3"/>
        <v xml:space="preserve">: </v>
      </c>
      <c r="T55" s="502">
        <f t="shared" si="2"/>
        <v>0</v>
      </c>
    </row>
    <row r="56" spans="2:20">
      <c r="B56" s="121"/>
      <c r="C56" s="121"/>
      <c r="D56" s="121"/>
      <c r="E56" s="490" t="str">
        <f t="shared" si="0"/>
        <v/>
      </c>
      <c r="I56" s="495"/>
      <c r="J56" s="493"/>
      <c r="K56" s="493"/>
      <c r="L56" s="500"/>
      <c r="M56" s="494"/>
      <c r="N56" s="494"/>
      <c r="O56" s="494"/>
      <c r="P56" s="494"/>
      <c r="Q56" s="494"/>
      <c r="S56" s="501" t="str">
        <f t="shared" si="3"/>
        <v xml:space="preserve">: </v>
      </c>
      <c r="T56" s="502">
        <f t="shared" si="2"/>
        <v>0</v>
      </c>
    </row>
    <row r="57" spans="2:20">
      <c r="B57" s="121"/>
      <c r="C57" s="121"/>
      <c r="D57" s="121"/>
      <c r="E57" s="490" t="str">
        <f t="shared" si="0"/>
        <v/>
      </c>
      <c r="I57" s="495"/>
      <c r="J57" s="493"/>
      <c r="K57" s="493"/>
      <c r="L57" s="500"/>
      <c r="M57" s="494"/>
      <c r="N57" s="494"/>
      <c r="O57" s="494"/>
      <c r="P57" s="494"/>
      <c r="Q57" s="494"/>
      <c r="S57" s="501" t="str">
        <f t="shared" si="3"/>
        <v xml:space="preserve">: </v>
      </c>
      <c r="T57" s="502">
        <f t="shared" si="2"/>
        <v>0</v>
      </c>
    </row>
    <row r="58" spans="2:20">
      <c r="B58" s="121"/>
      <c r="C58" s="121"/>
      <c r="D58" s="121"/>
      <c r="E58" s="490" t="str">
        <f t="shared" si="0"/>
        <v/>
      </c>
      <c r="I58" s="495"/>
      <c r="J58" s="493"/>
      <c r="K58" s="493"/>
      <c r="L58" s="500"/>
      <c r="M58" s="494"/>
      <c r="N58" s="494"/>
      <c r="O58" s="494"/>
      <c r="P58" s="494"/>
      <c r="Q58" s="494"/>
      <c r="S58" s="501" t="str">
        <f t="shared" si="3"/>
        <v xml:space="preserve">: </v>
      </c>
      <c r="T58" s="502">
        <f t="shared" si="2"/>
        <v>0</v>
      </c>
    </row>
    <row r="59" spans="2:20">
      <c r="B59" s="121"/>
      <c r="C59" s="121"/>
      <c r="D59" s="121"/>
      <c r="E59" s="490" t="str">
        <f t="shared" si="0"/>
        <v/>
      </c>
      <c r="I59" s="495"/>
      <c r="J59" s="493"/>
      <c r="K59" s="493"/>
      <c r="L59" s="500"/>
      <c r="M59" s="494"/>
      <c r="N59" s="494"/>
      <c r="O59" s="494"/>
      <c r="P59" s="494"/>
      <c r="Q59" s="494"/>
      <c r="S59" s="501" t="str">
        <f t="shared" si="3"/>
        <v xml:space="preserve">: </v>
      </c>
      <c r="T59" s="502">
        <f t="shared" si="2"/>
        <v>0</v>
      </c>
    </row>
    <row r="60" spans="2:20">
      <c r="B60" s="121"/>
      <c r="C60" s="121"/>
      <c r="D60" s="121"/>
      <c r="E60" s="490" t="str">
        <f t="shared" si="0"/>
        <v/>
      </c>
      <c r="I60" s="495"/>
      <c r="J60" s="493"/>
      <c r="K60" s="493"/>
      <c r="L60" s="500"/>
      <c r="M60" s="494"/>
      <c r="N60" s="494"/>
      <c r="O60" s="494"/>
      <c r="P60" s="494"/>
      <c r="Q60" s="494"/>
      <c r="S60" s="501" t="str">
        <f t="shared" si="3"/>
        <v xml:space="preserve">: </v>
      </c>
      <c r="T60" s="502">
        <f t="shared" si="2"/>
        <v>0</v>
      </c>
    </row>
    <row r="61" spans="2:20">
      <c r="B61" s="121"/>
      <c r="C61" s="121"/>
      <c r="D61" s="121"/>
      <c r="E61" s="490" t="str">
        <f t="shared" si="0"/>
        <v/>
      </c>
      <c r="I61" s="495"/>
      <c r="J61" s="493"/>
      <c r="K61" s="493"/>
      <c r="L61" s="500"/>
      <c r="M61" s="494"/>
      <c r="N61" s="494"/>
      <c r="O61" s="494"/>
      <c r="P61" s="494"/>
      <c r="Q61" s="494"/>
      <c r="S61" s="501" t="str">
        <f t="shared" si="3"/>
        <v xml:space="preserve">: </v>
      </c>
      <c r="T61" s="502">
        <f t="shared" si="2"/>
        <v>0</v>
      </c>
    </row>
    <row r="62" spans="2:20">
      <c r="B62" s="121"/>
      <c r="C62" s="121"/>
      <c r="D62" s="121"/>
      <c r="E62" s="490" t="str">
        <f t="shared" si="0"/>
        <v/>
      </c>
      <c r="I62" s="495"/>
      <c r="J62" s="493"/>
      <c r="K62" s="493"/>
      <c r="L62" s="500"/>
      <c r="M62" s="494"/>
      <c r="N62" s="494"/>
      <c r="O62" s="494"/>
      <c r="P62" s="494"/>
      <c r="Q62" s="494"/>
      <c r="S62" s="501" t="str">
        <f t="shared" si="3"/>
        <v xml:space="preserve">: </v>
      </c>
      <c r="T62" s="502">
        <f t="shared" si="2"/>
        <v>0</v>
      </c>
    </row>
    <row r="63" spans="2:20">
      <c r="B63" s="121"/>
      <c r="C63" s="121"/>
      <c r="D63" s="121"/>
      <c r="E63" s="490" t="str">
        <f t="shared" si="0"/>
        <v/>
      </c>
      <c r="I63" s="495"/>
      <c r="J63" s="493"/>
      <c r="K63" s="493"/>
      <c r="L63" s="500"/>
      <c r="M63" s="494"/>
      <c r="N63" s="494"/>
      <c r="O63" s="494"/>
      <c r="P63" s="494"/>
      <c r="Q63" s="494"/>
      <c r="S63" s="501" t="str">
        <f t="shared" si="3"/>
        <v xml:space="preserve">: </v>
      </c>
      <c r="T63" s="502">
        <f t="shared" si="2"/>
        <v>0</v>
      </c>
    </row>
    <row r="64" spans="2:20">
      <c r="B64" s="121"/>
      <c r="C64" s="121"/>
      <c r="D64" s="121"/>
      <c r="E64" s="490" t="str">
        <f t="shared" si="0"/>
        <v/>
      </c>
      <c r="I64" s="495"/>
      <c r="J64" s="493"/>
      <c r="K64" s="493"/>
      <c r="L64" s="500"/>
      <c r="M64" s="494"/>
      <c r="N64" s="494"/>
      <c r="O64" s="494"/>
      <c r="P64" s="494"/>
      <c r="Q64" s="494"/>
      <c r="S64" s="501" t="str">
        <f t="shared" si="3"/>
        <v xml:space="preserve">: </v>
      </c>
      <c r="T64" s="502">
        <f t="shared" si="2"/>
        <v>0</v>
      </c>
    </row>
    <row r="65" spans="2:20">
      <c r="B65" s="121"/>
      <c r="C65" s="121"/>
      <c r="D65" s="121"/>
      <c r="E65" s="490" t="str">
        <f t="shared" si="0"/>
        <v/>
      </c>
      <c r="I65" s="495"/>
      <c r="J65" s="493"/>
      <c r="K65" s="493"/>
      <c r="L65" s="500"/>
      <c r="M65" s="494"/>
      <c r="N65" s="494"/>
      <c r="O65" s="494"/>
      <c r="P65" s="494"/>
      <c r="Q65" s="494"/>
      <c r="S65" s="501" t="str">
        <f t="shared" si="3"/>
        <v xml:space="preserve">: </v>
      </c>
      <c r="T65" s="502">
        <f t="shared" si="2"/>
        <v>0</v>
      </c>
    </row>
    <row r="66" spans="2:20">
      <c r="B66" s="121"/>
      <c r="C66" s="121"/>
      <c r="D66" s="121"/>
      <c r="E66" s="490" t="str">
        <f t="shared" si="0"/>
        <v/>
      </c>
      <c r="I66" s="495"/>
      <c r="J66" s="493"/>
      <c r="K66" s="493"/>
      <c r="L66" s="500"/>
      <c r="M66" s="494"/>
      <c r="N66" s="494"/>
      <c r="O66" s="494"/>
      <c r="P66" s="494"/>
      <c r="Q66" s="494"/>
      <c r="S66" s="501" t="str">
        <f t="shared" si="3"/>
        <v xml:space="preserve">: </v>
      </c>
      <c r="T66" s="502">
        <f t="shared" si="2"/>
        <v>0</v>
      </c>
    </row>
    <row r="67" spans="2:20">
      <c r="B67" s="121"/>
      <c r="C67" s="121"/>
      <c r="D67" s="121"/>
      <c r="E67" s="490" t="str">
        <f t="shared" si="0"/>
        <v/>
      </c>
      <c r="I67" s="495"/>
      <c r="J67" s="493"/>
      <c r="K67" s="493"/>
      <c r="L67" s="500"/>
      <c r="M67" s="494"/>
      <c r="N67" s="494"/>
      <c r="O67" s="494"/>
      <c r="P67" s="494"/>
      <c r="Q67" s="494"/>
      <c r="S67" s="501" t="str">
        <f t="shared" si="3"/>
        <v xml:space="preserve">: </v>
      </c>
      <c r="T67" s="502">
        <f t="shared" si="2"/>
        <v>0</v>
      </c>
    </row>
    <row r="68" spans="2:20">
      <c r="B68" s="121"/>
      <c r="C68" s="121"/>
      <c r="D68" s="121"/>
      <c r="E68" s="490" t="str">
        <f t="shared" si="0"/>
        <v/>
      </c>
      <c r="I68" s="495"/>
      <c r="J68" s="493"/>
      <c r="K68" s="493"/>
      <c r="L68" s="500"/>
      <c r="M68" s="494"/>
      <c r="N68" s="494"/>
      <c r="O68" s="494"/>
      <c r="P68" s="494"/>
      <c r="Q68" s="494"/>
      <c r="S68" s="501" t="str">
        <f t="shared" si="3"/>
        <v xml:space="preserve">: </v>
      </c>
      <c r="T68" s="502">
        <f t="shared" si="2"/>
        <v>0</v>
      </c>
    </row>
    <row r="69" spans="2:20">
      <c r="B69" s="121"/>
      <c r="C69" s="121"/>
      <c r="D69" s="121"/>
      <c r="E69" s="490" t="str">
        <f t="shared" si="0"/>
        <v/>
      </c>
      <c r="I69" s="495"/>
      <c r="J69" s="493"/>
      <c r="K69" s="493"/>
      <c r="L69" s="500"/>
      <c r="M69" s="494"/>
      <c r="N69" s="494"/>
      <c r="O69" s="494"/>
      <c r="P69" s="494"/>
      <c r="Q69" s="494"/>
      <c r="S69" s="501" t="str">
        <f t="shared" si="3"/>
        <v xml:space="preserve">: </v>
      </c>
      <c r="T69" s="502">
        <f t="shared" si="2"/>
        <v>0</v>
      </c>
    </row>
    <row r="70" spans="2:20">
      <c r="B70" s="121"/>
      <c r="C70" s="121"/>
      <c r="D70" s="121"/>
      <c r="E70" s="490" t="str">
        <f t="shared" si="0"/>
        <v/>
      </c>
      <c r="I70" s="495"/>
      <c r="J70" s="493"/>
      <c r="K70" s="493"/>
      <c r="L70" s="500"/>
      <c r="M70" s="494"/>
      <c r="N70" s="494"/>
      <c r="O70" s="494"/>
      <c r="P70" s="494"/>
      <c r="Q70" s="494"/>
      <c r="S70" s="501" t="str">
        <f t="shared" si="3"/>
        <v xml:space="preserve">: </v>
      </c>
      <c r="T70" s="502">
        <f t="shared" si="2"/>
        <v>0</v>
      </c>
    </row>
    <row r="71" spans="2:20">
      <c r="B71" s="121"/>
      <c r="C71" s="121"/>
      <c r="D71" s="121"/>
      <c r="E71" s="490" t="str">
        <f t="shared" si="0"/>
        <v/>
      </c>
      <c r="I71" s="495"/>
      <c r="J71" s="493"/>
      <c r="K71" s="493"/>
      <c r="L71" s="500"/>
      <c r="M71" s="494"/>
      <c r="N71" s="494"/>
      <c r="O71" s="494"/>
      <c r="P71" s="494"/>
      <c r="Q71" s="494"/>
      <c r="S71" s="501" t="str">
        <f t="shared" si="3"/>
        <v xml:space="preserve">: </v>
      </c>
      <c r="T71" s="502">
        <f t="shared" si="2"/>
        <v>0</v>
      </c>
    </row>
    <row r="72" spans="2:20">
      <c r="B72" s="121"/>
      <c r="C72" s="121"/>
      <c r="D72" s="121"/>
      <c r="E72" s="490" t="str">
        <f t="shared" si="0"/>
        <v/>
      </c>
      <c r="I72" s="495"/>
      <c r="J72" s="493"/>
      <c r="K72" s="493"/>
      <c r="L72" s="500"/>
      <c r="M72" s="494"/>
      <c r="N72" s="494"/>
      <c r="O72" s="494"/>
      <c r="P72" s="494"/>
      <c r="Q72" s="494"/>
      <c r="S72" s="501" t="str">
        <f t="shared" si="3"/>
        <v xml:space="preserve">: </v>
      </c>
      <c r="T72" s="502">
        <f t="shared" si="2"/>
        <v>0</v>
      </c>
    </row>
    <row r="73" spans="2:20">
      <c r="B73" s="121"/>
      <c r="C73" s="121"/>
      <c r="D73" s="121"/>
      <c r="E73" s="490" t="str">
        <f t="shared" ref="E73:E136" si="4">IF(B73="","",B73&amp;":"&amp;C73&amp;" "&amp;D73)</f>
        <v/>
      </c>
      <c r="I73" s="495"/>
      <c r="J73" s="493"/>
      <c r="K73" s="493"/>
      <c r="L73" s="500"/>
      <c r="M73" s="494"/>
      <c r="N73" s="494"/>
      <c r="O73" s="494"/>
      <c r="P73" s="494"/>
      <c r="Q73" s="494"/>
      <c r="S73" s="501" t="str">
        <f t="shared" si="3"/>
        <v xml:space="preserve">: </v>
      </c>
      <c r="T73" s="502">
        <f t="shared" ref="T73:T136" si="5">HLOOKUP($T$7,$M$7:$Q$200,ROW()-6,FALSE)</f>
        <v>0</v>
      </c>
    </row>
    <row r="74" spans="2:20">
      <c r="B74" s="121"/>
      <c r="C74" s="121"/>
      <c r="D74" s="121"/>
      <c r="E74" s="490" t="str">
        <f t="shared" si="4"/>
        <v/>
      </c>
      <c r="I74" s="495"/>
      <c r="J74" s="493"/>
      <c r="K74" s="493"/>
      <c r="L74" s="500"/>
      <c r="M74" s="494"/>
      <c r="N74" s="494"/>
      <c r="O74" s="494"/>
      <c r="P74" s="494"/>
      <c r="Q74" s="494"/>
      <c r="S74" s="501" t="str">
        <f t="shared" si="3"/>
        <v xml:space="preserve">: </v>
      </c>
      <c r="T74" s="502">
        <f t="shared" si="5"/>
        <v>0</v>
      </c>
    </row>
    <row r="75" spans="2:20">
      <c r="B75" s="121"/>
      <c r="C75" s="121"/>
      <c r="D75" s="121"/>
      <c r="E75" s="490" t="str">
        <f t="shared" si="4"/>
        <v/>
      </c>
      <c r="I75" s="495"/>
      <c r="J75" s="493"/>
      <c r="K75" s="493"/>
      <c r="L75" s="500"/>
      <c r="M75" s="494"/>
      <c r="N75" s="494"/>
      <c r="O75" s="494"/>
      <c r="P75" s="494"/>
      <c r="Q75" s="494"/>
      <c r="S75" s="501" t="str">
        <f t="shared" si="3"/>
        <v xml:space="preserve">: </v>
      </c>
      <c r="T75" s="502">
        <f t="shared" si="5"/>
        <v>0</v>
      </c>
    </row>
    <row r="76" spans="2:20">
      <c r="B76" s="121"/>
      <c r="C76" s="121"/>
      <c r="D76" s="121"/>
      <c r="E76" s="490" t="str">
        <f t="shared" si="4"/>
        <v/>
      </c>
      <c r="I76" s="495"/>
      <c r="J76" s="493"/>
      <c r="K76" s="493"/>
      <c r="L76" s="500"/>
      <c r="M76" s="494"/>
      <c r="N76" s="494"/>
      <c r="O76" s="494"/>
      <c r="P76" s="494"/>
      <c r="Q76" s="494"/>
      <c r="S76" s="501" t="str">
        <f t="shared" si="3"/>
        <v xml:space="preserve">: </v>
      </c>
      <c r="T76" s="502">
        <f t="shared" si="5"/>
        <v>0</v>
      </c>
    </row>
    <row r="77" spans="2:20">
      <c r="B77" s="121"/>
      <c r="C77" s="121"/>
      <c r="D77" s="121"/>
      <c r="E77" s="490" t="str">
        <f t="shared" si="4"/>
        <v/>
      </c>
      <c r="I77" s="495"/>
      <c r="J77" s="493"/>
      <c r="K77" s="493"/>
      <c r="L77" s="500"/>
      <c r="M77" s="494"/>
      <c r="N77" s="494"/>
      <c r="O77" s="494"/>
      <c r="P77" s="494"/>
      <c r="Q77" s="494"/>
      <c r="S77" s="501" t="str">
        <f t="shared" si="3"/>
        <v xml:space="preserve">: </v>
      </c>
      <c r="T77" s="502">
        <f t="shared" si="5"/>
        <v>0</v>
      </c>
    </row>
    <row r="78" spans="2:20">
      <c r="B78" s="121"/>
      <c r="C78" s="121"/>
      <c r="D78" s="121"/>
      <c r="E78" s="490" t="str">
        <f t="shared" si="4"/>
        <v/>
      </c>
      <c r="I78" s="495"/>
      <c r="J78" s="493"/>
      <c r="K78" s="493"/>
      <c r="L78" s="500"/>
      <c r="M78" s="494"/>
      <c r="N78" s="494"/>
      <c r="O78" s="494"/>
      <c r="P78" s="494"/>
      <c r="Q78" s="494"/>
      <c r="S78" s="501" t="str">
        <f t="shared" si="3"/>
        <v xml:space="preserve">: </v>
      </c>
      <c r="T78" s="502">
        <f t="shared" si="5"/>
        <v>0</v>
      </c>
    </row>
    <row r="79" spans="2:20">
      <c r="B79" s="121"/>
      <c r="C79" s="121"/>
      <c r="D79" s="121"/>
      <c r="E79" s="490" t="str">
        <f t="shared" si="4"/>
        <v/>
      </c>
      <c r="I79" s="495"/>
      <c r="J79" s="493"/>
      <c r="K79" s="493"/>
      <c r="L79" s="500"/>
      <c r="M79" s="494"/>
      <c r="N79" s="494"/>
      <c r="O79" s="494"/>
      <c r="P79" s="494"/>
      <c r="Q79" s="494"/>
      <c r="S79" s="501" t="str">
        <f t="shared" si="3"/>
        <v xml:space="preserve">: </v>
      </c>
      <c r="T79" s="502">
        <f t="shared" si="5"/>
        <v>0</v>
      </c>
    </row>
    <row r="80" spans="2:20">
      <c r="B80" s="121"/>
      <c r="C80" s="121"/>
      <c r="D80" s="121"/>
      <c r="E80" s="490" t="str">
        <f t="shared" si="4"/>
        <v/>
      </c>
      <c r="I80" s="495"/>
      <c r="J80" s="493"/>
      <c r="K80" s="493"/>
      <c r="L80" s="500"/>
      <c r="M80" s="494"/>
      <c r="N80" s="494"/>
      <c r="O80" s="494"/>
      <c r="P80" s="494"/>
      <c r="Q80" s="494"/>
      <c r="S80" s="501" t="str">
        <f t="shared" si="3"/>
        <v xml:space="preserve">: </v>
      </c>
      <c r="T80" s="502">
        <f t="shared" si="5"/>
        <v>0</v>
      </c>
    </row>
    <row r="81" spans="2:20">
      <c r="B81" s="121"/>
      <c r="C81" s="121"/>
      <c r="D81" s="121"/>
      <c r="E81" s="490" t="str">
        <f t="shared" si="4"/>
        <v/>
      </c>
      <c r="I81" s="495"/>
      <c r="J81" s="493"/>
      <c r="K81" s="493"/>
      <c r="L81" s="500"/>
      <c r="M81" s="494"/>
      <c r="N81" s="494"/>
      <c r="O81" s="494"/>
      <c r="P81" s="494"/>
      <c r="Q81" s="494"/>
      <c r="S81" s="501" t="str">
        <f t="shared" si="3"/>
        <v xml:space="preserve">: </v>
      </c>
      <c r="T81" s="502">
        <f t="shared" si="5"/>
        <v>0</v>
      </c>
    </row>
    <row r="82" spans="2:20">
      <c r="B82" s="121"/>
      <c r="C82" s="121"/>
      <c r="D82" s="121"/>
      <c r="E82" s="490" t="str">
        <f t="shared" si="4"/>
        <v/>
      </c>
      <c r="I82" s="495"/>
      <c r="J82" s="493"/>
      <c r="K82" s="493"/>
      <c r="L82" s="500"/>
      <c r="M82" s="494"/>
      <c r="N82" s="494"/>
      <c r="O82" s="494"/>
      <c r="P82" s="494"/>
      <c r="Q82" s="494"/>
      <c r="S82" s="501" t="str">
        <f t="shared" si="3"/>
        <v xml:space="preserve">: </v>
      </c>
      <c r="T82" s="502">
        <f t="shared" si="5"/>
        <v>0</v>
      </c>
    </row>
    <row r="83" spans="2:20">
      <c r="B83" s="121"/>
      <c r="C83" s="121"/>
      <c r="D83" s="121"/>
      <c r="E83" s="490" t="str">
        <f t="shared" si="4"/>
        <v/>
      </c>
      <c r="I83" s="495"/>
      <c r="J83" s="493"/>
      <c r="K83" s="493"/>
      <c r="L83" s="500"/>
      <c r="M83" s="494"/>
      <c r="N83" s="494"/>
      <c r="O83" s="494"/>
      <c r="P83" s="494"/>
      <c r="Q83" s="494"/>
      <c r="S83" s="501" t="str">
        <f t="shared" si="3"/>
        <v xml:space="preserve">: </v>
      </c>
      <c r="T83" s="502">
        <f t="shared" si="5"/>
        <v>0</v>
      </c>
    </row>
    <row r="84" spans="2:20">
      <c r="B84" s="121"/>
      <c r="C84" s="121"/>
      <c r="D84" s="121"/>
      <c r="E84" s="490" t="str">
        <f t="shared" si="4"/>
        <v/>
      </c>
      <c r="I84" s="495"/>
      <c r="J84" s="493"/>
      <c r="K84" s="493"/>
      <c r="L84" s="500"/>
      <c r="M84" s="494"/>
      <c r="N84" s="494"/>
      <c r="O84" s="494"/>
      <c r="P84" s="494"/>
      <c r="Q84" s="494"/>
      <c r="S84" s="501" t="str">
        <f t="shared" si="3"/>
        <v xml:space="preserve">: </v>
      </c>
      <c r="T84" s="502">
        <f t="shared" si="5"/>
        <v>0</v>
      </c>
    </row>
    <row r="85" spans="2:20">
      <c r="B85" s="121"/>
      <c r="C85" s="121"/>
      <c r="D85" s="121"/>
      <c r="E85" s="490" t="str">
        <f t="shared" si="4"/>
        <v/>
      </c>
      <c r="I85" s="495"/>
      <c r="J85" s="493"/>
      <c r="K85" s="493"/>
      <c r="L85" s="500"/>
      <c r="M85" s="494"/>
      <c r="N85" s="494"/>
      <c r="O85" s="494"/>
      <c r="P85" s="494"/>
      <c r="Q85" s="494"/>
      <c r="S85" s="501" t="str">
        <f t="shared" si="3"/>
        <v xml:space="preserve">: </v>
      </c>
      <c r="T85" s="502">
        <f t="shared" si="5"/>
        <v>0</v>
      </c>
    </row>
    <row r="86" spans="2:20">
      <c r="B86" s="121"/>
      <c r="C86" s="121"/>
      <c r="D86" s="121"/>
      <c r="E86" s="490" t="str">
        <f t="shared" si="4"/>
        <v/>
      </c>
      <c r="I86" s="495"/>
      <c r="J86" s="493"/>
      <c r="K86" s="493"/>
      <c r="L86" s="500"/>
      <c r="M86" s="494"/>
      <c r="N86" s="494"/>
      <c r="O86" s="494"/>
      <c r="P86" s="494"/>
      <c r="Q86" s="494"/>
      <c r="S86" s="501" t="str">
        <f t="shared" si="3"/>
        <v xml:space="preserve">: </v>
      </c>
      <c r="T86" s="502">
        <f t="shared" si="5"/>
        <v>0</v>
      </c>
    </row>
    <row r="87" spans="2:20">
      <c r="B87" s="121"/>
      <c r="C87" s="121"/>
      <c r="D87" s="121"/>
      <c r="E87" s="490" t="str">
        <f t="shared" si="4"/>
        <v/>
      </c>
      <c r="I87" s="495"/>
      <c r="J87" s="493"/>
      <c r="K87" s="493"/>
      <c r="L87" s="500"/>
      <c r="M87" s="494"/>
      <c r="N87" s="494"/>
      <c r="O87" s="494"/>
      <c r="P87" s="494"/>
      <c r="Q87" s="494"/>
      <c r="S87" s="501" t="str">
        <f t="shared" si="3"/>
        <v xml:space="preserve">: </v>
      </c>
      <c r="T87" s="502">
        <f t="shared" si="5"/>
        <v>0</v>
      </c>
    </row>
    <row r="88" spans="2:20">
      <c r="B88" s="121"/>
      <c r="C88" s="121"/>
      <c r="D88" s="121"/>
      <c r="E88" s="490" t="str">
        <f t="shared" si="4"/>
        <v/>
      </c>
      <c r="I88" s="495"/>
      <c r="J88" s="493"/>
      <c r="K88" s="493"/>
      <c r="L88" s="500"/>
      <c r="M88" s="494"/>
      <c r="N88" s="494"/>
      <c r="O88" s="494"/>
      <c r="P88" s="494"/>
      <c r="Q88" s="494"/>
      <c r="S88" s="501" t="str">
        <f t="shared" si="3"/>
        <v xml:space="preserve">: </v>
      </c>
      <c r="T88" s="502">
        <f t="shared" si="5"/>
        <v>0</v>
      </c>
    </row>
    <row r="89" spans="2:20">
      <c r="B89" s="121"/>
      <c r="C89" s="121"/>
      <c r="D89" s="121"/>
      <c r="E89" s="490" t="str">
        <f t="shared" si="4"/>
        <v/>
      </c>
      <c r="I89" s="495"/>
      <c r="J89" s="493"/>
      <c r="K89" s="493"/>
      <c r="L89" s="500"/>
      <c r="M89" s="494"/>
      <c r="N89" s="494"/>
      <c r="O89" s="494"/>
      <c r="P89" s="494"/>
      <c r="Q89" s="494"/>
      <c r="S89" s="501" t="str">
        <f t="shared" si="3"/>
        <v xml:space="preserve">: </v>
      </c>
      <c r="T89" s="502">
        <f t="shared" si="5"/>
        <v>0</v>
      </c>
    </row>
    <row r="90" spans="2:20">
      <c r="B90" s="121"/>
      <c r="C90" s="121"/>
      <c r="D90" s="121"/>
      <c r="E90" s="490" t="str">
        <f t="shared" si="4"/>
        <v/>
      </c>
      <c r="I90" s="495"/>
      <c r="J90" s="493"/>
      <c r="K90" s="493"/>
      <c r="L90" s="500"/>
      <c r="M90" s="494"/>
      <c r="N90" s="494"/>
      <c r="O90" s="494"/>
      <c r="P90" s="494"/>
      <c r="Q90" s="494"/>
      <c r="S90" s="501" t="str">
        <f t="shared" si="3"/>
        <v xml:space="preserve">: </v>
      </c>
      <c r="T90" s="502">
        <f t="shared" si="5"/>
        <v>0</v>
      </c>
    </row>
    <row r="91" spans="2:20">
      <c r="B91" s="121"/>
      <c r="C91" s="121"/>
      <c r="D91" s="121"/>
      <c r="E91" s="490" t="str">
        <f t="shared" si="4"/>
        <v/>
      </c>
      <c r="I91" s="495"/>
      <c r="J91" s="493"/>
      <c r="K91" s="493"/>
      <c r="L91" s="500"/>
      <c r="M91" s="494"/>
      <c r="N91" s="494"/>
      <c r="O91" s="494"/>
      <c r="P91" s="494"/>
      <c r="Q91" s="494"/>
      <c r="S91" s="501" t="str">
        <f t="shared" si="3"/>
        <v xml:space="preserve">: </v>
      </c>
      <c r="T91" s="502">
        <f t="shared" si="5"/>
        <v>0</v>
      </c>
    </row>
    <row r="92" spans="2:20">
      <c r="B92" s="121"/>
      <c r="C92" s="121"/>
      <c r="D92" s="121"/>
      <c r="E92" s="490" t="str">
        <f t="shared" si="4"/>
        <v/>
      </c>
      <c r="I92" s="495"/>
      <c r="J92" s="493"/>
      <c r="K92" s="493"/>
      <c r="L92" s="500"/>
      <c r="M92" s="494"/>
      <c r="N92" s="494"/>
      <c r="O92" s="494"/>
      <c r="P92" s="494"/>
      <c r="Q92" s="494"/>
      <c r="S92" s="501" t="str">
        <f t="shared" si="3"/>
        <v xml:space="preserve">: </v>
      </c>
      <c r="T92" s="502">
        <f t="shared" si="5"/>
        <v>0</v>
      </c>
    </row>
    <row r="93" spans="2:20">
      <c r="B93" s="121"/>
      <c r="C93" s="121"/>
      <c r="D93" s="121"/>
      <c r="E93" s="490" t="str">
        <f t="shared" si="4"/>
        <v/>
      </c>
      <c r="I93" s="495"/>
      <c r="J93" s="493"/>
      <c r="K93" s="493"/>
      <c r="L93" s="500"/>
      <c r="M93" s="494"/>
      <c r="N93" s="494"/>
      <c r="O93" s="494"/>
      <c r="P93" s="494"/>
      <c r="Q93" s="494"/>
      <c r="S93" s="501" t="str">
        <f t="shared" si="3"/>
        <v xml:space="preserve">: </v>
      </c>
      <c r="T93" s="502">
        <f t="shared" si="5"/>
        <v>0</v>
      </c>
    </row>
    <row r="94" spans="2:20">
      <c r="B94" s="121"/>
      <c r="C94" s="121"/>
      <c r="D94" s="121"/>
      <c r="E94" s="490" t="str">
        <f t="shared" si="4"/>
        <v/>
      </c>
      <c r="I94" s="495"/>
      <c r="J94" s="493"/>
      <c r="K94" s="493"/>
      <c r="L94" s="500"/>
      <c r="M94" s="494"/>
      <c r="N94" s="494"/>
      <c r="O94" s="494"/>
      <c r="P94" s="494"/>
      <c r="Q94" s="494"/>
      <c r="S94" s="501" t="str">
        <f t="shared" si="3"/>
        <v xml:space="preserve">: </v>
      </c>
      <c r="T94" s="502">
        <f t="shared" si="5"/>
        <v>0</v>
      </c>
    </row>
    <row r="95" spans="2:20">
      <c r="B95" s="121"/>
      <c r="C95" s="121"/>
      <c r="D95" s="121"/>
      <c r="E95" s="490" t="str">
        <f t="shared" si="4"/>
        <v/>
      </c>
      <c r="I95" s="495"/>
      <c r="J95" s="493"/>
      <c r="K95" s="493"/>
      <c r="L95" s="500"/>
      <c r="M95" s="494"/>
      <c r="N95" s="494"/>
      <c r="O95" s="494"/>
      <c r="P95" s="494"/>
      <c r="Q95" s="494"/>
      <c r="S95" s="501" t="str">
        <f t="shared" si="3"/>
        <v xml:space="preserve">: </v>
      </c>
      <c r="T95" s="502">
        <f t="shared" si="5"/>
        <v>0</v>
      </c>
    </row>
    <row r="96" spans="2:20">
      <c r="B96" s="121"/>
      <c r="C96" s="121"/>
      <c r="D96" s="121"/>
      <c r="E96" s="490" t="str">
        <f t="shared" si="4"/>
        <v/>
      </c>
      <c r="I96" s="495"/>
      <c r="J96" s="493"/>
      <c r="K96" s="493"/>
      <c r="L96" s="500"/>
      <c r="M96" s="494"/>
      <c r="N96" s="494"/>
      <c r="O96" s="494"/>
      <c r="P96" s="494"/>
      <c r="Q96" s="494"/>
      <c r="S96" s="501" t="str">
        <f t="shared" si="3"/>
        <v xml:space="preserve">: </v>
      </c>
      <c r="T96" s="502">
        <f t="shared" si="5"/>
        <v>0</v>
      </c>
    </row>
    <row r="97" spans="2:20">
      <c r="B97" s="121"/>
      <c r="C97" s="121"/>
      <c r="D97" s="121"/>
      <c r="E97" s="490" t="str">
        <f t="shared" si="4"/>
        <v/>
      </c>
      <c r="I97" s="495"/>
      <c r="J97" s="493"/>
      <c r="K97" s="493"/>
      <c r="L97" s="500"/>
      <c r="M97" s="494"/>
      <c r="N97" s="494"/>
      <c r="O97" s="494"/>
      <c r="P97" s="494"/>
      <c r="Q97" s="494"/>
      <c r="S97" s="501" t="str">
        <f t="shared" si="3"/>
        <v xml:space="preserve">: </v>
      </c>
      <c r="T97" s="502">
        <f t="shared" si="5"/>
        <v>0</v>
      </c>
    </row>
    <row r="98" spans="2:20">
      <c r="B98" s="121"/>
      <c r="C98" s="121"/>
      <c r="D98" s="121"/>
      <c r="E98" s="490" t="str">
        <f t="shared" si="4"/>
        <v/>
      </c>
      <c r="I98" s="495"/>
      <c r="J98" s="493"/>
      <c r="K98" s="493"/>
      <c r="L98" s="500"/>
      <c r="M98" s="494"/>
      <c r="N98" s="494"/>
      <c r="O98" s="494"/>
      <c r="P98" s="494"/>
      <c r="Q98" s="494"/>
      <c r="S98" s="501" t="str">
        <f t="shared" si="3"/>
        <v xml:space="preserve">: </v>
      </c>
      <c r="T98" s="502">
        <f t="shared" si="5"/>
        <v>0</v>
      </c>
    </row>
    <row r="99" spans="2:20">
      <c r="B99" s="121"/>
      <c r="C99" s="121"/>
      <c r="D99" s="121"/>
      <c r="E99" s="490" t="str">
        <f t="shared" si="4"/>
        <v/>
      </c>
      <c r="I99" s="495"/>
      <c r="J99" s="493"/>
      <c r="K99" s="493"/>
      <c r="L99" s="500"/>
      <c r="M99" s="494"/>
      <c r="N99" s="494"/>
      <c r="O99" s="494"/>
      <c r="P99" s="494"/>
      <c r="Q99" s="494"/>
      <c r="S99" s="501" t="str">
        <f t="shared" si="3"/>
        <v xml:space="preserve">: </v>
      </c>
      <c r="T99" s="502">
        <f t="shared" si="5"/>
        <v>0</v>
      </c>
    </row>
    <row r="100" spans="2:20">
      <c r="B100" s="121"/>
      <c r="C100" s="121"/>
      <c r="D100" s="121"/>
      <c r="E100" s="490" t="str">
        <f t="shared" si="4"/>
        <v/>
      </c>
      <c r="I100" s="495"/>
      <c r="J100" s="493"/>
      <c r="K100" s="493"/>
      <c r="L100" s="500"/>
      <c r="M100" s="494"/>
      <c r="N100" s="494"/>
      <c r="O100" s="494"/>
      <c r="P100" s="494"/>
      <c r="Q100" s="494"/>
      <c r="S100" s="501" t="str">
        <f t="shared" si="3"/>
        <v xml:space="preserve">: </v>
      </c>
      <c r="T100" s="502">
        <f t="shared" si="5"/>
        <v>0</v>
      </c>
    </row>
    <row r="101" spans="2:20">
      <c r="B101" s="121"/>
      <c r="C101" s="121"/>
      <c r="D101" s="121"/>
      <c r="E101" s="490" t="str">
        <f t="shared" si="4"/>
        <v/>
      </c>
      <c r="I101" s="495"/>
      <c r="J101" s="493"/>
      <c r="K101" s="493"/>
      <c r="L101" s="500"/>
      <c r="M101" s="494"/>
      <c r="N101" s="494"/>
      <c r="O101" s="494"/>
      <c r="P101" s="494"/>
      <c r="Q101" s="494"/>
      <c r="S101" s="501" t="str">
        <f t="shared" si="3"/>
        <v xml:space="preserve">: </v>
      </c>
      <c r="T101" s="502">
        <f t="shared" si="5"/>
        <v>0</v>
      </c>
    </row>
    <row r="102" spans="2:20">
      <c r="B102" s="121"/>
      <c r="C102" s="121"/>
      <c r="D102" s="121"/>
      <c r="E102" s="490" t="str">
        <f t="shared" si="4"/>
        <v/>
      </c>
      <c r="I102" s="495"/>
      <c r="J102" s="493"/>
      <c r="K102" s="493"/>
      <c r="L102" s="500"/>
      <c r="M102" s="494"/>
      <c r="N102" s="494"/>
      <c r="O102" s="494"/>
      <c r="P102" s="494"/>
      <c r="Q102" s="494"/>
      <c r="S102" s="501" t="str">
        <f t="shared" si="3"/>
        <v xml:space="preserve">: </v>
      </c>
      <c r="T102" s="502">
        <f t="shared" si="5"/>
        <v>0</v>
      </c>
    </row>
    <row r="103" spans="2:20">
      <c r="B103" s="121"/>
      <c r="C103" s="121"/>
      <c r="D103" s="121"/>
      <c r="E103" s="490" t="str">
        <f t="shared" si="4"/>
        <v/>
      </c>
      <c r="I103" s="495"/>
      <c r="J103" s="493"/>
      <c r="K103" s="493"/>
      <c r="L103" s="500"/>
      <c r="M103" s="494"/>
      <c r="N103" s="494"/>
      <c r="O103" s="494"/>
      <c r="P103" s="494"/>
      <c r="Q103" s="494"/>
      <c r="S103" s="501" t="str">
        <f t="shared" si="3"/>
        <v xml:space="preserve">: </v>
      </c>
      <c r="T103" s="502">
        <f t="shared" si="5"/>
        <v>0</v>
      </c>
    </row>
    <row r="104" spans="2:20">
      <c r="B104" s="121"/>
      <c r="C104" s="121"/>
      <c r="D104" s="121"/>
      <c r="E104" s="490" t="str">
        <f t="shared" si="4"/>
        <v/>
      </c>
      <c r="I104" s="495"/>
      <c r="J104" s="493"/>
      <c r="K104" s="493"/>
      <c r="L104" s="500"/>
      <c r="M104" s="494"/>
      <c r="N104" s="494"/>
      <c r="O104" s="494"/>
      <c r="P104" s="494"/>
      <c r="Q104" s="494"/>
      <c r="S104" s="501" t="str">
        <f t="shared" si="3"/>
        <v xml:space="preserve">: </v>
      </c>
      <c r="T104" s="502">
        <f t="shared" si="5"/>
        <v>0</v>
      </c>
    </row>
    <row r="105" spans="2:20">
      <c r="B105" s="121"/>
      <c r="C105" s="121"/>
      <c r="D105" s="121"/>
      <c r="E105" s="490" t="str">
        <f t="shared" si="4"/>
        <v/>
      </c>
      <c r="I105" s="495"/>
      <c r="J105" s="493"/>
      <c r="K105" s="493"/>
      <c r="L105" s="500"/>
      <c r="M105" s="494"/>
      <c r="N105" s="494"/>
      <c r="O105" s="494"/>
      <c r="P105" s="494"/>
      <c r="Q105" s="494"/>
      <c r="S105" s="501" t="str">
        <f t="shared" si="3"/>
        <v xml:space="preserve">: </v>
      </c>
      <c r="T105" s="502">
        <f t="shared" si="5"/>
        <v>0</v>
      </c>
    </row>
    <row r="106" spans="2:20">
      <c r="B106" s="121"/>
      <c r="C106" s="121"/>
      <c r="D106" s="121"/>
      <c r="E106" s="490" t="str">
        <f t="shared" si="4"/>
        <v/>
      </c>
      <c r="I106" s="495"/>
      <c r="J106" s="493"/>
      <c r="K106" s="493"/>
      <c r="L106" s="500"/>
      <c r="M106" s="494"/>
      <c r="N106" s="494"/>
      <c r="O106" s="494"/>
      <c r="P106" s="494"/>
      <c r="Q106" s="494"/>
      <c r="S106" s="501" t="str">
        <f t="shared" si="3"/>
        <v xml:space="preserve">: </v>
      </c>
      <c r="T106" s="502">
        <f t="shared" si="5"/>
        <v>0</v>
      </c>
    </row>
    <row r="107" spans="2:20">
      <c r="B107" s="121"/>
      <c r="C107" s="121"/>
      <c r="D107" s="121"/>
      <c r="E107" s="490" t="str">
        <f t="shared" si="4"/>
        <v/>
      </c>
      <c r="I107" s="495"/>
      <c r="J107" s="493"/>
      <c r="K107" s="493"/>
      <c r="L107" s="500"/>
      <c r="M107" s="494"/>
      <c r="N107" s="494"/>
      <c r="O107" s="494"/>
      <c r="P107" s="494"/>
      <c r="Q107" s="494"/>
      <c r="S107" s="501" t="str">
        <f t="shared" si="3"/>
        <v xml:space="preserve">: </v>
      </c>
      <c r="T107" s="502">
        <f t="shared" si="5"/>
        <v>0</v>
      </c>
    </row>
    <row r="108" spans="2:20">
      <c r="B108" s="121"/>
      <c r="C108" s="121"/>
      <c r="D108" s="121"/>
      <c r="E108" s="490" t="str">
        <f t="shared" si="4"/>
        <v/>
      </c>
      <c r="I108" s="495"/>
      <c r="J108" s="493"/>
      <c r="K108" s="493"/>
      <c r="L108" s="500"/>
      <c r="M108" s="494"/>
      <c r="N108" s="494"/>
      <c r="O108" s="494"/>
      <c r="P108" s="494"/>
      <c r="Q108" s="494"/>
      <c r="S108" s="501" t="str">
        <f t="shared" si="3"/>
        <v xml:space="preserve">: </v>
      </c>
      <c r="T108" s="502">
        <f t="shared" si="5"/>
        <v>0</v>
      </c>
    </row>
    <row r="109" spans="2:20">
      <c r="B109" s="121"/>
      <c r="C109" s="121"/>
      <c r="D109" s="121"/>
      <c r="E109" s="490" t="str">
        <f t="shared" si="4"/>
        <v/>
      </c>
      <c r="I109" s="495"/>
      <c r="J109" s="493"/>
      <c r="K109" s="493"/>
      <c r="L109" s="500"/>
      <c r="M109" s="494"/>
      <c r="N109" s="494"/>
      <c r="O109" s="494"/>
      <c r="P109" s="494"/>
      <c r="Q109" s="494"/>
      <c r="S109" s="501" t="str">
        <f t="shared" ref="S109:S172" si="6">I109&amp;":"&amp;J109&amp;" "&amp;K109&amp;L109</f>
        <v xml:space="preserve">: </v>
      </c>
      <c r="T109" s="502">
        <f t="shared" si="5"/>
        <v>0</v>
      </c>
    </row>
    <row r="110" spans="2:20">
      <c r="B110" s="121"/>
      <c r="C110" s="121"/>
      <c r="D110" s="121"/>
      <c r="E110" s="490" t="str">
        <f t="shared" si="4"/>
        <v/>
      </c>
      <c r="I110" s="495"/>
      <c r="J110" s="493"/>
      <c r="K110" s="493"/>
      <c r="L110" s="500"/>
      <c r="M110" s="494"/>
      <c r="N110" s="494"/>
      <c r="O110" s="494"/>
      <c r="P110" s="494"/>
      <c r="Q110" s="494"/>
      <c r="S110" s="501" t="str">
        <f t="shared" si="6"/>
        <v xml:space="preserve">: </v>
      </c>
      <c r="T110" s="502">
        <f t="shared" si="5"/>
        <v>0</v>
      </c>
    </row>
    <row r="111" spans="2:20">
      <c r="B111" s="121"/>
      <c r="C111" s="121"/>
      <c r="D111" s="121"/>
      <c r="E111" s="490" t="str">
        <f t="shared" si="4"/>
        <v/>
      </c>
      <c r="I111" s="495"/>
      <c r="J111" s="493"/>
      <c r="K111" s="493"/>
      <c r="L111" s="500"/>
      <c r="M111" s="494"/>
      <c r="N111" s="494"/>
      <c r="O111" s="494"/>
      <c r="P111" s="494"/>
      <c r="Q111" s="494"/>
      <c r="S111" s="501" t="str">
        <f t="shared" si="6"/>
        <v xml:space="preserve">: </v>
      </c>
      <c r="T111" s="502">
        <f t="shared" si="5"/>
        <v>0</v>
      </c>
    </row>
    <row r="112" spans="2:20">
      <c r="B112" s="121"/>
      <c r="C112" s="121"/>
      <c r="D112" s="121"/>
      <c r="E112" s="490" t="str">
        <f t="shared" si="4"/>
        <v/>
      </c>
      <c r="I112" s="495"/>
      <c r="J112" s="493"/>
      <c r="K112" s="493"/>
      <c r="L112" s="500"/>
      <c r="M112" s="494"/>
      <c r="N112" s="494"/>
      <c r="O112" s="494"/>
      <c r="P112" s="494"/>
      <c r="Q112" s="494"/>
      <c r="S112" s="501" t="str">
        <f t="shared" si="6"/>
        <v xml:space="preserve">: </v>
      </c>
      <c r="T112" s="502">
        <f t="shared" si="5"/>
        <v>0</v>
      </c>
    </row>
    <row r="113" spans="2:20">
      <c r="B113" s="121"/>
      <c r="C113" s="121"/>
      <c r="D113" s="121"/>
      <c r="E113" s="490" t="str">
        <f t="shared" si="4"/>
        <v/>
      </c>
      <c r="I113" s="495"/>
      <c r="J113" s="493"/>
      <c r="K113" s="493"/>
      <c r="L113" s="500"/>
      <c r="M113" s="494"/>
      <c r="N113" s="494"/>
      <c r="O113" s="494"/>
      <c r="P113" s="494"/>
      <c r="Q113" s="494"/>
      <c r="S113" s="501" t="str">
        <f t="shared" si="6"/>
        <v xml:space="preserve">: </v>
      </c>
      <c r="T113" s="502">
        <f t="shared" si="5"/>
        <v>0</v>
      </c>
    </row>
    <row r="114" spans="2:20">
      <c r="B114" s="121"/>
      <c r="C114" s="121"/>
      <c r="D114" s="121"/>
      <c r="E114" s="490" t="str">
        <f t="shared" si="4"/>
        <v/>
      </c>
      <c r="I114" s="495"/>
      <c r="J114" s="493"/>
      <c r="K114" s="493"/>
      <c r="L114" s="500"/>
      <c r="M114" s="494"/>
      <c r="N114" s="494"/>
      <c r="O114" s="494"/>
      <c r="P114" s="494"/>
      <c r="Q114" s="494"/>
      <c r="S114" s="501" t="str">
        <f t="shared" si="6"/>
        <v xml:space="preserve">: </v>
      </c>
      <c r="T114" s="502">
        <f t="shared" si="5"/>
        <v>0</v>
      </c>
    </row>
    <row r="115" spans="2:20">
      <c r="B115" s="121"/>
      <c r="C115" s="121"/>
      <c r="D115" s="121"/>
      <c r="E115" s="490" t="str">
        <f t="shared" si="4"/>
        <v/>
      </c>
      <c r="I115" s="495"/>
      <c r="J115" s="493"/>
      <c r="K115" s="493"/>
      <c r="L115" s="500"/>
      <c r="M115" s="494"/>
      <c r="N115" s="494"/>
      <c r="O115" s="494"/>
      <c r="P115" s="494"/>
      <c r="Q115" s="494"/>
      <c r="S115" s="501" t="str">
        <f t="shared" si="6"/>
        <v xml:space="preserve">: </v>
      </c>
      <c r="T115" s="502">
        <f t="shared" si="5"/>
        <v>0</v>
      </c>
    </row>
    <row r="116" spans="2:20">
      <c r="B116" s="121"/>
      <c r="C116" s="121"/>
      <c r="D116" s="121"/>
      <c r="E116" s="490" t="str">
        <f t="shared" si="4"/>
        <v/>
      </c>
      <c r="I116" s="495"/>
      <c r="J116" s="493"/>
      <c r="K116" s="493"/>
      <c r="L116" s="500"/>
      <c r="M116" s="494"/>
      <c r="N116" s="494"/>
      <c r="O116" s="494"/>
      <c r="P116" s="494"/>
      <c r="Q116" s="494"/>
      <c r="S116" s="501" t="str">
        <f t="shared" si="6"/>
        <v xml:space="preserve">: </v>
      </c>
      <c r="T116" s="502">
        <f t="shared" si="5"/>
        <v>0</v>
      </c>
    </row>
    <row r="117" spans="2:20">
      <c r="B117" s="121"/>
      <c r="C117" s="121"/>
      <c r="D117" s="121"/>
      <c r="E117" s="490" t="str">
        <f t="shared" si="4"/>
        <v/>
      </c>
      <c r="I117" s="495"/>
      <c r="J117" s="493"/>
      <c r="K117" s="493"/>
      <c r="L117" s="500"/>
      <c r="M117" s="494"/>
      <c r="N117" s="494"/>
      <c r="O117" s="494"/>
      <c r="P117" s="494"/>
      <c r="Q117" s="494"/>
      <c r="S117" s="501" t="str">
        <f t="shared" si="6"/>
        <v xml:space="preserve">: </v>
      </c>
      <c r="T117" s="502">
        <f t="shared" si="5"/>
        <v>0</v>
      </c>
    </row>
    <row r="118" spans="2:20">
      <c r="B118" s="121"/>
      <c r="C118" s="121"/>
      <c r="D118" s="121"/>
      <c r="E118" s="490" t="str">
        <f t="shared" si="4"/>
        <v/>
      </c>
      <c r="I118" s="495"/>
      <c r="J118" s="493"/>
      <c r="K118" s="493"/>
      <c r="L118" s="500"/>
      <c r="M118" s="494"/>
      <c r="N118" s="494"/>
      <c r="O118" s="494"/>
      <c r="P118" s="494"/>
      <c r="Q118" s="494"/>
      <c r="S118" s="501" t="str">
        <f t="shared" si="6"/>
        <v xml:space="preserve">: </v>
      </c>
      <c r="T118" s="502">
        <f t="shared" si="5"/>
        <v>0</v>
      </c>
    </row>
    <row r="119" spans="2:20">
      <c r="B119" s="121"/>
      <c r="C119" s="121"/>
      <c r="D119" s="121"/>
      <c r="E119" s="490" t="str">
        <f t="shared" si="4"/>
        <v/>
      </c>
      <c r="I119" s="495"/>
      <c r="J119" s="493"/>
      <c r="K119" s="493"/>
      <c r="L119" s="500"/>
      <c r="M119" s="494"/>
      <c r="N119" s="494"/>
      <c r="O119" s="494"/>
      <c r="P119" s="494"/>
      <c r="Q119" s="494"/>
      <c r="S119" s="501" t="str">
        <f t="shared" si="6"/>
        <v xml:space="preserve">: </v>
      </c>
      <c r="T119" s="502">
        <f t="shared" si="5"/>
        <v>0</v>
      </c>
    </row>
    <row r="120" spans="2:20">
      <c r="B120" s="121"/>
      <c r="C120" s="121"/>
      <c r="D120" s="121"/>
      <c r="E120" s="490" t="str">
        <f t="shared" si="4"/>
        <v/>
      </c>
      <c r="I120" s="495"/>
      <c r="J120" s="493"/>
      <c r="K120" s="493"/>
      <c r="L120" s="500"/>
      <c r="M120" s="494"/>
      <c r="N120" s="494"/>
      <c r="O120" s="494"/>
      <c r="P120" s="494"/>
      <c r="Q120" s="494"/>
      <c r="S120" s="501" t="str">
        <f t="shared" si="6"/>
        <v xml:space="preserve">: </v>
      </c>
      <c r="T120" s="502">
        <f t="shared" si="5"/>
        <v>0</v>
      </c>
    </row>
    <row r="121" spans="2:20">
      <c r="B121" s="121"/>
      <c r="C121" s="121"/>
      <c r="D121" s="121"/>
      <c r="E121" s="490" t="str">
        <f t="shared" si="4"/>
        <v/>
      </c>
      <c r="I121" s="495"/>
      <c r="J121" s="493"/>
      <c r="K121" s="493"/>
      <c r="L121" s="500"/>
      <c r="M121" s="494"/>
      <c r="N121" s="494"/>
      <c r="O121" s="494"/>
      <c r="P121" s="494"/>
      <c r="Q121" s="494"/>
      <c r="S121" s="501" t="str">
        <f t="shared" si="6"/>
        <v xml:space="preserve">: </v>
      </c>
      <c r="T121" s="502">
        <f t="shared" si="5"/>
        <v>0</v>
      </c>
    </row>
    <row r="122" spans="2:20">
      <c r="B122" s="121"/>
      <c r="C122" s="121"/>
      <c r="D122" s="121"/>
      <c r="E122" s="490" t="str">
        <f t="shared" si="4"/>
        <v/>
      </c>
      <c r="I122" s="495"/>
      <c r="J122" s="493"/>
      <c r="K122" s="493"/>
      <c r="L122" s="500"/>
      <c r="M122" s="494"/>
      <c r="N122" s="494"/>
      <c r="O122" s="494"/>
      <c r="P122" s="494"/>
      <c r="Q122" s="494"/>
      <c r="S122" s="501" t="str">
        <f t="shared" si="6"/>
        <v xml:space="preserve">: </v>
      </c>
      <c r="T122" s="502">
        <f t="shared" si="5"/>
        <v>0</v>
      </c>
    </row>
    <row r="123" spans="2:20">
      <c r="B123" s="121"/>
      <c r="C123" s="121"/>
      <c r="D123" s="121"/>
      <c r="E123" s="490" t="str">
        <f t="shared" si="4"/>
        <v/>
      </c>
      <c r="I123" s="495"/>
      <c r="J123" s="493"/>
      <c r="K123" s="493"/>
      <c r="L123" s="500"/>
      <c r="M123" s="494"/>
      <c r="N123" s="494"/>
      <c r="O123" s="494"/>
      <c r="P123" s="494"/>
      <c r="Q123" s="494"/>
      <c r="S123" s="501" t="str">
        <f t="shared" si="6"/>
        <v xml:space="preserve">: </v>
      </c>
      <c r="T123" s="502">
        <f t="shared" si="5"/>
        <v>0</v>
      </c>
    </row>
    <row r="124" spans="2:20">
      <c r="B124" s="121"/>
      <c r="C124" s="121"/>
      <c r="D124" s="121"/>
      <c r="E124" s="490" t="str">
        <f t="shared" si="4"/>
        <v/>
      </c>
      <c r="I124" s="495"/>
      <c r="J124" s="493"/>
      <c r="K124" s="493"/>
      <c r="L124" s="500"/>
      <c r="M124" s="494"/>
      <c r="N124" s="494"/>
      <c r="O124" s="494"/>
      <c r="P124" s="494"/>
      <c r="Q124" s="494"/>
      <c r="S124" s="501" t="str">
        <f t="shared" si="6"/>
        <v xml:space="preserve">: </v>
      </c>
      <c r="T124" s="502">
        <f t="shared" si="5"/>
        <v>0</v>
      </c>
    </row>
    <row r="125" spans="2:20">
      <c r="B125" s="121"/>
      <c r="C125" s="121"/>
      <c r="D125" s="121"/>
      <c r="E125" s="490" t="str">
        <f t="shared" si="4"/>
        <v/>
      </c>
      <c r="I125" s="495"/>
      <c r="J125" s="493"/>
      <c r="K125" s="493"/>
      <c r="L125" s="500"/>
      <c r="M125" s="494"/>
      <c r="N125" s="494"/>
      <c r="O125" s="494"/>
      <c r="P125" s="494"/>
      <c r="Q125" s="494"/>
      <c r="S125" s="501" t="str">
        <f t="shared" si="6"/>
        <v xml:space="preserve">: </v>
      </c>
      <c r="T125" s="502">
        <f t="shared" si="5"/>
        <v>0</v>
      </c>
    </row>
    <row r="126" spans="2:20">
      <c r="B126" s="121"/>
      <c r="C126" s="121"/>
      <c r="D126" s="121"/>
      <c r="E126" s="490" t="str">
        <f t="shared" si="4"/>
        <v/>
      </c>
      <c r="I126" s="495"/>
      <c r="J126" s="493"/>
      <c r="K126" s="493"/>
      <c r="L126" s="500"/>
      <c r="M126" s="494"/>
      <c r="N126" s="494"/>
      <c r="O126" s="494"/>
      <c r="P126" s="494"/>
      <c r="Q126" s="494"/>
      <c r="S126" s="501" t="str">
        <f t="shared" si="6"/>
        <v xml:space="preserve">: </v>
      </c>
      <c r="T126" s="502">
        <f t="shared" si="5"/>
        <v>0</v>
      </c>
    </row>
    <row r="127" spans="2:20">
      <c r="B127" s="121"/>
      <c r="C127" s="121"/>
      <c r="D127" s="121"/>
      <c r="E127" s="490" t="str">
        <f t="shared" si="4"/>
        <v/>
      </c>
      <c r="I127" s="495"/>
      <c r="J127" s="493"/>
      <c r="K127" s="493"/>
      <c r="L127" s="500"/>
      <c r="M127" s="494"/>
      <c r="N127" s="494"/>
      <c r="O127" s="494"/>
      <c r="P127" s="494"/>
      <c r="Q127" s="494"/>
      <c r="S127" s="501" t="str">
        <f t="shared" si="6"/>
        <v xml:space="preserve">: </v>
      </c>
      <c r="T127" s="502">
        <f t="shared" si="5"/>
        <v>0</v>
      </c>
    </row>
    <row r="128" spans="2:20">
      <c r="B128" s="121"/>
      <c r="C128" s="121"/>
      <c r="D128" s="121"/>
      <c r="E128" s="490" t="str">
        <f t="shared" si="4"/>
        <v/>
      </c>
      <c r="I128" s="495"/>
      <c r="J128" s="493"/>
      <c r="K128" s="493"/>
      <c r="L128" s="500"/>
      <c r="M128" s="494"/>
      <c r="N128" s="494"/>
      <c r="O128" s="494"/>
      <c r="P128" s="494"/>
      <c r="Q128" s="494"/>
      <c r="S128" s="501" t="str">
        <f t="shared" si="6"/>
        <v xml:space="preserve">: </v>
      </c>
      <c r="T128" s="502">
        <f t="shared" si="5"/>
        <v>0</v>
      </c>
    </row>
    <row r="129" spans="2:20">
      <c r="B129" s="121"/>
      <c r="C129" s="121"/>
      <c r="D129" s="121"/>
      <c r="E129" s="490" t="str">
        <f t="shared" si="4"/>
        <v/>
      </c>
      <c r="I129" s="495"/>
      <c r="J129" s="493"/>
      <c r="K129" s="493"/>
      <c r="L129" s="500"/>
      <c r="M129" s="494"/>
      <c r="N129" s="494"/>
      <c r="O129" s="494"/>
      <c r="P129" s="494"/>
      <c r="Q129" s="494"/>
      <c r="S129" s="501" t="str">
        <f t="shared" si="6"/>
        <v xml:space="preserve">: </v>
      </c>
      <c r="T129" s="502">
        <f t="shared" si="5"/>
        <v>0</v>
      </c>
    </row>
    <row r="130" spans="2:20">
      <c r="B130" s="121"/>
      <c r="C130" s="121"/>
      <c r="D130" s="121"/>
      <c r="E130" s="490" t="str">
        <f t="shared" si="4"/>
        <v/>
      </c>
      <c r="I130" s="495"/>
      <c r="J130" s="493"/>
      <c r="K130" s="493"/>
      <c r="L130" s="500"/>
      <c r="M130" s="494"/>
      <c r="N130" s="494"/>
      <c r="O130" s="494"/>
      <c r="P130" s="494"/>
      <c r="Q130" s="494"/>
      <c r="S130" s="501" t="str">
        <f t="shared" si="6"/>
        <v xml:space="preserve">: </v>
      </c>
      <c r="T130" s="502">
        <f t="shared" si="5"/>
        <v>0</v>
      </c>
    </row>
    <row r="131" spans="2:20">
      <c r="B131" s="121"/>
      <c r="C131" s="121"/>
      <c r="D131" s="121"/>
      <c r="E131" s="490" t="str">
        <f t="shared" si="4"/>
        <v/>
      </c>
      <c r="I131" s="495"/>
      <c r="J131" s="493"/>
      <c r="K131" s="493"/>
      <c r="L131" s="500"/>
      <c r="M131" s="494"/>
      <c r="N131" s="494"/>
      <c r="O131" s="494"/>
      <c r="P131" s="494"/>
      <c r="Q131" s="494"/>
      <c r="S131" s="501" t="str">
        <f t="shared" si="6"/>
        <v xml:space="preserve">: </v>
      </c>
      <c r="T131" s="502">
        <f t="shared" si="5"/>
        <v>0</v>
      </c>
    </row>
    <row r="132" spans="2:20">
      <c r="B132" s="121"/>
      <c r="C132" s="121"/>
      <c r="D132" s="121"/>
      <c r="E132" s="490" t="str">
        <f t="shared" si="4"/>
        <v/>
      </c>
      <c r="I132" s="495"/>
      <c r="J132" s="493"/>
      <c r="K132" s="493"/>
      <c r="L132" s="500"/>
      <c r="M132" s="494"/>
      <c r="N132" s="494"/>
      <c r="O132" s="494"/>
      <c r="P132" s="494"/>
      <c r="Q132" s="494"/>
      <c r="S132" s="501" t="str">
        <f t="shared" si="6"/>
        <v xml:space="preserve">: </v>
      </c>
      <c r="T132" s="502">
        <f t="shared" si="5"/>
        <v>0</v>
      </c>
    </row>
    <row r="133" spans="2:20">
      <c r="B133" s="121"/>
      <c r="C133" s="121"/>
      <c r="D133" s="121"/>
      <c r="E133" s="490" t="str">
        <f t="shared" si="4"/>
        <v/>
      </c>
      <c r="I133" s="495"/>
      <c r="J133" s="493"/>
      <c r="K133" s="493"/>
      <c r="L133" s="500"/>
      <c r="M133" s="494"/>
      <c r="N133" s="494"/>
      <c r="O133" s="494"/>
      <c r="P133" s="494"/>
      <c r="Q133" s="494"/>
      <c r="S133" s="501" t="str">
        <f t="shared" si="6"/>
        <v xml:space="preserve">: </v>
      </c>
      <c r="T133" s="502">
        <f t="shared" si="5"/>
        <v>0</v>
      </c>
    </row>
    <row r="134" spans="2:20">
      <c r="B134" s="121"/>
      <c r="C134" s="121"/>
      <c r="D134" s="121"/>
      <c r="E134" s="490" t="str">
        <f t="shared" si="4"/>
        <v/>
      </c>
      <c r="I134" s="495"/>
      <c r="J134" s="493"/>
      <c r="K134" s="493"/>
      <c r="L134" s="500"/>
      <c r="M134" s="494"/>
      <c r="N134" s="494"/>
      <c r="O134" s="494"/>
      <c r="P134" s="494"/>
      <c r="Q134" s="494"/>
      <c r="S134" s="501" t="str">
        <f t="shared" si="6"/>
        <v xml:space="preserve">: </v>
      </c>
      <c r="T134" s="502">
        <f t="shared" si="5"/>
        <v>0</v>
      </c>
    </row>
    <row r="135" spans="2:20">
      <c r="B135" s="121"/>
      <c r="C135" s="121"/>
      <c r="D135" s="121"/>
      <c r="E135" s="490" t="str">
        <f t="shared" si="4"/>
        <v/>
      </c>
      <c r="I135" s="495"/>
      <c r="J135" s="493"/>
      <c r="K135" s="493"/>
      <c r="L135" s="500"/>
      <c r="M135" s="494"/>
      <c r="N135" s="494"/>
      <c r="O135" s="494"/>
      <c r="P135" s="494"/>
      <c r="Q135" s="494"/>
      <c r="S135" s="501" t="str">
        <f t="shared" si="6"/>
        <v xml:space="preserve">: </v>
      </c>
      <c r="T135" s="502">
        <f t="shared" si="5"/>
        <v>0</v>
      </c>
    </row>
    <row r="136" spans="2:20">
      <c r="B136" s="121"/>
      <c r="C136" s="121"/>
      <c r="D136" s="121"/>
      <c r="E136" s="490" t="str">
        <f t="shared" si="4"/>
        <v/>
      </c>
      <c r="I136" s="495"/>
      <c r="J136" s="493"/>
      <c r="K136" s="493"/>
      <c r="L136" s="500"/>
      <c r="M136" s="494"/>
      <c r="N136" s="494"/>
      <c r="O136" s="494"/>
      <c r="P136" s="494"/>
      <c r="Q136" s="494"/>
      <c r="S136" s="501" t="str">
        <f t="shared" si="6"/>
        <v xml:space="preserve">: </v>
      </c>
      <c r="T136" s="502">
        <f t="shared" si="5"/>
        <v>0</v>
      </c>
    </row>
    <row r="137" spans="2:20">
      <c r="B137" s="121"/>
      <c r="C137" s="121"/>
      <c r="D137" s="121"/>
      <c r="E137" s="490" t="str">
        <f t="shared" ref="E137:E200" si="7">IF(B137="","",B137&amp;":"&amp;C137&amp;" "&amp;D137)</f>
        <v/>
      </c>
      <c r="I137" s="495"/>
      <c r="J137" s="493"/>
      <c r="K137" s="493"/>
      <c r="L137" s="500"/>
      <c r="M137" s="494"/>
      <c r="N137" s="494"/>
      <c r="O137" s="494"/>
      <c r="P137" s="494"/>
      <c r="Q137" s="494"/>
      <c r="S137" s="501" t="str">
        <f t="shared" si="6"/>
        <v xml:space="preserve">: </v>
      </c>
      <c r="T137" s="502">
        <f t="shared" ref="T137:T200" si="8">HLOOKUP($T$7,$M$7:$Q$200,ROW()-6,FALSE)</f>
        <v>0</v>
      </c>
    </row>
    <row r="138" spans="2:20">
      <c r="B138" s="121"/>
      <c r="C138" s="121"/>
      <c r="D138" s="121"/>
      <c r="E138" s="490" t="str">
        <f t="shared" si="7"/>
        <v/>
      </c>
      <c r="I138" s="495"/>
      <c r="J138" s="493"/>
      <c r="K138" s="493"/>
      <c r="L138" s="500"/>
      <c r="M138" s="494"/>
      <c r="N138" s="494"/>
      <c r="O138" s="494"/>
      <c r="P138" s="494"/>
      <c r="Q138" s="494"/>
      <c r="S138" s="501" t="str">
        <f t="shared" si="6"/>
        <v xml:space="preserve">: </v>
      </c>
      <c r="T138" s="502">
        <f t="shared" si="8"/>
        <v>0</v>
      </c>
    </row>
    <row r="139" spans="2:20">
      <c r="B139" s="121"/>
      <c r="C139" s="121"/>
      <c r="D139" s="121"/>
      <c r="E139" s="490" t="str">
        <f t="shared" si="7"/>
        <v/>
      </c>
      <c r="I139" s="495"/>
      <c r="J139" s="493"/>
      <c r="K139" s="493"/>
      <c r="L139" s="500"/>
      <c r="M139" s="494"/>
      <c r="N139" s="494"/>
      <c r="O139" s="494"/>
      <c r="P139" s="494"/>
      <c r="Q139" s="494"/>
      <c r="S139" s="501" t="str">
        <f t="shared" si="6"/>
        <v xml:space="preserve">: </v>
      </c>
      <c r="T139" s="502">
        <f t="shared" si="8"/>
        <v>0</v>
      </c>
    </row>
    <row r="140" spans="2:20">
      <c r="B140" s="121"/>
      <c r="C140" s="121"/>
      <c r="D140" s="121"/>
      <c r="E140" s="490" t="str">
        <f t="shared" si="7"/>
        <v/>
      </c>
      <c r="I140" s="495"/>
      <c r="J140" s="493"/>
      <c r="K140" s="493"/>
      <c r="L140" s="500"/>
      <c r="M140" s="494"/>
      <c r="N140" s="494"/>
      <c r="O140" s="494"/>
      <c r="P140" s="494"/>
      <c r="Q140" s="494"/>
      <c r="S140" s="501" t="str">
        <f t="shared" si="6"/>
        <v xml:space="preserve">: </v>
      </c>
      <c r="T140" s="502">
        <f t="shared" si="8"/>
        <v>0</v>
      </c>
    </row>
    <row r="141" spans="2:20">
      <c r="B141" s="121"/>
      <c r="C141" s="121"/>
      <c r="D141" s="121"/>
      <c r="E141" s="490" t="str">
        <f t="shared" si="7"/>
        <v/>
      </c>
      <c r="I141" s="495"/>
      <c r="J141" s="493"/>
      <c r="K141" s="493"/>
      <c r="L141" s="500"/>
      <c r="M141" s="494"/>
      <c r="N141" s="494"/>
      <c r="O141" s="494"/>
      <c r="P141" s="494"/>
      <c r="Q141" s="494"/>
      <c r="S141" s="501" t="str">
        <f t="shared" si="6"/>
        <v xml:space="preserve">: </v>
      </c>
      <c r="T141" s="502">
        <f t="shared" si="8"/>
        <v>0</v>
      </c>
    </row>
    <row r="142" spans="2:20">
      <c r="B142" s="121"/>
      <c r="C142" s="121"/>
      <c r="D142" s="121"/>
      <c r="E142" s="490" t="str">
        <f t="shared" si="7"/>
        <v/>
      </c>
      <c r="I142" s="495"/>
      <c r="J142" s="493"/>
      <c r="K142" s="493"/>
      <c r="L142" s="500"/>
      <c r="M142" s="494"/>
      <c r="N142" s="494"/>
      <c r="O142" s="494"/>
      <c r="P142" s="494"/>
      <c r="Q142" s="494"/>
      <c r="S142" s="501" t="str">
        <f t="shared" si="6"/>
        <v xml:space="preserve">: </v>
      </c>
      <c r="T142" s="502">
        <f t="shared" si="8"/>
        <v>0</v>
      </c>
    </row>
    <row r="143" spans="2:20">
      <c r="B143" s="121"/>
      <c r="C143" s="121"/>
      <c r="D143" s="121"/>
      <c r="E143" s="490" t="str">
        <f t="shared" si="7"/>
        <v/>
      </c>
      <c r="I143" s="495"/>
      <c r="J143" s="493"/>
      <c r="K143" s="493"/>
      <c r="L143" s="500"/>
      <c r="M143" s="494"/>
      <c r="N143" s="494"/>
      <c r="O143" s="494"/>
      <c r="P143" s="494"/>
      <c r="Q143" s="494"/>
      <c r="S143" s="501" t="str">
        <f t="shared" si="6"/>
        <v xml:space="preserve">: </v>
      </c>
      <c r="T143" s="502">
        <f t="shared" si="8"/>
        <v>0</v>
      </c>
    </row>
    <row r="144" spans="2:20">
      <c r="B144" s="121"/>
      <c r="C144" s="121"/>
      <c r="D144" s="121"/>
      <c r="E144" s="490" t="str">
        <f t="shared" si="7"/>
        <v/>
      </c>
      <c r="I144" s="495"/>
      <c r="J144" s="493"/>
      <c r="K144" s="493"/>
      <c r="L144" s="500"/>
      <c r="M144" s="494"/>
      <c r="N144" s="494"/>
      <c r="O144" s="494"/>
      <c r="P144" s="494"/>
      <c r="Q144" s="494"/>
      <c r="S144" s="501" t="str">
        <f t="shared" si="6"/>
        <v xml:space="preserve">: </v>
      </c>
      <c r="T144" s="502">
        <f t="shared" si="8"/>
        <v>0</v>
      </c>
    </row>
    <row r="145" spans="2:20">
      <c r="B145" s="121"/>
      <c r="C145" s="121"/>
      <c r="D145" s="121"/>
      <c r="E145" s="490" t="str">
        <f t="shared" si="7"/>
        <v/>
      </c>
      <c r="I145" s="495"/>
      <c r="J145" s="493"/>
      <c r="K145" s="493"/>
      <c r="L145" s="500"/>
      <c r="M145" s="494"/>
      <c r="N145" s="494"/>
      <c r="O145" s="494"/>
      <c r="P145" s="494"/>
      <c r="Q145" s="494"/>
      <c r="S145" s="501" t="str">
        <f t="shared" si="6"/>
        <v xml:space="preserve">: </v>
      </c>
      <c r="T145" s="502">
        <f t="shared" si="8"/>
        <v>0</v>
      </c>
    </row>
    <row r="146" spans="2:20">
      <c r="B146" s="121"/>
      <c r="C146" s="121"/>
      <c r="D146" s="121"/>
      <c r="E146" s="490" t="str">
        <f t="shared" si="7"/>
        <v/>
      </c>
      <c r="I146" s="495"/>
      <c r="J146" s="493"/>
      <c r="K146" s="493"/>
      <c r="L146" s="500"/>
      <c r="M146" s="494"/>
      <c r="N146" s="494"/>
      <c r="O146" s="494"/>
      <c r="P146" s="494"/>
      <c r="Q146" s="494"/>
      <c r="S146" s="501" t="str">
        <f t="shared" si="6"/>
        <v xml:space="preserve">: </v>
      </c>
      <c r="T146" s="502">
        <f t="shared" si="8"/>
        <v>0</v>
      </c>
    </row>
    <row r="147" spans="2:20">
      <c r="B147" s="121"/>
      <c r="C147" s="121"/>
      <c r="D147" s="121"/>
      <c r="E147" s="490" t="str">
        <f t="shared" si="7"/>
        <v/>
      </c>
      <c r="I147" s="495"/>
      <c r="J147" s="493"/>
      <c r="K147" s="493"/>
      <c r="L147" s="500"/>
      <c r="M147" s="494"/>
      <c r="N147" s="494"/>
      <c r="O147" s="494"/>
      <c r="P147" s="494"/>
      <c r="Q147" s="494"/>
      <c r="S147" s="501" t="str">
        <f t="shared" si="6"/>
        <v xml:space="preserve">: </v>
      </c>
      <c r="T147" s="502">
        <f t="shared" si="8"/>
        <v>0</v>
      </c>
    </row>
    <row r="148" spans="2:20">
      <c r="B148" s="121"/>
      <c r="C148" s="121"/>
      <c r="D148" s="121"/>
      <c r="E148" s="490" t="str">
        <f t="shared" si="7"/>
        <v/>
      </c>
      <c r="I148" s="495"/>
      <c r="J148" s="493"/>
      <c r="K148" s="493"/>
      <c r="L148" s="500"/>
      <c r="M148" s="494"/>
      <c r="N148" s="494"/>
      <c r="O148" s="494"/>
      <c r="P148" s="494"/>
      <c r="Q148" s="494"/>
      <c r="S148" s="501" t="str">
        <f t="shared" si="6"/>
        <v xml:space="preserve">: </v>
      </c>
      <c r="T148" s="502">
        <f t="shared" si="8"/>
        <v>0</v>
      </c>
    </row>
    <row r="149" spans="2:20">
      <c r="B149" s="121"/>
      <c r="C149" s="121"/>
      <c r="D149" s="121"/>
      <c r="E149" s="490" t="str">
        <f t="shared" si="7"/>
        <v/>
      </c>
      <c r="I149" s="495"/>
      <c r="J149" s="493"/>
      <c r="K149" s="493"/>
      <c r="L149" s="500"/>
      <c r="M149" s="494"/>
      <c r="N149" s="494"/>
      <c r="O149" s="494"/>
      <c r="P149" s="494"/>
      <c r="Q149" s="494"/>
      <c r="S149" s="501" t="str">
        <f t="shared" si="6"/>
        <v xml:space="preserve">: </v>
      </c>
      <c r="T149" s="502">
        <f t="shared" si="8"/>
        <v>0</v>
      </c>
    </row>
    <row r="150" spans="2:20">
      <c r="B150" s="121"/>
      <c r="C150" s="121"/>
      <c r="D150" s="121"/>
      <c r="E150" s="490" t="str">
        <f t="shared" si="7"/>
        <v/>
      </c>
      <c r="I150" s="495"/>
      <c r="J150" s="493"/>
      <c r="K150" s="493"/>
      <c r="L150" s="500"/>
      <c r="M150" s="494"/>
      <c r="N150" s="494"/>
      <c r="O150" s="494"/>
      <c r="P150" s="494"/>
      <c r="Q150" s="494"/>
      <c r="S150" s="501" t="str">
        <f t="shared" si="6"/>
        <v xml:space="preserve">: </v>
      </c>
      <c r="T150" s="502">
        <f t="shared" si="8"/>
        <v>0</v>
      </c>
    </row>
    <row r="151" spans="2:20">
      <c r="B151" s="121"/>
      <c r="C151" s="121"/>
      <c r="D151" s="121"/>
      <c r="E151" s="490" t="str">
        <f t="shared" si="7"/>
        <v/>
      </c>
      <c r="I151" s="495"/>
      <c r="J151" s="493"/>
      <c r="K151" s="493"/>
      <c r="L151" s="500"/>
      <c r="M151" s="494"/>
      <c r="N151" s="494"/>
      <c r="O151" s="494"/>
      <c r="P151" s="494"/>
      <c r="Q151" s="494"/>
      <c r="S151" s="501" t="str">
        <f t="shared" si="6"/>
        <v xml:space="preserve">: </v>
      </c>
      <c r="T151" s="502">
        <f t="shared" si="8"/>
        <v>0</v>
      </c>
    </row>
    <row r="152" spans="2:20">
      <c r="B152" s="121"/>
      <c r="C152" s="121"/>
      <c r="D152" s="121"/>
      <c r="E152" s="490" t="str">
        <f t="shared" si="7"/>
        <v/>
      </c>
      <c r="I152" s="495"/>
      <c r="J152" s="493"/>
      <c r="K152" s="493"/>
      <c r="L152" s="500"/>
      <c r="M152" s="494"/>
      <c r="N152" s="494"/>
      <c r="O152" s="494"/>
      <c r="P152" s="494"/>
      <c r="Q152" s="494"/>
      <c r="S152" s="501" t="str">
        <f t="shared" si="6"/>
        <v xml:space="preserve">: </v>
      </c>
      <c r="T152" s="502">
        <f t="shared" si="8"/>
        <v>0</v>
      </c>
    </row>
    <row r="153" spans="2:20">
      <c r="B153" s="121"/>
      <c r="C153" s="121"/>
      <c r="D153" s="121"/>
      <c r="E153" s="490" t="str">
        <f t="shared" si="7"/>
        <v/>
      </c>
      <c r="I153" s="495"/>
      <c r="J153" s="493"/>
      <c r="K153" s="493"/>
      <c r="L153" s="500"/>
      <c r="M153" s="494"/>
      <c r="N153" s="494"/>
      <c r="O153" s="494"/>
      <c r="P153" s="494"/>
      <c r="Q153" s="494"/>
      <c r="S153" s="501" t="str">
        <f t="shared" si="6"/>
        <v xml:space="preserve">: </v>
      </c>
      <c r="T153" s="502">
        <f t="shared" si="8"/>
        <v>0</v>
      </c>
    </row>
    <row r="154" spans="2:20">
      <c r="B154" s="121"/>
      <c r="C154" s="121"/>
      <c r="D154" s="121"/>
      <c r="E154" s="490" t="str">
        <f t="shared" si="7"/>
        <v/>
      </c>
      <c r="I154" s="495"/>
      <c r="J154" s="493"/>
      <c r="K154" s="493"/>
      <c r="L154" s="500"/>
      <c r="M154" s="494"/>
      <c r="N154" s="494"/>
      <c r="O154" s="494"/>
      <c r="P154" s="494"/>
      <c r="Q154" s="494"/>
      <c r="S154" s="501" t="str">
        <f t="shared" si="6"/>
        <v xml:space="preserve">: </v>
      </c>
      <c r="T154" s="502">
        <f t="shared" si="8"/>
        <v>0</v>
      </c>
    </row>
    <row r="155" spans="2:20">
      <c r="B155" s="121"/>
      <c r="C155" s="121"/>
      <c r="D155" s="121"/>
      <c r="E155" s="490" t="str">
        <f t="shared" si="7"/>
        <v/>
      </c>
      <c r="I155" s="495"/>
      <c r="J155" s="493"/>
      <c r="K155" s="493"/>
      <c r="L155" s="500"/>
      <c r="M155" s="494"/>
      <c r="N155" s="494"/>
      <c r="O155" s="494"/>
      <c r="P155" s="494"/>
      <c r="Q155" s="494"/>
      <c r="S155" s="501" t="str">
        <f t="shared" si="6"/>
        <v xml:space="preserve">: </v>
      </c>
      <c r="T155" s="502">
        <f t="shared" si="8"/>
        <v>0</v>
      </c>
    </row>
    <row r="156" spans="2:20">
      <c r="B156" s="121"/>
      <c r="C156" s="121"/>
      <c r="D156" s="121"/>
      <c r="E156" s="490" t="str">
        <f t="shared" si="7"/>
        <v/>
      </c>
      <c r="I156" s="495"/>
      <c r="J156" s="493"/>
      <c r="K156" s="493"/>
      <c r="L156" s="500"/>
      <c r="M156" s="494"/>
      <c r="N156" s="494"/>
      <c r="O156" s="494"/>
      <c r="P156" s="494"/>
      <c r="Q156" s="494"/>
      <c r="S156" s="501" t="str">
        <f t="shared" si="6"/>
        <v xml:space="preserve">: </v>
      </c>
      <c r="T156" s="502">
        <f t="shared" si="8"/>
        <v>0</v>
      </c>
    </row>
    <row r="157" spans="2:20">
      <c r="B157" s="121"/>
      <c r="C157" s="121"/>
      <c r="D157" s="121"/>
      <c r="E157" s="490" t="str">
        <f t="shared" si="7"/>
        <v/>
      </c>
      <c r="I157" s="495"/>
      <c r="J157" s="493"/>
      <c r="K157" s="493"/>
      <c r="L157" s="500"/>
      <c r="M157" s="494"/>
      <c r="N157" s="494"/>
      <c r="O157" s="494"/>
      <c r="P157" s="494"/>
      <c r="Q157" s="494"/>
      <c r="S157" s="501" t="str">
        <f t="shared" si="6"/>
        <v xml:space="preserve">: </v>
      </c>
      <c r="T157" s="502">
        <f t="shared" si="8"/>
        <v>0</v>
      </c>
    </row>
    <row r="158" spans="2:20">
      <c r="B158" s="121"/>
      <c r="C158" s="121"/>
      <c r="D158" s="121"/>
      <c r="E158" s="490" t="str">
        <f t="shared" si="7"/>
        <v/>
      </c>
      <c r="I158" s="495"/>
      <c r="J158" s="493"/>
      <c r="K158" s="493"/>
      <c r="L158" s="500"/>
      <c r="M158" s="494"/>
      <c r="N158" s="494"/>
      <c r="O158" s="494"/>
      <c r="P158" s="494"/>
      <c r="Q158" s="494"/>
      <c r="S158" s="501" t="str">
        <f t="shared" si="6"/>
        <v xml:space="preserve">: </v>
      </c>
      <c r="T158" s="502">
        <f t="shared" si="8"/>
        <v>0</v>
      </c>
    </row>
    <row r="159" spans="2:20">
      <c r="B159" s="121"/>
      <c r="C159" s="121"/>
      <c r="D159" s="121"/>
      <c r="E159" s="490" t="str">
        <f t="shared" si="7"/>
        <v/>
      </c>
      <c r="I159" s="495"/>
      <c r="J159" s="493"/>
      <c r="K159" s="493"/>
      <c r="L159" s="500"/>
      <c r="M159" s="494"/>
      <c r="N159" s="494"/>
      <c r="O159" s="494"/>
      <c r="P159" s="494"/>
      <c r="Q159" s="494"/>
      <c r="S159" s="501" t="str">
        <f t="shared" si="6"/>
        <v xml:space="preserve">: </v>
      </c>
      <c r="T159" s="502">
        <f t="shared" si="8"/>
        <v>0</v>
      </c>
    </row>
    <row r="160" spans="2:20">
      <c r="B160" s="121"/>
      <c r="C160" s="121"/>
      <c r="D160" s="121"/>
      <c r="E160" s="490" t="str">
        <f t="shared" si="7"/>
        <v/>
      </c>
      <c r="I160" s="495"/>
      <c r="J160" s="493"/>
      <c r="K160" s="493"/>
      <c r="L160" s="500"/>
      <c r="M160" s="494"/>
      <c r="N160" s="494"/>
      <c r="O160" s="494"/>
      <c r="P160" s="494"/>
      <c r="Q160" s="494"/>
      <c r="S160" s="501" t="str">
        <f t="shared" si="6"/>
        <v xml:space="preserve">: </v>
      </c>
      <c r="T160" s="502">
        <f t="shared" si="8"/>
        <v>0</v>
      </c>
    </row>
    <row r="161" spans="2:20">
      <c r="B161" s="121"/>
      <c r="C161" s="121"/>
      <c r="D161" s="121"/>
      <c r="E161" s="490" t="str">
        <f t="shared" si="7"/>
        <v/>
      </c>
      <c r="I161" s="495"/>
      <c r="J161" s="493"/>
      <c r="K161" s="493"/>
      <c r="L161" s="500"/>
      <c r="M161" s="494"/>
      <c r="N161" s="494"/>
      <c r="O161" s="494"/>
      <c r="P161" s="494"/>
      <c r="Q161" s="494"/>
      <c r="S161" s="501" t="str">
        <f t="shared" si="6"/>
        <v xml:space="preserve">: </v>
      </c>
      <c r="T161" s="502">
        <f t="shared" si="8"/>
        <v>0</v>
      </c>
    </row>
    <row r="162" spans="2:20">
      <c r="B162" s="121"/>
      <c r="C162" s="121"/>
      <c r="D162" s="121"/>
      <c r="E162" s="490" t="str">
        <f t="shared" si="7"/>
        <v/>
      </c>
      <c r="I162" s="495"/>
      <c r="J162" s="493"/>
      <c r="K162" s="493"/>
      <c r="L162" s="500"/>
      <c r="M162" s="494"/>
      <c r="N162" s="494"/>
      <c r="O162" s="494"/>
      <c r="P162" s="494"/>
      <c r="Q162" s="494"/>
      <c r="S162" s="501" t="str">
        <f t="shared" si="6"/>
        <v xml:space="preserve">: </v>
      </c>
      <c r="T162" s="502">
        <f t="shared" si="8"/>
        <v>0</v>
      </c>
    </row>
    <row r="163" spans="2:20">
      <c r="B163" s="121"/>
      <c r="C163" s="121"/>
      <c r="D163" s="121"/>
      <c r="E163" s="490" t="str">
        <f t="shared" si="7"/>
        <v/>
      </c>
      <c r="I163" s="495"/>
      <c r="J163" s="493"/>
      <c r="K163" s="493"/>
      <c r="L163" s="500"/>
      <c r="M163" s="494"/>
      <c r="N163" s="494"/>
      <c r="O163" s="494"/>
      <c r="P163" s="494"/>
      <c r="Q163" s="494"/>
      <c r="S163" s="501" t="str">
        <f t="shared" si="6"/>
        <v xml:space="preserve">: </v>
      </c>
      <c r="T163" s="502">
        <f t="shared" si="8"/>
        <v>0</v>
      </c>
    </row>
    <row r="164" spans="2:20">
      <c r="B164" s="121"/>
      <c r="C164" s="121"/>
      <c r="D164" s="121"/>
      <c r="E164" s="490" t="str">
        <f t="shared" si="7"/>
        <v/>
      </c>
      <c r="I164" s="495"/>
      <c r="J164" s="493"/>
      <c r="K164" s="493"/>
      <c r="L164" s="500"/>
      <c r="M164" s="494"/>
      <c r="N164" s="494"/>
      <c r="O164" s="494"/>
      <c r="P164" s="494"/>
      <c r="Q164" s="494"/>
      <c r="S164" s="501" t="str">
        <f t="shared" si="6"/>
        <v xml:space="preserve">: </v>
      </c>
      <c r="T164" s="502">
        <f t="shared" si="8"/>
        <v>0</v>
      </c>
    </row>
    <row r="165" spans="2:20">
      <c r="B165" s="121"/>
      <c r="C165" s="121"/>
      <c r="D165" s="121"/>
      <c r="E165" s="490" t="str">
        <f t="shared" si="7"/>
        <v/>
      </c>
      <c r="I165" s="495"/>
      <c r="J165" s="493"/>
      <c r="K165" s="493"/>
      <c r="L165" s="500"/>
      <c r="M165" s="494"/>
      <c r="N165" s="494"/>
      <c r="O165" s="494"/>
      <c r="P165" s="494"/>
      <c r="Q165" s="494"/>
      <c r="S165" s="501" t="str">
        <f t="shared" si="6"/>
        <v xml:space="preserve">: </v>
      </c>
      <c r="T165" s="502">
        <f t="shared" si="8"/>
        <v>0</v>
      </c>
    </row>
    <row r="166" spans="2:20">
      <c r="B166" s="121"/>
      <c r="C166" s="121"/>
      <c r="D166" s="121"/>
      <c r="E166" s="490" t="str">
        <f t="shared" si="7"/>
        <v/>
      </c>
      <c r="I166" s="495"/>
      <c r="J166" s="493"/>
      <c r="K166" s="493"/>
      <c r="L166" s="500"/>
      <c r="M166" s="494"/>
      <c r="N166" s="494"/>
      <c r="O166" s="494"/>
      <c r="P166" s="494"/>
      <c r="Q166" s="494"/>
      <c r="S166" s="501" t="str">
        <f t="shared" si="6"/>
        <v xml:space="preserve">: </v>
      </c>
      <c r="T166" s="502">
        <f t="shared" si="8"/>
        <v>0</v>
      </c>
    </row>
    <row r="167" spans="2:20">
      <c r="B167" s="121"/>
      <c r="C167" s="121"/>
      <c r="D167" s="121"/>
      <c r="E167" s="490" t="str">
        <f t="shared" si="7"/>
        <v/>
      </c>
      <c r="I167" s="495"/>
      <c r="J167" s="493"/>
      <c r="K167" s="493"/>
      <c r="L167" s="500"/>
      <c r="M167" s="494"/>
      <c r="N167" s="494"/>
      <c r="O167" s="494"/>
      <c r="P167" s="494"/>
      <c r="Q167" s="494"/>
      <c r="S167" s="501" t="str">
        <f t="shared" si="6"/>
        <v xml:space="preserve">: </v>
      </c>
      <c r="T167" s="502">
        <f t="shared" si="8"/>
        <v>0</v>
      </c>
    </row>
    <row r="168" spans="2:20">
      <c r="B168" s="121"/>
      <c r="C168" s="121"/>
      <c r="D168" s="121"/>
      <c r="E168" s="490" t="str">
        <f t="shared" si="7"/>
        <v/>
      </c>
      <c r="I168" s="495"/>
      <c r="J168" s="493"/>
      <c r="K168" s="493"/>
      <c r="L168" s="500"/>
      <c r="M168" s="494"/>
      <c r="N168" s="494"/>
      <c r="O168" s="494"/>
      <c r="P168" s="494"/>
      <c r="Q168" s="494"/>
      <c r="S168" s="501" t="str">
        <f t="shared" si="6"/>
        <v xml:space="preserve">: </v>
      </c>
      <c r="T168" s="502">
        <f t="shared" si="8"/>
        <v>0</v>
      </c>
    </row>
    <row r="169" spans="2:20">
      <c r="B169" s="121"/>
      <c r="C169" s="121"/>
      <c r="D169" s="121"/>
      <c r="E169" s="490" t="str">
        <f t="shared" si="7"/>
        <v/>
      </c>
      <c r="I169" s="495"/>
      <c r="J169" s="493"/>
      <c r="K169" s="493"/>
      <c r="L169" s="500"/>
      <c r="M169" s="494"/>
      <c r="N169" s="494"/>
      <c r="O169" s="494"/>
      <c r="P169" s="494"/>
      <c r="Q169" s="494"/>
      <c r="S169" s="501" t="str">
        <f t="shared" si="6"/>
        <v xml:space="preserve">: </v>
      </c>
      <c r="T169" s="502">
        <f t="shared" si="8"/>
        <v>0</v>
      </c>
    </row>
    <row r="170" spans="2:20">
      <c r="B170" s="121"/>
      <c r="C170" s="121"/>
      <c r="D170" s="121"/>
      <c r="E170" s="490" t="str">
        <f t="shared" si="7"/>
        <v/>
      </c>
      <c r="I170" s="495"/>
      <c r="J170" s="493"/>
      <c r="K170" s="493"/>
      <c r="L170" s="500"/>
      <c r="M170" s="494"/>
      <c r="N170" s="494"/>
      <c r="O170" s="494"/>
      <c r="P170" s="494"/>
      <c r="Q170" s="494"/>
      <c r="S170" s="501" t="str">
        <f t="shared" si="6"/>
        <v xml:space="preserve">: </v>
      </c>
      <c r="T170" s="502">
        <f t="shared" si="8"/>
        <v>0</v>
      </c>
    </row>
    <row r="171" spans="2:20">
      <c r="B171" s="121"/>
      <c r="C171" s="121"/>
      <c r="D171" s="121"/>
      <c r="E171" s="490" t="str">
        <f t="shared" si="7"/>
        <v/>
      </c>
      <c r="I171" s="495"/>
      <c r="J171" s="493"/>
      <c r="K171" s="493"/>
      <c r="L171" s="500"/>
      <c r="M171" s="494"/>
      <c r="N171" s="494"/>
      <c r="O171" s="494"/>
      <c r="P171" s="494"/>
      <c r="Q171" s="494"/>
      <c r="S171" s="501" t="str">
        <f t="shared" si="6"/>
        <v xml:space="preserve">: </v>
      </c>
      <c r="T171" s="502">
        <f t="shared" si="8"/>
        <v>0</v>
      </c>
    </row>
    <row r="172" spans="2:20">
      <c r="B172" s="121"/>
      <c r="C172" s="121"/>
      <c r="D172" s="121"/>
      <c r="E172" s="490" t="str">
        <f t="shared" si="7"/>
        <v/>
      </c>
      <c r="I172" s="495"/>
      <c r="J172" s="493"/>
      <c r="K172" s="493"/>
      <c r="L172" s="500"/>
      <c r="M172" s="494"/>
      <c r="N172" s="494"/>
      <c r="O172" s="494"/>
      <c r="P172" s="494"/>
      <c r="Q172" s="494"/>
      <c r="S172" s="501" t="str">
        <f t="shared" si="6"/>
        <v xml:space="preserve">: </v>
      </c>
      <c r="T172" s="502">
        <f t="shared" si="8"/>
        <v>0</v>
      </c>
    </row>
    <row r="173" spans="2:20">
      <c r="B173" s="121"/>
      <c r="C173" s="121"/>
      <c r="D173" s="121"/>
      <c r="E173" s="490" t="str">
        <f t="shared" si="7"/>
        <v/>
      </c>
      <c r="I173" s="495"/>
      <c r="J173" s="493"/>
      <c r="K173" s="493"/>
      <c r="L173" s="500"/>
      <c r="M173" s="494"/>
      <c r="N173" s="494"/>
      <c r="O173" s="494"/>
      <c r="P173" s="494"/>
      <c r="Q173" s="494"/>
      <c r="S173" s="501" t="str">
        <f t="shared" ref="S173:S200" si="9">I173&amp;":"&amp;J173&amp;" "&amp;K173&amp;L173</f>
        <v xml:space="preserve">: </v>
      </c>
      <c r="T173" s="502">
        <f t="shared" si="8"/>
        <v>0</v>
      </c>
    </row>
    <row r="174" spans="2:20">
      <c r="B174" s="121"/>
      <c r="C174" s="121"/>
      <c r="D174" s="121"/>
      <c r="E174" s="490" t="str">
        <f t="shared" si="7"/>
        <v/>
      </c>
      <c r="I174" s="495"/>
      <c r="J174" s="493"/>
      <c r="K174" s="493"/>
      <c r="L174" s="500"/>
      <c r="M174" s="494"/>
      <c r="N174" s="494"/>
      <c r="O174" s="494"/>
      <c r="P174" s="494"/>
      <c r="Q174" s="494"/>
      <c r="S174" s="501" t="str">
        <f t="shared" si="9"/>
        <v xml:space="preserve">: </v>
      </c>
      <c r="T174" s="502">
        <f t="shared" si="8"/>
        <v>0</v>
      </c>
    </row>
    <row r="175" spans="2:20">
      <c r="B175" s="121"/>
      <c r="C175" s="121"/>
      <c r="D175" s="121"/>
      <c r="E175" s="490" t="str">
        <f t="shared" si="7"/>
        <v/>
      </c>
      <c r="I175" s="495"/>
      <c r="J175" s="493"/>
      <c r="K175" s="493"/>
      <c r="L175" s="500"/>
      <c r="M175" s="494"/>
      <c r="N175" s="494"/>
      <c r="O175" s="494"/>
      <c r="P175" s="494"/>
      <c r="Q175" s="494"/>
      <c r="S175" s="501" t="str">
        <f t="shared" si="9"/>
        <v xml:space="preserve">: </v>
      </c>
      <c r="T175" s="502">
        <f t="shared" si="8"/>
        <v>0</v>
      </c>
    </row>
    <row r="176" spans="2:20">
      <c r="B176" s="121"/>
      <c r="C176" s="121"/>
      <c r="D176" s="121"/>
      <c r="E176" s="490" t="str">
        <f t="shared" si="7"/>
        <v/>
      </c>
      <c r="I176" s="495"/>
      <c r="J176" s="493"/>
      <c r="K176" s="493"/>
      <c r="L176" s="500"/>
      <c r="M176" s="494"/>
      <c r="N176" s="494"/>
      <c r="O176" s="494"/>
      <c r="P176" s="494"/>
      <c r="Q176" s="494"/>
      <c r="S176" s="501" t="str">
        <f t="shared" si="9"/>
        <v xml:space="preserve">: </v>
      </c>
      <c r="T176" s="502">
        <f t="shared" si="8"/>
        <v>0</v>
      </c>
    </row>
    <row r="177" spans="2:20">
      <c r="B177" s="121"/>
      <c r="C177" s="121"/>
      <c r="D177" s="121"/>
      <c r="E177" s="490" t="str">
        <f t="shared" si="7"/>
        <v/>
      </c>
      <c r="I177" s="495"/>
      <c r="J177" s="493"/>
      <c r="K177" s="493"/>
      <c r="L177" s="500"/>
      <c r="M177" s="494"/>
      <c r="N177" s="494"/>
      <c r="O177" s="494"/>
      <c r="P177" s="494"/>
      <c r="Q177" s="494"/>
      <c r="S177" s="501" t="str">
        <f t="shared" si="9"/>
        <v xml:space="preserve">: </v>
      </c>
      <c r="T177" s="502">
        <f t="shared" si="8"/>
        <v>0</v>
      </c>
    </row>
    <row r="178" spans="2:20">
      <c r="B178" s="121"/>
      <c r="C178" s="121"/>
      <c r="D178" s="121"/>
      <c r="E178" s="490" t="str">
        <f t="shared" si="7"/>
        <v/>
      </c>
      <c r="I178" s="495"/>
      <c r="J178" s="493"/>
      <c r="K178" s="493"/>
      <c r="L178" s="500"/>
      <c r="M178" s="494"/>
      <c r="N178" s="494"/>
      <c r="O178" s="494"/>
      <c r="P178" s="494"/>
      <c r="Q178" s="494"/>
      <c r="S178" s="501" t="str">
        <f t="shared" si="9"/>
        <v xml:space="preserve">: </v>
      </c>
      <c r="T178" s="502">
        <f t="shared" si="8"/>
        <v>0</v>
      </c>
    </row>
    <row r="179" spans="2:20">
      <c r="B179" s="121"/>
      <c r="C179" s="121"/>
      <c r="D179" s="121"/>
      <c r="E179" s="490" t="str">
        <f t="shared" si="7"/>
        <v/>
      </c>
      <c r="I179" s="495"/>
      <c r="J179" s="493"/>
      <c r="K179" s="493"/>
      <c r="L179" s="500"/>
      <c r="M179" s="494"/>
      <c r="N179" s="494"/>
      <c r="O179" s="494"/>
      <c r="P179" s="494"/>
      <c r="Q179" s="494"/>
      <c r="S179" s="501" t="str">
        <f t="shared" si="9"/>
        <v xml:space="preserve">: </v>
      </c>
      <c r="T179" s="502">
        <f t="shared" si="8"/>
        <v>0</v>
      </c>
    </row>
    <row r="180" spans="2:20">
      <c r="B180" s="121"/>
      <c r="C180" s="121"/>
      <c r="D180" s="121"/>
      <c r="E180" s="490" t="str">
        <f t="shared" si="7"/>
        <v/>
      </c>
      <c r="I180" s="495"/>
      <c r="J180" s="493"/>
      <c r="K180" s="493"/>
      <c r="L180" s="500"/>
      <c r="M180" s="494"/>
      <c r="N180" s="494"/>
      <c r="O180" s="494"/>
      <c r="P180" s="494"/>
      <c r="Q180" s="494"/>
      <c r="S180" s="501" t="str">
        <f t="shared" si="9"/>
        <v xml:space="preserve">: </v>
      </c>
      <c r="T180" s="502">
        <f t="shared" si="8"/>
        <v>0</v>
      </c>
    </row>
    <row r="181" spans="2:20">
      <c r="B181" s="121"/>
      <c r="C181" s="121"/>
      <c r="D181" s="121"/>
      <c r="E181" s="490" t="str">
        <f t="shared" si="7"/>
        <v/>
      </c>
      <c r="I181" s="495"/>
      <c r="J181" s="493"/>
      <c r="K181" s="493"/>
      <c r="L181" s="500"/>
      <c r="M181" s="494"/>
      <c r="N181" s="494"/>
      <c r="O181" s="494"/>
      <c r="P181" s="494"/>
      <c r="Q181" s="494"/>
      <c r="S181" s="501" t="str">
        <f t="shared" si="9"/>
        <v xml:space="preserve">: </v>
      </c>
      <c r="T181" s="502">
        <f t="shared" si="8"/>
        <v>0</v>
      </c>
    </row>
    <row r="182" spans="2:20">
      <c r="B182" s="121"/>
      <c r="C182" s="121"/>
      <c r="D182" s="121"/>
      <c r="E182" s="490" t="str">
        <f t="shared" si="7"/>
        <v/>
      </c>
      <c r="I182" s="495"/>
      <c r="J182" s="493"/>
      <c r="K182" s="493"/>
      <c r="L182" s="500"/>
      <c r="M182" s="494"/>
      <c r="N182" s="494"/>
      <c r="O182" s="494"/>
      <c r="P182" s="494"/>
      <c r="Q182" s="494"/>
      <c r="S182" s="501" t="str">
        <f t="shared" si="9"/>
        <v xml:space="preserve">: </v>
      </c>
      <c r="T182" s="502">
        <f t="shared" si="8"/>
        <v>0</v>
      </c>
    </row>
    <row r="183" spans="2:20">
      <c r="B183" s="121"/>
      <c r="C183" s="121"/>
      <c r="D183" s="121"/>
      <c r="E183" s="490" t="str">
        <f t="shared" si="7"/>
        <v/>
      </c>
      <c r="I183" s="495"/>
      <c r="J183" s="493"/>
      <c r="K183" s="493"/>
      <c r="L183" s="500"/>
      <c r="M183" s="494"/>
      <c r="N183" s="494"/>
      <c r="O183" s="494"/>
      <c r="P183" s="494"/>
      <c r="Q183" s="494"/>
      <c r="S183" s="501" t="str">
        <f t="shared" si="9"/>
        <v xml:space="preserve">: </v>
      </c>
      <c r="T183" s="502">
        <f t="shared" si="8"/>
        <v>0</v>
      </c>
    </row>
    <row r="184" spans="2:20">
      <c r="B184" s="121"/>
      <c r="C184" s="121"/>
      <c r="D184" s="121"/>
      <c r="E184" s="490" t="str">
        <f t="shared" si="7"/>
        <v/>
      </c>
      <c r="I184" s="495"/>
      <c r="J184" s="493"/>
      <c r="K184" s="493"/>
      <c r="L184" s="500"/>
      <c r="M184" s="494"/>
      <c r="N184" s="494"/>
      <c r="O184" s="494"/>
      <c r="P184" s="494"/>
      <c r="Q184" s="494"/>
      <c r="S184" s="501" t="str">
        <f t="shared" si="9"/>
        <v xml:space="preserve">: </v>
      </c>
      <c r="T184" s="502">
        <f t="shared" si="8"/>
        <v>0</v>
      </c>
    </row>
    <row r="185" spans="2:20">
      <c r="B185" s="121"/>
      <c r="C185" s="121"/>
      <c r="D185" s="121"/>
      <c r="E185" s="490" t="str">
        <f t="shared" si="7"/>
        <v/>
      </c>
      <c r="I185" s="495"/>
      <c r="J185" s="493"/>
      <c r="K185" s="493"/>
      <c r="L185" s="500"/>
      <c r="M185" s="494"/>
      <c r="N185" s="494"/>
      <c r="O185" s="494"/>
      <c r="P185" s="494"/>
      <c r="Q185" s="494"/>
      <c r="S185" s="501" t="str">
        <f t="shared" si="9"/>
        <v xml:space="preserve">: </v>
      </c>
      <c r="T185" s="502">
        <f t="shared" si="8"/>
        <v>0</v>
      </c>
    </row>
    <row r="186" spans="2:20">
      <c r="B186" s="121"/>
      <c r="C186" s="121"/>
      <c r="D186" s="121"/>
      <c r="E186" s="490" t="str">
        <f t="shared" si="7"/>
        <v/>
      </c>
      <c r="I186" s="495"/>
      <c r="J186" s="493"/>
      <c r="K186" s="493"/>
      <c r="L186" s="500"/>
      <c r="M186" s="494"/>
      <c r="N186" s="494"/>
      <c r="O186" s="494"/>
      <c r="P186" s="494"/>
      <c r="Q186" s="494"/>
      <c r="S186" s="501" t="str">
        <f t="shared" si="9"/>
        <v xml:space="preserve">: </v>
      </c>
      <c r="T186" s="502">
        <f t="shared" si="8"/>
        <v>0</v>
      </c>
    </row>
    <row r="187" spans="2:20">
      <c r="B187" s="121"/>
      <c r="C187" s="121"/>
      <c r="D187" s="121"/>
      <c r="E187" s="490" t="str">
        <f t="shared" si="7"/>
        <v/>
      </c>
      <c r="I187" s="495"/>
      <c r="J187" s="493"/>
      <c r="K187" s="493"/>
      <c r="L187" s="500"/>
      <c r="M187" s="494"/>
      <c r="N187" s="494"/>
      <c r="O187" s="494"/>
      <c r="P187" s="494"/>
      <c r="Q187" s="494"/>
      <c r="S187" s="501" t="str">
        <f t="shared" si="9"/>
        <v xml:space="preserve">: </v>
      </c>
      <c r="T187" s="502">
        <f t="shared" si="8"/>
        <v>0</v>
      </c>
    </row>
    <row r="188" spans="2:20">
      <c r="B188" s="121"/>
      <c r="C188" s="121"/>
      <c r="D188" s="121"/>
      <c r="E188" s="490" t="str">
        <f t="shared" si="7"/>
        <v/>
      </c>
      <c r="I188" s="495"/>
      <c r="J188" s="493"/>
      <c r="K188" s="493"/>
      <c r="L188" s="500"/>
      <c r="M188" s="494"/>
      <c r="N188" s="494"/>
      <c r="O188" s="494"/>
      <c r="P188" s="494"/>
      <c r="Q188" s="494"/>
      <c r="S188" s="501" t="str">
        <f t="shared" si="9"/>
        <v xml:space="preserve">: </v>
      </c>
      <c r="T188" s="502">
        <f t="shared" si="8"/>
        <v>0</v>
      </c>
    </row>
    <row r="189" spans="2:20">
      <c r="B189" s="121"/>
      <c r="C189" s="121"/>
      <c r="D189" s="121"/>
      <c r="E189" s="490" t="str">
        <f t="shared" si="7"/>
        <v/>
      </c>
      <c r="I189" s="495"/>
      <c r="J189" s="493"/>
      <c r="K189" s="493"/>
      <c r="L189" s="500"/>
      <c r="M189" s="494"/>
      <c r="N189" s="494"/>
      <c r="O189" s="494"/>
      <c r="P189" s="494"/>
      <c r="Q189" s="494"/>
      <c r="S189" s="501" t="str">
        <f t="shared" si="9"/>
        <v xml:space="preserve">: </v>
      </c>
      <c r="T189" s="502">
        <f t="shared" si="8"/>
        <v>0</v>
      </c>
    </row>
    <row r="190" spans="2:20">
      <c r="B190" s="121"/>
      <c r="C190" s="121"/>
      <c r="D190" s="121"/>
      <c r="E190" s="490" t="str">
        <f t="shared" si="7"/>
        <v/>
      </c>
      <c r="I190" s="495"/>
      <c r="J190" s="493"/>
      <c r="K190" s="493"/>
      <c r="L190" s="500"/>
      <c r="M190" s="494"/>
      <c r="N190" s="494"/>
      <c r="O190" s="494"/>
      <c r="P190" s="494"/>
      <c r="Q190" s="494"/>
      <c r="S190" s="501" t="str">
        <f t="shared" si="9"/>
        <v xml:space="preserve">: </v>
      </c>
      <c r="T190" s="502">
        <f t="shared" si="8"/>
        <v>0</v>
      </c>
    </row>
    <row r="191" spans="2:20">
      <c r="B191" s="121"/>
      <c r="C191" s="121"/>
      <c r="D191" s="121"/>
      <c r="E191" s="490" t="str">
        <f t="shared" si="7"/>
        <v/>
      </c>
      <c r="I191" s="495"/>
      <c r="J191" s="493"/>
      <c r="K191" s="493"/>
      <c r="L191" s="500"/>
      <c r="M191" s="494"/>
      <c r="N191" s="494"/>
      <c r="O191" s="494"/>
      <c r="P191" s="494"/>
      <c r="Q191" s="494"/>
      <c r="S191" s="501" t="str">
        <f t="shared" si="9"/>
        <v xml:space="preserve">: </v>
      </c>
      <c r="T191" s="502">
        <f t="shared" si="8"/>
        <v>0</v>
      </c>
    </row>
    <row r="192" spans="2:20">
      <c r="B192" s="121"/>
      <c r="C192" s="121"/>
      <c r="D192" s="121"/>
      <c r="E192" s="490" t="str">
        <f t="shared" si="7"/>
        <v/>
      </c>
      <c r="I192" s="495"/>
      <c r="J192" s="493"/>
      <c r="K192" s="493"/>
      <c r="L192" s="500"/>
      <c r="M192" s="494"/>
      <c r="N192" s="494"/>
      <c r="O192" s="494"/>
      <c r="P192" s="494"/>
      <c r="Q192" s="494"/>
      <c r="S192" s="501" t="str">
        <f t="shared" si="9"/>
        <v xml:space="preserve">: </v>
      </c>
      <c r="T192" s="502">
        <f t="shared" si="8"/>
        <v>0</v>
      </c>
    </row>
    <row r="193" spans="2:20">
      <c r="B193" s="121"/>
      <c r="C193" s="121"/>
      <c r="D193" s="121"/>
      <c r="E193" s="490" t="str">
        <f t="shared" si="7"/>
        <v/>
      </c>
      <c r="I193" s="495"/>
      <c r="J193" s="493"/>
      <c r="K193" s="493"/>
      <c r="L193" s="500"/>
      <c r="M193" s="494"/>
      <c r="N193" s="494"/>
      <c r="O193" s="494"/>
      <c r="P193" s="494"/>
      <c r="Q193" s="494"/>
      <c r="S193" s="501" t="str">
        <f t="shared" si="9"/>
        <v xml:space="preserve">: </v>
      </c>
      <c r="T193" s="502">
        <f t="shared" si="8"/>
        <v>0</v>
      </c>
    </row>
    <row r="194" spans="2:20">
      <c r="B194" s="121"/>
      <c r="C194" s="121"/>
      <c r="D194" s="121"/>
      <c r="E194" s="490" t="str">
        <f t="shared" si="7"/>
        <v/>
      </c>
      <c r="I194" s="495"/>
      <c r="J194" s="493"/>
      <c r="K194" s="493"/>
      <c r="L194" s="500"/>
      <c r="M194" s="494"/>
      <c r="N194" s="494"/>
      <c r="O194" s="494"/>
      <c r="P194" s="494"/>
      <c r="Q194" s="494"/>
      <c r="S194" s="501" t="str">
        <f t="shared" si="9"/>
        <v xml:space="preserve">: </v>
      </c>
      <c r="T194" s="502">
        <f t="shared" si="8"/>
        <v>0</v>
      </c>
    </row>
    <row r="195" spans="2:20">
      <c r="B195" s="121"/>
      <c r="C195" s="121"/>
      <c r="D195" s="121"/>
      <c r="E195" s="490" t="str">
        <f t="shared" si="7"/>
        <v/>
      </c>
      <c r="I195" s="495"/>
      <c r="J195" s="493"/>
      <c r="K195" s="493"/>
      <c r="L195" s="500"/>
      <c r="M195" s="494"/>
      <c r="N195" s="494"/>
      <c r="O195" s="494"/>
      <c r="P195" s="494"/>
      <c r="Q195" s="494"/>
      <c r="S195" s="501" t="str">
        <f t="shared" si="9"/>
        <v xml:space="preserve">: </v>
      </c>
      <c r="T195" s="502">
        <f t="shared" si="8"/>
        <v>0</v>
      </c>
    </row>
    <row r="196" spans="2:20">
      <c r="B196" s="121"/>
      <c r="C196" s="121"/>
      <c r="D196" s="121"/>
      <c r="E196" s="490" t="str">
        <f t="shared" si="7"/>
        <v/>
      </c>
      <c r="I196" s="495"/>
      <c r="J196" s="493"/>
      <c r="K196" s="493"/>
      <c r="L196" s="500"/>
      <c r="M196" s="494"/>
      <c r="N196" s="494"/>
      <c r="O196" s="494"/>
      <c r="P196" s="494"/>
      <c r="Q196" s="494"/>
      <c r="S196" s="501" t="str">
        <f t="shared" si="9"/>
        <v xml:space="preserve">: </v>
      </c>
      <c r="T196" s="502">
        <f t="shared" si="8"/>
        <v>0</v>
      </c>
    </row>
    <row r="197" spans="2:20">
      <c r="B197" s="121"/>
      <c r="C197" s="121"/>
      <c r="D197" s="121"/>
      <c r="E197" s="490" t="str">
        <f t="shared" si="7"/>
        <v/>
      </c>
      <c r="I197" s="495"/>
      <c r="J197" s="493"/>
      <c r="K197" s="493"/>
      <c r="L197" s="500"/>
      <c r="M197" s="494"/>
      <c r="N197" s="494"/>
      <c r="O197" s="494"/>
      <c r="P197" s="494"/>
      <c r="Q197" s="494"/>
      <c r="S197" s="501" t="str">
        <f t="shared" si="9"/>
        <v xml:space="preserve">: </v>
      </c>
      <c r="T197" s="502">
        <f t="shared" si="8"/>
        <v>0</v>
      </c>
    </row>
    <row r="198" spans="2:20">
      <c r="B198" s="121"/>
      <c r="C198" s="121"/>
      <c r="D198" s="121"/>
      <c r="E198" s="490" t="str">
        <f t="shared" si="7"/>
        <v/>
      </c>
      <c r="I198" s="495"/>
      <c r="J198" s="493"/>
      <c r="K198" s="493"/>
      <c r="L198" s="500"/>
      <c r="M198" s="494"/>
      <c r="N198" s="494"/>
      <c r="O198" s="494"/>
      <c r="P198" s="494"/>
      <c r="Q198" s="494"/>
      <c r="S198" s="501" t="str">
        <f t="shared" si="9"/>
        <v xml:space="preserve">: </v>
      </c>
      <c r="T198" s="502">
        <f t="shared" si="8"/>
        <v>0</v>
      </c>
    </row>
    <row r="199" spans="2:20">
      <c r="B199" s="121"/>
      <c r="C199" s="121"/>
      <c r="D199" s="121"/>
      <c r="E199" s="490" t="str">
        <f t="shared" si="7"/>
        <v/>
      </c>
      <c r="I199" s="495"/>
      <c r="J199" s="493"/>
      <c r="K199" s="493"/>
      <c r="L199" s="500"/>
      <c r="M199" s="494"/>
      <c r="N199" s="494"/>
      <c r="O199" s="494"/>
      <c r="P199" s="494"/>
      <c r="Q199" s="494"/>
      <c r="S199" s="501" t="str">
        <f t="shared" si="9"/>
        <v xml:space="preserve">: </v>
      </c>
      <c r="T199" s="502">
        <f t="shared" si="8"/>
        <v>0</v>
      </c>
    </row>
    <row r="200" spans="2:20">
      <c r="B200" s="121"/>
      <c r="C200" s="121"/>
      <c r="D200" s="121"/>
      <c r="E200" s="490" t="str">
        <f t="shared" si="7"/>
        <v/>
      </c>
      <c r="I200" s="495"/>
      <c r="J200" s="493"/>
      <c r="K200" s="493"/>
      <c r="L200" s="500"/>
      <c r="M200" s="494"/>
      <c r="N200" s="494"/>
      <c r="O200" s="494"/>
      <c r="P200" s="494"/>
      <c r="Q200" s="494"/>
      <c r="S200" s="501" t="str">
        <f t="shared" si="9"/>
        <v xml:space="preserve">: </v>
      </c>
      <c r="T200" s="502">
        <f t="shared" si="8"/>
        <v>0</v>
      </c>
    </row>
  </sheetData>
  <sheetProtection algorithmName="SHA-512" hashValue="rxrNeeaffQgHvGvaOtBcv5g6iGvv5FgQ6UGsT263n+yKqSPsX0bWVmvPcfu9hHrq0cAA6gB9lvxAvKu7sVXjWw==" saltValue="qf9DXMnpI+edssoD7yQ57g==" spinCount="100000" sheet="1" objects="1" scenarios="1"/>
  <mergeCells count="11">
    <mergeCell ref="B6:B7"/>
    <mergeCell ref="C6:C7"/>
    <mergeCell ref="E6:E7"/>
    <mergeCell ref="I6:I7"/>
    <mergeCell ref="G6:G7"/>
    <mergeCell ref="S2:S3"/>
    <mergeCell ref="S6:S7"/>
    <mergeCell ref="D6:D7"/>
    <mergeCell ref="L2:L3"/>
    <mergeCell ref="L6:L7"/>
    <mergeCell ref="J6:K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AG59"/>
  <sheetViews>
    <sheetView showGridLines="0" zoomScale="70" zoomScaleNormal="70" zoomScaleSheetLayoutView="70" workbookViewId="0">
      <pane ySplit="6" topLeftCell="A7" activePane="bottomLeft" state="frozen"/>
      <selection pane="bottomLeft"/>
    </sheetView>
  </sheetViews>
  <sheetFormatPr defaultColWidth="9" defaultRowHeight="18" outlineLevelCol="1"/>
  <cols>
    <col min="1" max="1" width="13.75" style="425" customWidth="1"/>
    <col min="2" max="2" width="31.75" style="425" customWidth="1"/>
    <col min="3" max="3" width="11.5" style="85" customWidth="1"/>
    <col min="4" max="4" width="10.625" style="85" customWidth="1"/>
    <col min="5" max="5" width="6.75" style="85" customWidth="1"/>
    <col min="6" max="6" width="9.875" style="85" customWidth="1"/>
    <col min="7" max="7" width="17" style="85" customWidth="1"/>
    <col min="8" max="8" width="12" style="85" customWidth="1"/>
    <col min="9" max="9" width="22.875" style="85" customWidth="1"/>
    <col min="10" max="10" width="9.625" style="85" hidden="1" customWidth="1" outlineLevel="1"/>
    <col min="11" max="11" width="8.25" style="85" hidden="1" customWidth="1" outlineLevel="1"/>
    <col min="12" max="12" width="13" style="85" customWidth="1" collapsed="1"/>
    <col min="13" max="13" width="11.75" style="85" customWidth="1"/>
    <col min="14" max="14" width="16" style="85" customWidth="1"/>
    <col min="15" max="15" width="12" style="85" customWidth="1"/>
    <col min="16" max="16" width="9" style="85"/>
    <col min="17" max="17" width="11.25" style="85" hidden="1" customWidth="1" outlineLevel="1"/>
    <col min="18" max="18" width="9.375" style="85" hidden="1" customWidth="1" outlineLevel="1"/>
    <col min="19" max="19" width="9.5" style="85" hidden="1" customWidth="1" outlineLevel="1"/>
    <col min="20" max="22" width="14.75" style="85" hidden="1" customWidth="1" outlineLevel="1"/>
    <col min="23" max="24" width="13.75" style="85" hidden="1" customWidth="1" outlineLevel="1"/>
    <col min="25" max="25" width="20.375" style="85" hidden="1" customWidth="1" outlineLevel="1"/>
    <col min="26" max="26" width="18" style="85" hidden="1" customWidth="1" outlineLevel="1"/>
    <col min="27" max="30" width="17.125" style="85" hidden="1" customWidth="1" outlineLevel="1"/>
    <col min="31" max="31" width="15.125" style="85" hidden="1" customWidth="1" outlineLevel="1"/>
    <col min="32" max="32" width="15" style="85" hidden="1" customWidth="1" outlineLevel="1"/>
    <col min="33" max="33" width="9" style="85" collapsed="1"/>
    <col min="34" max="16384" width="9" style="85"/>
  </cols>
  <sheetData>
    <row r="1" spans="1:32" ht="18.75" customHeight="1">
      <c r="A1" s="455" t="s">
        <v>974</v>
      </c>
      <c r="B1" s="164"/>
      <c r="C1" s="52"/>
      <c r="D1" s="52"/>
      <c r="E1" s="52"/>
      <c r="F1" s="52"/>
      <c r="G1" s="454"/>
      <c r="H1" s="454"/>
      <c r="I1" s="38"/>
      <c r="J1" s="65" t="s">
        <v>806</v>
      </c>
      <c r="K1" s="65" t="s">
        <v>806</v>
      </c>
      <c r="L1" s="38"/>
      <c r="M1" s="38" t="s">
        <v>0</v>
      </c>
      <c r="N1" s="675" t="str">
        <f>IF(事業所概要_算定体制!D13="","",事業所概要_算定体制!D13)</f>
        <v/>
      </c>
      <c r="O1" s="676"/>
    </row>
    <row r="2" spans="1:32" ht="18.75" customHeight="1">
      <c r="A2" s="455" t="s">
        <v>936</v>
      </c>
      <c r="B2" s="455"/>
      <c r="C2" s="52"/>
      <c r="D2" s="52"/>
      <c r="E2" s="52"/>
      <c r="F2" s="52"/>
      <c r="G2" s="455"/>
      <c r="H2" s="455"/>
      <c r="I2" s="3"/>
      <c r="J2" s="64"/>
      <c r="K2" s="64"/>
      <c r="L2" s="3"/>
      <c r="M2" s="38"/>
      <c r="N2" s="38"/>
      <c r="O2" s="38" t="str">
        <f>CONCATENATE(事業所概要_算定体制!$B$3,事業所概要_算定体制!$C$3,"年度")</f>
        <v>令和７年度</v>
      </c>
    </row>
    <row r="3" spans="1:32" ht="18.75" thickBot="1">
      <c r="A3" s="41"/>
      <c r="B3" s="164"/>
      <c r="C3" s="52"/>
      <c r="D3" s="52"/>
      <c r="E3" s="52"/>
      <c r="F3" s="52"/>
      <c r="G3" s="458"/>
      <c r="H3" s="458"/>
      <c r="I3" s="52"/>
      <c r="L3" s="52"/>
      <c r="M3" s="52"/>
      <c r="N3" s="52"/>
      <c r="O3" s="52"/>
    </row>
    <row r="4" spans="1:32" ht="18" customHeight="1">
      <c r="A4" s="657" t="s">
        <v>70</v>
      </c>
      <c r="B4" s="659" t="s">
        <v>205</v>
      </c>
      <c r="C4" s="661" t="s">
        <v>207</v>
      </c>
      <c r="D4" s="655" t="s">
        <v>204</v>
      </c>
      <c r="E4" s="656"/>
      <c r="F4" s="661" t="s">
        <v>582</v>
      </c>
      <c r="G4" s="665" t="s">
        <v>937</v>
      </c>
      <c r="H4" s="665" t="s">
        <v>969</v>
      </c>
      <c r="I4" s="665" t="s">
        <v>938</v>
      </c>
      <c r="J4" s="670" t="s">
        <v>745</v>
      </c>
      <c r="K4" s="671"/>
      <c r="L4" s="668" t="s">
        <v>746</v>
      </c>
      <c r="M4" s="661" t="s">
        <v>219</v>
      </c>
      <c r="N4" s="668" t="s">
        <v>747</v>
      </c>
      <c r="O4" s="663" t="s">
        <v>220</v>
      </c>
      <c r="P4" s="420"/>
      <c r="Q4" s="653" t="s">
        <v>579</v>
      </c>
      <c r="R4" s="654" t="s">
        <v>571</v>
      </c>
      <c r="S4" s="654" t="s">
        <v>574</v>
      </c>
      <c r="T4" s="653" t="s">
        <v>577</v>
      </c>
      <c r="U4" s="677" t="s">
        <v>219</v>
      </c>
      <c r="V4" s="677" t="s">
        <v>220</v>
      </c>
      <c r="W4" s="653" t="s">
        <v>588</v>
      </c>
      <c r="X4" s="654" t="s">
        <v>955</v>
      </c>
      <c r="Y4" s="653" t="s">
        <v>594</v>
      </c>
      <c r="Z4" s="653" t="s">
        <v>592</v>
      </c>
      <c r="AA4" s="653" t="s">
        <v>593</v>
      </c>
      <c r="AB4" s="653" t="s">
        <v>591</v>
      </c>
      <c r="AC4" s="653" t="s">
        <v>590</v>
      </c>
      <c r="AD4" s="653" t="s">
        <v>595</v>
      </c>
      <c r="AE4" s="653" t="s">
        <v>589</v>
      </c>
      <c r="AF4" s="653" t="s">
        <v>933</v>
      </c>
    </row>
    <row r="5" spans="1:32" ht="44.25" customHeight="1" thickBot="1">
      <c r="A5" s="658"/>
      <c r="B5" s="660"/>
      <c r="C5" s="662"/>
      <c r="D5" s="436" t="s">
        <v>205</v>
      </c>
      <c r="E5" s="436" t="s">
        <v>206</v>
      </c>
      <c r="F5" s="662"/>
      <c r="G5" s="666"/>
      <c r="H5" s="674"/>
      <c r="I5" s="666"/>
      <c r="J5" s="672"/>
      <c r="K5" s="673"/>
      <c r="L5" s="669"/>
      <c r="M5" s="667"/>
      <c r="N5" s="669"/>
      <c r="O5" s="664"/>
      <c r="P5" s="420"/>
      <c r="Q5" s="654"/>
      <c r="R5" s="654"/>
      <c r="S5" s="654"/>
      <c r="T5" s="654"/>
      <c r="U5" s="678"/>
      <c r="V5" s="678"/>
      <c r="W5" s="654"/>
      <c r="X5" s="654"/>
      <c r="Y5" s="654"/>
      <c r="Z5" s="654"/>
      <c r="AA5" s="654"/>
      <c r="AB5" s="654"/>
      <c r="AC5" s="654"/>
      <c r="AD5" s="654"/>
      <c r="AE5" s="654"/>
      <c r="AF5" s="654"/>
    </row>
    <row r="6" spans="1:32" ht="27" customHeight="1" thickTop="1" thickBot="1">
      <c r="A6" s="299" t="s">
        <v>209</v>
      </c>
      <c r="B6" s="300"/>
      <c r="C6" s="300"/>
      <c r="D6" s="300"/>
      <c r="E6" s="300"/>
      <c r="F6" s="300"/>
      <c r="G6" s="300"/>
      <c r="H6" s="300"/>
      <c r="I6" s="300"/>
      <c r="J6" s="300"/>
      <c r="K6" s="300"/>
      <c r="L6" s="300"/>
      <c r="M6" s="300"/>
      <c r="N6" s="300"/>
      <c r="O6" s="301"/>
      <c r="P6" s="420"/>
      <c r="T6" s="421"/>
      <c r="U6" s="421"/>
      <c r="V6" s="421"/>
    </row>
    <row r="7" spans="1:32" ht="27.95" customHeight="1" thickTop="1">
      <c r="A7" s="462"/>
      <c r="B7" s="463"/>
      <c r="C7" s="463"/>
      <c r="D7" s="565"/>
      <c r="E7" s="463"/>
      <c r="F7" s="463"/>
      <c r="G7" s="508"/>
      <c r="H7" s="464"/>
      <c r="I7" s="512" t="str">
        <f>IF(G7="","",IF(H7="",G7,G7*H7))</f>
        <v/>
      </c>
      <c r="J7" s="513" t="str">
        <f>IF(T7="","",T7)</f>
        <v/>
      </c>
      <c r="K7" s="465" t="str">
        <f>IF(B7="","",VLOOKUP(B7,非_単位!$N$3:$O$34,2,FALSE))</f>
        <v/>
      </c>
      <c r="L7" s="514" t="str">
        <f>IF(B7="","",VLOOKUP(B7,非_係数!$B$5:$F$36,2,FALSE))</f>
        <v/>
      </c>
      <c r="M7" s="515" t="str">
        <f>U7</f>
        <v/>
      </c>
      <c r="N7" s="516" t="str">
        <f>IF(B7="","",VLOOKUP(B7,非_係数!$B$5:$F$36,4,FALSE))</f>
        <v/>
      </c>
      <c r="O7" s="517" t="str">
        <f>V7</f>
        <v/>
      </c>
      <c r="P7" s="420"/>
      <c r="Q7" s="422" t="str">
        <f t="shared" ref="Q7:Q43" si="0">IF(A7="","","燃料種選択")</f>
        <v/>
      </c>
      <c r="R7" s="422" t="str">
        <f>IF(F7="","",VLOOKUP(F7,非_単位補正換算!$B$3:$C$16,2,FALSE))</f>
        <v/>
      </c>
      <c r="S7" s="422" t="str">
        <f>IF(F7="","",IF(SUMIFS(非_単位補正換算!$D$19:$D$48,非_単位補正換算!$B$19:$B$48,燃料!B7,非_単位補正換算!$C$19:$C$48,燃料!F7)=0,1,SUMIFS(非_単位補正換算!$D$19:$D$48,非_単位補正換算!$B$19:$B$48,燃料!B7,非_単位補正換算!$C$19:$C$48,燃料!F7)))</f>
        <v/>
      </c>
      <c r="T7" s="423" t="str">
        <f t="shared" ref="T7:T43" si="1">IF(AND(I7&lt;&gt;"",R7&lt;&gt;"",S7&lt;&gt;""),I7/R7*S7,"")</f>
        <v/>
      </c>
      <c r="U7" s="423" t="str">
        <f>IF(AND(L7&lt;&gt;"",T7&lt;&gt;""),T7*L7,"")</f>
        <v/>
      </c>
      <c r="V7" s="423" t="str">
        <f>IF(AND(N7&lt;&gt;"",T7&lt;&gt;"",L7&lt;&gt;""),T7*L7*N7*44/12,"")</f>
        <v/>
      </c>
      <c r="W7" s="422" t="str">
        <f>IF(B7="","",VLOOKUP(B7,非_まとめ表行番号!$B$3:$C$34,2,FALSE))</f>
        <v/>
      </c>
      <c r="X7" s="479" t="str">
        <f>IF(W7="","",VLOOKUP(W7,非_まとめ表行番号!$U$3:$V$56,2,FALSE))</f>
        <v/>
      </c>
      <c r="Y7" s="424" t="str">
        <f>IF(B7="","",VLOOKUP(B7,非_係数!$B$5:$K$36,6,FALSE))</f>
        <v/>
      </c>
      <c r="Z7" s="423" t="str">
        <f>IF(T7="","",T7*Y7)</f>
        <v/>
      </c>
      <c r="AA7" s="422" t="str">
        <f>IF(B7="","",VLOOKUP(B7,非_係数!$B$5:$K$36,7,FALSE))</f>
        <v/>
      </c>
      <c r="AB7" s="422" t="str">
        <f>IF(Z7="","",Z7*AA7)</f>
        <v/>
      </c>
      <c r="AC7" s="422" t="str">
        <f>IF(B7="","",VLOOKUP(B7,非_係数!$B$5:$K$36,9,FALSE))</f>
        <v/>
      </c>
      <c r="AD7" s="422" t="str">
        <f>IF(AB7="","",AB7*AC7*44/12)</f>
        <v/>
      </c>
      <c r="AE7" s="422" t="str">
        <f>IF(B7="","",VLOOKUP(B7,非_まとめ表行番号!$B$3:$D$34,3,FALSE))</f>
        <v/>
      </c>
      <c r="AF7" s="422" t="str">
        <f t="shared" ref="AF7:AF43" si="2">IF(E7="無","乗率_排出量","")</f>
        <v/>
      </c>
    </row>
    <row r="8" spans="1:32" ht="27.95" customHeight="1">
      <c r="A8" s="466"/>
      <c r="B8" s="467"/>
      <c r="C8" s="467"/>
      <c r="D8" s="418"/>
      <c r="E8" s="467"/>
      <c r="F8" s="467"/>
      <c r="G8" s="509"/>
      <c r="H8" s="443"/>
      <c r="I8" s="518" t="str">
        <f t="shared" ref="I8:I43" si="3">IF(G8="","",IF(H8="",G8,G8*H8))</f>
        <v/>
      </c>
      <c r="J8" s="519" t="str">
        <f t="shared" ref="J8:J43" si="4">IF(T8="","",T8)</f>
        <v/>
      </c>
      <c r="K8" s="468" t="str">
        <f>IF(B8="","",VLOOKUP(B8,非_単位!$N$3:$O$34,2,FALSE))</f>
        <v/>
      </c>
      <c r="L8" s="520" t="str">
        <f>IF(B8="","",VLOOKUP(B8,非_係数!$B$5:$F$36,2,FALSE))</f>
        <v/>
      </c>
      <c r="M8" s="521" t="str">
        <f t="shared" ref="M8:M43" si="5">U8</f>
        <v/>
      </c>
      <c r="N8" s="522" t="str">
        <f>IF(B8="","",VLOOKUP(B8,非_係数!$B$5:$F$36,4,FALSE))</f>
        <v/>
      </c>
      <c r="O8" s="523" t="str">
        <f t="shared" ref="O8:O43" si="6">V8</f>
        <v/>
      </c>
      <c r="P8" s="420"/>
      <c r="Q8" s="422" t="str">
        <f t="shared" si="0"/>
        <v/>
      </c>
      <c r="R8" s="422" t="str">
        <f>IF(F8="","",VLOOKUP(F8,非_単位補正換算!$B$3:$C$16,2,FALSE))</f>
        <v/>
      </c>
      <c r="S8" s="422" t="str">
        <f>IF(F8="","",IF(SUMIFS(非_単位補正換算!$D$19:$D$48,非_単位補正換算!$B$19:$B$48,燃料!B8,非_単位補正換算!$C$19:$C$48,燃料!F8)=0,1,SUMIFS(非_単位補正換算!$D$19:$D$48,非_単位補正換算!$B$19:$B$48,燃料!B8,非_単位補正換算!$C$19:$C$48,燃料!F8)))</f>
        <v/>
      </c>
      <c r="T8" s="423" t="str">
        <f t="shared" si="1"/>
        <v/>
      </c>
      <c r="U8" s="423" t="str">
        <f t="shared" ref="U8:U59" si="7">IF(AND(L8&lt;&gt;"",T8&lt;&gt;""),T8*L8,"")</f>
        <v/>
      </c>
      <c r="V8" s="423" t="str">
        <f t="shared" ref="V8:V59" si="8">IF(AND(N8&lt;&gt;"",T8&lt;&gt;"",L8&lt;&gt;""),T8*L8*N8*44/12,"")</f>
        <v/>
      </c>
      <c r="W8" s="422" t="str">
        <f>IF(B8="","",VLOOKUP(B8,非_まとめ表行番号!$B$3:$C$34,2,FALSE))</f>
        <v/>
      </c>
      <c r="X8" s="479" t="str">
        <f>IF(W8="","",VLOOKUP(W8,非_まとめ表行番号!$U$3:$V$56,2,FALSE))</f>
        <v/>
      </c>
      <c r="Y8" s="424" t="str">
        <f>IF(B8="","",VLOOKUP(B8,非_係数!$B$5:$K$36,6,FALSE))</f>
        <v/>
      </c>
      <c r="Z8" s="423" t="str">
        <f t="shared" ref="Z8:Z59" si="9">IF(T8="","",T8*Y8)</f>
        <v/>
      </c>
      <c r="AA8" s="422" t="str">
        <f>IF(B8="","",VLOOKUP(B8,非_係数!$B$5:$K$36,7,FALSE))</f>
        <v/>
      </c>
      <c r="AB8" s="422" t="str">
        <f t="shared" ref="AB8:AB43" si="10">IF(Z8="","",Z8*AA8)</f>
        <v/>
      </c>
      <c r="AC8" s="422" t="str">
        <f>IF(B8="","",VLOOKUP(B8,非_係数!$B$5:$K$36,9,FALSE))</f>
        <v/>
      </c>
      <c r="AD8" s="422" t="str">
        <f t="shared" ref="AD8:AD43" si="11">IF(AB8="","",AB8*AC8*44/12)</f>
        <v/>
      </c>
      <c r="AE8" s="422" t="str">
        <f>IF(B8="","",VLOOKUP(B8,非_まとめ表行番号!$B$3:$D$34,3,FALSE))</f>
        <v/>
      </c>
      <c r="AF8" s="422" t="str">
        <f t="shared" si="2"/>
        <v/>
      </c>
    </row>
    <row r="9" spans="1:32" ht="27.95" customHeight="1">
      <c r="A9" s="466"/>
      <c r="B9" s="467"/>
      <c r="C9" s="467"/>
      <c r="D9" s="418"/>
      <c r="E9" s="467"/>
      <c r="F9" s="467"/>
      <c r="G9" s="509"/>
      <c r="H9" s="443"/>
      <c r="I9" s="518" t="str">
        <f t="shared" si="3"/>
        <v/>
      </c>
      <c r="J9" s="519" t="str">
        <f t="shared" si="4"/>
        <v/>
      </c>
      <c r="K9" s="468" t="str">
        <f>IF(B9="","",VLOOKUP(B9,非_単位!$N$3:$O$34,2,FALSE))</f>
        <v/>
      </c>
      <c r="L9" s="520" t="str">
        <f>IF(B9="","",VLOOKUP(B9,非_係数!$B$5:$F$36,2,FALSE))</f>
        <v/>
      </c>
      <c r="M9" s="521" t="str">
        <f t="shared" si="5"/>
        <v/>
      </c>
      <c r="N9" s="522" t="str">
        <f>IF(B9="","",VLOOKUP(B9,非_係数!$B$5:$F$36,4,FALSE))</f>
        <v/>
      </c>
      <c r="O9" s="523" t="str">
        <f t="shared" si="6"/>
        <v/>
      </c>
      <c r="P9" s="420"/>
      <c r="Q9" s="422" t="str">
        <f t="shared" si="0"/>
        <v/>
      </c>
      <c r="R9" s="422" t="str">
        <f>IF(F9="","",VLOOKUP(F9,非_単位補正換算!$B$3:$C$16,2,FALSE))</f>
        <v/>
      </c>
      <c r="S9" s="422" t="str">
        <f>IF(F9="","",IF(SUMIFS(非_単位補正換算!$D$19:$D$48,非_単位補正換算!$B$19:$B$48,燃料!B9,非_単位補正換算!$C$19:$C$48,燃料!F9)=0,1,SUMIFS(非_単位補正換算!$D$19:$D$48,非_単位補正換算!$B$19:$B$48,燃料!B9,非_単位補正換算!$C$19:$C$48,燃料!F9)))</f>
        <v/>
      </c>
      <c r="T9" s="423" t="str">
        <f t="shared" si="1"/>
        <v/>
      </c>
      <c r="U9" s="423" t="str">
        <f t="shared" si="7"/>
        <v/>
      </c>
      <c r="V9" s="423" t="str">
        <f t="shared" si="8"/>
        <v/>
      </c>
      <c r="W9" s="422" t="str">
        <f>IF(B9="","",VLOOKUP(B9,非_まとめ表行番号!$B$3:$C$34,2,FALSE))</f>
        <v/>
      </c>
      <c r="X9" s="479" t="str">
        <f>IF(W9="","",VLOOKUP(W9,非_まとめ表行番号!$U$3:$V$56,2,FALSE))</f>
        <v/>
      </c>
      <c r="Y9" s="424" t="str">
        <f>IF(B9="","",VLOOKUP(B9,非_係数!$B$5:$K$36,6,FALSE))</f>
        <v/>
      </c>
      <c r="Z9" s="423" t="str">
        <f t="shared" si="9"/>
        <v/>
      </c>
      <c r="AA9" s="422" t="str">
        <f>IF(B9="","",VLOOKUP(B9,非_係数!$B$5:$K$36,7,FALSE))</f>
        <v/>
      </c>
      <c r="AB9" s="422" t="str">
        <f t="shared" si="10"/>
        <v/>
      </c>
      <c r="AC9" s="422" t="str">
        <f>IF(B9="","",VLOOKUP(B9,非_係数!$B$5:$K$36,9,FALSE))</f>
        <v/>
      </c>
      <c r="AD9" s="422" t="str">
        <f t="shared" si="11"/>
        <v/>
      </c>
      <c r="AE9" s="422" t="str">
        <f>IF(B9="","",VLOOKUP(B9,非_まとめ表行番号!$B$3:$D$34,3,FALSE))</f>
        <v/>
      </c>
      <c r="AF9" s="422" t="str">
        <f t="shared" si="2"/>
        <v/>
      </c>
    </row>
    <row r="10" spans="1:32" ht="27.95" customHeight="1">
      <c r="A10" s="466"/>
      <c r="B10" s="467"/>
      <c r="C10" s="467"/>
      <c r="D10" s="418"/>
      <c r="E10" s="467"/>
      <c r="F10" s="467"/>
      <c r="G10" s="509"/>
      <c r="H10" s="443"/>
      <c r="I10" s="518" t="str">
        <f t="shared" si="3"/>
        <v/>
      </c>
      <c r="J10" s="519" t="str">
        <f t="shared" si="4"/>
        <v/>
      </c>
      <c r="K10" s="468" t="str">
        <f>IF(B10="","",VLOOKUP(B10,非_単位!$N$3:$O$34,2,FALSE))</f>
        <v/>
      </c>
      <c r="L10" s="520" t="str">
        <f>IF(B10="","",VLOOKUP(B10,非_係数!$B$5:$F$36,2,FALSE))</f>
        <v/>
      </c>
      <c r="M10" s="521" t="str">
        <f t="shared" si="5"/>
        <v/>
      </c>
      <c r="N10" s="522" t="str">
        <f>IF(B10="","",VLOOKUP(B10,非_係数!$B$5:$F$36,4,FALSE))</f>
        <v/>
      </c>
      <c r="O10" s="523" t="str">
        <f t="shared" si="6"/>
        <v/>
      </c>
      <c r="P10" s="420"/>
      <c r="Q10" s="422" t="str">
        <f t="shared" si="0"/>
        <v/>
      </c>
      <c r="R10" s="422" t="str">
        <f>IF(F10="","",VLOOKUP(F10,非_単位補正換算!$B$3:$C$16,2,FALSE))</f>
        <v/>
      </c>
      <c r="S10" s="422" t="str">
        <f>IF(F10="","",IF(SUMIFS(非_単位補正換算!$D$19:$D$48,非_単位補正換算!$B$19:$B$48,燃料!B10,非_単位補正換算!$C$19:$C$48,燃料!F10)=0,1,SUMIFS(非_単位補正換算!$D$19:$D$48,非_単位補正換算!$B$19:$B$48,燃料!B10,非_単位補正換算!$C$19:$C$48,燃料!F10)))</f>
        <v/>
      </c>
      <c r="T10" s="423" t="str">
        <f t="shared" si="1"/>
        <v/>
      </c>
      <c r="U10" s="423" t="str">
        <f t="shared" si="7"/>
        <v/>
      </c>
      <c r="V10" s="423" t="str">
        <f t="shared" si="8"/>
        <v/>
      </c>
      <c r="W10" s="422" t="str">
        <f>IF(B10="","",VLOOKUP(B10,非_まとめ表行番号!$B$3:$C$34,2,FALSE))</f>
        <v/>
      </c>
      <c r="X10" s="479" t="str">
        <f>IF(W10="","",VLOOKUP(W10,非_まとめ表行番号!$U$3:$V$56,2,FALSE))</f>
        <v/>
      </c>
      <c r="Y10" s="424" t="str">
        <f>IF(B10="","",VLOOKUP(B10,非_係数!$B$5:$K$36,6,FALSE))</f>
        <v/>
      </c>
      <c r="Z10" s="423" t="str">
        <f t="shared" si="9"/>
        <v/>
      </c>
      <c r="AA10" s="422" t="str">
        <f>IF(B10="","",VLOOKUP(B10,非_係数!$B$5:$K$36,7,FALSE))</f>
        <v/>
      </c>
      <c r="AB10" s="422" t="str">
        <f t="shared" si="10"/>
        <v/>
      </c>
      <c r="AC10" s="422" t="str">
        <f>IF(B10="","",VLOOKUP(B10,非_係数!$B$5:$K$36,9,FALSE))</f>
        <v/>
      </c>
      <c r="AD10" s="422" t="str">
        <f t="shared" si="11"/>
        <v/>
      </c>
      <c r="AE10" s="422" t="str">
        <f>IF(B10="","",VLOOKUP(B10,非_まとめ表行番号!$B$3:$D$34,3,FALSE))</f>
        <v/>
      </c>
      <c r="AF10" s="422" t="str">
        <f t="shared" si="2"/>
        <v/>
      </c>
    </row>
    <row r="11" spans="1:32" ht="27.95" customHeight="1">
      <c r="A11" s="466"/>
      <c r="B11" s="467"/>
      <c r="C11" s="467"/>
      <c r="D11" s="418"/>
      <c r="E11" s="467"/>
      <c r="F11" s="467"/>
      <c r="G11" s="509"/>
      <c r="H11" s="443"/>
      <c r="I11" s="518" t="str">
        <f t="shared" si="3"/>
        <v/>
      </c>
      <c r="J11" s="519" t="str">
        <f t="shared" si="4"/>
        <v/>
      </c>
      <c r="K11" s="468" t="str">
        <f>IF(B11="","",VLOOKUP(B11,非_単位!$N$3:$O$34,2,FALSE))</f>
        <v/>
      </c>
      <c r="L11" s="520" t="str">
        <f>IF(B11="","",VLOOKUP(B11,非_係数!$B$5:$F$36,2,FALSE))</f>
        <v/>
      </c>
      <c r="M11" s="521" t="str">
        <f t="shared" si="5"/>
        <v/>
      </c>
      <c r="N11" s="522" t="str">
        <f>IF(B11="","",VLOOKUP(B11,非_係数!$B$5:$F$36,4,FALSE))</f>
        <v/>
      </c>
      <c r="O11" s="523" t="str">
        <f t="shared" si="6"/>
        <v/>
      </c>
      <c r="P11" s="420"/>
      <c r="Q11" s="422" t="str">
        <f t="shared" si="0"/>
        <v/>
      </c>
      <c r="R11" s="422" t="str">
        <f>IF(F11="","",VLOOKUP(F11,非_単位補正換算!$B$3:$C$16,2,FALSE))</f>
        <v/>
      </c>
      <c r="S11" s="422" t="str">
        <f>IF(F11="","",IF(SUMIFS(非_単位補正換算!$D$19:$D$48,非_単位補正換算!$B$19:$B$48,燃料!B11,非_単位補正換算!$C$19:$C$48,燃料!F11)=0,1,SUMIFS(非_単位補正換算!$D$19:$D$48,非_単位補正換算!$B$19:$B$48,燃料!B11,非_単位補正換算!$C$19:$C$48,燃料!F11)))</f>
        <v/>
      </c>
      <c r="T11" s="423" t="str">
        <f t="shared" si="1"/>
        <v/>
      </c>
      <c r="U11" s="423" t="str">
        <f t="shared" si="7"/>
        <v/>
      </c>
      <c r="V11" s="423" t="str">
        <f t="shared" si="8"/>
        <v/>
      </c>
      <c r="W11" s="422" t="str">
        <f>IF(B11="","",VLOOKUP(B11,非_まとめ表行番号!$B$3:$C$34,2,FALSE))</f>
        <v/>
      </c>
      <c r="X11" s="479" t="str">
        <f>IF(W11="","",VLOOKUP(W11,非_まとめ表行番号!$U$3:$V$56,2,FALSE))</f>
        <v/>
      </c>
      <c r="Y11" s="424" t="str">
        <f>IF(B11="","",VLOOKUP(B11,非_係数!$B$5:$K$36,6,FALSE))</f>
        <v/>
      </c>
      <c r="Z11" s="423" t="str">
        <f t="shared" si="9"/>
        <v/>
      </c>
      <c r="AA11" s="422" t="str">
        <f>IF(B11="","",VLOOKUP(B11,非_係数!$B$5:$K$36,7,FALSE))</f>
        <v/>
      </c>
      <c r="AB11" s="422" t="str">
        <f t="shared" si="10"/>
        <v/>
      </c>
      <c r="AC11" s="422" t="str">
        <f>IF(B11="","",VLOOKUP(B11,非_係数!$B$5:$K$36,9,FALSE))</f>
        <v/>
      </c>
      <c r="AD11" s="422" t="str">
        <f t="shared" si="11"/>
        <v/>
      </c>
      <c r="AE11" s="422" t="str">
        <f>IF(B11="","",VLOOKUP(B11,非_まとめ表行番号!$B$3:$D$34,3,FALSE))</f>
        <v/>
      </c>
      <c r="AF11" s="422" t="str">
        <f t="shared" si="2"/>
        <v/>
      </c>
    </row>
    <row r="12" spans="1:32" ht="27.95" customHeight="1">
      <c r="A12" s="466"/>
      <c r="B12" s="467"/>
      <c r="C12" s="467"/>
      <c r="D12" s="418"/>
      <c r="E12" s="467"/>
      <c r="F12" s="467"/>
      <c r="G12" s="509"/>
      <c r="H12" s="443"/>
      <c r="I12" s="518" t="str">
        <f t="shared" si="3"/>
        <v/>
      </c>
      <c r="J12" s="519" t="str">
        <f t="shared" si="4"/>
        <v/>
      </c>
      <c r="K12" s="468" t="str">
        <f>IF(B12="","",VLOOKUP(B12,非_単位!$N$3:$O$34,2,FALSE))</f>
        <v/>
      </c>
      <c r="L12" s="520" t="str">
        <f>IF(B12="","",VLOOKUP(B12,非_係数!$B$5:$F$36,2,FALSE))</f>
        <v/>
      </c>
      <c r="M12" s="521" t="str">
        <f t="shared" si="5"/>
        <v/>
      </c>
      <c r="N12" s="522" t="str">
        <f>IF(B12="","",VLOOKUP(B12,非_係数!$B$5:$F$36,4,FALSE))</f>
        <v/>
      </c>
      <c r="O12" s="523" t="str">
        <f t="shared" si="6"/>
        <v/>
      </c>
      <c r="P12" s="420"/>
      <c r="Q12" s="422" t="str">
        <f t="shared" si="0"/>
        <v/>
      </c>
      <c r="R12" s="422" t="str">
        <f>IF(F12="","",VLOOKUP(F12,非_単位補正換算!$B$3:$C$16,2,FALSE))</f>
        <v/>
      </c>
      <c r="S12" s="422" t="str">
        <f>IF(F12="","",IF(SUMIFS(非_単位補正換算!$D$19:$D$48,非_単位補正換算!$B$19:$B$48,燃料!B12,非_単位補正換算!$C$19:$C$48,燃料!F12)=0,1,SUMIFS(非_単位補正換算!$D$19:$D$48,非_単位補正換算!$B$19:$B$48,燃料!B12,非_単位補正換算!$C$19:$C$48,燃料!F12)))</f>
        <v/>
      </c>
      <c r="T12" s="423" t="str">
        <f t="shared" si="1"/>
        <v/>
      </c>
      <c r="U12" s="423" t="str">
        <f t="shared" si="7"/>
        <v/>
      </c>
      <c r="V12" s="423" t="str">
        <f t="shared" si="8"/>
        <v/>
      </c>
      <c r="W12" s="422" t="str">
        <f>IF(B12="","",VLOOKUP(B12,非_まとめ表行番号!$B$3:$C$34,2,FALSE))</f>
        <v/>
      </c>
      <c r="X12" s="479" t="str">
        <f>IF(W12="","",VLOOKUP(W12,非_まとめ表行番号!$U$3:$V$56,2,FALSE))</f>
        <v/>
      </c>
      <c r="Y12" s="424" t="str">
        <f>IF(B12="","",VLOOKUP(B12,非_係数!$B$5:$K$36,6,FALSE))</f>
        <v/>
      </c>
      <c r="Z12" s="423" t="str">
        <f t="shared" si="9"/>
        <v/>
      </c>
      <c r="AA12" s="422" t="str">
        <f>IF(B12="","",VLOOKUP(B12,非_係数!$B$5:$K$36,7,FALSE))</f>
        <v/>
      </c>
      <c r="AB12" s="422" t="str">
        <f t="shared" si="10"/>
        <v/>
      </c>
      <c r="AC12" s="422" t="str">
        <f>IF(B12="","",VLOOKUP(B12,非_係数!$B$5:$K$36,9,FALSE))</f>
        <v/>
      </c>
      <c r="AD12" s="422" t="str">
        <f t="shared" si="11"/>
        <v/>
      </c>
      <c r="AE12" s="422" t="str">
        <f>IF(B12="","",VLOOKUP(B12,非_まとめ表行番号!$B$3:$D$34,3,FALSE))</f>
        <v/>
      </c>
      <c r="AF12" s="422" t="str">
        <f t="shared" si="2"/>
        <v/>
      </c>
    </row>
    <row r="13" spans="1:32" ht="27.95" customHeight="1">
      <c r="A13" s="466"/>
      <c r="B13" s="467"/>
      <c r="C13" s="467"/>
      <c r="D13" s="418"/>
      <c r="E13" s="467"/>
      <c r="F13" s="467"/>
      <c r="G13" s="509"/>
      <c r="H13" s="443"/>
      <c r="I13" s="518" t="str">
        <f t="shared" si="3"/>
        <v/>
      </c>
      <c r="J13" s="519" t="str">
        <f t="shared" si="4"/>
        <v/>
      </c>
      <c r="K13" s="468" t="str">
        <f>IF(B13="","",VLOOKUP(B13,非_単位!$N$3:$O$34,2,FALSE))</f>
        <v/>
      </c>
      <c r="L13" s="520" t="str">
        <f>IF(B13="","",VLOOKUP(B13,非_係数!$B$5:$F$36,2,FALSE))</f>
        <v/>
      </c>
      <c r="M13" s="521" t="str">
        <f t="shared" si="5"/>
        <v/>
      </c>
      <c r="N13" s="522" t="str">
        <f>IF(B13="","",VLOOKUP(B13,非_係数!$B$5:$F$36,4,FALSE))</f>
        <v/>
      </c>
      <c r="O13" s="523" t="str">
        <f t="shared" si="6"/>
        <v/>
      </c>
      <c r="P13" s="420"/>
      <c r="Q13" s="422" t="str">
        <f t="shared" si="0"/>
        <v/>
      </c>
      <c r="R13" s="422" t="str">
        <f>IF(F13="","",VLOOKUP(F13,非_単位補正換算!$B$3:$C$16,2,FALSE))</f>
        <v/>
      </c>
      <c r="S13" s="422" t="str">
        <f>IF(F13="","",IF(SUMIFS(非_単位補正換算!$D$19:$D$48,非_単位補正換算!$B$19:$B$48,燃料!B13,非_単位補正換算!$C$19:$C$48,燃料!F13)=0,1,SUMIFS(非_単位補正換算!$D$19:$D$48,非_単位補正換算!$B$19:$B$48,燃料!B13,非_単位補正換算!$C$19:$C$48,燃料!F13)))</f>
        <v/>
      </c>
      <c r="T13" s="423" t="str">
        <f t="shared" si="1"/>
        <v/>
      </c>
      <c r="U13" s="423" t="str">
        <f t="shared" si="7"/>
        <v/>
      </c>
      <c r="V13" s="423" t="str">
        <f t="shared" si="8"/>
        <v/>
      </c>
      <c r="W13" s="422" t="str">
        <f>IF(B13="","",VLOOKUP(B13,非_まとめ表行番号!$B$3:$C$34,2,FALSE))</f>
        <v/>
      </c>
      <c r="X13" s="479" t="str">
        <f>IF(W13="","",VLOOKUP(W13,非_まとめ表行番号!$U$3:$V$56,2,FALSE))</f>
        <v/>
      </c>
      <c r="Y13" s="424" t="str">
        <f>IF(B13="","",VLOOKUP(B13,非_係数!$B$5:$K$36,6,FALSE))</f>
        <v/>
      </c>
      <c r="Z13" s="423" t="str">
        <f t="shared" si="9"/>
        <v/>
      </c>
      <c r="AA13" s="422" t="str">
        <f>IF(B13="","",VLOOKUP(B13,非_係数!$B$5:$K$36,7,FALSE))</f>
        <v/>
      </c>
      <c r="AB13" s="422" t="str">
        <f t="shared" si="10"/>
        <v/>
      </c>
      <c r="AC13" s="422" t="str">
        <f>IF(B13="","",VLOOKUP(B13,非_係数!$B$5:$K$36,9,FALSE))</f>
        <v/>
      </c>
      <c r="AD13" s="422" t="str">
        <f t="shared" si="11"/>
        <v/>
      </c>
      <c r="AE13" s="422" t="str">
        <f>IF(B13="","",VLOOKUP(B13,非_まとめ表行番号!$B$3:$D$34,3,FALSE))</f>
        <v/>
      </c>
      <c r="AF13" s="422" t="str">
        <f t="shared" si="2"/>
        <v/>
      </c>
    </row>
    <row r="14" spans="1:32" ht="27.95" customHeight="1">
      <c r="A14" s="466"/>
      <c r="B14" s="467"/>
      <c r="C14" s="467"/>
      <c r="D14" s="418"/>
      <c r="E14" s="467"/>
      <c r="F14" s="467"/>
      <c r="G14" s="509"/>
      <c r="H14" s="443"/>
      <c r="I14" s="518" t="str">
        <f t="shared" si="3"/>
        <v/>
      </c>
      <c r="J14" s="519" t="str">
        <f t="shared" si="4"/>
        <v/>
      </c>
      <c r="K14" s="468" t="str">
        <f>IF(B14="","",VLOOKUP(B14,非_単位!$N$3:$O$34,2,FALSE))</f>
        <v/>
      </c>
      <c r="L14" s="520" t="str">
        <f>IF(B14="","",VLOOKUP(B14,非_係数!$B$5:$F$36,2,FALSE))</f>
        <v/>
      </c>
      <c r="M14" s="521" t="str">
        <f t="shared" si="5"/>
        <v/>
      </c>
      <c r="N14" s="522" t="str">
        <f>IF(B14="","",VLOOKUP(B14,非_係数!$B$5:$F$36,4,FALSE))</f>
        <v/>
      </c>
      <c r="O14" s="523" t="str">
        <f t="shared" si="6"/>
        <v/>
      </c>
      <c r="P14" s="420"/>
      <c r="Q14" s="422" t="str">
        <f t="shared" si="0"/>
        <v/>
      </c>
      <c r="R14" s="422" t="str">
        <f>IF(F14="","",VLOOKUP(F14,非_単位補正換算!$B$3:$C$16,2,FALSE))</f>
        <v/>
      </c>
      <c r="S14" s="422" t="str">
        <f>IF(F14="","",IF(SUMIFS(非_単位補正換算!$D$19:$D$48,非_単位補正換算!$B$19:$B$48,燃料!B14,非_単位補正換算!$C$19:$C$48,燃料!F14)=0,1,SUMIFS(非_単位補正換算!$D$19:$D$48,非_単位補正換算!$B$19:$B$48,燃料!B14,非_単位補正換算!$C$19:$C$48,燃料!F14)))</f>
        <v/>
      </c>
      <c r="T14" s="423" t="str">
        <f t="shared" si="1"/>
        <v/>
      </c>
      <c r="U14" s="423" t="str">
        <f t="shared" si="7"/>
        <v/>
      </c>
      <c r="V14" s="423" t="str">
        <f t="shared" si="8"/>
        <v/>
      </c>
      <c r="W14" s="422" t="str">
        <f>IF(B14="","",VLOOKUP(B14,非_まとめ表行番号!$B$3:$C$34,2,FALSE))</f>
        <v/>
      </c>
      <c r="X14" s="479" t="str">
        <f>IF(W14="","",VLOOKUP(W14,非_まとめ表行番号!$U$3:$V$56,2,FALSE))</f>
        <v/>
      </c>
      <c r="Y14" s="424" t="str">
        <f>IF(B14="","",VLOOKUP(B14,非_係数!$B$5:$K$36,6,FALSE))</f>
        <v/>
      </c>
      <c r="Z14" s="423" t="str">
        <f t="shared" si="9"/>
        <v/>
      </c>
      <c r="AA14" s="422" t="str">
        <f>IF(B14="","",VLOOKUP(B14,非_係数!$B$5:$K$36,7,FALSE))</f>
        <v/>
      </c>
      <c r="AB14" s="422" t="str">
        <f t="shared" si="10"/>
        <v/>
      </c>
      <c r="AC14" s="422" t="str">
        <f>IF(B14="","",VLOOKUP(B14,非_係数!$B$5:$K$36,9,FALSE))</f>
        <v/>
      </c>
      <c r="AD14" s="422" t="str">
        <f t="shared" si="11"/>
        <v/>
      </c>
      <c r="AE14" s="422" t="str">
        <f>IF(B14="","",VLOOKUP(B14,非_まとめ表行番号!$B$3:$D$34,3,FALSE))</f>
        <v/>
      </c>
      <c r="AF14" s="422" t="str">
        <f t="shared" si="2"/>
        <v/>
      </c>
    </row>
    <row r="15" spans="1:32" ht="27.95" customHeight="1">
      <c r="A15" s="466"/>
      <c r="B15" s="467"/>
      <c r="C15" s="467"/>
      <c r="D15" s="418"/>
      <c r="E15" s="467"/>
      <c r="F15" s="467"/>
      <c r="G15" s="509"/>
      <c r="H15" s="443"/>
      <c r="I15" s="518" t="str">
        <f t="shared" si="3"/>
        <v/>
      </c>
      <c r="J15" s="519" t="str">
        <f t="shared" si="4"/>
        <v/>
      </c>
      <c r="K15" s="468" t="str">
        <f>IF(B15="","",VLOOKUP(B15,非_単位!$N$3:$O$34,2,FALSE))</f>
        <v/>
      </c>
      <c r="L15" s="520" t="str">
        <f>IF(B15="","",VLOOKUP(B15,非_係数!$B$5:$F$36,2,FALSE))</f>
        <v/>
      </c>
      <c r="M15" s="521" t="str">
        <f t="shared" si="5"/>
        <v/>
      </c>
      <c r="N15" s="522" t="str">
        <f>IF(B15="","",VLOOKUP(B15,非_係数!$B$5:$F$36,4,FALSE))</f>
        <v/>
      </c>
      <c r="O15" s="523" t="str">
        <f t="shared" si="6"/>
        <v/>
      </c>
      <c r="P15" s="420"/>
      <c r="Q15" s="422" t="str">
        <f t="shared" si="0"/>
        <v/>
      </c>
      <c r="R15" s="422" t="str">
        <f>IF(F15="","",VLOOKUP(F15,非_単位補正換算!$B$3:$C$16,2,FALSE))</f>
        <v/>
      </c>
      <c r="S15" s="422" t="str">
        <f>IF(F15="","",IF(SUMIFS(非_単位補正換算!$D$19:$D$48,非_単位補正換算!$B$19:$B$48,燃料!B15,非_単位補正換算!$C$19:$C$48,燃料!F15)=0,1,SUMIFS(非_単位補正換算!$D$19:$D$48,非_単位補正換算!$B$19:$B$48,燃料!B15,非_単位補正換算!$C$19:$C$48,燃料!F15)))</f>
        <v/>
      </c>
      <c r="T15" s="423" t="str">
        <f t="shared" si="1"/>
        <v/>
      </c>
      <c r="U15" s="423" t="str">
        <f t="shared" si="7"/>
        <v/>
      </c>
      <c r="V15" s="423" t="str">
        <f t="shared" si="8"/>
        <v/>
      </c>
      <c r="W15" s="422" t="str">
        <f>IF(B15="","",VLOOKUP(B15,非_まとめ表行番号!$B$3:$C$34,2,FALSE))</f>
        <v/>
      </c>
      <c r="X15" s="479" t="str">
        <f>IF(W15="","",VLOOKUP(W15,非_まとめ表行番号!$U$3:$V$56,2,FALSE))</f>
        <v/>
      </c>
      <c r="Y15" s="424" t="str">
        <f>IF(B15="","",VLOOKUP(B15,非_係数!$B$5:$K$36,6,FALSE))</f>
        <v/>
      </c>
      <c r="Z15" s="423" t="str">
        <f t="shared" si="9"/>
        <v/>
      </c>
      <c r="AA15" s="422" t="str">
        <f>IF(B15="","",VLOOKUP(B15,非_係数!$B$5:$K$36,7,FALSE))</f>
        <v/>
      </c>
      <c r="AB15" s="422" t="str">
        <f t="shared" si="10"/>
        <v/>
      </c>
      <c r="AC15" s="422" t="str">
        <f>IF(B15="","",VLOOKUP(B15,非_係数!$B$5:$K$36,9,FALSE))</f>
        <v/>
      </c>
      <c r="AD15" s="422" t="str">
        <f t="shared" si="11"/>
        <v/>
      </c>
      <c r="AE15" s="422" t="str">
        <f>IF(B15="","",VLOOKUP(B15,非_まとめ表行番号!$B$3:$D$34,3,FALSE))</f>
        <v/>
      </c>
      <c r="AF15" s="422" t="str">
        <f t="shared" si="2"/>
        <v/>
      </c>
    </row>
    <row r="16" spans="1:32" ht="27.95" customHeight="1">
      <c r="A16" s="466"/>
      <c r="B16" s="467"/>
      <c r="C16" s="467"/>
      <c r="D16" s="418"/>
      <c r="E16" s="467"/>
      <c r="F16" s="467"/>
      <c r="G16" s="509"/>
      <c r="H16" s="443"/>
      <c r="I16" s="518" t="str">
        <f t="shared" si="3"/>
        <v/>
      </c>
      <c r="J16" s="519" t="str">
        <f t="shared" si="4"/>
        <v/>
      </c>
      <c r="K16" s="468" t="str">
        <f>IF(B16="","",VLOOKUP(B16,非_単位!$N$3:$O$34,2,FALSE))</f>
        <v/>
      </c>
      <c r="L16" s="520" t="str">
        <f>IF(B16="","",VLOOKUP(B16,非_係数!$B$5:$F$36,2,FALSE))</f>
        <v/>
      </c>
      <c r="M16" s="521" t="str">
        <f t="shared" si="5"/>
        <v/>
      </c>
      <c r="N16" s="522" t="str">
        <f>IF(B16="","",VLOOKUP(B16,非_係数!$B$5:$F$36,4,FALSE))</f>
        <v/>
      </c>
      <c r="O16" s="523" t="str">
        <f t="shared" si="6"/>
        <v/>
      </c>
      <c r="P16" s="420"/>
      <c r="Q16" s="422" t="str">
        <f t="shared" si="0"/>
        <v/>
      </c>
      <c r="R16" s="422" t="str">
        <f>IF(F16="","",VLOOKUP(F16,非_単位補正換算!$B$3:$C$16,2,FALSE))</f>
        <v/>
      </c>
      <c r="S16" s="422" t="str">
        <f>IF(F16="","",IF(SUMIFS(非_単位補正換算!$D$19:$D$48,非_単位補正換算!$B$19:$B$48,燃料!B16,非_単位補正換算!$C$19:$C$48,燃料!F16)=0,1,SUMIFS(非_単位補正換算!$D$19:$D$48,非_単位補正換算!$B$19:$B$48,燃料!B16,非_単位補正換算!$C$19:$C$48,燃料!F16)))</f>
        <v/>
      </c>
      <c r="T16" s="423" t="str">
        <f t="shared" si="1"/>
        <v/>
      </c>
      <c r="U16" s="423" t="str">
        <f t="shared" si="7"/>
        <v/>
      </c>
      <c r="V16" s="423" t="str">
        <f t="shared" si="8"/>
        <v/>
      </c>
      <c r="W16" s="422" t="str">
        <f>IF(B16="","",VLOOKUP(B16,非_まとめ表行番号!$B$3:$C$34,2,FALSE))</f>
        <v/>
      </c>
      <c r="X16" s="479" t="str">
        <f>IF(W16="","",VLOOKUP(W16,非_まとめ表行番号!$U$3:$V$56,2,FALSE))</f>
        <v/>
      </c>
      <c r="Y16" s="424" t="str">
        <f>IF(B16="","",VLOOKUP(B16,非_係数!$B$5:$K$36,6,FALSE))</f>
        <v/>
      </c>
      <c r="Z16" s="423" t="str">
        <f t="shared" si="9"/>
        <v/>
      </c>
      <c r="AA16" s="422" t="str">
        <f>IF(B16="","",VLOOKUP(B16,非_係数!$B$5:$K$36,7,FALSE))</f>
        <v/>
      </c>
      <c r="AB16" s="422" t="str">
        <f t="shared" si="10"/>
        <v/>
      </c>
      <c r="AC16" s="422" t="str">
        <f>IF(B16="","",VLOOKUP(B16,非_係数!$B$5:$K$36,9,FALSE))</f>
        <v/>
      </c>
      <c r="AD16" s="422" t="str">
        <f t="shared" si="11"/>
        <v/>
      </c>
      <c r="AE16" s="422" t="str">
        <f>IF(B16="","",VLOOKUP(B16,非_まとめ表行番号!$B$3:$D$34,3,FALSE))</f>
        <v/>
      </c>
      <c r="AF16" s="422" t="str">
        <f t="shared" si="2"/>
        <v/>
      </c>
    </row>
    <row r="17" spans="1:32" ht="27.95" customHeight="1">
      <c r="A17" s="466"/>
      <c r="B17" s="467"/>
      <c r="C17" s="467"/>
      <c r="D17" s="418"/>
      <c r="E17" s="467"/>
      <c r="F17" s="467"/>
      <c r="G17" s="509"/>
      <c r="H17" s="443"/>
      <c r="I17" s="518" t="str">
        <f t="shared" si="3"/>
        <v/>
      </c>
      <c r="J17" s="519" t="str">
        <f t="shared" si="4"/>
        <v/>
      </c>
      <c r="K17" s="468" t="str">
        <f>IF(B17="","",VLOOKUP(B17,非_単位!$N$3:$O$34,2,FALSE))</f>
        <v/>
      </c>
      <c r="L17" s="520" t="str">
        <f>IF(B17="","",VLOOKUP(B17,非_係数!$B$5:$F$36,2,FALSE))</f>
        <v/>
      </c>
      <c r="M17" s="521" t="str">
        <f t="shared" si="5"/>
        <v/>
      </c>
      <c r="N17" s="522" t="str">
        <f>IF(B17="","",VLOOKUP(B17,非_係数!$B$5:$F$36,4,FALSE))</f>
        <v/>
      </c>
      <c r="O17" s="523" t="str">
        <f t="shared" si="6"/>
        <v/>
      </c>
      <c r="P17" s="420"/>
      <c r="Q17" s="422" t="str">
        <f t="shared" si="0"/>
        <v/>
      </c>
      <c r="R17" s="422" t="str">
        <f>IF(F17="","",VLOOKUP(F17,非_単位補正換算!$B$3:$C$16,2,FALSE))</f>
        <v/>
      </c>
      <c r="S17" s="422" t="str">
        <f>IF(F17="","",IF(SUMIFS(非_単位補正換算!$D$19:$D$48,非_単位補正換算!$B$19:$B$48,燃料!B17,非_単位補正換算!$C$19:$C$48,燃料!F17)=0,1,SUMIFS(非_単位補正換算!$D$19:$D$48,非_単位補正換算!$B$19:$B$48,燃料!B17,非_単位補正換算!$C$19:$C$48,燃料!F17)))</f>
        <v/>
      </c>
      <c r="T17" s="423" t="str">
        <f t="shared" si="1"/>
        <v/>
      </c>
      <c r="U17" s="423" t="str">
        <f t="shared" si="7"/>
        <v/>
      </c>
      <c r="V17" s="423" t="str">
        <f t="shared" si="8"/>
        <v/>
      </c>
      <c r="W17" s="422" t="str">
        <f>IF(B17="","",VLOOKUP(B17,非_まとめ表行番号!$B$3:$C$34,2,FALSE))</f>
        <v/>
      </c>
      <c r="X17" s="479" t="str">
        <f>IF(W17="","",VLOOKUP(W17,非_まとめ表行番号!$U$3:$V$56,2,FALSE))</f>
        <v/>
      </c>
      <c r="Y17" s="424" t="str">
        <f>IF(B17="","",VLOOKUP(B17,非_係数!$B$5:$K$36,6,FALSE))</f>
        <v/>
      </c>
      <c r="Z17" s="423" t="str">
        <f t="shared" si="9"/>
        <v/>
      </c>
      <c r="AA17" s="422" t="str">
        <f>IF(B17="","",VLOOKUP(B17,非_係数!$B$5:$K$36,7,FALSE))</f>
        <v/>
      </c>
      <c r="AB17" s="422" t="str">
        <f t="shared" si="10"/>
        <v/>
      </c>
      <c r="AC17" s="422" t="str">
        <f>IF(B17="","",VLOOKUP(B17,非_係数!$B$5:$K$36,9,FALSE))</f>
        <v/>
      </c>
      <c r="AD17" s="422" t="str">
        <f t="shared" si="11"/>
        <v/>
      </c>
      <c r="AE17" s="422" t="str">
        <f>IF(B17="","",VLOOKUP(B17,非_まとめ表行番号!$B$3:$D$34,3,FALSE))</f>
        <v/>
      </c>
      <c r="AF17" s="422" t="str">
        <f t="shared" si="2"/>
        <v/>
      </c>
    </row>
    <row r="18" spans="1:32" ht="27.95" customHeight="1">
      <c r="A18" s="466"/>
      <c r="B18" s="467"/>
      <c r="C18" s="467"/>
      <c r="D18" s="418"/>
      <c r="E18" s="467"/>
      <c r="F18" s="467"/>
      <c r="G18" s="509"/>
      <c r="H18" s="443"/>
      <c r="I18" s="518" t="str">
        <f t="shared" si="3"/>
        <v/>
      </c>
      <c r="J18" s="519" t="str">
        <f t="shared" si="4"/>
        <v/>
      </c>
      <c r="K18" s="468" t="str">
        <f>IF(B18="","",VLOOKUP(B18,非_単位!$N$3:$O$34,2,FALSE))</f>
        <v/>
      </c>
      <c r="L18" s="520" t="str">
        <f>IF(B18="","",VLOOKUP(B18,非_係数!$B$5:$F$36,2,FALSE))</f>
        <v/>
      </c>
      <c r="M18" s="521" t="str">
        <f t="shared" si="5"/>
        <v/>
      </c>
      <c r="N18" s="522" t="str">
        <f>IF(B18="","",VLOOKUP(B18,非_係数!$B$5:$F$36,4,FALSE))</f>
        <v/>
      </c>
      <c r="O18" s="523" t="str">
        <f t="shared" si="6"/>
        <v/>
      </c>
      <c r="P18" s="420"/>
      <c r="Q18" s="422" t="str">
        <f t="shared" si="0"/>
        <v/>
      </c>
      <c r="R18" s="422" t="str">
        <f>IF(F18="","",VLOOKUP(F18,非_単位補正換算!$B$3:$C$16,2,FALSE))</f>
        <v/>
      </c>
      <c r="S18" s="422" t="str">
        <f>IF(F18="","",IF(SUMIFS(非_単位補正換算!$D$19:$D$48,非_単位補正換算!$B$19:$B$48,燃料!B18,非_単位補正換算!$C$19:$C$48,燃料!F18)=0,1,SUMIFS(非_単位補正換算!$D$19:$D$48,非_単位補正換算!$B$19:$B$48,燃料!B18,非_単位補正換算!$C$19:$C$48,燃料!F18)))</f>
        <v/>
      </c>
      <c r="T18" s="423" t="str">
        <f t="shared" si="1"/>
        <v/>
      </c>
      <c r="U18" s="423" t="str">
        <f t="shared" si="7"/>
        <v/>
      </c>
      <c r="V18" s="423" t="str">
        <f t="shared" si="8"/>
        <v/>
      </c>
      <c r="W18" s="422" t="str">
        <f>IF(B18="","",VLOOKUP(B18,非_まとめ表行番号!$B$3:$C$34,2,FALSE))</f>
        <v/>
      </c>
      <c r="X18" s="479" t="str">
        <f>IF(W18="","",VLOOKUP(W18,非_まとめ表行番号!$U$3:$V$56,2,FALSE))</f>
        <v/>
      </c>
      <c r="Y18" s="424" t="str">
        <f>IF(B18="","",VLOOKUP(B18,非_係数!$B$5:$K$36,6,FALSE))</f>
        <v/>
      </c>
      <c r="Z18" s="423" t="str">
        <f t="shared" si="9"/>
        <v/>
      </c>
      <c r="AA18" s="422" t="str">
        <f>IF(B18="","",VLOOKUP(B18,非_係数!$B$5:$K$36,7,FALSE))</f>
        <v/>
      </c>
      <c r="AB18" s="422" t="str">
        <f t="shared" si="10"/>
        <v/>
      </c>
      <c r="AC18" s="422" t="str">
        <f>IF(B18="","",VLOOKUP(B18,非_係数!$B$5:$K$36,9,FALSE))</f>
        <v/>
      </c>
      <c r="AD18" s="422" t="str">
        <f t="shared" si="11"/>
        <v/>
      </c>
      <c r="AE18" s="422" t="str">
        <f>IF(B18="","",VLOOKUP(B18,非_まとめ表行番号!$B$3:$D$34,3,FALSE))</f>
        <v/>
      </c>
      <c r="AF18" s="422" t="str">
        <f t="shared" si="2"/>
        <v/>
      </c>
    </row>
    <row r="19" spans="1:32" ht="27.95" customHeight="1">
      <c r="A19" s="466"/>
      <c r="B19" s="467"/>
      <c r="C19" s="467"/>
      <c r="D19" s="418"/>
      <c r="E19" s="467"/>
      <c r="F19" s="467"/>
      <c r="G19" s="509"/>
      <c r="H19" s="443"/>
      <c r="I19" s="518" t="str">
        <f t="shared" si="3"/>
        <v/>
      </c>
      <c r="J19" s="519" t="str">
        <f t="shared" si="4"/>
        <v/>
      </c>
      <c r="K19" s="468" t="str">
        <f>IF(B19="","",VLOOKUP(B19,非_単位!$N$3:$O$34,2,FALSE))</f>
        <v/>
      </c>
      <c r="L19" s="520" t="str">
        <f>IF(B19="","",VLOOKUP(B19,非_係数!$B$5:$F$36,2,FALSE))</f>
        <v/>
      </c>
      <c r="M19" s="521" t="str">
        <f t="shared" si="5"/>
        <v/>
      </c>
      <c r="N19" s="522" t="str">
        <f>IF(B19="","",VLOOKUP(B19,非_係数!$B$5:$F$36,4,FALSE))</f>
        <v/>
      </c>
      <c r="O19" s="523" t="str">
        <f t="shared" si="6"/>
        <v/>
      </c>
      <c r="P19" s="420"/>
      <c r="Q19" s="422" t="str">
        <f t="shared" si="0"/>
        <v/>
      </c>
      <c r="R19" s="422" t="str">
        <f>IF(F19="","",VLOOKUP(F19,非_単位補正換算!$B$3:$C$16,2,FALSE))</f>
        <v/>
      </c>
      <c r="S19" s="422" t="str">
        <f>IF(F19="","",IF(SUMIFS(非_単位補正換算!$D$19:$D$48,非_単位補正換算!$B$19:$B$48,燃料!B19,非_単位補正換算!$C$19:$C$48,燃料!F19)=0,1,SUMIFS(非_単位補正換算!$D$19:$D$48,非_単位補正換算!$B$19:$B$48,燃料!B19,非_単位補正換算!$C$19:$C$48,燃料!F19)))</f>
        <v/>
      </c>
      <c r="T19" s="423" t="str">
        <f t="shared" si="1"/>
        <v/>
      </c>
      <c r="U19" s="423" t="str">
        <f t="shared" si="7"/>
        <v/>
      </c>
      <c r="V19" s="423" t="str">
        <f t="shared" si="8"/>
        <v/>
      </c>
      <c r="W19" s="422" t="str">
        <f>IF(B19="","",VLOOKUP(B19,非_まとめ表行番号!$B$3:$C$34,2,FALSE))</f>
        <v/>
      </c>
      <c r="X19" s="479" t="str">
        <f>IF(W19="","",VLOOKUP(W19,非_まとめ表行番号!$U$3:$V$56,2,FALSE))</f>
        <v/>
      </c>
      <c r="Y19" s="424" t="str">
        <f>IF(B19="","",VLOOKUP(B19,非_係数!$B$5:$K$36,6,FALSE))</f>
        <v/>
      </c>
      <c r="Z19" s="423" t="str">
        <f t="shared" si="9"/>
        <v/>
      </c>
      <c r="AA19" s="422" t="str">
        <f>IF(B19="","",VLOOKUP(B19,非_係数!$B$5:$K$36,7,FALSE))</f>
        <v/>
      </c>
      <c r="AB19" s="422" t="str">
        <f t="shared" si="10"/>
        <v/>
      </c>
      <c r="AC19" s="422" t="str">
        <f>IF(B19="","",VLOOKUP(B19,非_係数!$B$5:$K$36,9,FALSE))</f>
        <v/>
      </c>
      <c r="AD19" s="422" t="str">
        <f t="shared" si="11"/>
        <v/>
      </c>
      <c r="AE19" s="422" t="str">
        <f>IF(B19="","",VLOOKUP(B19,非_まとめ表行番号!$B$3:$D$34,3,FALSE))</f>
        <v/>
      </c>
      <c r="AF19" s="422" t="str">
        <f t="shared" si="2"/>
        <v/>
      </c>
    </row>
    <row r="20" spans="1:32" ht="27.95" customHeight="1">
      <c r="A20" s="466"/>
      <c r="B20" s="467"/>
      <c r="C20" s="467"/>
      <c r="D20" s="418"/>
      <c r="E20" s="467"/>
      <c r="F20" s="467"/>
      <c r="G20" s="509"/>
      <c r="H20" s="443"/>
      <c r="I20" s="518" t="str">
        <f t="shared" si="3"/>
        <v/>
      </c>
      <c r="J20" s="519" t="str">
        <f t="shared" si="4"/>
        <v/>
      </c>
      <c r="K20" s="468" t="str">
        <f>IF(B20="","",VLOOKUP(B20,非_単位!$N$3:$O$34,2,FALSE))</f>
        <v/>
      </c>
      <c r="L20" s="520" t="str">
        <f>IF(B20="","",VLOOKUP(B20,非_係数!$B$5:$F$36,2,FALSE))</f>
        <v/>
      </c>
      <c r="M20" s="521" t="str">
        <f t="shared" si="5"/>
        <v/>
      </c>
      <c r="N20" s="522" t="str">
        <f>IF(B20="","",VLOOKUP(B20,非_係数!$B$5:$F$36,4,FALSE))</f>
        <v/>
      </c>
      <c r="O20" s="523" t="str">
        <f t="shared" si="6"/>
        <v/>
      </c>
      <c r="P20" s="420"/>
      <c r="Q20" s="422" t="str">
        <f t="shared" si="0"/>
        <v/>
      </c>
      <c r="R20" s="422" t="str">
        <f>IF(F20="","",VLOOKUP(F20,非_単位補正換算!$B$3:$C$16,2,FALSE))</f>
        <v/>
      </c>
      <c r="S20" s="422" t="str">
        <f>IF(F20="","",IF(SUMIFS(非_単位補正換算!$D$19:$D$48,非_単位補正換算!$B$19:$B$48,燃料!B20,非_単位補正換算!$C$19:$C$48,燃料!F20)=0,1,SUMIFS(非_単位補正換算!$D$19:$D$48,非_単位補正換算!$B$19:$B$48,燃料!B20,非_単位補正換算!$C$19:$C$48,燃料!F20)))</f>
        <v/>
      </c>
      <c r="T20" s="423" t="str">
        <f t="shared" si="1"/>
        <v/>
      </c>
      <c r="U20" s="423" t="str">
        <f t="shared" si="7"/>
        <v/>
      </c>
      <c r="V20" s="423" t="str">
        <f t="shared" si="8"/>
        <v/>
      </c>
      <c r="W20" s="422" t="str">
        <f>IF(B20="","",VLOOKUP(B20,非_まとめ表行番号!$B$3:$C$34,2,FALSE))</f>
        <v/>
      </c>
      <c r="X20" s="479" t="str">
        <f>IF(W20="","",VLOOKUP(W20,非_まとめ表行番号!$U$3:$V$56,2,FALSE))</f>
        <v/>
      </c>
      <c r="Y20" s="424" t="str">
        <f>IF(B20="","",VLOOKUP(B20,非_係数!$B$5:$K$36,6,FALSE))</f>
        <v/>
      </c>
      <c r="Z20" s="423" t="str">
        <f t="shared" si="9"/>
        <v/>
      </c>
      <c r="AA20" s="422" t="str">
        <f>IF(B20="","",VLOOKUP(B20,非_係数!$B$5:$K$36,7,FALSE))</f>
        <v/>
      </c>
      <c r="AB20" s="422" t="str">
        <f t="shared" si="10"/>
        <v/>
      </c>
      <c r="AC20" s="422" t="str">
        <f>IF(B20="","",VLOOKUP(B20,非_係数!$B$5:$K$36,9,FALSE))</f>
        <v/>
      </c>
      <c r="AD20" s="422" t="str">
        <f t="shared" si="11"/>
        <v/>
      </c>
      <c r="AE20" s="422" t="str">
        <f>IF(B20="","",VLOOKUP(B20,非_まとめ表行番号!$B$3:$D$34,3,FALSE))</f>
        <v/>
      </c>
      <c r="AF20" s="422" t="str">
        <f t="shared" si="2"/>
        <v/>
      </c>
    </row>
    <row r="21" spans="1:32" ht="27.95" customHeight="1">
      <c r="A21" s="466"/>
      <c r="B21" s="467"/>
      <c r="C21" s="467"/>
      <c r="D21" s="418"/>
      <c r="E21" s="467"/>
      <c r="F21" s="467"/>
      <c r="G21" s="509"/>
      <c r="H21" s="443"/>
      <c r="I21" s="518" t="str">
        <f t="shared" si="3"/>
        <v/>
      </c>
      <c r="J21" s="519" t="str">
        <f t="shared" si="4"/>
        <v/>
      </c>
      <c r="K21" s="468" t="str">
        <f>IF(B21="","",VLOOKUP(B21,非_単位!$N$3:$O$34,2,FALSE))</f>
        <v/>
      </c>
      <c r="L21" s="520" t="str">
        <f>IF(B21="","",VLOOKUP(B21,非_係数!$B$5:$F$36,2,FALSE))</f>
        <v/>
      </c>
      <c r="M21" s="521" t="str">
        <f t="shared" si="5"/>
        <v/>
      </c>
      <c r="N21" s="522" t="str">
        <f>IF(B21="","",VLOOKUP(B21,非_係数!$B$5:$F$36,4,FALSE))</f>
        <v/>
      </c>
      <c r="O21" s="523" t="str">
        <f t="shared" si="6"/>
        <v/>
      </c>
      <c r="P21" s="420"/>
      <c r="Q21" s="422" t="str">
        <f t="shared" si="0"/>
        <v/>
      </c>
      <c r="R21" s="422" t="str">
        <f>IF(F21="","",VLOOKUP(F21,非_単位補正換算!$B$3:$C$16,2,FALSE))</f>
        <v/>
      </c>
      <c r="S21" s="422" t="str">
        <f>IF(F21="","",IF(SUMIFS(非_単位補正換算!$D$19:$D$48,非_単位補正換算!$B$19:$B$48,燃料!B21,非_単位補正換算!$C$19:$C$48,燃料!F21)=0,1,SUMIFS(非_単位補正換算!$D$19:$D$48,非_単位補正換算!$B$19:$B$48,燃料!B21,非_単位補正換算!$C$19:$C$48,燃料!F21)))</f>
        <v/>
      </c>
      <c r="T21" s="423" t="str">
        <f t="shared" si="1"/>
        <v/>
      </c>
      <c r="U21" s="423" t="str">
        <f t="shared" si="7"/>
        <v/>
      </c>
      <c r="V21" s="423" t="str">
        <f t="shared" si="8"/>
        <v/>
      </c>
      <c r="W21" s="422" t="str">
        <f>IF(B21="","",VLOOKUP(B21,非_まとめ表行番号!$B$3:$C$34,2,FALSE))</f>
        <v/>
      </c>
      <c r="X21" s="479" t="str">
        <f>IF(W21="","",VLOOKUP(W21,非_まとめ表行番号!$U$3:$V$56,2,FALSE))</f>
        <v/>
      </c>
      <c r="Y21" s="424" t="str">
        <f>IF(B21="","",VLOOKUP(B21,非_係数!$B$5:$K$36,6,FALSE))</f>
        <v/>
      </c>
      <c r="Z21" s="423" t="str">
        <f t="shared" si="9"/>
        <v/>
      </c>
      <c r="AA21" s="422" t="str">
        <f>IF(B21="","",VLOOKUP(B21,非_係数!$B$5:$K$36,7,FALSE))</f>
        <v/>
      </c>
      <c r="AB21" s="422" t="str">
        <f t="shared" si="10"/>
        <v/>
      </c>
      <c r="AC21" s="422" t="str">
        <f>IF(B21="","",VLOOKUP(B21,非_係数!$B$5:$K$36,9,FALSE))</f>
        <v/>
      </c>
      <c r="AD21" s="422" t="str">
        <f t="shared" si="11"/>
        <v/>
      </c>
      <c r="AE21" s="422" t="str">
        <f>IF(B21="","",VLOOKUP(B21,非_まとめ表行番号!$B$3:$D$34,3,FALSE))</f>
        <v/>
      </c>
      <c r="AF21" s="422" t="str">
        <f t="shared" si="2"/>
        <v/>
      </c>
    </row>
    <row r="22" spans="1:32" ht="27.95" customHeight="1">
      <c r="A22" s="466"/>
      <c r="B22" s="467"/>
      <c r="C22" s="467"/>
      <c r="D22" s="418"/>
      <c r="E22" s="467"/>
      <c r="F22" s="467"/>
      <c r="G22" s="509"/>
      <c r="H22" s="443"/>
      <c r="I22" s="518" t="str">
        <f t="shared" si="3"/>
        <v/>
      </c>
      <c r="J22" s="519" t="str">
        <f t="shared" si="4"/>
        <v/>
      </c>
      <c r="K22" s="468" t="str">
        <f>IF(B22="","",VLOOKUP(B22,非_単位!$N$3:$O$34,2,FALSE))</f>
        <v/>
      </c>
      <c r="L22" s="520" t="str">
        <f>IF(B22="","",VLOOKUP(B22,非_係数!$B$5:$F$36,2,FALSE))</f>
        <v/>
      </c>
      <c r="M22" s="521" t="str">
        <f t="shared" si="5"/>
        <v/>
      </c>
      <c r="N22" s="522" t="str">
        <f>IF(B22="","",VLOOKUP(B22,非_係数!$B$5:$F$36,4,FALSE))</f>
        <v/>
      </c>
      <c r="O22" s="523" t="str">
        <f t="shared" si="6"/>
        <v/>
      </c>
      <c r="P22" s="420"/>
      <c r="Q22" s="422" t="str">
        <f t="shared" si="0"/>
        <v/>
      </c>
      <c r="R22" s="422" t="str">
        <f>IF(F22="","",VLOOKUP(F22,非_単位補正換算!$B$3:$C$16,2,FALSE))</f>
        <v/>
      </c>
      <c r="S22" s="422" t="str">
        <f>IF(F22="","",IF(SUMIFS(非_単位補正換算!$D$19:$D$48,非_単位補正換算!$B$19:$B$48,燃料!B22,非_単位補正換算!$C$19:$C$48,燃料!F22)=0,1,SUMIFS(非_単位補正換算!$D$19:$D$48,非_単位補正換算!$B$19:$B$48,燃料!B22,非_単位補正換算!$C$19:$C$48,燃料!F22)))</f>
        <v/>
      </c>
      <c r="T22" s="423" t="str">
        <f t="shared" si="1"/>
        <v/>
      </c>
      <c r="U22" s="423" t="str">
        <f t="shared" si="7"/>
        <v/>
      </c>
      <c r="V22" s="423" t="str">
        <f t="shared" si="8"/>
        <v/>
      </c>
      <c r="W22" s="422" t="str">
        <f>IF(B22="","",VLOOKUP(B22,非_まとめ表行番号!$B$3:$C$34,2,FALSE))</f>
        <v/>
      </c>
      <c r="X22" s="479" t="str">
        <f>IF(W22="","",VLOOKUP(W22,非_まとめ表行番号!$U$3:$V$56,2,FALSE))</f>
        <v/>
      </c>
      <c r="Y22" s="424" t="str">
        <f>IF(B22="","",VLOOKUP(B22,非_係数!$B$5:$K$36,6,FALSE))</f>
        <v/>
      </c>
      <c r="Z22" s="423" t="str">
        <f t="shared" si="9"/>
        <v/>
      </c>
      <c r="AA22" s="422" t="str">
        <f>IF(B22="","",VLOOKUP(B22,非_係数!$B$5:$K$36,7,FALSE))</f>
        <v/>
      </c>
      <c r="AB22" s="422" t="str">
        <f t="shared" si="10"/>
        <v/>
      </c>
      <c r="AC22" s="422" t="str">
        <f>IF(B22="","",VLOOKUP(B22,非_係数!$B$5:$K$36,9,FALSE))</f>
        <v/>
      </c>
      <c r="AD22" s="422" t="str">
        <f t="shared" si="11"/>
        <v/>
      </c>
      <c r="AE22" s="422" t="str">
        <f>IF(B22="","",VLOOKUP(B22,非_まとめ表行番号!$B$3:$D$34,3,FALSE))</f>
        <v/>
      </c>
      <c r="AF22" s="422" t="str">
        <f t="shared" si="2"/>
        <v/>
      </c>
    </row>
    <row r="23" spans="1:32" ht="27.95" customHeight="1">
      <c r="A23" s="466"/>
      <c r="B23" s="467"/>
      <c r="C23" s="467"/>
      <c r="D23" s="418"/>
      <c r="E23" s="467"/>
      <c r="F23" s="467"/>
      <c r="G23" s="509"/>
      <c r="H23" s="443"/>
      <c r="I23" s="518" t="str">
        <f t="shared" si="3"/>
        <v/>
      </c>
      <c r="J23" s="519" t="str">
        <f t="shared" si="4"/>
        <v/>
      </c>
      <c r="K23" s="468" t="str">
        <f>IF(B23="","",VLOOKUP(B23,非_単位!$N$3:$O$34,2,FALSE))</f>
        <v/>
      </c>
      <c r="L23" s="520" t="str">
        <f>IF(B23="","",VLOOKUP(B23,非_係数!$B$5:$F$36,2,FALSE))</f>
        <v/>
      </c>
      <c r="M23" s="521" t="str">
        <f t="shared" si="5"/>
        <v/>
      </c>
      <c r="N23" s="522" t="str">
        <f>IF(B23="","",VLOOKUP(B23,非_係数!$B$5:$F$36,4,FALSE))</f>
        <v/>
      </c>
      <c r="O23" s="523" t="str">
        <f t="shared" si="6"/>
        <v/>
      </c>
      <c r="P23" s="420"/>
      <c r="Q23" s="422" t="str">
        <f t="shared" si="0"/>
        <v/>
      </c>
      <c r="R23" s="422" t="str">
        <f>IF(F23="","",VLOOKUP(F23,非_単位補正換算!$B$3:$C$16,2,FALSE))</f>
        <v/>
      </c>
      <c r="S23" s="422" t="str">
        <f>IF(F23="","",IF(SUMIFS(非_単位補正換算!$D$19:$D$48,非_単位補正換算!$B$19:$B$48,燃料!B23,非_単位補正換算!$C$19:$C$48,燃料!F23)=0,1,SUMIFS(非_単位補正換算!$D$19:$D$48,非_単位補正換算!$B$19:$B$48,燃料!B23,非_単位補正換算!$C$19:$C$48,燃料!F23)))</f>
        <v/>
      </c>
      <c r="T23" s="423" t="str">
        <f t="shared" si="1"/>
        <v/>
      </c>
      <c r="U23" s="423" t="str">
        <f t="shared" si="7"/>
        <v/>
      </c>
      <c r="V23" s="423" t="str">
        <f t="shared" si="8"/>
        <v/>
      </c>
      <c r="W23" s="422" t="str">
        <f>IF(B23="","",VLOOKUP(B23,非_まとめ表行番号!$B$3:$C$34,2,FALSE))</f>
        <v/>
      </c>
      <c r="X23" s="479" t="str">
        <f>IF(W23="","",VLOOKUP(W23,非_まとめ表行番号!$U$3:$V$56,2,FALSE))</f>
        <v/>
      </c>
      <c r="Y23" s="424" t="str">
        <f>IF(B23="","",VLOOKUP(B23,非_係数!$B$5:$K$36,6,FALSE))</f>
        <v/>
      </c>
      <c r="Z23" s="423" t="str">
        <f t="shared" si="9"/>
        <v/>
      </c>
      <c r="AA23" s="422" t="str">
        <f>IF(B23="","",VLOOKUP(B23,非_係数!$B$5:$K$36,7,FALSE))</f>
        <v/>
      </c>
      <c r="AB23" s="422" t="str">
        <f t="shared" si="10"/>
        <v/>
      </c>
      <c r="AC23" s="422" t="str">
        <f>IF(B23="","",VLOOKUP(B23,非_係数!$B$5:$K$36,9,FALSE))</f>
        <v/>
      </c>
      <c r="AD23" s="422" t="str">
        <f t="shared" si="11"/>
        <v/>
      </c>
      <c r="AE23" s="422" t="str">
        <f>IF(B23="","",VLOOKUP(B23,非_まとめ表行番号!$B$3:$D$34,3,FALSE))</f>
        <v/>
      </c>
      <c r="AF23" s="422" t="str">
        <f t="shared" si="2"/>
        <v/>
      </c>
    </row>
    <row r="24" spans="1:32" ht="27.95" customHeight="1">
      <c r="A24" s="466"/>
      <c r="B24" s="467"/>
      <c r="C24" s="467"/>
      <c r="D24" s="418"/>
      <c r="E24" s="467"/>
      <c r="F24" s="467"/>
      <c r="G24" s="509"/>
      <c r="H24" s="443"/>
      <c r="I24" s="518" t="str">
        <f t="shared" si="3"/>
        <v/>
      </c>
      <c r="J24" s="519" t="str">
        <f t="shared" si="4"/>
        <v/>
      </c>
      <c r="K24" s="468" t="str">
        <f>IF(B24="","",VLOOKUP(B24,非_単位!$N$3:$O$34,2,FALSE))</f>
        <v/>
      </c>
      <c r="L24" s="520" t="str">
        <f>IF(B24="","",VLOOKUP(B24,非_係数!$B$5:$F$36,2,FALSE))</f>
        <v/>
      </c>
      <c r="M24" s="521" t="str">
        <f t="shared" si="5"/>
        <v/>
      </c>
      <c r="N24" s="522" t="str">
        <f>IF(B24="","",VLOOKUP(B24,非_係数!$B$5:$F$36,4,FALSE))</f>
        <v/>
      </c>
      <c r="O24" s="523" t="str">
        <f t="shared" si="6"/>
        <v/>
      </c>
      <c r="P24" s="420"/>
      <c r="Q24" s="422" t="str">
        <f t="shared" si="0"/>
        <v/>
      </c>
      <c r="R24" s="422" t="str">
        <f>IF(F24="","",VLOOKUP(F24,非_単位補正換算!$B$3:$C$16,2,FALSE))</f>
        <v/>
      </c>
      <c r="S24" s="422" t="str">
        <f>IF(F24="","",IF(SUMIFS(非_単位補正換算!$D$19:$D$48,非_単位補正換算!$B$19:$B$48,燃料!B24,非_単位補正換算!$C$19:$C$48,燃料!F24)=0,1,SUMIFS(非_単位補正換算!$D$19:$D$48,非_単位補正換算!$B$19:$B$48,燃料!B24,非_単位補正換算!$C$19:$C$48,燃料!F24)))</f>
        <v/>
      </c>
      <c r="T24" s="423" t="str">
        <f t="shared" si="1"/>
        <v/>
      </c>
      <c r="U24" s="423" t="str">
        <f t="shared" si="7"/>
        <v/>
      </c>
      <c r="V24" s="423" t="str">
        <f t="shared" si="8"/>
        <v/>
      </c>
      <c r="W24" s="422" t="str">
        <f>IF(B24="","",VLOOKUP(B24,非_まとめ表行番号!$B$3:$C$34,2,FALSE))</f>
        <v/>
      </c>
      <c r="X24" s="479" t="str">
        <f>IF(W24="","",VLOOKUP(W24,非_まとめ表行番号!$U$3:$V$56,2,FALSE))</f>
        <v/>
      </c>
      <c r="Y24" s="424" t="str">
        <f>IF(B24="","",VLOOKUP(B24,非_係数!$B$5:$K$36,6,FALSE))</f>
        <v/>
      </c>
      <c r="Z24" s="423" t="str">
        <f t="shared" si="9"/>
        <v/>
      </c>
      <c r="AA24" s="422" t="str">
        <f>IF(B24="","",VLOOKUP(B24,非_係数!$B$5:$K$36,7,FALSE))</f>
        <v/>
      </c>
      <c r="AB24" s="422" t="str">
        <f t="shared" si="10"/>
        <v/>
      </c>
      <c r="AC24" s="422" t="str">
        <f>IF(B24="","",VLOOKUP(B24,非_係数!$B$5:$K$36,9,FALSE))</f>
        <v/>
      </c>
      <c r="AD24" s="422" t="str">
        <f t="shared" si="11"/>
        <v/>
      </c>
      <c r="AE24" s="422" t="str">
        <f>IF(B24="","",VLOOKUP(B24,非_まとめ表行番号!$B$3:$D$34,3,FALSE))</f>
        <v/>
      </c>
      <c r="AF24" s="422" t="str">
        <f t="shared" si="2"/>
        <v/>
      </c>
    </row>
    <row r="25" spans="1:32" ht="27.95" customHeight="1">
      <c r="A25" s="466"/>
      <c r="B25" s="467"/>
      <c r="C25" s="467"/>
      <c r="D25" s="418"/>
      <c r="E25" s="467"/>
      <c r="F25" s="467"/>
      <c r="G25" s="509"/>
      <c r="H25" s="443"/>
      <c r="I25" s="518" t="str">
        <f t="shared" si="3"/>
        <v/>
      </c>
      <c r="J25" s="519" t="str">
        <f t="shared" si="4"/>
        <v/>
      </c>
      <c r="K25" s="468" t="str">
        <f>IF(B25="","",VLOOKUP(B25,非_単位!$N$3:$O$34,2,FALSE))</f>
        <v/>
      </c>
      <c r="L25" s="520" t="str">
        <f>IF(B25="","",VLOOKUP(B25,非_係数!$B$5:$F$36,2,FALSE))</f>
        <v/>
      </c>
      <c r="M25" s="521" t="str">
        <f t="shared" si="5"/>
        <v/>
      </c>
      <c r="N25" s="522" t="str">
        <f>IF(B25="","",VLOOKUP(B25,非_係数!$B$5:$F$36,4,FALSE))</f>
        <v/>
      </c>
      <c r="O25" s="523" t="str">
        <f t="shared" si="6"/>
        <v/>
      </c>
      <c r="P25" s="420"/>
      <c r="Q25" s="422" t="str">
        <f t="shared" si="0"/>
        <v/>
      </c>
      <c r="R25" s="422" t="str">
        <f>IF(F25="","",VLOOKUP(F25,非_単位補正換算!$B$3:$C$16,2,FALSE))</f>
        <v/>
      </c>
      <c r="S25" s="422" t="str">
        <f>IF(F25="","",IF(SUMIFS(非_単位補正換算!$D$19:$D$48,非_単位補正換算!$B$19:$B$48,燃料!B25,非_単位補正換算!$C$19:$C$48,燃料!F25)=0,1,SUMIFS(非_単位補正換算!$D$19:$D$48,非_単位補正換算!$B$19:$B$48,燃料!B25,非_単位補正換算!$C$19:$C$48,燃料!F25)))</f>
        <v/>
      </c>
      <c r="T25" s="423" t="str">
        <f t="shared" si="1"/>
        <v/>
      </c>
      <c r="U25" s="423" t="str">
        <f t="shared" si="7"/>
        <v/>
      </c>
      <c r="V25" s="423" t="str">
        <f t="shared" si="8"/>
        <v/>
      </c>
      <c r="W25" s="422" t="str">
        <f>IF(B25="","",VLOOKUP(B25,非_まとめ表行番号!$B$3:$C$34,2,FALSE))</f>
        <v/>
      </c>
      <c r="X25" s="479" t="str">
        <f>IF(W25="","",VLOOKUP(W25,非_まとめ表行番号!$U$3:$V$56,2,FALSE))</f>
        <v/>
      </c>
      <c r="Y25" s="424" t="str">
        <f>IF(B25="","",VLOOKUP(B25,非_係数!$B$5:$K$36,6,FALSE))</f>
        <v/>
      </c>
      <c r="Z25" s="423" t="str">
        <f t="shared" si="9"/>
        <v/>
      </c>
      <c r="AA25" s="422" t="str">
        <f>IF(B25="","",VLOOKUP(B25,非_係数!$B$5:$K$36,7,FALSE))</f>
        <v/>
      </c>
      <c r="AB25" s="422" t="str">
        <f t="shared" si="10"/>
        <v/>
      </c>
      <c r="AC25" s="422" t="str">
        <f>IF(B25="","",VLOOKUP(B25,非_係数!$B$5:$K$36,9,FALSE))</f>
        <v/>
      </c>
      <c r="AD25" s="422" t="str">
        <f t="shared" si="11"/>
        <v/>
      </c>
      <c r="AE25" s="422" t="str">
        <f>IF(B25="","",VLOOKUP(B25,非_まとめ表行番号!$B$3:$D$34,3,FALSE))</f>
        <v/>
      </c>
      <c r="AF25" s="422" t="str">
        <f t="shared" si="2"/>
        <v/>
      </c>
    </row>
    <row r="26" spans="1:32" ht="27.95" customHeight="1">
      <c r="A26" s="466"/>
      <c r="B26" s="467"/>
      <c r="C26" s="467"/>
      <c r="D26" s="418"/>
      <c r="E26" s="467"/>
      <c r="F26" s="467"/>
      <c r="G26" s="509"/>
      <c r="H26" s="443"/>
      <c r="I26" s="518" t="str">
        <f t="shared" si="3"/>
        <v/>
      </c>
      <c r="J26" s="519" t="str">
        <f t="shared" si="4"/>
        <v/>
      </c>
      <c r="K26" s="468" t="str">
        <f>IF(B26="","",VLOOKUP(B26,非_単位!$N$3:$O$34,2,FALSE))</f>
        <v/>
      </c>
      <c r="L26" s="520" t="str">
        <f>IF(B26="","",VLOOKUP(B26,非_係数!$B$5:$F$36,2,FALSE))</f>
        <v/>
      </c>
      <c r="M26" s="521" t="str">
        <f t="shared" si="5"/>
        <v/>
      </c>
      <c r="N26" s="522" t="str">
        <f>IF(B26="","",VLOOKUP(B26,非_係数!$B$5:$F$36,4,FALSE))</f>
        <v/>
      </c>
      <c r="O26" s="523" t="str">
        <f t="shared" si="6"/>
        <v/>
      </c>
      <c r="P26" s="420"/>
      <c r="Q26" s="422" t="str">
        <f t="shared" si="0"/>
        <v/>
      </c>
      <c r="R26" s="422" t="str">
        <f>IF(F26="","",VLOOKUP(F26,非_単位補正換算!$B$3:$C$16,2,FALSE))</f>
        <v/>
      </c>
      <c r="S26" s="422" t="str">
        <f>IF(F26="","",IF(SUMIFS(非_単位補正換算!$D$19:$D$48,非_単位補正換算!$B$19:$B$48,燃料!B26,非_単位補正換算!$C$19:$C$48,燃料!F26)=0,1,SUMIFS(非_単位補正換算!$D$19:$D$48,非_単位補正換算!$B$19:$B$48,燃料!B26,非_単位補正換算!$C$19:$C$48,燃料!F26)))</f>
        <v/>
      </c>
      <c r="T26" s="423" t="str">
        <f t="shared" si="1"/>
        <v/>
      </c>
      <c r="U26" s="423" t="str">
        <f t="shared" si="7"/>
        <v/>
      </c>
      <c r="V26" s="423" t="str">
        <f t="shared" si="8"/>
        <v/>
      </c>
      <c r="W26" s="422" t="str">
        <f>IF(B26="","",VLOOKUP(B26,非_まとめ表行番号!$B$3:$C$34,2,FALSE))</f>
        <v/>
      </c>
      <c r="X26" s="479" t="str">
        <f>IF(W26="","",VLOOKUP(W26,非_まとめ表行番号!$U$3:$V$56,2,FALSE))</f>
        <v/>
      </c>
      <c r="Y26" s="424" t="str">
        <f>IF(B26="","",VLOOKUP(B26,非_係数!$B$5:$K$36,6,FALSE))</f>
        <v/>
      </c>
      <c r="Z26" s="423" t="str">
        <f t="shared" si="9"/>
        <v/>
      </c>
      <c r="AA26" s="422" t="str">
        <f>IF(B26="","",VLOOKUP(B26,非_係数!$B$5:$K$36,7,FALSE))</f>
        <v/>
      </c>
      <c r="AB26" s="422" t="str">
        <f t="shared" si="10"/>
        <v/>
      </c>
      <c r="AC26" s="422" t="str">
        <f>IF(B26="","",VLOOKUP(B26,非_係数!$B$5:$K$36,9,FALSE))</f>
        <v/>
      </c>
      <c r="AD26" s="422" t="str">
        <f t="shared" si="11"/>
        <v/>
      </c>
      <c r="AE26" s="422" t="str">
        <f>IF(B26="","",VLOOKUP(B26,非_まとめ表行番号!$B$3:$D$34,3,FALSE))</f>
        <v/>
      </c>
      <c r="AF26" s="422" t="str">
        <f t="shared" si="2"/>
        <v/>
      </c>
    </row>
    <row r="27" spans="1:32" ht="27.95" customHeight="1">
      <c r="A27" s="466"/>
      <c r="B27" s="467"/>
      <c r="C27" s="467"/>
      <c r="D27" s="418"/>
      <c r="E27" s="467"/>
      <c r="F27" s="467"/>
      <c r="G27" s="509"/>
      <c r="H27" s="443"/>
      <c r="I27" s="518" t="str">
        <f t="shared" si="3"/>
        <v/>
      </c>
      <c r="J27" s="519" t="str">
        <f t="shared" si="4"/>
        <v/>
      </c>
      <c r="K27" s="468" t="str">
        <f>IF(B27="","",VLOOKUP(B27,非_単位!$N$3:$O$34,2,FALSE))</f>
        <v/>
      </c>
      <c r="L27" s="520" t="str">
        <f>IF(B27="","",VLOOKUP(B27,非_係数!$B$5:$F$36,2,FALSE))</f>
        <v/>
      </c>
      <c r="M27" s="521" t="str">
        <f t="shared" si="5"/>
        <v/>
      </c>
      <c r="N27" s="522" t="str">
        <f>IF(B27="","",VLOOKUP(B27,非_係数!$B$5:$F$36,4,FALSE))</f>
        <v/>
      </c>
      <c r="O27" s="523" t="str">
        <f t="shared" si="6"/>
        <v/>
      </c>
      <c r="P27" s="420"/>
      <c r="Q27" s="422" t="str">
        <f t="shared" si="0"/>
        <v/>
      </c>
      <c r="R27" s="422" t="str">
        <f>IF(F27="","",VLOOKUP(F27,非_単位補正換算!$B$3:$C$16,2,FALSE))</f>
        <v/>
      </c>
      <c r="S27" s="422" t="str">
        <f>IF(F27="","",IF(SUMIFS(非_単位補正換算!$D$19:$D$48,非_単位補正換算!$B$19:$B$48,燃料!B27,非_単位補正換算!$C$19:$C$48,燃料!F27)=0,1,SUMIFS(非_単位補正換算!$D$19:$D$48,非_単位補正換算!$B$19:$B$48,燃料!B27,非_単位補正換算!$C$19:$C$48,燃料!F27)))</f>
        <v/>
      </c>
      <c r="T27" s="423" t="str">
        <f t="shared" si="1"/>
        <v/>
      </c>
      <c r="U27" s="423" t="str">
        <f t="shared" si="7"/>
        <v/>
      </c>
      <c r="V27" s="423" t="str">
        <f t="shared" si="8"/>
        <v/>
      </c>
      <c r="W27" s="422" t="str">
        <f>IF(B27="","",VLOOKUP(B27,非_まとめ表行番号!$B$3:$C$34,2,FALSE))</f>
        <v/>
      </c>
      <c r="X27" s="479" t="str">
        <f>IF(W27="","",VLOOKUP(W27,非_まとめ表行番号!$U$3:$V$56,2,FALSE))</f>
        <v/>
      </c>
      <c r="Y27" s="424" t="str">
        <f>IF(B27="","",VLOOKUP(B27,非_係数!$B$5:$K$36,6,FALSE))</f>
        <v/>
      </c>
      <c r="Z27" s="423" t="str">
        <f t="shared" si="9"/>
        <v/>
      </c>
      <c r="AA27" s="422" t="str">
        <f>IF(B27="","",VLOOKUP(B27,非_係数!$B$5:$K$36,7,FALSE))</f>
        <v/>
      </c>
      <c r="AB27" s="422" t="str">
        <f t="shared" si="10"/>
        <v/>
      </c>
      <c r="AC27" s="422" t="str">
        <f>IF(B27="","",VLOOKUP(B27,非_係数!$B$5:$K$36,9,FALSE))</f>
        <v/>
      </c>
      <c r="AD27" s="422" t="str">
        <f t="shared" si="11"/>
        <v/>
      </c>
      <c r="AE27" s="422" t="str">
        <f>IF(B27="","",VLOOKUP(B27,非_まとめ表行番号!$B$3:$D$34,3,FALSE))</f>
        <v/>
      </c>
      <c r="AF27" s="422" t="str">
        <f t="shared" si="2"/>
        <v/>
      </c>
    </row>
    <row r="28" spans="1:32" ht="27.95" customHeight="1">
      <c r="A28" s="466"/>
      <c r="B28" s="467"/>
      <c r="C28" s="467"/>
      <c r="D28" s="418"/>
      <c r="E28" s="467"/>
      <c r="F28" s="467"/>
      <c r="G28" s="509"/>
      <c r="H28" s="443"/>
      <c r="I28" s="518" t="str">
        <f t="shared" si="3"/>
        <v/>
      </c>
      <c r="J28" s="519" t="str">
        <f t="shared" si="4"/>
        <v/>
      </c>
      <c r="K28" s="468" t="str">
        <f>IF(B28="","",VLOOKUP(B28,非_単位!$N$3:$O$34,2,FALSE))</f>
        <v/>
      </c>
      <c r="L28" s="520" t="str">
        <f>IF(B28="","",VLOOKUP(B28,非_係数!$B$5:$F$36,2,FALSE))</f>
        <v/>
      </c>
      <c r="M28" s="521" t="str">
        <f t="shared" si="5"/>
        <v/>
      </c>
      <c r="N28" s="522" t="str">
        <f>IF(B28="","",VLOOKUP(B28,非_係数!$B$5:$F$36,4,FALSE))</f>
        <v/>
      </c>
      <c r="O28" s="523" t="str">
        <f t="shared" si="6"/>
        <v/>
      </c>
      <c r="P28" s="420"/>
      <c r="Q28" s="422" t="str">
        <f t="shared" si="0"/>
        <v/>
      </c>
      <c r="R28" s="422" t="str">
        <f>IF(F28="","",VLOOKUP(F28,非_単位補正換算!$B$3:$C$16,2,FALSE))</f>
        <v/>
      </c>
      <c r="S28" s="422" t="str">
        <f>IF(F28="","",IF(SUMIFS(非_単位補正換算!$D$19:$D$48,非_単位補正換算!$B$19:$B$48,燃料!B28,非_単位補正換算!$C$19:$C$48,燃料!F28)=0,1,SUMIFS(非_単位補正換算!$D$19:$D$48,非_単位補正換算!$B$19:$B$48,燃料!B28,非_単位補正換算!$C$19:$C$48,燃料!F28)))</f>
        <v/>
      </c>
      <c r="T28" s="423" t="str">
        <f t="shared" si="1"/>
        <v/>
      </c>
      <c r="U28" s="423" t="str">
        <f t="shared" si="7"/>
        <v/>
      </c>
      <c r="V28" s="423" t="str">
        <f t="shared" si="8"/>
        <v/>
      </c>
      <c r="W28" s="422" t="str">
        <f>IF(B28="","",VLOOKUP(B28,非_まとめ表行番号!$B$3:$C$34,2,FALSE))</f>
        <v/>
      </c>
      <c r="X28" s="479" t="str">
        <f>IF(W28="","",VLOOKUP(W28,非_まとめ表行番号!$U$3:$V$56,2,FALSE))</f>
        <v/>
      </c>
      <c r="Y28" s="424" t="str">
        <f>IF(B28="","",VLOOKUP(B28,非_係数!$B$5:$K$36,6,FALSE))</f>
        <v/>
      </c>
      <c r="Z28" s="423" t="str">
        <f t="shared" si="9"/>
        <v/>
      </c>
      <c r="AA28" s="422" t="str">
        <f>IF(B28="","",VLOOKUP(B28,非_係数!$B$5:$K$36,7,FALSE))</f>
        <v/>
      </c>
      <c r="AB28" s="422" t="str">
        <f t="shared" si="10"/>
        <v/>
      </c>
      <c r="AC28" s="422" t="str">
        <f>IF(B28="","",VLOOKUP(B28,非_係数!$B$5:$K$36,9,FALSE))</f>
        <v/>
      </c>
      <c r="AD28" s="422" t="str">
        <f t="shared" si="11"/>
        <v/>
      </c>
      <c r="AE28" s="422" t="str">
        <f>IF(B28="","",VLOOKUP(B28,非_まとめ表行番号!$B$3:$D$34,3,FALSE))</f>
        <v/>
      </c>
      <c r="AF28" s="422" t="str">
        <f t="shared" si="2"/>
        <v/>
      </c>
    </row>
    <row r="29" spans="1:32" ht="27.95" customHeight="1">
      <c r="A29" s="466"/>
      <c r="B29" s="467"/>
      <c r="C29" s="467"/>
      <c r="D29" s="418"/>
      <c r="E29" s="467"/>
      <c r="F29" s="467"/>
      <c r="G29" s="509"/>
      <c r="H29" s="443"/>
      <c r="I29" s="518" t="str">
        <f t="shared" si="3"/>
        <v/>
      </c>
      <c r="J29" s="519" t="str">
        <f t="shared" si="4"/>
        <v/>
      </c>
      <c r="K29" s="468" t="str">
        <f>IF(B29="","",VLOOKUP(B29,非_単位!$N$3:$O$34,2,FALSE))</f>
        <v/>
      </c>
      <c r="L29" s="520" t="str">
        <f>IF(B29="","",VLOOKUP(B29,非_係数!$B$5:$F$36,2,FALSE))</f>
        <v/>
      </c>
      <c r="M29" s="521" t="str">
        <f t="shared" si="5"/>
        <v/>
      </c>
      <c r="N29" s="522" t="str">
        <f>IF(B29="","",VLOOKUP(B29,非_係数!$B$5:$F$36,4,FALSE))</f>
        <v/>
      </c>
      <c r="O29" s="523" t="str">
        <f t="shared" si="6"/>
        <v/>
      </c>
      <c r="P29" s="420"/>
      <c r="Q29" s="422" t="str">
        <f t="shared" si="0"/>
        <v/>
      </c>
      <c r="R29" s="422" t="str">
        <f>IF(F29="","",VLOOKUP(F29,非_単位補正換算!$B$3:$C$16,2,FALSE))</f>
        <v/>
      </c>
      <c r="S29" s="422" t="str">
        <f>IF(F29="","",IF(SUMIFS(非_単位補正換算!$D$19:$D$48,非_単位補正換算!$B$19:$B$48,燃料!B29,非_単位補正換算!$C$19:$C$48,燃料!F29)=0,1,SUMIFS(非_単位補正換算!$D$19:$D$48,非_単位補正換算!$B$19:$B$48,燃料!B29,非_単位補正換算!$C$19:$C$48,燃料!F29)))</f>
        <v/>
      </c>
      <c r="T29" s="423" t="str">
        <f t="shared" si="1"/>
        <v/>
      </c>
      <c r="U29" s="423" t="str">
        <f t="shared" si="7"/>
        <v/>
      </c>
      <c r="V29" s="423" t="str">
        <f t="shared" si="8"/>
        <v/>
      </c>
      <c r="W29" s="422" t="str">
        <f>IF(B29="","",VLOOKUP(B29,非_まとめ表行番号!$B$3:$C$34,2,FALSE))</f>
        <v/>
      </c>
      <c r="X29" s="479" t="str">
        <f>IF(W29="","",VLOOKUP(W29,非_まとめ表行番号!$U$3:$V$56,2,FALSE))</f>
        <v/>
      </c>
      <c r="Y29" s="424" t="str">
        <f>IF(B29="","",VLOOKUP(B29,非_係数!$B$5:$K$36,6,FALSE))</f>
        <v/>
      </c>
      <c r="Z29" s="423" t="str">
        <f t="shared" si="9"/>
        <v/>
      </c>
      <c r="AA29" s="422" t="str">
        <f>IF(B29="","",VLOOKUP(B29,非_係数!$B$5:$K$36,7,FALSE))</f>
        <v/>
      </c>
      <c r="AB29" s="422" t="str">
        <f t="shared" si="10"/>
        <v/>
      </c>
      <c r="AC29" s="422" t="str">
        <f>IF(B29="","",VLOOKUP(B29,非_係数!$B$5:$K$36,9,FALSE))</f>
        <v/>
      </c>
      <c r="AD29" s="422" t="str">
        <f t="shared" si="11"/>
        <v/>
      </c>
      <c r="AE29" s="422" t="str">
        <f>IF(B29="","",VLOOKUP(B29,非_まとめ表行番号!$B$3:$D$34,3,FALSE))</f>
        <v/>
      </c>
      <c r="AF29" s="422" t="str">
        <f t="shared" si="2"/>
        <v/>
      </c>
    </row>
    <row r="30" spans="1:32" ht="27.95" customHeight="1">
      <c r="A30" s="466"/>
      <c r="B30" s="467"/>
      <c r="C30" s="467"/>
      <c r="D30" s="418"/>
      <c r="E30" s="467"/>
      <c r="F30" s="467"/>
      <c r="G30" s="509"/>
      <c r="H30" s="443"/>
      <c r="I30" s="518" t="str">
        <f t="shared" si="3"/>
        <v/>
      </c>
      <c r="J30" s="519" t="str">
        <f t="shared" si="4"/>
        <v/>
      </c>
      <c r="K30" s="468" t="str">
        <f>IF(B30="","",VLOOKUP(B30,非_単位!$N$3:$O$34,2,FALSE))</f>
        <v/>
      </c>
      <c r="L30" s="520" t="str">
        <f>IF(B30="","",VLOOKUP(B30,非_係数!$B$5:$F$36,2,FALSE))</f>
        <v/>
      </c>
      <c r="M30" s="521" t="str">
        <f t="shared" si="5"/>
        <v/>
      </c>
      <c r="N30" s="522" t="str">
        <f>IF(B30="","",VLOOKUP(B30,非_係数!$B$5:$F$36,4,FALSE))</f>
        <v/>
      </c>
      <c r="O30" s="523" t="str">
        <f t="shared" si="6"/>
        <v/>
      </c>
      <c r="P30" s="420"/>
      <c r="Q30" s="422" t="str">
        <f t="shared" si="0"/>
        <v/>
      </c>
      <c r="R30" s="422" t="str">
        <f>IF(F30="","",VLOOKUP(F30,非_単位補正換算!$B$3:$C$16,2,FALSE))</f>
        <v/>
      </c>
      <c r="S30" s="422" t="str">
        <f>IF(F30="","",IF(SUMIFS(非_単位補正換算!$D$19:$D$48,非_単位補正換算!$B$19:$B$48,燃料!B30,非_単位補正換算!$C$19:$C$48,燃料!F30)=0,1,SUMIFS(非_単位補正換算!$D$19:$D$48,非_単位補正換算!$B$19:$B$48,燃料!B30,非_単位補正換算!$C$19:$C$48,燃料!F30)))</f>
        <v/>
      </c>
      <c r="T30" s="423" t="str">
        <f t="shared" si="1"/>
        <v/>
      </c>
      <c r="U30" s="423" t="str">
        <f t="shared" si="7"/>
        <v/>
      </c>
      <c r="V30" s="423" t="str">
        <f t="shared" si="8"/>
        <v/>
      </c>
      <c r="W30" s="422" t="str">
        <f>IF(B30="","",VLOOKUP(B30,非_まとめ表行番号!$B$3:$C$34,2,FALSE))</f>
        <v/>
      </c>
      <c r="X30" s="479" t="str">
        <f>IF(W30="","",VLOOKUP(W30,非_まとめ表行番号!$U$3:$V$56,2,FALSE))</f>
        <v/>
      </c>
      <c r="Y30" s="424" t="str">
        <f>IF(B30="","",VLOOKUP(B30,非_係数!$B$5:$K$36,6,FALSE))</f>
        <v/>
      </c>
      <c r="Z30" s="423" t="str">
        <f t="shared" si="9"/>
        <v/>
      </c>
      <c r="AA30" s="422" t="str">
        <f>IF(B30="","",VLOOKUP(B30,非_係数!$B$5:$K$36,7,FALSE))</f>
        <v/>
      </c>
      <c r="AB30" s="422" t="str">
        <f t="shared" si="10"/>
        <v/>
      </c>
      <c r="AC30" s="422" t="str">
        <f>IF(B30="","",VLOOKUP(B30,非_係数!$B$5:$K$36,9,FALSE))</f>
        <v/>
      </c>
      <c r="AD30" s="422" t="str">
        <f t="shared" si="11"/>
        <v/>
      </c>
      <c r="AE30" s="422" t="str">
        <f>IF(B30="","",VLOOKUP(B30,非_まとめ表行番号!$B$3:$D$34,3,FALSE))</f>
        <v/>
      </c>
      <c r="AF30" s="422" t="str">
        <f t="shared" si="2"/>
        <v/>
      </c>
    </row>
    <row r="31" spans="1:32" ht="27.95" customHeight="1">
      <c r="A31" s="466"/>
      <c r="B31" s="467"/>
      <c r="C31" s="467"/>
      <c r="D31" s="418"/>
      <c r="E31" s="467"/>
      <c r="F31" s="467"/>
      <c r="G31" s="509"/>
      <c r="H31" s="443"/>
      <c r="I31" s="518" t="str">
        <f t="shared" si="3"/>
        <v/>
      </c>
      <c r="J31" s="519" t="str">
        <f t="shared" si="4"/>
        <v/>
      </c>
      <c r="K31" s="468" t="str">
        <f>IF(B31="","",VLOOKUP(B31,非_単位!$N$3:$O$34,2,FALSE))</f>
        <v/>
      </c>
      <c r="L31" s="520" t="str">
        <f>IF(B31="","",VLOOKUP(B31,非_係数!$B$5:$F$36,2,FALSE))</f>
        <v/>
      </c>
      <c r="M31" s="521" t="str">
        <f t="shared" si="5"/>
        <v/>
      </c>
      <c r="N31" s="522" t="str">
        <f>IF(B31="","",VLOOKUP(B31,非_係数!$B$5:$F$36,4,FALSE))</f>
        <v/>
      </c>
      <c r="O31" s="523" t="str">
        <f t="shared" si="6"/>
        <v/>
      </c>
      <c r="P31" s="420"/>
      <c r="Q31" s="422" t="str">
        <f t="shared" si="0"/>
        <v/>
      </c>
      <c r="R31" s="422" t="str">
        <f>IF(F31="","",VLOOKUP(F31,非_単位補正換算!$B$3:$C$16,2,FALSE))</f>
        <v/>
      </c>
      <c r="S31" s="422" t="str">
        <f>IF(F31="","",IF(SUMIFS(非_単位補正換算!$D$19:$D$48,非_単位補正換算!$B$19:$B$48,燃料!B31,非_単位補正換算!$C$19:$C$48,燃料!F31)=0,1,SUMIFS(非_単位補正換算!$D$19:$D$48,非_単位補正換算!$B$19:$B$48,燃料!B31,非_単位補正換算!$C$19:$C$48,燃料!F31)))</f>
        <v/>
      </c>
      <c r="T31" s="423" t="str">
        <f t="shared" si="1"/>
        <v/>
      </c>
      <c r="U31" s="423" t="str">
        <f t="shared" si="7"/>
        <v/>
      </c>
      <c r="V31" s="423" t="str">
        <f t="shared" si="8"/>
        <v/>
      </c>
      <c r="W31" s="422" t="str">
        <f>IF(B31="","",VLOOKUP(B31,非_まとめ表行番号!$B$3:$C$34,2,FALSE))</f>
        <v/>
      </c>
      <c r="X31" s="479" t="str">
        <f>IF(W31="","",VLOOKUP(W31,非_まとめ表行番号!$U$3:$V$56,2,FALSE))</f>
        <v/>
      </c>
      <c r="Y31" s="424" t="str">
        <f>IF(B31="","",VLOOKUP(B31,非_係数!$B$5:$K$36,6,FALSE))</f>
        <v/>
      </c>
      <c r="Z31" s="423" t="str">
        <f t="shared" si="9"/>
        <v/>
      </c>
      <c r="AA31" s="422" t="str">
        <f>IF(B31="","",VLOOKUP(B31,非_係数!$B$5:$K$36,7,FALSE))</f>
        <v/>
      </c>
      <c r="AB31" s="422" t="str">
        <f t="shared" si="10"/>
        <v/>
      </c>
      <c r="AC31" s="422" t="str">
        <f>IF(B31="","",VLOOKUP(B31,非_係数!$B$5:$K$36,9,FALSE))</f>
        <v/>
      </c>
      <c r="AD31" s="422" t="str">
        <f t="shared" si="11"/>
        <v/>
      </c>
      <c r="AE31" s="422" t="str">
        <f>IF(B31="","",VLOOKUP(B31,非_まとめ表行番号!$B$3:$D$34,3,FALSE))</f>
        <v/>
      </c>
      <c r="AF31" s="422" t="str">
        <f t="shared" si="2"/>
        <v/>
      </c>
    </row>
    <row r="32" spans="1:32" ht="27.95" customHeight="1">
      <c r="A32" s="466"/>
      <c r="B32" s="467"/>
      <c r="C32" s="467"/>
      <c r="D32" s="418"/>
      <c r="E32" s="467"/>
      <c r="F32" s="467"/>
      <c r="G32" s="509"/>
      <c r="H32" s="443"/>
      <c r="I32" s="518" t="str">
        <f t="shared" si="3"/>
        <v/>
      </c>
      <c r="J32" s="519" t="str">
        <f t="shared" si="4"/>
        <v/>
      </c>
      <c r="K32" s="468" t="str">
        <f>IF(B32="","",VLOOKUP(B32,非_単位!$N$3:$O$34,2,FALSE))</f>
        <v/>
      </c>
      <c r="L32" s="520" t="str">
        <f>IF(B32="","",VLOOKUP(B32,非_係数!$B$5:$F$36,2,FALSE))</f>
        <v/>
      </c>
      <c r="M32" s="521" t="str">
        <f t="shared" si="5"/>
        <v/>
      </c>
      <c r="N32" s="522" t="str">
        <f>IF(B32="","",VLOOKUP(B32,非_係数!$B$5:$F$36,4,FALSE))</f>
        <v/>
      </c>
      <c r="O32" s="523" t="str">
        <f t="shared" si="6"/>
        <v/>
      </c>
      <c r="P32" s="420"/>
      <c r="Q32" s="422" t="str">
        <f t="shared" si="0"/>
        <v/>
      </c>
      <c r="R32" s="422" t="str">
        <f>IF(F32="","",VLOOKUP(F32,非_単位補正換算!$B$3:$C$16,2,FALSE))</f>
        <v/>
      </c>
      <c r="S32" s="422" t="str">
        <f>IF(F32="","",IF(SUMIFS(非_単位補正換算!$D$19:$D$48,非_単位補正換算!$B$19:$B$48,燃料!B32,非_単位補正換算!$C$19:$C$48,燃料!F32)=0,1,SUMIFS(非_単位補正換算!$D$19:$D$48,非_単位補正換算!$B$19:$B$48,燃料!B32,非_単位補正換算!$C$19:$C$48,燃料!F32)))</f>
        <v/>
      </c>
      <c r="T32" s="423" t="str">
        <f t="shared" si="1"/>
        <v/>
      </c>
      <c r="U32" s="423" t="str">
        <f t="shared" si="7"/>
        <v/>
      </c>
      <c r="V32" s="423" t="str">
        <f t="shared" si="8"/>
        <v/>
      </c>
      <c r="W32" s="422" t="str">
        <f>IF(B32="","",VLOOKUP(B32,非_まとめ表行番号!$B$3:$C$34,2,FALSE))</f>
        <v/>
      </c>
      <c r="X32" s="479" t="str">
        <f>IF(W32="","",VLOOKUP(W32,非_まとめ表行番号!$U$3:$V$56,2,FALSE))</f>
        <v/>
      </c>
      <c r="Y32" s="424" t="str">
        <f>IF(B32="","",VLOOKUP(B32,非_係数!$B$5:$K$36,6,FALSE))</f>
        <v/>
      </c>
      <c r="Z32" s="423" t="str">
        <f t="shared" si="9"/>
        <v/>
      </c>
      <c r="AA32" s="422" t="str">
        <f>IF(B32="","",VLOOKUP(B32,非_係数!$B$5:$K$36,7,FALSE))</f>
        <v/>
      </c>
      <c r="AB32" s="422" t="str">
        <f t="shared" si="10"/>
        <v/>
      </c>
      <c r="AC32" s="422" t="str">
        <f>IF(B32="","",VLOOKUP(B32,非_係数!$B$5:$K$36,9,FALSE))</f>
        <v/>
      </c>
      <c r="AD32" s="422" t="str">
        <f t="shared" si="11"/>
        <v/>
      </c>
      <c r="AE32" s="422" t="str">
        <f>IF(B32="","",VLOOKUP(B32,非_まとめ表行番号!$B$3:$D$34,3,FALSE))</f>
        <v/>
      </c>
      <c r="AF32" s="422" t="str">
        <f t="shared" si="2"/>
        <v/>
      </c>
    </row>
    <row r="33" spans="1:32" ht="27.95" customHeight="1">
      <c r="A33" s="466"/>
      <c r="B33" s="467"/>
      <c r="C33" s="467"/>
      <c r="D33" s="418"/>
      <c r="E33" s="467"/>
      <c r="F33" s="467"/>
      <c r="G33" s="509"/>
      <c r="H33" s="443"/>
      <c r="I33" s="518" t="str">
        <f t="shared" si="3"/>
        <v/>
      </c>
      <c r="J33" s="519" t="str">
        <f t="shared" si="4"/>
        <v/>
      </c>
      <c r="K33" s="468" t="str">
        <f>IF(B33="","",VLOOKUP(B33,非_単位!$N$3:$O$34,2,FALSE))</f>
        <v/>
      </c>
      <c r="L33" s="520" t="str">
        <f>IF(B33="","",VLOOKUP(B33,非_係数!$B$5:$F$36,2,FALSE))</f>
        <v/>
      </c>
      <c r="M33" s="521" t="str">
        <f t="shared" si="5"/>
        <v/>
      </c>
      <c r="N33" s="522" t="str">
        <f>IF(B33="","",VLOOKUP(B33,非_係数!$B$5:$F$36,4,FALSE))</f>
        <v/>
      </c>
      <c r="O33" s="523" t="str">
        <f t="shared" si="6"/>
        <v/>
      </c>
      <c r="P33" s="420"/>
      <c r="Q33" s="422" t="str">
        <f t="shared" si="0"/>
        <v/>
      </c>
      <c r="R33" s="422" t="str">
        <f>IF(F33="","",VLOOKUP(F33,非_単位補正換算!$B$3:$C$16,2,FALSE))</f>
        <v/>
      </c>
      <c r="S33" s="422" t="str">
        <f>IF(F33="","",IF(SUMIFS(非_単位補正換算!$D$19:$D$48,非_単位補正換算!$B$19:$B$48,燃料!B33,非_単位補正換算!$C$19:$C$48,燃料!F33)=0,1,SUMIFS(非_単位補正換算!$D$19:$D$48,非_単位補正換算!$B$19:$B$48,燃料!B33,非_単位補正換算!$C$19:$C$48,燃料!F33)))</f>
        <v/>
      </c>
      <c r="T33" s="423" t="str">
        <f t="shared" si="1"/>
        <v/>
      </c>
      <c r="U33" s="423" t="str">
        <f t="shared" si="7"/>
        <v/>
      </c>
      <c r="V33" s="423" t="str">
        <f t="shared" si="8"/>
        <v/>
      </c>
      <c r="W33" s="422" t="str">
        <f>IF(B33="","",VLOOKUP(B33,非_まとめ表行番号!$B$3:$C$34,2,FALSE))</f>
        <v/>
      </c>
      <c r="X33" s="479" t="str">
        <f>IF(W33="","",VLOOKUP(W33,非_まとめ表行番号!$U$3:$V$56,2,FALSE))</f>
        <v/>
      </c>
      <c r="Y33" s="424" t="str">
        <f>IF(B33="","",VLOOKUP(B33,非_係数!$B$5:$K$36,6,FALSE))</f>
        <v/>
      </c>
      <c r="Z33" s="423" t="str">
        <f t="shared" si="9"/>
        <v/>
      </c>
      <c r="AA33" s="422" t="str">
        <f>IF(B33="","",VLOOKUP(B33,非_係数!$B$5:$K$36,7,FALSE))</f>
        <v/>
      </c>
      <c r="AB33" s="422" t="str">
        <f t="shared" si="10"/>
        <v/>
      </c>
      <c r="AC33" s="422" t="str">
        <f>IF(B33="","",VLOOKUP(B33,非_係数!$B$5:$K$36,9,FALSE))</f>
        <v/>
      </c>
      <c r="AD33" s="422" t="str">
        <f t="shared" si="11"/>
        <v/>
      </c>
      <c r="AE33" s="422" t="str">
        <f>IF(B33="","",VLOOKUP(B33,非_まとめ表行番号!$B$3:$D$34,3,FALSE))</f>
        <v/>
      </c>
      <c r="AF33" s="422" t="str">
        <f t="shared" si="2"/>
        <v/>
      </c>
    </row>
    <row r="34" spans="1:32" ht="27.95" customHeight="1">
      <c r="A34" s="466"/>
      <c r="B34" s="467"/>
      <c r="C34" s="467"/>
      <c r="D34" s="418"/>
      <c r="E34" s="467"/>
      <c r="F34" s="467"/>
      <c r="G34" s="509"/>
      <c r="H34" s="443"/>
      <c r="I34" s="518" t="str">
        <f t="shared" si="3"/>
        <v/>
      </c>
      <c r="J34" s="519" t="str">
        <f t="shared" si="4"/>
        <v/>
      </c>
      <c r="K34" s="468" t="str">
        <f>IF(B34="","",VLOOKUP(B34,非_単位!$N$3:$O$34,2,FALSE))</f>
        <v/>
      </c>
      <c r="L34" s="520" t="str">
        <f>IF(B34="","",VLOOKUP(B34,非_係数!$B$5:$F$36,2,FALSE))</f>
        <v/>
      </c>
      <c r="M34" s="521" t="str">
        <f t="shared" si="5"/>
        <v/>
      </c>
      <c r="N34" s="522" t="str">
        <f>IF(B34="","",VLOOKUP(B34,非_係数!$B$5:$F$36,4,FALSE))</f>
        <v/>
      </c>
      <c r="O34" s="523" t="str">
        <f t="shared" si="6"/>
        <v/>
      </c>
      <c r="P34" s="420"/>
      <c r="Q34" s="422" t="str">
        <f t="shared" si="0"/>
        <v/>
      </c>
      <c r="R34" s="422" t="str">
        <f>IF(F34="","",VLOOKUP(F34,非_単位補正換算!$B$3:$C$16,2,FALSE))</f>
        <v/>
      </c>
      <c r="S34" s="422" t="str">
        <f>IF(F34="","",IF(SUMIFS(非_単位補正換算!$D$19:$D$48,非_単位補正換算!$B$19:$B$48,燃料!B34,非_単位補正換算!$C$19:$C$48,燃料!F34)=0,1,SUMIFS(非_単位補正換算!$D$19:$D$48,非_単位補正換算!$B$19:$B$48,燃料!B34,非_単位補正換算!$C$19:$C$48,燃料!F34)))</f>
        <v/>
      </c>
      <c r="T34" s="423" t="str">
        <f t="shared" si="1"/>
        <v/>
      </c>
      <c r="U34" s="423" t="str">
        <f t="shared" si="7"/>
        <v/>
      </c>
      <c r="V34" s="423" t="str">
        <f t="shared" si="8"/>
        <v/>
      </c>
      <c r="W34" s="422" t="str">
        <f>IF(B34="","",VLOOKUP(B34,非_まとめ表行番号!$B$3:$C$34,2,FALSE))</f>
        <v/>
      </c>
      <c r="X34" s="479" t="str">
        <f>IF(W34="","",VLOOKUP(W34,非_まとめ表行番号!$U$3:$V$56,2,FALSE))</f>
        <v/>
      </c>
      <c r="Y34" s="424" t="str">
        <f>IF(B34="","",VLOOKUP(B34,非_係数!$B$5:$K$36,6,FALSE))</f>
        <v/>
      </c>
      <c r="Z34" s="423" t="str">
        <f t="shared" si="9"/>
        <v/>
      </c>
      <c r="AA34" s="422" t="str">
        <f>IF(B34="","",VLOOKUP(B34,非_係数!$B$5:$K$36,7,FALSE))</f>
        <v/>
      </c>
      <c r="AB34" s="422" t="str">
        <f t="shared" si="10"/>
        <v/>
      </c>
      <c r="AC34" s="422" t="str">
        <f>IF(B34="","",VLOOKUP(B34,非_係数!$B$5:$K$36,9,FALSE))</f>
        <v/>
      </c>
      <c r="AD34" s="422" t="str">
        <f t="shared" si="11"/>
        <v/>
      </c>
      <c r="AE34" s="422" t="str">
        <f>IF(B34="","",VLOOKUP(B34,非_まとめ表行番号!$B$3:$D$34,3,FALSE))</f>
        <v/>
      </c>
      <c r="AF34" s="422" t="str">
        <f t="shared" si="2"/>
        <v/>
      </c>
    </row>
    <row r="35" spans="1:32" ht="27.95" customHeight="1">
      <c r="A35" s="466"/>
      <c r="B35" s="467"/>
      <c r="C35" s="467"/>
      <c r="D35" s="418"/>
      <c r="E35" s="467"/>
      <c r="F35" s="467"/>
      <c r="G35" s="509"/>
      <c r="H35" s="443"/>
      <c r="I35" s="518" t="str">
        <f t="shared" si="3"/>
        <v/>
      </c>
      <c r="J35" s="519" t="str">
        <f t="shared" si="4"/>
        <v/>
      </c>
      <c r="K35" s="468" t="str">
        <f>IF(B35="","",VLOOKUP(B35,非_単位!$N$3:$O$34,2,FALSE))</f>
        <v/>
      </c>
      <c r="L35" s="520" t="str">
        <f>IF(B35="","",VLOOKUP(B35,非_係数!$B$5:$F$36,2,FALSE))</f>
        <v/>
      </c>
      <c r="M35" s="521" t="str">
        <f t="shared" si="5"/>
        <v/>
      </c>
      <c r="N35" s="522" t="str">
        <f>IF(B35="","",VLOOKUP(B35,非_係数!$B$5:$F$36,4,FALSE))</f>
        <v/>
      </c>
      <c r="O35" s="523" t="str">
        <f t="shared" si="6"/>
        <v/>
      </c>
      <c r="P35" s="420"/>
      <c r="Q35" s="422" t="str">
        <f t="shared" si="0"/>
        <v/>
      </c>
      <c r="R35" s="422" t="str">
        <f>IF(F35="","",VLOOKUP(F35,非_単位補正換算!$B$3:$C$16,2,FALSE))</f>
        <v/>
      </c>
      <c r="S35" s="422" t="str">
        <f>IF(F35="","",IF(SUMIFS(非_単位補正換算!$D$19:$D$48,非_単位補正換算!$B$19:$B$48,燃料!B35,非_単位補正換算!$C$19:$C$48,燃料!F35)=0,1,SUMIFS(非_単位補正換算!$D$19:$D$48,非_単位補正換算!$B$19:$B$48,燃料!B35,非_単位補正換算!$C$19:$C$48,燃料!F35)))</f>
        <v/>
      </c>
      <c r="T35" s="423" t="str">
        <f t="shared" si="1"/>
        <v/>
      </c>
      <c r="U35" s="423" t="str">
        <f t="shared" si="7"/>
        <v/>
      </c>
      <c r="V35" s="423" t="str">
        <f t="shared" si="8"/>
        <v/>
      </c>
      <c r="W35" s="422" t="str">
        <f>IF(B35="","",VLOOKUP(B35,非_まとめ表行番号!$B$3:$C$34,2,FALSE))</f>
        <v/>
      </c>
      <c r="X35" s="479" t="str">
        <f>IF(W35="","",VLOOKUP(W35,非_まとめ表行番号!$U$3:$V$56,2,FALSE))</f>
        <v/>
      </c>
      <c r="Y35" s="424" t="str">
        <f>IF(B35="","",VLOOKUP(B35,非_係数!$B$5:$K$36,6,FALSE))</f>
        <v/>
      </c>
      <c r="Z35" s="423" t="str">
        <f t="shared" si="9"/>
        <v/>
      </c>
      <c r="AA35" s="422" t="str">
        <f>IF(B35="","",VLOOKUP(B35,非_係数!$B$5:$K$36,7,FALSE))</f>
        <v/>
      </c>
      <c r="AB35" s="422" t="str">
        <f t="shared" si="10"/>
        <v/>
      </c>
      <c r="AC35" s="422" t="str">
        <f>IF(B35="","",VLOOKUP(B35,非_係数!$B$5:$K$36,9,FALSE))</f>
        <v/>
      </c>
      <c r="AD35" s="422" t="str">
        <f t="shared" si="11"/>
        <v/>
      </c>
      <c r="AE35" s="422" t="str">
        <f>IF(B35="","",VLOOKUP(B35,非_まとめ表行番号!$B$3:$D$34,3,FALSE))</f>
        <v/>
      </c>
      <c r="AF35" s="422" t="str">
        <f t="shared" si="2"/>
        <v/>
      </c>
    </row>
    <row r="36" spans="1:32" ht="27.95" customHeight="1">
      <c r="A36" s="466"/>
      <c r="B36" s="467"/>
      <c r="C36" s="467"/>
      <c r="D36" s="418"/>
      <c r="E36" s="467"/>
      <c r="F36" s="467"/>
      <c r="G36" s="509"/>
      <c r="H36" s="443"/>
      <c r="I36" s="518" t="str">
        <f t="shared" si="3"/>
        <v/>
      </c>
      <c r="J36" s="519" t="str">
        <f t="shared" si="4"/>
        <v/>
      </c>
      <c r="K36" s="468" t="str">
        <f>IF(B36="","",VLOOKUP(B36,非_単位!$N$3:$O$34,2,FALSE))</f>
        <v/>
      </c>
      <c r="L36" s="520" t="str">
        <f>IF(B36="","",VLOOKUP(B36,非_係数!$B$5:$F$36,2,FALSE))</f>
        <v/>
      </c>
      <c r="M36" s="521" t="str">
        <f t="shared" si="5"/>
        <v/>
      </c>
      <c r="N36" s="522" t="str">
        <f>IF(B36="","",VLOOKUP(B36,非_係数!$B$5:$F$36,4,FALSE))</f>
        <v/>
      </c>
      <c r="O36" s="523" t="str">
        <f t="shared" si="6"/>
        <v/>
      </c>
      <c r="P36" s="420"/>
      <c r="Q36" s="422" t="str">
        <f t="shared" si="0"/>
        <v/>
      </c>
      <c r="R36" s="422" t="str">
        <f>IF(F36="","",VLOOKUP(F36,非_単位補正換算!$B$3:$C$16,2,FALSE))</f>
        <v/>
      </c>
      <c r="S36" s="422" t="str">
        <f>IF(F36="","",IF(SUMIFS(非_単位補正換算!$D$19:$D$48,非_単位補正換算!$B$19:$B$48,燃料!B36,非_単位補正換算!$C$19:$C$48,燃料!F36)=0,1,SUMIFS(非_単位補正換算!$D$19:$D$48,非_単位補正換算!$B$19:$B$48,燃料!B36,非_単位補正換算!$C$19:$C$48,燃料!F36)))</f>
        <v/>
      </c>
      <c r="T36" s="423" t="str">
        <f t="shared" si="1"/>
        <v/>
      </c>
      <c r="U36" s="423" t="str">
        <f t="shared" si="7"/>
        <v/>
      </c>
      <c r="V36" s="423" t="str">
        <f t="shared" si="8"/>
        <v/>
      </c>
      <c r="W36" s="422" t="str">
        <f>IF(B36="","",VLOOKUP(B36,非_まとめ表行番号!$B$3:$C$34,2,FALSE))</f>
        <v/>
      </c>
      <c r="X36" s="479" t="str">
        <f>IF(W36="","",VLOOKUP(W36,非_まとめ表行番号!$U$3:$V$56,2,FALSE))</f>
        <v/>
      </c>
      <c r="Y36" s="424" t="str">
        <f>IF(B36="","",VLOOKUP(B36,非_係数!$B$5:$K$36,6,FALSE))</f>
        <v/>
      </c>
      <c r="Z36" s="423" t="str">
        <f t="shared" si="9"/>
        <v/>
      </c>
      <c r="AA36" s="422" t="str">
        <f>IF(B36="","",VLOOKUP(B36,非_係数!$B$5:$K$36,7,FALSE))</f>
        <v/>
      </c>
      <c r="AB36" s="422" t="str">
        <f t="shared" si="10"/>
        <v/>
      </c>
      <c r="AC36" s="422" t="str">
        <f>IF(B36="","",VLOOKUP(B36,非_係数!$B$5:$K$36,9,FALSE))</f>
        <v/>
      </c>
      <c r="AD36" s="422" t="str">
        <f t="shared" si="11"/>
        <v/>
      </c>
      <c r="AE36" s="422" t="str">
        <f>IF(B36="","",VLOOKUP(B36,非_まとめ表行番号!$B$3:$D$34,3,FALSE))</f>
        <v/>
      </c>
      <c r="AF36" s="422" t="str">
        <f t="shared" si="2"/>
        <v/>
      </c>
    </row>
    <row r="37" spans="1:32" ht="27.95" customHeight="1">
      <c r="A37" s="466"/>
      <c r="B37" s="467"/>
      <c r="C37" s="467"/>
      <c r="D37" s="418"/>
      <c r="E37" s="467"/>
      <c r="F37" s="467"/>
      <c r="G37" s="509"/>
      <c r="H37" s="443"/>
      <c r="I37" s="518" t="str">
        <f t="shared" si="3"/>
        <v/>
      </c>
      <c r="J37" s="519" t="str">
        <f t="shared" si="4"/>
        <v/>
      </c>
      <c r="K37" s="468" t="str">
        <f>IF(B37="","",VLOOKUP(B37,非_単位!$N$3:$O$34,2,FALSE))</f>
        <v/>
      </c>
      <c r="L37" s="520" t="str">
        <f>IF(B37="","",VLOOKUP(B37,非_係数!$B$5:$F$36,2,FALSE))</f>
        <v/>
      </c>
      <c r="M37" s="521" t="str">
        <f t="shared" si="5"/>
        <v/>
      </c>
      <c r="N37" s="522" t="str">
        <f>IF(B37="","",VLOOKUP(B37,非_係数!$B$5:$F$36,4,FALSE))</f>
        <v/>
      </c>
      <c r="O37" s="523" t="str">
        <f t="shared" si="6"/>
        <v/>
      </c>
      <c r="P37" s="420"/>
      <c r="Q37" s="422" t="str">
        <f t="shared" si="0"/>
        <v/>
      </c>
      <c r="R37" s="422" t="str">
        <f>IF(F37="","",VLOOKUP(F37,非_単位補正換算!$B$3:$C$16,2,FALSE))</f>
        <v/>
      </c>
      <c r="S37" s="422" t="str">
        <f>IF(F37="","",IF(SUMIFS(非_単位補正換算!$D$19:$D$48,非_単位補正換算!$B$19:$B$48,燃料!B37,非_単位補正換算!$C$19:$C$48,燃料!F37)=0,1,SUMIFS(非_単位補正換算!$D$19:$D$48,非_単位補正換算!$B$19:$B$48,燃料!B37,非_単位補正換算!$C$19:$C$48,燃料!F37)))</f>
        <v/>
      </c>
      <c r="T37" s="423" t="str">
        <f t="shared" si="1"/>
        <v/>
      </c>
      <c r="U37" s="423" t="str">
        <f t="shared" si="7"/>
        <v/>
      </c>
      <c r="V37" s="423" t="str">
        <f t="shared" si="8"/>
        <v/>
      </c>
      <c r="W37" s="422" t="str">
        <f>IF(B37="","",VLOOKUP(B37,非_まとめ表行番号!$B$3:$C$34,2,FALSE))</f>
        <v/>
      </c>
      <c r="X37" s="479" t="str">
        <f>IF(W37="","",VLOOKUP(W37,非_まとめ表行番号!$U$3:$V$56,2,FALSE))</f>
        <v/>
      </c>
      <c r="Y37" s="424" t="str">
        <f>IF(B37="","",VLOOKUP(B37,非_係数!$B$5:$K$36,6,FALSE))</f>
        <v/>
      </c>
      <c r="Z37" s="423" t="str">
        <f t="shared" si="9"/>
        <v/>
      </c>
      <c r="AA37" s="422" t="str">
        <f>IF(B37="","",VLOOKUP(B37,非_係数!$B$5:$K$36,7,FALSE))</f>
        <v/>
      </c>
      <c r="AB37" s="422" t="str">
        <f t="shared" si="10"/>
        <v/>
      </c>
      <c r="AC37" s="422" t="str">
        <f>IF(B37="","",VLOOKUP(B37,非_係数!$B$5:$K$36,9,FALSE))</f>
        <v/>
      </c>
      <c r="AD37" s="422" t="str">
        <f t="shared" si="11"/>
        <v/>
      </c>
      <c r="AE37" s="422" t="str">
        <f>IF(B37="","",VLOOKUP(B37,非_まとめ表行番号!$B$3:$D$34,3,FALSE))</f>
        <v/>
      </c>
      <c r="AF37" s="422" t="str">
        <f t="shared" si="2"/>
        <v/>
      </c>
    </row>
    <row r="38" spans="1:32" ht="27.95" customHeight="1">
      <c r="A38" s="466"/>
      <c r="B38" s="467"/>
      <c r="C38" s="467"/>
      <c r="D38" s="418"/>
      <c r="E38" s="467"/>
      <c r="F38" s="467"/>
      <c r="G38" s="509"/>
      <c r="H38" s="443"/>
      <c r="I38" s="518" t="str">
        <f t="shared" si="3"/>
        <v/>
      </c>
      <c r="J38" s="519" t="str">
        <f t="shared" si="4"/>
        <v/>
      </c>
      <c r="K38" s="468" t="str">
        <f>IF(B38="","",VLOOKUP(B38,非_単位!$N$3:$O$34,2,FALSE))</f>
        <v/>
      </c>
      <c r="L38" s="520" t="str">
        <f>IF(B38="","",VLOOKUP(B38,非_係数!$B$5:$F$36,2,FALSE))</f>
        <v/>
      </c>
      <c r="M38" s="521" t="str">
        <f t="shared" si="5"/>
        <v/>
      </c>
      <c r="N38" s="522" t="str">
        <f>IF(B38="","",VLOOKUP(B38,非_係数!$B$5:$F$36,4,FALSE))</f>
        <v/>
      </c>
      <c r="O38" s="523" t="str">
        <f t="shared" si="6"/>
        <v/>
      </c>
      <c r="P38" s="420"/>
      <c r="Q38" s="422" t="str">
        <f t="shared" si="0"/>
        <v/>
      </c>
      <c r="R38" s="422" t="str">
        <f>IF(F38="","",VLOOKUP(F38,非_単位補正換算!$B$3:$C$16,2,FALSE))</f>
        <v/>
      </c>
      <c r="S38" s="422" t="str">
        <f>IF(F38="","",IF(SUMIFS(非_単位補正換算!$D$19:$D$48,非_単位補正換算!$B$19:$B$48,燃料!B38,非_単位補正換算!$C$19:$C$48,燃料!F38)=0,1,SUMIFS(非_単位補正換算!$D$19:$D$48,非_単位補正換算!$B$19:$B$48,燃料!B38,非_単位補正換算!$C$19:$C$48,燃料!F38)))</f>
        <v/>
      </c>
      <c r="T38" s="423" t="str">
        <f t="shared" si="1"/>
        <v/>
      </c>
      <c r="U38" s="423" t="str">
        <f t="shared" si="7"/>
        <v/>
      </c>
      <c r="V38" s="423" t="str">
        <f t="shared" si="8"/>
        <v/>
      </c>
      <c r="W38" s="422" t="str">
        <f>IF(B38="","",VLOOKUP(B38,非_まとめ表行番号!$B$3:$C$34,2,FALSE))</f>
        <v/>
      </c>
      <c r="X38" s="479" t="str">
        <f>IF(W38="","",VLOOKUP(W38,非_まとめ表行番号!$U$3:$V$56,2,FALSE))</f>
        <v/>
      </c>
      <c r="Y38" s="424" t="str">
        <f>IF(B38="","",VLOOKUP(B38,非_係数!$B$5:$K$36,6,FALSE))</f>
        <v/>
      </c>
      <c r="Z38" s="423" t="str">
        <f t="shared" si="9"/>
        <v/>
      </c>
      <c r="AA38" s="422" t="str">
        <f>IF(B38="","",VLOOKUP(B38,非_係数!$B$5:$K$36,7,FALSE))</f>
        <v/>
      </c>
      <c r="AB38" s="422" t="str">
        <f t="shared" si="10"/>
        <v/>
      </c>
      <c r="AC38" s="422" t="str">
        <f>IF(B38="","",VLOOKUP(B38,非_係数!$B$5:$K$36,9,FALSE))</f>
        <v/>
      </c>
      <c r="AD38" s="422" t="str">
        <f t="shared" si="11"/>
        <v/>
      </c>
      <c r="AE38" s="422" t="str">
        <f>IF(B38="","",VLOOKUP(B38,非_まとめ表行番号!$B$3:$D$34,3,FALSE))</f>
        <v/>
      </c>
      <c r="AF38" s="422" t="str">
        <f t="shared" si="2"/>
        <v/>
      </c>
    </row>
    <row r="39" spans="1:32" ht="27.95" customHeight="1">
      <c r="A39" s="466"/>
      <c r="B39" s="467"/>
      <c r="C39" s="467"/>
      <c r="D39" s="418"/>
      <c r="E39" s="467"/>
      <c r="F39" s="467"/>
      <c r="G39" s="509"/>
      <c r="H39" s="443"/>
      <c r="I39" s="518" t="str">
        <f t="shared" si="3"/>
        <v/>
      </c>
      <c r="J39" s="519" t="str">
        <f t="shared" si="4"/>
        <v/>
      </c>
      <c r="K39" s="468" t="str">
        <f>IF(B39="","",VLOOKUP(B39,非_単位!$N$3:$O$34,2,FALSE))</f>
        <v/>
      </c>
      <c r="L39" s="520" t="str">
        <f>IF(B39="","",VLOOKUP(B39,非_係数!$B$5:$F$36,2,FALSE))</f>
        <v/>
      </c>
      <c r="M39" s="521" t="str">
        <f t="shared" si="5"/>
        <v/>
      </c>
      <c r="N39" s="522" t="str">
        <f>IF(B39="","",VLOOKUP(B39,非_係数!$B$5:$F$36,4,FALSE))</f>
        <v/>
      </c>
      <c r="O39" s="523" t="str">
        <f t="shared" si="6"/>
        <v/>
      </c>
      <c r="P39" s="420"/>
      <c r="Q39" s="422" t="str">
        <f t="shared" si="0"/>
        <v/>
      </c>
      <c r="R39" s="422" t="str">
        <f>IF(F39="","",VLOOKUP(F39,非_単位補正換算!$B$3:$C$16,2,FALSE))</f>
        <v/>
      </c>
      <c r="S39" s="422" t="str">
        <f>IF(F39="","",IF(SUMIFS(非_単位補正換算!$D$19:$D$48,非_単位補正換算!$B$19:$B$48,燃料!B39,非_単位補正換算!$C$19:$C$48,燃料!F39)=0,1,SUMIFS(非_単位補正換算!$D$19:$D$48,非_単位補正換算!$B$19:$B$48,燃料!B39,非_単位補正換算!$C$19:$C$48,燃料!F39)))</f>
        <v/>
      </c>
      <c r="T39" s="423" t="str">
        <f t="shared" si="1"/>
        <v/>
      </c>
      <c r="U39" s="423" t="str">
        <f t="shared" si="7"/>
        <v/>
      </c>
      <c r="V39" s="423" t="str">
        <f t="shared" si="8"/>
        <v/>
      </c>
      <c r="W39" s="422" t="str">
        <f>IF(B39="","",VLOOKUP(B39,非_まとめ表行番号!$B$3:$C$34,2,FALSE))</f>
        <v/>
      </c>
      <c r="X39" s="479" t="str">
        <f>IF(W39="","",VLOOKUP(W39,非_まとめ表行番号!$U$3:$V$56,2,FALSE))</f>
        <v/>
      </c>
      <c r="Y39" s="424" t="str">
        <f>IF(B39="","",VLOOKUP(B39,非_係数!$B$5:$K$36,6,FALSE))</f>
        <v/>
      </c>
      <c r="Z39" s="423" t="str">
        <f t="shared" si="9"/>
        <v/>
      </c>
      <c r="AA39" s="422" t="str">
        <f>IF(B39="","",VLOOKUP(B39,非_係数!$B$5:$K$36,7,FALSE))</f>
        <v/>
      </c>
      <c r="AB39" s="422" t="str">
        <f t="shared" si="10"/>
        <v/>
      </c>
      <c r="AC39" s="422" t="str">
        <f>IF(B39="","",VLOOKUP(B39,非_係数!$B$5:$K$36,9,FALSE))</f>
        <v/>
      </c>
      <c r="AD39" s="422" t="str">
        <f t="shared" si="11"/>
        <v/>
      </c>
      <c r="AE39" s="422" t="str">
        <f>IF(B39="","",VLOOKUP(B39,非_まとめ表行番号!$B$3:$D$34,3,FALSE))</f>
        <v/>
      </c>
      <c r="AF39" s="422" t="str">
        <f t="shared" si="2"/>
        <v/>
      </c>
    </row>
    <row r="40" spans="1:32" ht="27.95" customHeight="1">
      <c r="A40" s="466"/>
      <c r="B40" s="467"/>
      <c r="C40" s="467"/>
      <c r="D40" s="418"/>
      <c r="E40" s="467"/>
      <c r="F40" s="467"/>
      <c r="G40" s="509"/>
      <c r="H40" s="443"/>
      <c r="I40" s="518" t="str">
        <f>IF(G40="","",IF(H40="",G40,G40*H40))</f>
        <v/>
      </c>
      <c r="J40" s="519" t="str">
        <f t="shared" si="4"/>
        <v/>
      </c>
      <c r="K40" s="468" t="str">
        <f>IF(B40="","",VLOOKUP(B40,非_単位!$N$3:$O$34,2,FALSE))</f>
        <v/>
      </c>
      <c r="L40" s="520" t="str">
        <f>IF(B40="","",VLOOKUP(B40,非_係数!$B$5:$F$36,2,FALSE))</f>
        <v/>
      </c>
      <c r="M40" s="521" t="str">
        <f t="shared" si="5"/>
        <v/>
      </c>
      <c r="N40" s="522" t="str">
        <f>IF(B40="","",VLOOKUP(B40,非_係数!$B$5:$F$36,4,FALSE))</f>
        <v/>
      </c>
      <c r="O40" s="523" t="str">
        <f t="shared" si="6"/>
        <v/>
      </c>
      <c r="P40" s="420"/>
      <c r="Q40" s="422" t="str">
        <f t="shared" si="0"/>
        <v/>
      </c>
      <c r="R40" s="422" t="str">
        <f>IF(F40="","",VLOOKUP(F40,非_単位補正換算!$B$3:$C$16,2,FALSE))</f>
        <v/>
      </c>
      <c r="S40" s="422" t="str">
        <f>IF(F40="","",IF(SUMIFS(非_単位補正換算!$D$19:$D$48,非_単位補正換算!$B$19:$B$48,燃料!B40,非_単位補正換算!$C$19:$C$48,燃料!F40)=0,1,SUMIFS(非_単位補正換算!$D$19:$D$48,非_単位補正換算!$B$19:$B$48,燃料!B40,非_単位補正換算!$C$19:$C$48,燃料!F40)))</f>
        <v/>
      </c>
      <c r="T40" s="423" t="str">
        <f t="shared" si="1"/>
        <v/>
      </c>
      <c r="U40" s="423" t="str">
        <f t="shared" si="7"/>
        <v/>
      </c>
      <c r="V40" s="423" t="str">
        <f t="shared" si="8"/>
        <v/>
      </c>
      <c r="W40" s="422" t="str">
        <f>IF(B40="","",VLOOKUP(B40,非_まとめ表行番号!$B$3:$C$34,2,FALSE))</f>
        <v/>
      </c>
      <c r="X40" s="479" t="str">
        <f>IF(W40="","",VLOOKUP(W40,非_まとめ表行番号!$U$3:$V$56,2,FALSE))</f>
        <v/>
      </c>
      <c r="Y40" s="424" t="str">
        <f>IF(B40="","",VLOOKUP(B40,非_係数!$B$5:$K$36,6,FALSE))</f>
        <v/>
      </c>
      <c r="Z40" s="423" t="str">
        <f t="shared" si="9"/>
        <v/>
      </c>
      <c r="AA40" s="422" t="str">
        <f>IF(B40="","",VLOOKUP(B40,非_係数!$B$5:$K$36,7,FALSE))</f>
        <v/>
      </c>
      <c r="AB40" s="422" t="str">
        <f t="shared" si="10"/>
        <v/>
      </c>
      <c r="AC40" s="422" t="str">
        <f>IF(B40="","",VLOOKUP(B40,非_係数!$B$5:$K$36,9,FALSE))</f>
        <v/>
      </c>
      <c r="AD40" s="422" t="str">
        <f t="shared" si="11"/>
        <v/>
      </c>
      <c r="AE40" s="422" t="str">
        <f>IF(B40="","",VLOOKUP(B40,非_まとめ表行番号!$B$3:$D$34,3,FALSE))</f>
        <v/>
      </c>
      <c r="AF40" s="422" t="str">
        <f t="shared" si="2"/>
        <v/>
      </c>
    </row>
    <row r="41" spans="1:32" ht="27.95" customHeight="1">
      <c r="A41" s="466"/>
      <c r="B41" s="467"/>
      <c r="C41" s="467"/>
      <c r="D41" s="418"/>
      <c r="E41" s="467"/>
      <c r="F41" s="467"/>
      <c r="G41" s="509"/>
      <c r="H41" s="443"/>
      <c r="I41" s="518" t="str">
        <f t="shared" si="3"/>
        <v/>
      </c>
      <c r="J41" s="519" t="str">
        <f t="shared" ref="J41" si="12">IF(T41="","",T41)</f>
        <v/>
      </c>
      <c r="K41" s="468" t="str">
        <f>IF(B41="","",VLOOKUP(B41,非_単位!$N$3:$O$34,2,FALSE))</f>
        <v/>
      </c>
      <c r="L41" s="520" t="str">
        <f>IF(B41="","",VLOOKUP(B41,非_係数!$B$5:$F$36,2,FALSE))</f>
        <v/>
      </c>
      <c r="M41" s="521" t="str">
        <f t="shared" ref="M41" si="13">U41</f>
        <v/>
      </c>
      <c r="N41" s="522" t="str">
        <f>IF(B41="","",VLOOKUP(B41,非_係数!$B$5:$F$36,4,FALSE))</f>
        <v/>
      </c>
      <c r="O41" s="523" t="str">
        <f t="shared" ref="O41" si="14">V41</f>
        <v/>
      </c>
      <c r="P41" s="420"/>
      <c r="Q41" s="422" t="str">
        <f t="shared" si="0"/>
        <v/>
      </c>
      <c r="R41" s="422" t="str">
        <f>IF(F41="","",VLOOKUP(F41,非_単位補正換算!$B$3:$C$16,2,FALSE))</f>
        <v/>
      </c>
      <c r="S41" s="422" t="str">
        <f>IF(F41="","",IF(SUMIFS(非_単位補正換算!$D$19:$D$48,非_単位補正換算!$B$19:$B$48,燃料!B41,非_単位補正換算!$C$19:$C$48,燃料!F41)=0,1,SUMIFS(非_単位補正換算!$D$19:$D$48,非_単位補正換算!$B$19:$B$48,燃料!B41,非_単位補正換算!$C$19:$C$48,燃料!F41)))</f>
        <v/>
      </c>
      <c r="T41" s="423" t="str">
        <f t="shared" si="1"/>
        <v/>
      </c>
      <c r="U41" s="423" t="str">
        <f t="shared" ref="U41" si="15">IF(AND(L41&lt;&gt;"",T41&lt;&gt;""),T41*L41,"")</f>
        <v/>
      </c>
      <c r="V41" s="423" t="str">
        <f t="shared" ref="V41" si="16">IF(AND(N41&lt;&gt;"",T41&lt;&gt;"",L41&lt;&gt;""),T41*L41*N41*44/12,"")</f>
        <v/>
      </c>
      <c r="W41" s="422" t="str">
        <f>IF(B41="","",VLOOKUP(B41,非_まとめ表行番号!$B$3:$C$34,2,FALSE))</f>
        <v/>
      </c>
      <c r="X41" s="479" t="str">
        <f>IF(W41="","",VLOOKUP(W41,非_まとめ表行番号!$U$3:$V$56,2,FALSE))</f>
        <v/>
      </c>
      <c r="Y41" s="424" t="str">
        <f>IF(B41="","",VLOOKUP(B41,非_係数!$B$5:$K$36,6,FALSE))</f>
        <v/>
      </c>
      <c r="Z41" s="423" t="str">
        <f t="shared" ref="Z41" si="17">IF(T41="","",T41*Y41)</f>
        <v/>
      </c>
      <c r="AA41" s="422" t="str">
        <f>IF(B41="","",VLOOKUP(B41,非_係数!$B$5:$K$36,7,FALSE))</f>
        <v/>
      </c>
      <c r="AB41" s="422" t="str">
        <f t="shared" ref="AB41" si="18">IF(Z41="","",Z41*AA41)</f>
        <v/>
      </c>
      <c r="AC41" s="422" t="str">
        <f>IF(B41="","",VLOOKUP(B41,非_係数!$B$5:$K$36,9,FALSE))</f>
        <v/>
      </c>
      <c r="AD41" s="422" t="str">
        <f t="shared" ref="AD41" si="19">IF(AB41="","",AB41*AC41*44/12)</f>
        <v/>
      </c>
      <c r="AE41" s="422" t="str">
        <f>IF(B41="","",VLOOKUP(B41,非_まとめ表行番号!$B$3:$D$34,3,FALSE))</f>
        <v/>
      </c>
      <c r="AF41" s="422" t="str">
        <f t="shared" si="2"/>
        <v/>
      </c>
    </row>
    <row r="42" spans="1:32" ht="27.95" customHeight="1">
      <c r="A42" s="466"/>
      <c r="B42" s="467"/>
      <c r="C42" s="467"/>
      <c r="D42" s="418"/>
      <c r="E42" s="467"/>
      <c r="F42" s="467"/>
      <c r="G42" s="509"/>
      <c r="H42" s="443"/>
      <c r="I42" s="518" t="str">
        <f t="shared" si="3"/>
        <v/>
      </c>
      <c r="J42" s="519" t="str">
        <f t="shared" ref="J42" si="20">IF(T42="","",T42)</f>
        <v/>
      </c>
      <c r="K42" s="468" t="str">
        <f>IF(B42="","",VLOOKUP(B42,非_単位!$N$3:$O$34,2,FALSE))</f>
        <v/>
      </c>
      <c r="L42" s="520" t="str">
        <f>IF(B42="","",VLOOKUP(B42,非_係数!$B$5:$F$36,2,FALSE))</f>
        <v/>
      </c>
      <c r="M42" s="521" t="str">
        <f t="shared" ref="M42" si="21">U42</f>
        <v/>
      </c>
      <c r="N42" s="522" t="str">
        <f>IF(B42="","",VLOOKUP(B42,非_係数!$B$5:$F$36,4,FALSE))</f>
        <v/>
      </c>
      <c r="O42" s="523" t="str">
        <f t="shared" ref="O42" si="22">V42</f>
        <v/>
      </c>
      <c r="P42" s="420"/>
      <c r="Q42" s="422" t="str">
        <f t="shared" si="0"/>
        <v/>
      </c>
      <c r="R42" s="422" t="str">
        <f>IF(F42="","",VLOOKUP(F42,非_単位補正換算!$B$3:$C$16,2,FALSE))</f>
        <v/>
      </c>
      <c r="S42" s="422" t="str">
        <f>IF(F42="","",IF(SUMIFS(非_単位補正換算!$D$19:$D$48,非_単位補正換算!$B$19:$B$48,燃料!B42,非_単位補正換算!$C$19:$C$48,燃料!F42)=0,1,SUMIFS(非_単位補正換算!$D$19:$D$48,非_単位補正換算!$B$19:$B$48,燃料!B42,非_単位補正換算!$C$19:$C$48,燃料!F42)))</f>
        <v/>
      </c>
      <c r="T42" s="423" t="str">
        <f t="shared" si="1"/>
        <v/>
      </c>
      <c r="U42" s="423" t="str">
        <f t="shared" ref="U42" si="23">IF(AND(L42&lt;&gt;"",T42&lt;&gt;""),T42*L42,"")</f>
        <v/>
      </c>
      <c r="V42" s="423" t="str">
        <f t="shared" ref="V42" si="24">IF(AND(N42&lt;&gt;"",T42&lt;&gt;"",L42&lt;&gt;""),T42*L42*N42*44/12,"")</f>
        <v/>
      </c>
      <c r="W42" s="422" t="str">
        <f>IF(B42="","",VLOOKUP(B42,非_まとめ表行番号!$B$3:$C$34,2,FALSE))</f>
        <v/>
      </c>
      <c r="X42" s="479" t="str">
        <f>IF(W42="","",VLOOKUP(W42,非_まとめ表行番号!$U$3:$V$56,2,FALSE))</f>
        <v/>
      </c>
      <c r="Y42" s="424" t="str">
        <f>IF(B42="","",VLOOKUP(B42,非_係数!$B$5:$K$36,6,FALSE))</f>
        <v/>
      </c>
      <c r="Z42" s="423" t="str">
        <f t="shared" ref="Z42" si="25">IF(T42="","",T42*Y42)</f>
        <v/>
      </c>
      <c r="AA42" s="422" t="str">
        <f>IF(B42="","",VLOOKUP(B42,非_係数!$B$5:$K$36,7,FALSE))</f>
        <v/>
      </c>
      <c r="AB42" s="422" t="str">
        <f t="shared" ref="AB42" si="26">IF(Z42="","",Z42*AA42)</f>
        <v/>
      </c>
      <c r="AC42" s="422" t="str">
        <f>IF(B42="","",VLOOKUP(B42,非_係数!$B$5:$K$36,9,FALSE))</f>
        <v/>
      </c>
      <c r="AD42" s="422" t="str">
        <f t="shared" ref="AD42" si="27">IF(AB42="","",AB42*AC42*44/12)</f>
        <v/>
      </c>
      <c r="AE42" s="422" t="str">
        <f>IF(B42="","",VLOOKUP(B42,非_まとめ表行番号!$B$3:$D$34,3,FALSE))</f>
        <v/>
      </c>
      <c r="AF42" s="422" t="str">
        <f t="shared" si="2"/>
        <v/>
      </c>
    </row>
    <row r="43" spans="1:32" ht="27.95" customHeight="1" thickBot="1">
      <c r="A43" s="469"/>
      <c r="B43" s="470"/>
      <c r="C43" s="470"/>
      <c r="D43" s="566"/>
      <c r="E43" s="470"/>
      <c r="F43" s="470"/>
      <c r="G43" s="510"/>
      <c r="H43" s="471"/>
      <c r="I43" s="524" t="str">
        <f t="shared" si="3"/>
        <v/>
      </c>
      <c r="J43" s="525" t="str">
        <f t="shared" si="4"/>
        <v/>
      </c>
      <c r="K43" s="472" t="str">
        <f>IF(B43="","",VLOOKUP(B43,非_単位!$N$3:$O$34,2,FALSE))</f>
        <v/>
      </c>
      <c r="L43" s="526" t="str">
        <f>IF(B43="","",VLOOKUP(B43,非_係数!$B$5:$F$36,2,FALSE))</f>
        <v/>
      </c>
      <c r="M43" s="527" t="str">
        <f t="shared" si="5"/>
        <v/>
      </c>
      <c r="N43" s="528" t="str">
        <f>IF(B43="","",VLOOKUP(B43,非_係数!$B$5:$F$36,4,FALSE))</f>
        <v/>
      </c>
      <c r="O43" s="529" t="str">
        <f t="shared" si="6"/>
        <v/>
      </c>
      <c r="P43" s="420"/>
      <c r="Q43" s="422" t="str">
        <f t="shared" si="0"/>
        <v/>
      </c>
      <c r="R43" s="422" t="str">
        <f>IF(F43="","",VLOOKUP(F43,非_単位補正換算!$B$3:$C$16,2,FALSE))</f>
        <v/>
      </c>
      <c r="S43" s="422" t="str">
        <f>IF(F43="","",IF(SUMIFS(非_単位補正換算!$D$19:$D$48,非_単位補正換算!$B$19:$B$48,燃料!B43,非_単位補正換算!$C$19:$C$48,燃料!F43)=0,1,SUMIFS(非_単位補正換算!$D$19:$D$48,非_単位補正換算!$B$19:$B$48,燃料!B43,非_単位補正換算!$C$19:$C$48,燃料!F43)))</f>
        <v/>
      </c>
      <c r="T43" s="423" t="str">
        <f t="shared" si="1"/>
        <v/>
      </c>
      <c r="U43" s="423" t="str">
        <f t="shared" si="7"/>
        <v/>
      </c>
      <c r="V43" s="423" t="str">
        <f t="shared" si="8"/>
        <v/>
      </c>
      <c r="W43" s="422" t="str">
        <f>IF(B43="","",VLOOKUP(B43,非_まとめ表行番号!$B$3:$C$34,2,FALSE))</f>
        <v/>
      </c>
      <c r="X43" s="479" t="str">
        <f>IF(W43="","",VLOOKUP(W43,非_まとめ表行番号!$U$3:$V$56,2,FALSE))</f>
        <v/>
      </c>
      <c r="Y43" s="424" t="str">
        <f>IF(B43="","",VLOOKUP(B43,非_係数!$B$5:$K$36,6,FALSE))</f>
        <v/>
      </c>
      <c r="Z43" s="423" t="str">
        <f t="shared" si="9"/>
        <v/>
      </c>
      <c r="AA43" s="422" t="str">
        <f>IF(B43="","",VLOOKUP(B43,非_係数!$B$5:$K$36,7,FALSE))</f>
        <v/>
      </c>
      <c r="AB43" s="422" t="str">
        <f t="shared" si="10"/>
        <v/>
      </c>
      <c r="AC43" s="422" t="str">
        <f>IF(B43="","",VLOOKUP(B43,非_係数!$B$5:$K$36,9,FALSE))</f>
        <v/>
      </c>
      <c r="AD43" s="422" t="str">
        <f t="shared" si="11"/>
        <v/>
      </c>
      <c r="AE43" s="422" t="str">
        <f>IF(B43="","",VLOOKUP(B43,非_まとめ表行番号!$B$3:$D$34,3,FALSE))</f>
        <v/>
      </c>
      <c r="AF43" s="422" t="str">
        <f t="shared" si="2"/>
        <v/>
      </c>
    </row>
    <row r="44" spans="1:32" ht="27.95" customHeight="1" thickTop="1" thickBot="1">
      <c r="A44" s="299" t="s">
        <v>2015</v>
      </c>
      <c r="B44" s="300"/>
      <c r="C44" s="300"/>
      <c r="D44" s="300"/>
      <c r="E44" s="300"/>
      <c r="F44" s="300"/>
      <c r="G44" s="300"/>
      <c r="H44" s="300"/>
      <c r="I44" s="300"/>
      <c r="J44" s="300"/>
      <c r="K44" s="300"/>
      <c r="L44" s="300"/>
      <c r="M44" s="300"/>
      <c r="N44" s="300"/>
      <c r="O44" s="301"/>
      <c r="P44" s="420"/>
      <c r="T44" s="421"/>
      <c r="U44" s="421"/>
      <c r="V44" s="421"/>
    </row>
    <row r="45" spans="1:32" ht="27.95" customHeight="1" thickTop="1">
      <c r="A45" s="462"/>
      <c r="B45" s="463"/>
      <c r="C45" s="463"/>
      <c r="D45" s="565"/>
      <c r="E45" s="463"/>
      <c r="F45" s="463"/>
      <c r="G45" s="508"/>
      <c r="H45" s="464"/>
      <c r="I45" s="512" t="str">
        <f>IF(G45="","",IF(H45="",G45,G45*H45))</f>
        <v/>
      </c>
      <c r="J45" s="513" t="str">
        <f>IF(T45="","",-1*T45)</f>
        <v/>
      </c>
      <c r="K45" s="465" t="str">
        <f>IF(B45="","",VLOOKUP(B45,非_単位!$N$3:$O$34,2,FALSE))</f>
        <v/>
      </c>
      <c r="L45" s="514" t="str">
        <f>IF(B45="","",VLOOKUP(B45,非_係数!$B$5:$F$36,2,FALSE))</f>
        <v/>
      </c>
      <c r="M45" s="515" t="str">
        <f>IF(U45="","",-1*U45)</f>
        <v/>
      </c>
      <c r="N45" s="516" t="str">
        <f>IF(B45="","",VLOOKUP(B45,非_係数!$B$5:$F$36,4,FALSE))</f>
        <v/>
      </c>
      <c r="O45" s="517" t="str">
        <f>IF(V45="","",-1*V45)</f>
        <v/>
      </c>
      <c r="P45" s="420"/>
      <c r="Q45" s="422" t="str">
        <f t="shared" ref="Q45:Q59" si="28">IF(A45="","","燃料種選択")</f>
        <v/>
      </c>
      <c r="R45" s="422" t="str">
        <f>IF(F45="","",VLOOKUP(F45,非_単位補正換算!$B$3:$C$16,2,FALSE))</f>
        <v/>
      </c>
      <c r="S45" s="422" t="str">
        <f>IF(F45="","",IF(SUMIFS(非_単位補正換算!$D$19:$D$48,非_単位補正換算!$B$19:$B$48,燃料!B45,非_単位補正換算!$C$19:$C$48,燃料!F45)=0,1,SUMIFS(非_単位補正換算!$D$19:$D$48,非_単位補正換算!$B$19:$B$48,燃料!B45,非_単位補正換算!$C$19:$C$48,燃料!F45)))</f>
        <v/>
      </c>
      <c r="T45" s="423" t="str">
        <f t="shared" ref="T45:T59" si="29">IF(AND(I45&lt;&gt;"",R45&lt;&gt;"",S45&lt;&gt;""),-1*I45/R45*S45,"")</f>
        <v/>
      </c>
      <c r="U45" s="423" t="str">
        <f t="shared" si="7"/>
        <v/>
      </c>
      <c r="V45" s="423" t="str">
        <f t="shared" si="8"/>
        <v/>
      </c>
      <c r="W45" s="422" t="str">
        <f>IF(B45="","",VLOOKUP(B45,非_まとめ表行番号!$B$3:$C$34,2,FALSE))</f>
        <v/>
      </c>
      <c r="X45" s="479" t="str">
        <f>IF(W45="","",VLOOKUP(W45,非_まとめ表行番号!$U$3:$V$56,2,FALSE))</f>
        <v/>
      </c>
      <c r="Y45" s="424" t="str">
        <f>IF(B45="","",VLOOKUP(B45,非_係数!$B$5:$K$36,6,FALSE))</f>
        <v/>
      </c>
      <c r="Z45" s="423" t="str">
        <f t="shared" si="9"/>
        <v/>
      </c>
      <c r="AA45" s="422" t="str">
        <f>IF(B45="","",VLOOKUP(B45,非_係数!$B$5:$K$36,7,FALSE))</f>
        <v/>
      </c>
      <c r="AB45" s="422" t="str">
        <f>IF(Z45="","",Z45*AA45)</f>
        <v/>
      </c>
      <c r="AC45" s="422" t="str">
        <f>IF(B45="","",VLOOKUP(B45,非_係数!$B$5:$K$36,9,FALSE))</f>
        <v/>
      </c>
      <c r="AD45" s="422" t="str">
        <f>IF(AB45="","",AB45*AC45*44/12)</f>
        <v/>
      </c>
      <c r="AE45" s="422" t="str">
        <f>IF(B45="","",VLOOKUP(B45,非_まとめ表行番号!$B$3:$D$34,3,FALSE))</f>
        <v/>
      </c>
      <c r="AF45" s="422" t="str">
        <f t="shared" ref="AF45:AF59" si="30">IF(E45="無","乗率_除外する排出量","")</f>
        <v/>
      </c>
    </row>
    <row r="46" spans="1:32" ht="27.95" customHeight="1">
      <c r="A46" s="466"/>
      <c r="B46" s="467"/>
      <c r="C46" s="467"/>
      <c r="D46" s="418"/>
      <c r="E46" s="467"/>
      <c r="F46" s="467"/>
      <c r="G46" s="509"/>
      <c r="H46" s="443"/>
      <c r="I46" s="518" t="str">
        <f t="shared" ref="I46:I58" si="31">IF(G46="","",IF(H46="",G46,G46*H46))</f>
        <v/>
      </c>
      <c r="J46" s="519" t="str">
        <f t="shared" ref="J46:J59" si="32">IF(T46="","",-1*T46)</f>
        <v/>
      </c>
      <c r="K46" s="468" t="str">
        <f>IF(B46="","",VLOOKUP(B46,非_単位!$N$3:$O$34,2,FALSE))</f>
        <v/>
      </c>
      <c r="L46" s="520" t="str">
        <f>IF(B46="","",VLOOKUP(B46,非_係数!$B$5:$F$36,2,FALSE))</f>
        <v/>
      </c>
      <c r="M46" s="521" t="str">
        <f t="shared" ref="M46:M59" si="33">IF(U46="","",-1*U46)</f>
        <v/>
      </c>
      <c r="N46" s="522" t="str">
        <f>IF(B46="","",VLOOKUP(B46,非_係数!$B$5:$F$36,4,FALSE))</f>
        <v/>
      </c>
      <c r="O46" s="523" t="str">
        <f t="shared" ref="O46:O59" si="34">IF(V46="","",-1*V46)</f>
        <v/>
      </c>
      <c r="P46" s="420"/>
      <c r="Q46" s="422" t="str">
        <f t="shared" si="28"/>
        <v/>
      </c>
      <c r="R46" s="422" t="str">
        <f>IF(F46="","",VLOOKUP(F46,非_単位補正換算!$B$3:$C$16,2,FALSE))</f>
        <v/>
      </c>
      <c r="S46" s="422" t="str">
        <f>IF(F46="","",IF(SUMIFS(非_単位補正換算!$D$19:$D$48,非_単位補正換算!$B$19:$B$48,燃料!B46,非_単位補正換算!$C$19:$C$48,燃料!F46)=0,1,SUMIFS(非_単位補正換算!$D$19:$D$48,非_単位補正換算!$B$19:$B$48,燃料!B46,非_単位補正換算!$C$19:$C$48,燃料!F46)))</f>
        <v/>
      </c>
      <c r="T46" s="423" t="str">
        <f t="shared" si="29"/>
        <v/>
      </c>
      <c r="U46" s="423" t="str">
        <f t="shared" si="7"/>
        <v/>
      </c>
      <c r="V46" s="423" t="str">
        <f t="shared" si="8"/>
        <v/>
      </c>
      <c r="W46" s="422" t="str">
        <f>IF(B46="","",VLOOKUP(B46,非_まとめ表行番号!$B$3:$C$34,2,FALSE))</f>
        <v/>
      </c>
      <c r="X46" s="479" t="str">
        <f>IF(W46="","",VLOOKUP(W46,非_まとめ表行番号!$U$3:$V$56,2,FALSE))</f>
        <v/>
      </c>
      <c r="Y46" s="424" t="str">
        <f>IF(B46="","",VLOOKUP(B46,非_係数!$B$5:$K$36,6,FALSE))</f>
        <v/>
      </c>
      <c r="Z46" s="423" t="str">
        <f t="shared" si="9"/>
        <v/>
      </c>
      <c r="AA46" s="422" t="str">
        <f>IF(B46="","",VLOOKUP(B46,非_係数!$B$5:$K$36,7,FALSE))</f>
        <v/>
      </c>
      <c r="AB46" s="422" t="str">
        <f t="shared" ref="AB46:AB59" si="35">IF(Z46="","",Z46*AA46)</f>
        <v/>
      </c>
      <c r="AC46" s="422" t="str">
        <f>IF(B46="","",VLOOKUP(B46,非_係数!$B$5:$K$36,9,FALSE))</f>
        <v/>
      </c>
      <c r="AD46" s="422" t="str">
        <f t="shared" ref="AD46:AD59" si="36">IF(AB46="","",AB46*AC46*44/12)</f>
        <v/>
      </c>
      <c r="AE46" s="422" t="str">
        <f>IF(B46="","",VLOOKUP(B46,非_まとめ表行番号!$B$3:$D$34,3,FALSE))</f>
        <v/>
      </c>
      <c r="AF46" s="422" t="str">
        <f t="shared" si="30"/>
        <v/>
      </c>
    </row>
    <row r="47" spans="1:32" ht="27.95" customHeight="1">
      <c r="A47" s="466"/>
      <c r="B47" s="467"/>
      <c r="C47" s="467"/>
      <c r="D47" s="418"/>
      <c r="E47" s="467"/>
      <c r="F47" s="467"/>
      <c r="G47" s="509"/>
      <c r="H47" s="443"/>
      <c r="I47" s="530" t="str">
        <f t="shared" si="31"/>
        <v/>
      </c>
      <c r="J47" s="519" t="str">
        <f t="shared" si="32"/>
        <v/>
      </c>
      <c r="K47" s="468" t="str">
        <f>IF(B47="","",VLOOKUP(B47,非_単位!$N$3:$O$34,2,FALSE))</f>
        <v/>
      </c>
      <c r="L47" s="520" t="str">
        <f>IF(B47="","",VLOOKUP(B47,非_係数!$B$5:$F$36,2,FALSE))</f>
        <v/>
      </c>
      <c r="M47" s="521" t="str">
        <f t="shared" si="33"/>
        <v/>
      </c>
      <c r="N47" s="522" t="str">
        <f>IF(B47="","",VLOOKUP(B47,非_係数!$B$5:$F$36,4,FALSE))</f>
        <v/>
      </c>
      <c r="O47" s="523" t="str">
        <f t="shared" si="34"/>
        <v/>
      </c>
      <c r="P47" s="420"/>
      <c r="Q47" s="422" t="str">
        <f t="shared" si="28"/>
        <v/>
      </c>
      <c r="R47" s="422" t="str">
        <f>IF(F47="","",VLOOKUP(F47,非_単位補正換算!$B$3:$C$16,2,FALSE))</f>
        <v/>
      </c>
      <c r="S47" s="422" t="str">
        <f>IF(F47="","",IF(SUMIFS(非_単位補正換算!$D$19:$D$48,非_単位補正換算!$B$19:$B$48,燃料!B47,非_単位補正換算!$C$19:$C$48,燃料!F47)=0,1,SUMIFS(非_単位補正換算!$D$19:$D$48,非_単位補正換算!$B$19:$B$48,燃料!B47,非_単位補正換算!$C$19:$C$48,燃料!F47)))</f>
        <v/>
      </c>
      <c r="T47" s="423" t="str">
        <f t="shared" si="29"/>
        <v/>
      </c>
      <c r="U47" s="423" t="str">
        <f t="shared" si="7"/>
        <v/>
      </c>
      <c r="V47" s="423" t="str">
        <f t="shared" si="8"/>
        <v/>
      </c>
      <c r="W47" s="422" t="str">
        <f>IF(B47="","",VLOOKUP(B47,非_まとめ表行番号!$B$3:$C$34,2,FALSE))</f>
        <v/>
      </c>
      <c r="X47" s="479" t="str">
        <f>IF(W47="","",VLOOKUP(W47,非_まとめ表行番号!$U$3:$V$56,2,FALSE))</f>
        <v/>
      </c>
      <c r="Y47" s="424" t="str">
        <f>IF(B47="","",VLOOKUP(B47,非_係数!$B$5:$K$36,6,FALSE))</f>
        <v/>
      </c>
      <c r="Z47" s="423" t="str">
        <f t="shared" si="9"/>
        <v/>
      </c>
      <c r="AA47" s="422" t="str">
        <f>IF(B47="","",VLOOKUP(B47,非_係数!$B$5:$K$36,7,FALSE))</f>
        <v/>
      </c>
      <c r="AB47" s="422" t="str">
        <f t="shared" si="35"/>
        <v/>
      </c>
      <c r="AC47" s="422" t="str">
        <f>IF(B47="","",VLOOKUP(B47,非_係数!$B$5:$K$36,9,FALSE))</f>
        <v/>
      </c>
      <c r="AD47" s="422" t="str">
        <f t="shared" si="36"/>
        <v/>
      </c>
      <c r="AE47" s="422" t="str">
        <f>IF(B47="","",VLOOKUP(B47,非_まとめ表行番号!$B$3:$D$34,3,FALSE))</f>
        <v/>
      </c>
      <c r="AF47" s="422" t="str">
        <f t="shared" si="30"/>
        <v/>
      </c>
    </row>
    <row r="48" spans="1:32" ht="27.95" customHeight="1">
      <c r="A48" s="466"/>
      <c r="B48" s="467"/>
      <c r="C48" s="467"/>
      <c r="D48" s="418"/>
      <c r="E48" s="467"/>
      <c r="F48" s="467"/>
      <c r="G48" s="509"/>
      <c r="H48" s="443"/>
      <c r="I48" s="530" t="str">
        <f t="shared" si="31"/>
        <v/>
      </c>
      <c r="J48" s="519" t="str">
        <f t="shared" si="32"/>
        <v/>
      </c>
      <c r="K48" s="468" t="str">
        <f>IF(B48="","",VLOOKUP(B48,非_単位!$N$3:$O$34,2,FALSE))</f>
        <v/>
      </c>
      <c r="L48" s="520" t="str">
        <f>IF(B48="","",VLOOKUP(B48,非_係数!$B$5:$F$36,2,FALSE))</f>
        <v/>
      </c>
      <c r="M48" s="521" t="str">
        <f t="shared" si="33"/>
        <v/>
      </c>
      <c r="N48" s="522" t="str">
        <f>IF(B48="","",VLOOKUP(B48,非_係数!$B$5:$F$36,4,FALSE))</f>
        <v/>
      </c>
      <c r="O48" s="523" t="str">
        <f t="shared" si="34"/>
        <v/>
      </c>
      <c r="P48" s="420"/>
      <c r="Q48" s="422" t="str">
        <f t="shared" si="28"/>
        <v/>
      </c>
      <c r="R48" s="422" t="str">
        <f>IF(F48="","",VLOOKUP(F48,非_単位補正換算!$B$3:$C$16,2,FALSE))</f>
        <v/>
      </c>
      <c r="S48" s="422" t="str">
        <f>IF(F48="","",IF(SUMIFS(非_単位補正換算!$D$19:$D$48,非_単位補正換算!$B$19:$B$48,燃料!B48,非_単位補正換算!$C$19:$C$48,燃料!F48)=0,1,SUMIFS(非_単位補正換算!$D$19:$D$48,非_単位補正換算!$B$19:$B$48,燃料!B48,非_単位補正換算!$C$19:$C$48,燃料!F48)))</f>
        <v/>
      </c>
      <c r="T48" s="423" t="str">
        <f t="shared" si="29"/>
        <v/>
      </c>
      <c r="U48" s="423" t="str">
        <f t="shared" si="7"/>
        <v/>
      </c>
      <c r="V48" s="423" t="str">
        <f t="shared" si="8"/>
        <v/>
      </c>
      <c r="W48" s="422" t="str">
        <f>IF(B48="","",VLOOKUP(B48,非_まとめ表行番号!$B$3:$C$34,2,FALSE))</f>
        <v/>
      </c>
      <c r="X48" s="479" t="str">
        <f>IF(W48="","",VLOOKUP(W48,非_まとめ表行番号!$U$3:$V$56,2,FALSE))</f>
        <v/>
      </c>
      <c r="Y48" s="424" t="str">
        <f>IF(B48="","",VLOOKUP(B48,非_係数!$B$5:$K$36,6,FALSE))</f>
        <v/>
      </c>
      <c r="Z48" s="423" t="str">
        <f t="shared" si="9"/>
        <v/>
      </c>
      <c r="AA48" s="422" t="str">
        <f>IF(B48="","",VLOOKUP(B48,非_係数!$B$5:$K$36,7,FALSE))</f>
        <v/>
      </c>
      <c r="AB48" s="422" t="str">
        <f t="shared" si="35"/>
        <v/>
      </c>
      <c r="AC48" s="422" t="str">
        <f>IF(B48="","",VLOOKUP(B48,非_係数!$B$5:$K$36,9,FALSE))</f>
        <v/>
      </c>
      <c r="AD48" s="422" t="str">
        <f t="shared" si="36"/>
        <v/>
      </c>
      <c r="AE48" s="422" t="str">
        <f>IF(B48="","",VLOOKUP(B48,非_まとめ表行番号!$B$3:$D$34,3,FALSE))</f>
        <v/>
      </c>
      <c r="AF48" s="422" t="str">
        <f t="shared" si="30"/>
        <v/>
      </c>
    </row>
    <row r="49" spans="1:32" ht="27.95" customHeight="1">
      <c r="A49" s="466"/>
      <c r="B49" s="467"/>
      <c r="C49" s="467"/>
      <c r="D49" s="418"/>
      <c r="E49" s="467"/>
      <c r="F49" s="467"/>
      <c r="G49" s="509"/>
      <c r="H49" s="443"/>
      <c r="I49" s="530" t="str">
        <f t="shared" si="31"/>
        <v/>
      </c>
      <c r="J49" s="519" t="str">
        <f t="shared" si="32"/>
        <v/>
      </c>
      <c r="K49" s="468" t="str">
        <f>IF(B49="","",VLOOKUP(B49,非_単位!$N$3:$O$34,2,FALSE))</f>
        <v/>
      </c>
      <c r="L49" s="520" t="str">
        <f>IF(B49="","",VLOOKUP(B49,非_係数!$B$5:$F$36,2,FALSE))</f>
        <v/>
      </c>
      <c r="M49" s="521" t="str">
        <f t="shared" si="33"/>
        <v/>
      </c>
      <c r="N49" s="522" t="str">
        <f>IF(B49="","",VLOOKUP(B49,非_係数!$B$5:$F$36,4,FALSE))</f>
        <v/>
      </c>
      <c r="O49" s="523" t="str">
        <f t="shared" si="34"/>
        <v/>
      </c>
      <c r="P49" s="420"/>
      <c r="Q49" s="422" t="str">
        <f t="shared" si="28"/>
        <v/>
      </c>
      <c r="R49" s="422" t="str">
        <f>IF(F49="","",VLOOKUP(F49,非_単位補正換算!$B$3:$C$16,2,FALSE))</f>
        <v/>
      </c>
      <c r="S49" s="422" t="str">
        <f>IF(F49="","",IF(SUMIFS(非_単位補正換算!$D$19:$D$48,非_単位補正換算!$B$19:$B$48,燃料!B49,非_単位補正換算!$C$19:$C$48,燃料!F49)=0,1,SUMIFS(非_単位補正換算!$D$19:$D$48,非_単位補正換算!$B$19:$B$48,燃料!B49,非_単位補正換算!$C$19:$C$48,燃料!F49)))</f>
        <v/>
      </c>
      <c r="T49" s="423" t="str">
        <f t="shared" si="29"/>
        <v/>
      </c>
      <c r="U49" s="423" t="str">
        <f t="shared" si="7"/>
        <v/>
      </c>
      <c r="V49" s="423" t="str">
        <f t="shared" si="8"/>
        <v/>
      </c>
      <c r="W49" s="422" t="str">
        <f>IF(B49="","",VLOOKUP(B49,非_まとめ表行番号!$B$3:$C$34,2,FALSE))</f>
        <v/>
      </c>
      <c r="X49" s="479" t="str">
        <f>IF(W49="","",VLOOKUP(W49,非_まとめ表行番号!$U$3:$V$56,2,FALSE))</f>
        <v/>
      </c>
      <c r="Y49" s="424" t="str">
        <f>IF(B49="","",VLOOKUP(B49,非_係数!$B$5:$K$36,6,FALSE))</f>
        <v/>
      </c>
      <c r="Z49" s="423" t="str">
        <f t="shared" si="9"/>
        <v/>
      </c>
      <c r="AA49" s="422" t="str">
        <f>IF(B49="","",VLOOKUP(B49,非_係数!$B$5:$K$36,7,FALSE))</f>
        <v/>
      </c>
      <c r="AB49" s="422" t="str">
        <f t="shared" si="35"/>
        <v/>
      </c>
      <c r="AC49" s="422" t="str">
        <f>IF(B49="","",VLOOKUP(B49,非_係数!$B$5:$K$36,9,FALSE))</f>
        <v/>
      </c>
      <c r="AD49" s="422" t="str">
        <f t="shared" si="36"/>
        <v/>
      </c>
      <c r="AE49" s="422" t="str">
        <f>IF(B49="","",VLOOKUP(B49,非_まとめ表行番号!$B$3:$D$34,3,FALSE))</f>
        <v/>
      </c>
      <c r="AF49" s="422" t="str">
        <f t="shared" si="30"/>
        <v/>
      </c>
    </row>
    <row r="50" spans="1:32" ht="27.95" customHeight="1">
      <c r="A50" s="466"/>
      <c r="B50" s="467"/>
      <c r="C50" s="467"/>
      <c r="D50" s="418"/>
      <c r="E50" s="467"/>
      <c r="F50" s="467"/>
      <c r="G50" s="509"/>
      <c r="H50" s="443"/>
      <c r="I50" s="530" t="str">
        <f t="shared" si="31"/>
        <v/>
      </c>
      <c r="J50" s="519" t="str">
        <f t="shared" si="32"/>
        <v/>
      </c>
      <c r="K50" s="468" t="str">
        <f>IF(B50="","",VLOOKUP(B50,非_単位!$N$3:$O$34,2,FALSE))</f>
        <v/>
      </c>
      <c r="L50" s="520" t="str">
        <f>IF(B50="","",VLOOKUP(B50,非_係数!$B$5:$F$36,2,FALSE))</f>
        <v/>
      </c>
      <c r="M50" s="521" t="str">
        <f t="shared" si="33"/>
        <v/>
      </c>
      <c r="N50" s="522" t="str">
        <f>IF(B50="","",VLOOKUP(B50,非_係数!$B$5:$F$36,4,FALSE))</f>
        <v/>
      </c>
      <c r="O50" s="523" t="str">
        <f t="shared" si="34"/>
        <v/>
      </c>
      <c r="P50" s="420"/>
      <c r="Q50" s="422" t="str">
        <f t="shared" si="28"/>
        <v/>
      </c>
      <c r="R50" s="422" t="str">
        <f>IF(F50="","",VLOOKUP(F50,非_単位補正換算!$B$3:$C$16,2,FALSE))</f>
        <v/>
      </c>
      <c r="S50" s="422" t="str">
        <f>IF(F50="","",IF(SUMIFS(非_単位補正換算!$D$19:$D$48,非_単位補正換算!$B$19:$B$48,燃料!B50,非_単位補正換算!$C$19:$C$48,燃料!F50)=0,1,SUMIFS(非_単位補正換算!$D$19:$D$48,非_単位補正換算!$B$19:$B$48,燃料!B50,非_単位補正換算!$C$19:$C$48,燃料!F50)))</f>
        <v/>
      </c>
      <c r="T50" s="423" t="str">
        <f t="shared" si="29"/>
        <v/>
      </c>
      <c r="U50" s="423" t="str">
        <f t="shared" si="7"/>
        <v/>
      </c>
      <c r="V50" s="423" t="str">
        <f t="shared" si="8"/>
        <v/>
      </c>
      <c r="W50" s="422" t="str">
        <f>IF(B50="","",VLOOKUP(B50,非_まとめ表行番号!$B$3:$C$34,2,FALSE))</f>
        <v/>
      </c>
      <c r="X50" s="479" t="str">
        <f>IF(W50="","",VLOOKUP(W50,非_まとめ表行番号!$U$3:$V$56,2,FALSE))</f>
        <v/>
      </c>
      <c r="Y50" s="424" t="str">
        <f>IF(B50="","",VLOOKUP(B50,非_係数!$B$5:$K$36,6,FALSE))</f>
        <v/>
      </c>
      <c r="Z50" s="423" t="str">
        <f t="shared" si="9"/>
        <v/>
      </c>
      <c r="AA50" s="422" t="str">
        <f>IF(B50="","",VLOOKUP(B50,非_係数!$B$5:$K$36,7,FALSE))</f>
        <v/>
      </c>
      <c r="AB50" s="422" t="str">
        <f t="shared" si="35"/>
        <v/>
      </c>
      <c r="AC50" s="422" t="str">
        <f>IF(B50="","",VLOOKUP(B50,非_係数!$B$5:$K$36,9,FALSE))</f>
        <v/>
      </c>
      <c r="AD50" s="422" t="str">
        <f t="shared" si="36"/>
        <v/>
      </c>
      <c r="AE50" s="422" t="str">
        <f>IF(B50="","",VLOOKUP(B50,非_まとめ表行番号!$B$3:$D$34,3,FALSE))</f>
        <v/>
      </c>
      <c r="AF50" s="422" t="str">
        <f t="shared" si="30"/>
        <v/>
      </c>
    </row>
    <row r="51" spans="1:32" ht="27.95" customHeight="1">
      <c r="A51" s="466"/>
      <c r="B51" s="467"/>
      <c r="C51" s="467"/>
      <c r="D51" s="418"/>
      <c r="E51" s="467"/>
      <c r="F51" s="467"/>
      <c r="G51" s="509"/>
      <c r="H51" s="443"/>
      <c r="I51" s="530" t="str">
        <f t="shared" si="31"/>
        <v/>
      </c>
      <c r="J51" s="519" t="str">
        <f t="shared" si="32"/>
        <v/>
      </c>
      <c r="K51" s="468" t="str">
        <f>IF(B51="","",VLOOKUP(B51,非_単位!$N$3:$O$34,2,FALSE))</f>
        <v/>
      </c>
      <c r="L51" s="520" t="str">
        <f>IF(B51="","",VLOOKUP(B51,非_係数!$B$5:$F$36,2,FALSE))</f>
        <v/>
      </c>
      <c r="M51" s="521" t="str">
        <f t="shared" si="33"/>
        <v/>
      </c>
      <c r="N51" s="522" t="str">
        <f>IF(B51="","",VLOOKUP(B51,非_係数!$B$5:$F$36,4,FALSE))</f>
        <v/>
      </c>
      <c r="O51" s="523" t="str">
        <f t="shared" si="34"/>
        <v/>
      </c>
      <c r="P51" s="420"/>
      <c r="Q51" s="422" t="str">
        <f t="shared" si="28"/>
        <v/>
      </c>
      <c r="R51" s="422" t="str">
        <f>IF(F51="","",VLOOKUP(F51,非_単位補正換算!$B$3:$C$16,2,FALSE))</f>
        <v/>
      </c>
      <c r="S51" s="422" t="str">
        <f>IF(F51="","",IF(SUMIFS(非_単位補正換算!$D$19:$D$48,非_単位補正換算!$B$19:$B$48,燃料!B51,非_単位補正換算!$C$19:$C$48,燃料!F51)=0,1,SUMIFS(非_単位補正換算!$D$19:$D$48,非_単位補正換算!$B$19:$B$48,燃料!B51,非_単位補正換算!$C$19:$C$48,燃料!F51)))</f>
        <v/>
      </c>
      <c r="T51" s="423" t="str">
        <f t="shared" si="29"/>
        <v/>
      </c>
      <c r="U51" s="423" t="str">
        <f t="shared" si="7"/>
        <v/>
      </c>
      <c r="V51" s="423" t="str">
        <f t="shared" si="8"/>
        <v/>
      </c>
      <c r="W51" s="422" t="str">
        <f>IF(B51="","",VLOOKUP(B51,非_まとめ表行番号!$B$3:$C$34,2,FALSE))</f>
        <v/>
      </c>
      <c r="X51" s="479" t="str">
        <f>IF(W51="","",VLOOKUP(W51,非_まとめ表行番号!$U$3:$V$56,2,FALSE))</f>
        <v/>
      </c>
      <c r="Y51" s="424" t="str">
        <f>IF(B51="","",VLOOKUP(B51,非_係数!$B$5:$K$36,6,FALSE))</f>
        <v/>
      </c>
      <c r="Z51" s="423" t="str">
        <f t="shared" si="9"/>
        <v/>
      </c>
      <c r="AA51" s="422" t="str">
        <f>IF(B51="","",VLOOKUP(B51,非_係数!$B$5:$K$36,7,FALSE))</f>
        <v/>
      </c>
      <c r="AB51" s="422" t="str">
        <f t="shared" si="35"/>
        <v/>
      </c>
      <c r="AC51" s="422" t="str">
        <f>IF(B51="","",VLOOKUP(B51,非_係数!$B$5:$K$36,9,FALSE))</f>
        <v/>
      </c>
      <c r="AD51" s="422" t="str">
        <f t="shared" si="36"/>
        <v/>
      </c>
      <c r="AE51" s="422" t="str">
        <f>IF(B51="","",VLOOKUP(B51,非_まとめ表行番号!$B$3:$D$34,3,FALSE))</f>
        <v/>
      </c>
      <c r="AF51" s="422" t="str">
        <f t="shared" si="30"/>
        <v/>
      </c>
    </row>
    <row r="52" spans="1:32" ht="27.95" customHeight="1">
      <c r="A52" s="466"/>
      <c r="B52" s="467"/>
      <c r="C52" s="467"/>
      <c r="D52" s="418"/>
      <c r="E52" s="467"/>
      <c r="F52" s="467"/>
      <c r="G52" s="509"/>
      <c r="H52" s="443"/>
      <c r="I52" s="530" t="str">
        <f t="shared" si="31"/>
        <v/>
      </c>
      <c r="J52" s="519" t="str">
        <f t="shared" si="32"/>
        <v/>
      </c>
      <c r="K52" s="468" t="str">
        <f>IF(B52="","",VLOOKUP(B52,非_単位!$N$3:$O$34,2,FALSE))</f>
        <v/>
      </c>
      <c r="L52" s="520" t="str">
        <f>IF(B52="","",VLOOKUP(B52,非_係数!$B$5:$F$36,2,FALSE))</f>
        <v/>
      </c>
      <c r="M52" s="521" t="str">
        <f t="shared" si="33"/>
        <v/>
      </c>
      <c r="N52" s="522" t="str">
        <f>IF(B52="","",VLOOKUP(B52,非_係数!$B$5:$F$36,4,FALSE))</f>
        <v/>
      </c>
      <c r="O52" s="523" t="str">
        <f t="shared" si="34"/>
        <v/>
      </c>
      <c r="P52" s="420"/>
      <c r="Q52" s="422" t="str">
        <f t="shared" si="28"/>
        <v/>
      </c>
      <c r="R52" s="422" t="str">
        <f>IF(F52="","",VLOOKUP(F52,非_単位補正換算!$B$3:$C$16,2,FALSE))</f>
        <v/>
      </c>
      <c r="S52" s="422" t="str">
        <f>IF(F52="","",IF(SUMIFS(非_単位補正換算!$D$19:$D$48,非_単位補正換算!$B$19:$B$48,燃料!B52,非_単位補正換算!$C$19:$C$48,燃料!F52)=0,1,SUMIFS(非_単位補正換算!$D$19:$D$48,非_単位補正換算!$B$19:$B$48,燃料!B52,非_単位補正換算!$C$19:$C$48,燃料!F52)))</f>
        <v/>
      </c>
      <c r="T52" s="423" t="str">
        <f t="shared" si="29"/>
        <v/>
      </c>
      <c r="U52" s="423" t="str">
        <f t="shared" si="7"/>
        <v/>
      </c>
      <c r="V52" s="423" t="str">
        <f t="shared" si="8"/>
        <v/>
      </c>
      <c r="W52" s="422" t="str">
        <f>IF(B52="","",VLOOKUP(B52,非_まとめ表行番号!$B$3:$C$34,2,FALSE))</f>
        <v/>
      </c>
      <c r="X52" s="479" t="str">
        <f>IF(W52="","",VLOOKUP(W52,非_まとめ表行番号!$U$3:$V$56,2,FALSE))</f>
        <v/>
      </c>
      <c r="Y52" s="424" t="str">
        <f>IF(B52="","",VLOOKUP(B52,非_係数!$B$5:$K$36,6,FALSE))</f>
        <v/>
      </c>
      <c r="Z52" s="423" t="str">
        <f t="shared" si="9"/>
        <v/>
      </c>
      <c r="AA52" s="422" t="str">
        <f>IF(B52="","",VLOOKUP(B52,非_係数!$B$5:$K$36,7,FALSE))</f>
        <v/>
      </c>
      <c r="AB52" s="422" t="str">
        <f t="shared" si="35"/>
        <v/>
      </c>
      <c r="AC52" s="422" t="str">
        <f>IF(B52="","",VLOOKUP(B52,非_係数!$B$5:$K$36,9,FALSE))</f>
        <v/>
      </c>
      <c r="AD52" s="422" t="str">
        <f t="shared" si="36"/>
        <v/>
      </c>
      <c r="AE52" s="422" t="str">
        <f>IF(B52="","",VLOOKUP(B52,非_まとめ表行番号!$B$3:$D$34,3,FALSE))</f>
        <v/>
      </c>
      <c r="AF52" s="422" t="str">
        <f t="shared" si="30"/>
        <v/>
      </c>
    </row>
    <row r="53" spans="1:32" ht="27.95" customHeight="1">
      <c r="A53" s="466"/>
      <c r="B53" s="467"/>
      <c r="C53" s="467"/>
      <c r="D53" s="418"/>
      <c r="E53" s="467"/>
      <c r="F53" s="467"/>
      <c r="G53" s="509"/>
      <c r="H53" s="443"/>
      <c r="I53" s="530" t="str">
        <f t="shared" si="31"/>
        <v/>
      </c>
      <c r="J53" s="519" t="str">
        <f t="shared" si="32"/>
        <v/>
      </c>
      <c r="K53" s="468" t="str">
        <f>IF(B53="","",VLOOKUP(B53,非_単位!$N$3:$O$34,2,FALSE))</f>
        <v/>
      </c>
      <c r="L53" s="520" t="str">
        <f>IF(B53="","",VLOOKUP(B53,非_係数!$B$5:$F$36,2,FALSE))</f>
        <v/>
      </c>
      <c r="M53" s="521" t="str">
        <f t="shared" si="33"/>
        <v/>
      </c>
      <c r="N53" s="522" t="str">
        <f>IF(B53="","",VLOOKUP(B53,非_係数!$B$5:$F$36,4,FALSE))</f>
        <v/>
      </c>
      <c r="O53" s="523" t="str">
        <f t="shared" si="34"/>
        <v/>
      </c>
      <c r="P53" s="420"/>
      <c r="Q53" s="422" t="str">
        <f t="shared" si="28"/>
        <v/>
      </c>
      <c r="R53" s="422" t="str">
        <f>IF(F53="","",VLOOKUP(F53,非_単位補正換算!$B$3:$C$16,2,FALSE))</f>
        <v/>
      </c>
      <c r="S53" s="422" t="str">
        <f>IF(F53="","",IF(SUMIFS(非_単位補正換算!$D$19:$D$48,非_単位補正換算!$B$19:$B$48,燃料!B53,非_単位補正換算!$C$19:$C$48,燃料!F53)=0,1,SUMIFS(非_単位補正換算!$D$19:$D$48,非_単位補正換算!$B$19:$B$48,燃料!B53,非_単位補正換算!$C$19:$C$48,燃料!F53)))</f>
        <v/>
      </c>
      <c r="T53" s="423" t="str">
        <f t="shared" si="29"/>
        <v/>
      </c>
      <c r="U53" s="423" t="str">
        <f t="shared" si="7"/>
        <v/>
      </c>
      <c r="V53" s="423" t="str">
        <f t="shared" si="8"/>
        <v/>
      </c>
      <c r="W53" s="422" t="str">
        <f>IF(B53="","",VLOOKUP(B53,非_まとめ表行番号!$B$3:$C$34,2,FALSE))</f>
        <v/>
      </c>
      <c r="X53" s="479" t="str">
        <f>IF(W53="","",VLOOKUP(W53,非_まとめ表行番号!$U$3:$V$56,2,FALSE))</f>
        <v/>
      </c>
      <c r="Y53" s="424" t="str">
        <f>IF(B53="","",VLOOKUP(B53,非_係数!$B$5:$K$36,6,FALSE))</f>
        <v/>
      </c>
      <c r="Z53" s="423" t="str">
        <f t="shared" si="9"/>
        <v/>
      </c>
      <c r="AA53" s="422" t="str">
        <f>IF(B53="","",VLOOKUP(B53,非_係数!$B$5:$K$36,7,FALSE))</f>
        <v/>
      </c>
      <c r="AB53" s="422" t="str">
        <f t="shared" si="35"/>
        <v/>
      </c>
      <c r="AC53" s="422" t="str">
        <f>IF(B53="","",VLOOKUP(B53,非_係数!$B$5:$K$36,9,FALSE))</f>
        <v/>
      </c>
      <c r="AD53" s="422" t="str">
        <f t="shared" si="36"/>
        <v/>
      </c>
      <c r="AE53" s="422" t="str">
        <f>IF(B53="","",VLOOKUP(B53,非_まとめ表行番号!$B$3:$D$34,3,FALSE))</f>
        <v/>
      </c>
      <c r="AF53" s="422" t="str">
        <f t="shared" si="30"/>
        <v/>
      </c>
    </row>
    <row r="54" spans="1:32" ht="27.95" customHeight="1">
      <c r="A54" s="466"/>
      <c r="B54" s="467"/>
      <c r="C54" s="467"/>
      <c r="D54" s="418"/>
      <c r="E54" s="467"/>
      <c r="F54" s="467"/>
      <c r="G54" s="509"/>
      <c r="H54" s="443"/>
      <c r="I54" s="530" t="str">
        <f t="shared" si="31"/>
        <v/>
      </c>
      <c r="J54" s="519" t="str">
        <f t="shared" si="32"/>
        <v/>
      </c>
      <c r="K54" s="468" t="str">
        <f>IF(B54="","",VLOOKUP(B54,非_単位!$N$3:$O$34,2,FALSE))</f>
        <v/>
      </c>
      <c r="L54" s="520" t="str">
        <f>IF(B54="","",VLOOKUP(B54,非_係数!$B$5:$F$36,2,FALSE))</f>
        <v/>
      </c>
      <c r="M54" s="521" t="str">
        <f t="shared" si="33"/>
        <v/>
      </c>
      <c r="N54" s="522" t="str">
        <f>IF(B54="","",VLOOKUP(B54,非_係数!$B$5:$F$36,4,FALSE))</f>
        <v/>
      </c>
      <c r="O54" s="523" t="str">
        <f t="shared" si="34"/>
        <v/>
      </c>
      <c r="P54" s="420"/>
      <c r="Q54" s="422" t="str">
        <f t="shared" si="28"/>
        <v/>
      </c>
      <c r="R54" s="422" t="str">
        <f>IF(F54="","",VLOOKUP(F54,非_単位補正換算!$B$3:$C$16,2,FALSE))</f>
        <v/>
      </c>
      <c r="S54" s="422" t="str">
        <f>IF(F54="","",IF(SUMIFS(非_単位補正換算!$D$19:$D$48,非_単位補正換算!$B$19:$B$48,燃料!B54,非_単位補正換算!$C$19:$C$48,燃料!F54)=0,1,SUMIFS(非_単位補正換算!$D$19:$D$48,非_単位補正換算!$B$19:$B$48,燃料!B54,非_単位補正換算!$C$19:$C$48,燃料!F54)))</f>
        <v/>
      </c>
      <c r="T54" s="423" t="str">
        <f t="shared" si="29"/>
        <v/>
      </c>
      <c r="U54" s="423" t="str">
        <f t="shared" si="7"/>
        <v/>
      </c>
      <c r="V54" s="423" t="str">
        <f t="shared" si="8"/>
        <v/>
      </c>
      <c r="W54" s="422" t="str">
        <f>IF(B54="","",VLOOKUP(B54,非_まとめ表行番号!$B$3:$C$34,2,FALSE))</f>
        <v/>
      </c>
      <c r="X54" s="479" t="str">
        <f>IF(W54="","",VLOOKUP(W54,非_まとめ表行番号!$U$3:$V$56,2,FALSE))</f>
        <v/>
      </c>
      <c r="Y54" s="424" t="str">
        <f>IF(B54="","",VLOOKUP(B54,非_係数!$B$5:$K$36,6,FALSE))</f>
        <v/>
      </c>
      <c r="Z54" s="423" t="str">
        <f t="shared" si="9"/>
        <v/>
      </c>
      <c r="AA54" s="422" t="str">
        <f>IF(B54="","",VLOOKUP(B54,非_係数!$B$5:$K$36,7,FALSE))</f>
        <v/>
      </c>
      <c r="AB54" s="422" t="str">
        <f t="shared" si="35"/>
        <v/>
      </c>
      <c r="AC54" s="422" t="str">
        <f>IF(B54="","",VLOOKUP(B54,非_係数!$B$5:$K$36,9,FALSE))</f>
        <v/>
      </c>
      <c r="AD54" s="422" t="str">
        <f t="shared" si="36"/>
        <v/>
      </c>
      <c r="AE54" s="422" t="str">
        <f>IF(B54="","",VLOOKUP(B54,非_まとめ表行番号!$B$3:$D$34,3,FALSE))</f>
        <v/>
      </c>
      <c r="AF54" s="422" t="str">
        <f t="shared" si="30"/>
        <v/>
      </c>
    </row>
    <row r="55" spans="1:32" ht="27.95" customHeight="1">
      <c r="A55" s="466"/>
      <c r="B55" s="467"/>
      <c r="C55" s="467"/>
      <c r="D55" s="418"/>
      <c r="E55" s="467"/>
      <c r="F55" s="467"/>
      <c r="G55" s="509"/>
      <c r="H55" s="443"/>
      <c r="I55" s="530" t="str">
        <f t="shared" si="31"/>
        <v/>
      </c>
      <c r="J55" s="519" t="str">
        <f t="shared" si="32"/>
        <v/>
      </c>
      <c r="K55" s="468" t="str">
        <f>IF(B55="","",VLOOKUP(B55,非_単位!$N$3:$O$34,2,FALSE))</f>
        <v/>
      </c>
      <c r="L55" s="520" t="str">
        <f>IF(B55="","",VLOOKUP(B55,非_係数!$B$5:$F$36,2,FALSE))</f>
        <v/>
      </c>
      <c r="M55" s="521" t="str">
        <f t="shared" si="33"/>
        <v/>
      </c>
      <c r="N55" s="522" t="str">
        <f>IF(B55="","",VLOOKUP(B55,非_係数!$B$5:$F$36,4,FALSE))</f>
        <v/>
      </c>
      <c r="O55" s="523" t="str">
        <f t="shared" si="34"/>
        <v/>
      </c>
      <c r="P55" s="420"/>
      <c r="Q55" s="422" t="str">
        <f t="shared" si="28"/>
        <v/>
      </c>
      <c r="R55" s="422" t="str">
        <f>IF(F55="","",VLOOKUP(F55,非_単位補正換算!$B$3:$C$16,2,FALSE))</f>
        <v/>
      </c>
      <c r="S55" s="422" t="str">
        <f>IF(F55="","",IF(SUMIFS(非_単位補正換算!$D$19:$D$48,非_単位補正換算!$B$19:$B$48,燃料!B55,非_単位補正換算!$C$19:$C$48,燃料!F55)=0,1,SUMIFS(非_単位補正換算!$D$19:$D$48,非_単位補正換算!$B$19:$B$48,燃料!B55,非_単位補正換算!$C$19:$C$48,燃料!F55)))</f>
        <v/>
      </c>
      <c r="T55" s="423" t="str">
        <f t="shared" si="29"/>
        <v/>
      </c>
      <c r="U55" s="423" t="str">
        <f t="shared" si="7"/>
        <v/>
      </c>
      <c r="V55" s="423" t="str">
        <f t="shared" si="8"/>
        <v/>
      </c>
      <c r="W55" s="422" t="str">
        <f>IF(B55="","",VLOOKUP(B55,非_まとめ表行番号!$B$3:$C$34,2,FALSE))</f>
        <v/>
      </c>
      <c r="X55" s="479" t="str">
        <f>IF(W55="","",VLOOKUP(W55,非_まとめ表行番号!$U$3:$V$56,2,FALSE))</f>
        <v/>
      </c>
      <c r="Y55" s="424" t="str">
        <f>IF(B55="","",VLOOKUP(B55,非_係数!$B$5:$K$36,6,FALSE))</f>
        <v/>
      </c>
      <c r="Z55" s="423" t="str">
        <f t="shared" si="9"/>
        <v/>
      </c>
      <c r="AA55" s="422" t="str">
        <f>IF(B55="","",VLOOKUP(B55,非_係数!$B$5:$K$36,7,FALSE))</f>
        <v/>
      </c>
      <c r="AB55" s="422" t="str">
        <f t="shared" si="35"/>
        <v/>
      </c>
      <c r="AC55" s="422" t="str">
        <f>IF(B55="","",VLOOKUP(B55,非_係数!$B$5:$K$36,9,FALSE))</f>
        <v/>
      </c>
      <c r="AD55" s="422" t="str">
        <f t="shared" si="36"/>
        <v/>
      </c>
      <c r="AE55" s="422" t="str">
        <f>IF(B55="","",VLOOKUP(B55,非_まとめ表行番号!$B$3:$D$34,3,FALSE))</f>
        <v/>
      </c>
      <c r="AF55" s="422" t="str">
        <f t="shared" si="30"/>
        <v/>
      </c>
    </row>
    <row r="56" spans="1:32" ht="27.95" customHeight="1">
      <c r="A56" s="466"/>
      <c r="B56" s="467"/>
      <c r="C56" s="467"/>
      <c r="D56" s="418"/>
      <c r="E56" s="467"/>
      <c r="F56" s="467"/>
      <c r="G56" s="509"/>
      <c r="H56" s="443"/>
      <c r="I56" s="530" t="str">
        <f t="shared" si="31"/>
        <v/>
      </c>
      <c r="J56" s="519" t="str">
        <f t="shared" si="32"/>
        <v/>
      </c>
      <c r="K56" s="468" t="str">
        <f>IF(B56="","",VLOOKUP(B56,非_単位!$N$3:$O$34,2,FALSE))</f>
        <v/>
      </c>
      <c r="L56" s="520" t="str">
        <f>IF(B56="","",VLOOKUP(B56,非_係数!$B$5:$F$36,2,FALSE))</f>
        <v/>
      </c>
      <c r="M56" s="521" t="str">
        <f t="shared" si="33"/>
        <v/>
      </c>
      <c r="N56" s="522" t="str">
        <f>IF(B56="","",VLOOKUP(B56,非_係数!$B$5:$F$36,4,FALSE))</f>
        <v/>
      </c>
      <c r="O56" s="523" t="str">
        <f t="shared" si="34"/>
        <v/>
      </c>
      <c r="P56" s="420"/>
      <c r="Q56" s="422" t="str">
        <f t="shared" si="28"/>
        <v/>
      </c>
      <c r="R56" s="422" t="str">
        <f>IF(F56="","",VLOOKUP(F56,非_単位補正換算!$B$3:$C$16,2,FALSE))</f>
        <v/>
      </c>
      <c r="S56" s="422" t="str">
        <f>IF(F56="","",IF(SUMIFS(非_単位補正換算!$D$19:$D$48,非_単位補正換算!$B$19:$B$48,燃料!B56,非_単位補正換算!$C$19:$C$48,燃料!F56)=0,1,SUMIFS(非_単位補正換算!$D$19:$D$48,非_単位補正換算!$B$19:$B$48,燃料!B56,非_単位補正換算!$C$19:$C$48,燃料!F56)))</f>
        <v/>
      </c>
      <c r="T56" s="423" t="str">
        <f t="shared" si="29"/>
        <v/>
      </c>
      <c r="U56" s="423" t="str">
        <f t="shared" si="7"/>
        <v/>
      </c>
      <c r="V56" s="423" t="str">
        <f t="shared" si="8"/>
        <v/>
      </c>
      <c r="W56" s="422" t="str">
        <f>IF(B56="","",VLOOKUP(B56,非_まとめ表行番号!$B$3:$C$34,2,FALSE))</f>
        <v/>
      </c>
      <c r="X56" s="479" t="str">
        <f>IF(W56="","",VLOOKUP(W56,非_まとめ表行番号!$U$3:$V$56,2,FALSE))</f>
        <v/>
      </c>
      <c r="Y56" s="424" t="str">
        <f>IF(B56="","",VLOOKUP(B56,非_係数!$B$5:$K$36,6,FALSE))</f>
        <v/>
      </c>
      <c r="Z56" s="423" t="str">
        <f t="shared" si="9"/>
        <v/>
      </c>
      <c r="AA56" s="422" t="str">
        <f>IF(B56="","",VLOOKUP(B56,非_係数!$B$5:$K$36,7,FALSE))</f>
        <v/>
      </c>
      <c r="AB56" s="422" t="str">
        <f t="shared" si="35"/>
        <v/>
      </c>
      <c r="AC56" s="422" t="str">
        <f>IF(B56="","",VLOOKUP(B56,非_係数!$B$5:$K$36,9,FALSE))</f>
        <v/>
      </c>
      <c r="AD56" s="422" t="str">
        <f t="shared" si="36"/>
        <v/>
      </c>
      <c r="AE56" s="422" t="str">
        <f>IF(B56="","",VLOOKUP(B56,非_まとめ表行番号!$B$3:$D$34,3,FALSE))</f>
        <v/>
      </c>
      <c r="AF56" s="422" t="str">
        <f t="shared" si="30"/>
        <v/>
      </c>
    </row>
    <row r="57" spans="1:32" ht="27.95" customHeight="1">
      <c r="A57" s="466"/>
      <c r="B57" s="467"/>
      <c r="C57" s="467"/>
      <c r="D57" s="418"/>
      <c r="E57" s="467"/>
      <c r="F57" s="467"/>
      <c r="G57" s="509"/>
      <c r="H57" s="443"/>
      <c r="I57" s="530" t="str">
        <f t="shared" si="31"/>
        <v/>
      </c>
      <c r="J57" s="519" t="str">
        <f t="shared" si="32"/>
        <v/>
      </c>
      <c r="K57" s="468" t="str">
        <f>IF(B57="","",VLOOKUP(B57,非_単位!$N$3:$O$34,2,FALSE))</f>
        <v/>
      </c>
      <c r="L57" s="520" t="str">
        <f>IF(B57="","",VLOOKUP(B57,非_係数!$B$5:$F$36,2,FALSE))</f>
        <v/>
      </c>
      <c r="M57" s="521" t="str">
        <f t="shared" si="33"/>
        <v/>
      </c>
      <c r="N57" s="522" t="str">
        <f>IF(B57="","",VLOOKUP(B57,非_係数!$B$5:$F$36,4,FALSE))</f>
        <v/>
      </c>
      <c r="O57" s="523" t="str">
        <f t="shared" si="34"/>
        <v/>
      </c>
      <c r="P57" s="420"/>
      <c r="Q57" s="422" t="str">
        <f t="shared" si="28"/>
        <v/>
      </c>
      <c r="R57" s="422" t="str">
        <f>IF(F57="","",VLOOKUP(F57,非_単位補正換算!$B$3:$C$16,2,FALSE))</f>
        <v/>
      </c>
      <c r="S57" s="422" t="str">
        <f>IF(F57="","",IF(SUMIFS(非_単位補正換算!$D$19:$D$48,非_単位補正換算!$B$19:$B$48,燃料!B57,非_単位補正換算!$C$19:$C$48,燃料!F57)=0,1,SUMIFS(非_単位補正換算!$D$19:$D$48,非_単位補正換算!$B$19:$B$48,燃料!B57,非_単位補正換算!$C$19:$C$48,燃料!F57)))</f>
        <v/>
      </c>
      <c r="T57" s="423" t="str">
        <f t="shared" si="29"/>
        <v/>
      </c>
      <c r="U57" s="423" t="str">
        <f t="shared" si="7"/>
        <v/>
      </c>
      <c r="V57" s="423" t="str">
        <f t="shared" si="8"/>
        <v/>
      </c>
      <c r="W57" s="422" t="str">
        <f>IF(B57="","",VLOOKUP(B57,非_まとめ表行番号!$B$3:$C$34,2,FALSE))</f>
        <v/>
      </c>
      <c r="X57" s="479" t="str">
        <f>IF(W57="","",VLOOKUP(W57,非_まとめ表行番号!$U$3:$V$56,2,FALSE))</f>
        <v/>
      </c>
      <c r="Y57" s="424" t="str">
        <f>IF(B57="","",VLOOKUP(B57,非_係数!$B$5:$K$36,6,FALSE))</f>
        <v/>
      </c>
      <c r="Z57" s="423" t="str">
        <f t="shared" si="9"/>
        <v/>
      </c>
      <c r="AA57" s="422" t="str">
        <f>IF(B57="","",VLOOKUP(B57,非_係数!$B$5:$K$36,7,FALSE))</f>
        <v/>
      </c>
      <c r="AB57" s="422" t="str">
        <f t="shared" si="35"/>
        <v/>
      </c>
      <c r="AC57" s="422" t="str">
        <f>IF(B57="","",VLOOKUP(B57,非_係数!$B$5:$K$36,9,FALSE))</f>
        <v/>
      </c>
      <c r="AD57" s="422" t="str">
        <f t="shared" si="36"/>
        <v/>
      </c>
      <c r="AE57" s="422" t="str">
        <f>IF(B57="","",VLOOKUP(B57,非_まとめ表行番号!$B$3:$D$34,3,FALSE))</f>
        <v/>
      </c>
      <c r="AF57" s="422" t="str">
        <f t="shared" si="30"/>
        <v/>
      </c>
    </row>
    <row r="58" spans="1:32" ht="27.95" customHeight="1">
      <c r="A58" s="466"/>
      <c r="B58" s="467"/>
      <c r="C58" s="467"/>
      <c r="D58" s="418"/>
      <c r="E58" s="467"/>
      <c r="F58" s="467"/>
      <c r="G58" s="509"/>
      <c r="H58" s="443"/>
      <c r="I58" s="530" t="str">
        <f t="shared" si="31"/>
        <v/>
      </c>
      <c r="J58" s="519" t="str">
        <f t="shared" ref="J58" si="37">IF(T58="","",-1*T58)</f>
        <v/>
      </c>
      <c r="K58" s="468" t="str">
        <f>IF(B58="","",VLOOKUP(B58,非_単位!$N$3:$O$34,2,FALSE))</f>
        <v/>
      </c>
      <c r="L58" s="520" t="str">
        <f>IF(B58="","",VLOOKUP(B58,非_係数!$B$5:$F$36,2,FALSE))</f>
        <v/>
      </c>
      <c r="M58" s="521" t="str">
        <f t="shared" ref="M58" si="38">IF(U58="","",-1*U58)</f>
        <v/>
      </c>
      <c r="N58" s="522" t="str">
        <f>IF(B58="","",VLOOKUP(B58,非_係数!$B$5:$F$36,4,FALSE))</f>
        <v/>
      </c>
      <c r="O58" s="523" t="str">
        <f t="shared" ref="O58" si="39">IF(V58="","",-1*V58)</f>
        <v/>
      </c>
      <c r="P58" s="420"/>
      <c r="Q58" s="422" t="str">
        <f t="shared" si="28"/>
        <v/>
      </c>
      <c r="R58" s="422" t="str">
        <f>IF(F58="","",VLOOKUP(F58,非_単位補正換算!$B$3:$C$16,2,FALSE))</f>
        <v/>
      </c>
      <c r="S58" s="422" t="str">
        <f>IF(F58="","",IF(SUMIFS(非_単位補正換算!$D$19:$D$48,非_単位補正換算!$B$19:$B$48,燃料!B58,非_単位補正換算!$C$19:$C$48,燃料!F58)=0,1,SUMIFS(非_単位補正換算!$D$19:$D$48,非_単位補正換算!$B$19:$B$48,燃料!B58,非_単位補正換算!$C$19:$C$48,燃料!F58)))</f>
        <v/>
      </c>
      <c r="T58" s="423" t="str">
        <f t="shared" si="29"/>
        <v/>
      </c>
      <c r="U58" s="423" t="str">
        <f t="shared" ref="U58" si="40">IF(AND(L58&lt;&gt;"",T58&lt;&gt;""),T58*L58,"")</f>
        <v/>
      </c>
      <c r="V58" s="423" t="str">
        <f t="shared" ref="V58" si="41">IF(AND(N58&lt;&gt;"",T58&lt;&gt;"",L58&lt;&gt;""),T58*L58*N58*44/12,"")</f>
        <v/>
      </c>
      <c r="W58" s="422" t="str">
        <f>IF(B58="","",VLOOKUP(B58,非_まとめ表行番号!$B$3:$C$34,2,FALSE))</f>
        <v/>
      </c>
      <c r="X58" s="479" t="str">
        <f>IF(W58="","",VLOOKUP(W58,非_まとめ表行番号!$U$3:$V$56,2,FALSE))</f>
        <v/>
      </c>
      <c r="Y58" s="424" t="str">
        <f>IF(B58="","",VLOOKUP(B58,非_係数!$B$5:$K$36,6,FALSE))</f>
        <v/>
      </c>
      <c r="Z58" s="423" t="str">
        <f t="shared" ref="Z58" si="42">IF(T58="","",T58*Y58)</f>
        <v/>
      </c>
      <c r="AA58" s="422" t="str">
        <f>IF(B58="","",VLOOKUP(B58,非_係数!$B$5:$K$36,7,FALSE))</f>
        <v/>
      </c>
      <c r="AB58" s="422" t="str">
        <f t="shared" ref="AB58" si="43">IF(Z58="","",Z58*AA58)</f>
        <v/>
      </c>
      <c r="AC58" s="422" t="str">
        <f>IF(B58="","",VLOOKUP(B58,非_係数!$B$5:$K$36,9,FALSE))</f>
        <v/>
      </c>
      <c r="AD58" s="422" t="str">
        <f t="shared" ref="AD58" si="44">IF(AB58="","",AB58*AC58*44/12)</f>
        <v/>
      </c>
      <c r="AE58" s="422" t="str">
        <f>IF(B58="","",VLOOKUP(B58,非_まとめ表行番号!$B$3:$D$34,3,FALSE))</f>
        <v/>
      </c>
      <c r="AF58" s="422" t="str">
        <f t="shared" si="30"/>
        <v/>
      </c>
    </row>
    <row r="59" spans="1:32" ht="27.95" customHeight="1" thickBot="1">
      <c r="A59" s="473"/>
      <c r="B59" s="373"/>
      <c r="C59" s="373"/>
      <c r="D59" s="419"/>
      <c r="E59" s="373"/>
      <c r="F59" s="373"/>
      <c r="G59" s="511"/>
      <c r="H59" s="444"/>
      <c r="I59" s="531" t="str">
        <f>IF(G59="","",IF(H59="",G59,G59*H59))</f>
        <v/>
      </c>
      <c r="J59" s="532" t="str">
        <f t="shared" si="32"/>
        <v/>
      </c>
      <c r="K59" s="474" t="str">
        <f>IF(B59="","",VLOOKUP(B59,非_単位!$N$3:$O$34,2,FALSE))</f>
        <v/>
      </c>
      <c r="L59" s="533" t="str">
        <f>IF(B59="","",VLOOKUP(B59,非_係数!$B$5:$F$36,2,FALSE))</f>
        <v/>
      </c>
      <c r="M59" s="534" t="str">
        <f t="shared" si="33"/>
        <v/>
      </c>
      <c r="N59" s="535" t="str">
        <f>IF(B59="","",VLOOKUP(B59,非_係数!$B$5:$F$36,4,FALSE))</f>
        <v/>
      </c>
      <c r="O59" s="536" t="str">
        <f t="shared" si="34"/>
        <v/>
      </c>
      <c r="P59" s="420"/>
      <c r="Q59" s="422" t="str">
        <f t="shared" si="28"/>
        <v/>
      </c>
      <c r="R59" s="422" t="str">
        <f>IF(F59="","",VLOOKUP(F59,非_単位補正換算!$B$3:$C$16,2,FALSE))</f>
        <v/>
      </c>
      <c r="S59" s="422" t="str">
        <f>IF(F59="","",IF(SUMIFS(非_単位補正換算!$D$19:$D$48,非_単位補正換算!$B$19:$B$48,燃料!B59,非_単位補正換算!$C$19:$C$48,燃料!F59)=0,1,SUMIFS(非_単位補正換算!$D$19:$D$48,非_単位補正換算!$B$19:$B$48,燃料!B59,非_単位補正換算!$C$19:$C$48,燃料!F59)))</f>
        <v/>
      </c>
      <c r="T59" s="423" t="str">
        <f t="shared" si="29"/>
        <v/>
      </c>
      <c r="U59" s="423" t="str">
        <f t="shared" si="7"/>
        <v/>
      </c>
      <c r="V59" s="423" t="str">
        <f t="shared" si="8"/>
        <v/>
      </c>
      <c r="W59" s="422" t="str">
        <f>IF(B59="","",VLOOKUP(B59,非_まとめ表行番号!$B$3:$C$34,2,FALSE))</f>
        <v/>
      </c>
      <c r="X59" s="479" t="str">
        <f>IF(W59="","",VLOOKUP(W59,非_まとめ表行番号!$U$3:$V$56,2,FALSE))</f>
        <v/>
      </c>
      <c r="Y59" s="424" t="str">
        <f>IF(B59="","",VLOOKUP(B59,非_係数!$B$5:$K$36,6,FALSE))</f>
        <v/>
      </c>
      <c r="Z59" s="423" t="str">
        <f t="shared" si="9"/>
        <v/>
      </c>
      <c r="AA59" s="422" t="str">
        <f>IF(B59="","",VLOOKUP(B59,非_係数!$B$5:$K$36,7,FALSE))</f>
        <v/>
      </c>
      <c r="AB59" s="422" t="str">
        <f t="shared" si="35"/>
        <v/>
      </c>
      <c r="AC59" s="422" t="str">
        <f>IF(B59="","",VLOOKUP(B59,非_係数!$B$5:$K$36,9,FALSE))</f>
        <v/>
      </c>
      <c r="AD59" s="422" t="str">
        <f t="shared" si="36"/>
        <v/>
      </c>
      <c r="AE59" s="422" t="str">
        <f>IF(B59="","",VLOOKUP(B59,非_まとめ表行番号!$B$3:$D$34,3,FALSE))</f>
        <v/>
      </c>
      <c r="AF59" s="422" t="str">
        <f t="shared" si="30"/>
        <v/>
      </c>
    </row>
  </sheetData>
  <sheetProtection algorithmName="SHA-512" hashValue="8PyMCzuCgnHWE3MXml0lf7wrd/Uh+UMjxD5avd2W6hGJM337a0VRRNB8YKhiHEQFy8I1qNokO8HkkkumkFBEeA==" saltValue="w6rZHpiNl3MN1lfbeS3nZA==" spinCount="100000" sheet="1" objects="1" scenarios="1"/>
  <dataConsolidate link="1"/>
  <mergeCells count="30">
    <mergeCell ref="N1:O1"/>
    <mergeCell ref="R4:R5"/>
    <mergeCell ref="S4:S5"/>
    <mergeCell ref="T4:T5"/>
    <mergeCell ref="W4:W5"/>
    <mergeCell ref="U4:U5"/>
    <mergeCell ref="V4:V5"/>
    <mergeCell ref="N4:N5"/>
    <mergeCell ref="Q4:Q5"/>
    <mergeCell ref="D4:E4"/>
    <mergeCell ref="A4:A5"/>
    <mergeCell ref="B4:B5"/>
    <mergeCell ref="C4:C5"/>
    <mergeCell ref="AE4:AE5"/>
    <mergeCell ref="F4:F5"/>
    <mergeCell ref="O4:O5"/>
    <mergeCell ref="I4:I5"/>
    <mergeCell ref="M4:M5"/>
    <mergeCell ref="L4:L5"/>
    <mergeCell ref="J4:K5"/>
    <mergeCell ref="G4:G5"/>
    <mergeCell ref="H4:H5"/>
    <mergeCell ref="X4:X5"/>
    <mergeCell ref="AF4:AF5"/>
    <mergeCell ref="Y4:Y5"/>
    <mergeCell ref="Z4:Z5"/>
    <mergeCell ref="AA4:AA5"/>
    <mergeCell ref="AB4:AB5"/>
    <mergeCell ref="AC4:AC5"/>
    <mergeCell ref="AD4:AD5"/>
  </mergeCells>
  <phoneticPr fontId="5"/>
  <conditionalFormatting sqref="D7:E43 D45:E59">
    <cfRule type="expression" dxfId="31" priority="3">
      <formula>$C7&lt;&gt;"計量器の実測値"</formula>
    </cfRule>
  </conditionalFormatting>
  <conditionalFormatting sqref="H7:H43 H45:H59">
    <cfRule type="expression" dxfId="30" priority="1">
      <formula>OR($E7="有",$E7="")</formula>
    </cfRule>
  </conditionalFormatting>
  <dataValidations count="7">
    <dataValidation type="list" allowBlank="1" showInputMessage="1" showErrorMessage="1" sqref="B7:B43 B45:B59" xr:uid="{7B4B9DB3-5EB2-4BF9-BFE1-F16318DFEB53}">
      <formula1>INDIRECT(Q7)</formula1>
    </dataValidation>
    <dataValidation type="list" allowBlank="1" showInputMessage="1" showErrorMessage="1" sqref="E7:E43 E45:E59" xr:uid="{886D3CBB-4036-4815-B8DF-D6E2107E2961}">
      <formula1>計量器_検定有無_選択</formula1>
    </dataValidation>
    <dataValidation type="list" allowBlank="1" showInputMessage="1" showErrorMessage="1" sqref="C7:C43 C45:C59" xr:uid="{B586D7C9-2713-4972-9094-BAF983D6BA9C}">
      <formula1>使用量把握方法_選択</formula1>
    </dataValidation>
    <dataValidation imeMode="halfAlpha" allowBlank="1" showInputMessage="1" showErrorMessage="1" sqref="N7:N43 L7:L43" xr:uid="{F2AED94D-D21A-407A-8C21-EEC939B61090}"/>
    <dataValidation type="list" allowBlank="1" showInputMessage="1" showErrorMessage="1" sqref="A7:A43" xr:uid="{588DAFDC-6826-4B15-8AA6-1256E5F5B144}">
      <formula1>燃料_排出活動①</formula1>
    </dataValidation>
    <dataValidation type="list" allowBlank="1" showInputMessage="1" showErrorMessage="1" sqref="A45:A59" xr:uid="{6D28CF31-B1D8-41AD-99C9-CFD421F95984}">
      <formula1>燃料_排出活動②</formula1>
    </dataValidation>
    <dataValidation type="list" imeMode="disabled" allowBlank="1" showInputMessage="1" showErrorMessage="1" sqref="H7:H43 H45:H59" xr:uid="{3F1825C6-7E5B-4986-AD13-218DE564D8B4}">
      <formula1>INDIRECT(AF7)</formula1>
    </dataValidation>
  </dataValidations>
  <pageMargins left="0.59055118110236227" right="0.39370078740157483" top="0.59055118110236227" bottom="0.59055118110236227" header="0.31496062992125984" footer="0.31496062992125984"/>
  <pageSetup paperSize="9" scale="45" fitToHeight="0" orientation="portrait" r:id="rId1"/>
  <ignoredErrors>
    <ignoredError sqref="I8:I39 I41:I4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CFADFE-4125-4691-AB7C-9AF9CD0E2613}">
          <x14:formula1>
            <xm:f>IF(B7=非_単位!$N$33,INDIRECT("その他の燃料①_単位"),IF(B7=非_単位!$N$34,INDIRECT("その他の燃料②_単位"),INDIRECT(B7&amp;"_単位")))</xm:f>
          </x14:formula1>
          <xm:sqref>F45:F59 F7:F43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BH72"/>
  <sheetViews>
    <sheetView showGridLines="0" zoomScale="70" zoomScaleNormal="70" zoomScaleSheetLayoutView="85" workbookViewId="0">
      <pane ySplit="5" topLeftCell="A6" activePane="bottomLeft" state="frozen"/>
      <selection pane="bottomLeft"/>
    </sheetView>
  </sheetViews>
  <sheetFormatPr defaultColWidth="9" defaultRowHeight="18" outlineLevelCol="1"/>
  <cols>
    <col min="1" max="1" width="47.25" style="85" customWidth="1"/>
    <col min="2" max="2" width="44.375" style="85" customWidth="1"/>
    <col min="3" max="3" width="37.5" style="85" customWidth="1"/>
    <col min="4" max="4" width="9.25" style="85" bestFit="1" customWidth="1"/>
    <col min="5" max="5" width="17.625" style="85" bestFit="1" customWidth="1"/>
    <col min="6" max="6" width="9.25" style="85" bestFit="1" customWidth="1"/>
    <col min="7" max="7" width="9.5" style="85" customWidth="1"/>
    <col min="8" max="8" width="9.75" style="85" customWidth="1"/>
    <col min="9" max="9" width="13" style="85" customWidth="1"/>
    <col min="10" max="10" width="10" style="85" customWidth="1"/>
    <col min="11" max="11" width="9.5" style="85" customWidth="1"/>
    <col min="12" max="12" width="10.375" style="85" customWidth="1"/>
    <col min="13" max="14" width="10.625" style="85" customWidth="1"/>
    <col min="15" max="15" width="5.375" style="85" customWidth="1"/>
    <col min="16" max="16" width="7.625" style="85" customWidth="1"/>
    <col min="17" max="17" width="22.25" style="85" customWidth="1"/>
    <col min="18" max="18" width="8" style="85" customWidth="1"/>
    <col min="19" max="19" width="22.125" style="85" customWidth="1"/>
    <col min="20" max="20" width="9.5" style="85" hidden="1" customWidth="1" outlineLevel="1"/>
    <col min="21" max="21" width="7.75" style="85" hidden="1" customWidth="1" outlineLevel="1"/>
    <col min="22" max="22" width="9" style="85" collapsed="1"/>
    <col min="23" max="23" width="9.5" style="85" customWidth="1"/>
    <col min="24" max="24" width="9" style="85"/>
    <col min="25" max="25" width="9" style="85" hidden="1" customWidth="1" outlineLevel="1"/>
    <col min="26" max="26" width="22" style="85" hidden="1" customWidth="1" outlineLevel="1"/>
    <col min="27" max="33" width="9" style="85" hidden="1" customWidth="1" outlineLevel="1"/>
    <col min="34" max="34" width="19.75" style="85" hidden="1" customWidth="1" outlineLevel="1"/>
    <col min="35" max="37" width="9" style="85" hidden="1" customWidth="1" outlineLevel="1"/>
    <col min="38" max="38" width="12.875" style="85" hidden="1" customWidth="1" outlineLevel="1"/>
    <col min="39" max="39" width="9.875" style="85" hidden="1" customWidth="1" outlineLevel="1"/>
    <col min="40" max="41" width="13.5" style="85" hidden="1" customWidth="1" outlineLevel="1"/>
    <col min="42" max="42" width="9" style="85" hidden="1" customWidth="1" outlineLevel="1"/>
    <col min="43" max="43" width="12.625" style="85" hidden="1" customWidth="1" outlineLevel="1"/>
    <col min="44" max="44" width="15.5" style="85" hidden="1" customWidth="1" outlineLevel="1"/>
    <col min="45" max="45" width="12.625" style="85" hidden="1" customWidth="1" outlineLevel="1"/>
    <col min="46" max="46" width="13.75" style="85" hidden="1" customWidth="1" outlineLevel="1"/>
    <col min="47" max="47" width="14" style="85" hidden="1" customWidth="1" outlineLevel="1"/>
    <col min="48" max="49" width="14.125" style="85" hidden="1" customWidth="1" outlineLevel="1"/>
    <col min="50" max="59" width="9" style="85" hidden="1" customWidth="1" outlineLevel="1"/>
    <col min="60" max="60" width="9" style="85" collapsed="1"/>
    <col min="61" max="16384" width="9" style="85"/>
  </cols>
  <sheetData>
    <row r="1" spans="1:59" ht="18.75" customHeight="1">
      <c r="A1" s="455" t="s">
        <v>973</v>
      </c>
      <c r="B1" s="458"/>
      <c r="C1" s="458"/>
      <c r="D1" s="458"/>
      <c r="E1" s="52"/>
      <c r="F1" s="52"/>
      <c r="G1" s="52"/>
      <c r="H1" s="52"/>
      <c r="I1" s="52"/>
      <c r="J1" s="3"/>
      <c r="K1" s="52"/>
      <c r="L1" s="52"/>
      <c r="M1" s="52"/>
      <c r="N1" s="52"/>
      <c r="O1" s="52"/>
      <c r="P1" s="52"/>
      <c r="Q1" s="461"/>
      <c r="R1" s="696" t="s">
        <v>0</v>
      </c>
      <c r="S1" s="696"/>
      <c r="T1" s="198" t="s">
        <v>806</v>
      </c>
      <c r="U1" s="198" t="s">
        <v>806</v>
      </c>
      <c r="V1" s="699" t="str">
        <f>IF(事業所概要_算定体制!D13="","",事業所概要_算定体制!D13)</f>
        <v/>
      </c>
      <c r="W1" s="700"/>
    </row>
    <row r="2" spans="1:59" ht="18.75" customHeight="1">
      <c r="A2" s="455" t="s">
        <v>941</v>
      </c>
      <c r="B2" s="455"/>
      <c r="C2" s="455"/>
      <c r="D2" s="455"/>
      <c r="E2" s="52"/>
      <c r="F2" s="52"/>
      <c r="G2" s="52"/>
      <c r="H2" s="52"/>
      <c r="I2" s="52"/>
      <c r="J2" s="52"/>
      <c r="K2" s="52"/>
      <c r="L2" s="52"/>
      <c r="M2" s="52"/>
      <c r="N2" s="52"/>
      <c r="O2" s="52"/>
      <c r="P2" s="52"/>
      <c r="Q2" s="2"/>
      <c r="R2" s="2"/>
      <c r="S2" s="2"/>
      <c r="T2" s="199"/>
      <c r="U2" s="199"/>
      <c r="V2" s="697" t="str">
        <f>CONCATENATE(事業所概要_算定体制!$B$3,事業所概要_算定体制!$C$3,"年度")</f>
        <v>令和７年度</v>
      </c>
      <c r="W2" s="697"/>
    </row>
    <row r="3" spans="1:59" ht="18.75" thickBot="1">
      <c r="A3" s="3"/>
      <c r="B3" s="52"/>
      <c r="C3" s="52"/>
      <c r="D3" s="52"/>
      <c r="E3" s="52"/>
      <c r="F3" s="52"/>
      <c r="G3" s="52"/>
      <c r="H3" s="52"/>
      <c r="I3" s="52"/>
      <c r="J3" s="52"/>
      <c r="K3" s="52"/>
      <c r="L3" s="52"/>
      <c r="M3" s="52"/>
      <c r="N3" s="52"/>
      <c r="O3" s="52"/>
      <c r="P3" s="52"/>
      <c r="Q3" s="458"/>
      <c r="R3" s="458"/>
      <c r="S3" s="52"/>
      <c r="V3" s="52"/>
      <c r="W3" s="52"/>
    </row>
    <row r="4" spans="1:59" ht="18" customHeight="1">
      <c r="A4" s="679" t="s">
        <v>70</v>
      </c>
      <c r="B4" s="681" t="s">
        <v>205</v>
      </c>
      <c r="C4" s="681" t="s">
        <v>215</v>
      </c>
      <c r="D4" s="681"/>
      <c r="E4" s="681"/>
      <c r="F4" s="681" t="s">
        <v>211</v>
      </c>
      <c r="G4" s="681"/>
      <c r="H4" s="681"/>
      <c r="I4" s="456" t="s">
        <v>802</v>
      </c>
      <c r="J4" s="683" t="s">
        <v>213</v>
      </c>
      <c r="K4" s="685"/>
      <c r="L4" s="684"/>
      <c r="M4" s="681" t="s">
        <v>207</v>
      </c>
      <c r="N4" s="683" t="s">
        <v>204</v>
      </c>
      <c r="O4" s="684"/>
      <c r="P4" s="681" t="s">
        <v>208</v>
      </c>
      <c r="Q4" s="688" t="s">
        <v>939</v>
      </c>
      <c r="R4" s="692" t="s">
        <v>968</v>
      </c>
      <c r="S4" s="688" t="s">
        <v>940</v>
      </c>
      <c r="T4" s="703" t="s">
        <v>777</v>
      </c>
      <c r="U4" s="704"/>
      <c r="V4" s="681" t="s">
        <v>219</v>
      </c>
      <c r="W4" s="701" t="s">
        <v>803</v>
      </c>
      <c r="Y4" s="694" t="s">
        <v>601</v>
      </c>
      <c r="Z4" s="653" t="s">
        <v>579</v>
      </c>
      <c r="AA4" s="677" t="s">
        <v>739</v>
      </c>
      <c r="AB4" s="677"/>
      <c r="AC4" s="677" t="s">
        <v>740</v>
      </c>
      <c r="AD4" s="677"/>
      <c r="AE4" s="677" t="s">
        <v>741</v>
      </c>
      <c r="AF4" s="677"/>
      <c r="AG4" s="653" t="s">
        <v>749</v>
      </c>
      <c r="AH4" s="653" t="s">
        <v>775</v>
      </c>
      <c r="AI4" s="690" t="s">
        <v>967</v>
      </c>
      <c r="AJ4" s="654" t="s">
        <v>778</v>
      </c>
      <c r="AK4" s="654" t="s">
        <v>790</v>
      </c>
      <c r="AL4" s="653" t="s">
        <v>577</v>
      </c>
      <c r="AM4" s="677" t="s">
        <v>219</v>
      </c>
      <c r="AN4" s="677" t="s">
        <v>220</v>
      </c>
      <c r="AO4" s="677" t="s">
        <v>796</v>
      </c>
      <c r="AP4" s="653" t="s">
        <v>970</v>
      </c>
      <c r="AQ4" s="653" t="s">
        <v>793</v>
      </c>
      <c r="AR4" s="653" t="s">
        <v>577</v>
      </c>
      <c r="AS4" s="677" t="s">
        <v>794</v>
      </c>
      <c r="AT4" s="653" t="s">
        <v>590</v>
      </c>
      <c r="AU4" s="677" t="s">
        <v>795</v>
      </c>
      <c r="AV4" s="677" t="s">
        <v>797</v>
      </c>
      <c r="AW4" s="677" t="s">
        <v>933</v>
      </c>
      <c r="AX4" s="690"/>
      <c r="AY4" s="654" t="s">
        <v>955</v>
      </c>
      <c r="AZ4" s="654" t="s">
        <v>956</v>
      </c>
      <c r="BA4" s="654" t="s">
        <v>957</v>
      </c>
      <c r="BB4" s="654" t="s">
        <v>958</v>
      </c>
      <c r="BC4" s="654" t="s">
        <v>959</v>
      </c>
      <c r="BD4" s="654" t="s">
        <v>960</v>
      </c>
      <c r="BE4" s="654" t="s">
        <v>961</v>
      </c>
      <c r="BF4" s="654" t="s">
        <v>962</v>
      </c>
      <c r="BG4" s="654" t="s">
        <v>963</v>
      </c>
    </row>
    <row r="5" spans="1:59" ht="51" customHeight="1" thickBot="1">
      <c r="A5" s="680"/>
      <c r="B5" s="682"/>
      <c r="C5" s="457" t="s">
        <v>929</v>
      </c>
      <c r="D5" s="457" t="s">
        <v>217</v>
      </c>
      <c r="E5" s="457" t="s">
        <v>218</v>
      </c>
      <c r="F5" s="457" t="s">
        <v>605</v>
      </c>
      <c r="G5" s="457" t="s">
        <v>926</v>
      </c>
      <c r="H5" s="457" t="s">
        <v>801</v>
      </c>
      <c r="I5" s="457" t="s">
        <v>748</v>
      </c>
      <c r="J5" s="437" t="s">
        <v>214</v>
      </c>
      <c r="K5" s="686" t="s">
        <v>804</v>
      </c>
      <c r="L5" s="687"/>
      <c r="M5" s="682"/>
      <c r="N5" s="438" t="s">
        <v>205</v>
      </c>
      <c r="O5" s="438" t="s">
        <v>206</v>
      </c>
      <c r="P5" s="682"/>
      <c r="Q5" s="689"/>
      <c r="R5" s="693"/>
      <c r="S5" s="689"/>
      <c r="T5" s="705"/>
      <c r="U5" s="706"/>
      <c r="V5" s="698"/>
      <c r="W5" s="702"/>
      <c r="Y5" s="695"/>
      <c r="Z5" s="654"/>
      <c r="AA5" s="426" t="s">
        <v>732</v>
      </c>
      <c r="AB5" s="426" t="s">
        <v>733</v>
      </c>
      <c r="AC5" s="426" t="s">
        <v>732</v>
      </c>
      <c r="AD5" s="426" t="s">
        <v>733</v>
      </c>
      <c r="AE5" s="426" t="s">
        <v>732</v>
      </c>
      <c r="AF5" s="426" t="s">
        <v>733</v>
      </c>
      <c r="AG5" s="654"/>
      <c r="AH5" s="654"/>
      <c r="AI5" s="691"/>
      <c r="AJ5" s="654"/>
      <c r="AK5" s="654"/>
      <c r="AL5" s="654"/>
      <c r="AM5" s="678"/>
      <c r="AN5" s="678"/>
      <c r="AO5" s="677"/>
      <c r="AP5" s="654"/>
      <c r="AQ5" s="654"/>
      <c r="AR5" s="654"/>
      <c r="AS5" s="678"/>
      <c r="AT5" s="654"/>
      <c r="AU5" s="678"/>
      <c r="AV5" s="677"/>
      <c r="AW5" s="678"/>
      <c r="AX5" s="691"/>
      <c r="AY5" s="654"/>
      <c r="AZ5" s="654"/>
      <c r="BA5" s="654"/>
      <c r="BB5" s="654"/>
      <c r="BC5" s="654"/>
      <c r="BD5" s="654"/>
      <c r="BE5" s="654"/>
      <c r="BF5" s="654"/>
      <c r="BG5" s="654"/>
    </row>
    <row r="6" spans="1:59" ht="18" customHeight="1" thickTop="1" thickBot="1">
      <c r="A6" s="299" t="s">
        <v>266</v>
      </c>
      <c r="B6" s="300"/>
      <c r="C6" s="300"/>
      <c r="D6" s="300"/>
      <c r="E6" s="300"/>
      <c r="F6" s="300"/>
      <c r="G6" s="300"/>
      <c r="H6" s="300"/>
      <c r="I6" s="300"/>
      <c r="J6" s="300"/>
      <c r="K6" s="300"/>
      <c r="L6" s="300"/>
      <c r="M6" s="300"/>
      <c r="N6" s="300"/>
      <c r="O6" s="300"/>
      <c r="P6" s="300"/>
      <c r="Q6" s="300"/>
      <c r="R6" s="300"/>
      <c r="S6" s="300"/>
      <c r="T6" s="200"/>
      <c r="U6" s="200"/>
      <c r="V6" s="57"/>
      <c r="W6" s="58"/>
    </row>
    <row r="7" spans="1:59" ht="18.75" customHeight="1" thickTop="1">
      <c r="A7" s="460"/>
      <c r="B7" s="368"/>
      <c r="C7" s="368"/>
      <c r="D7" s="368"/>
      <c r="E7" s="368"/>
      <c r="F7" s="368"/>
      <c r="G7" s="558" t="str">
        <f>IF(Y7&lt;&gt;"都市ガス","",IF(ISERROR(VLOOKUP(C7,非_都市ガス事業者!$O$8:$P$200,2,FALSE)),"",VLOOKUP(C7,非_都市ガス事業者!$O$8:$P$200,2,FALSE)))</f>
        <v/>
      </c>
      <c r="H7" s="559" t="str">
        <f>IF(Y7&lt;&gt;"都市ガス","",非_都市ガス事業者!$P$4)</f>
        <v/>
      </c>
      <c r="I7" s="560" t="str">
        <f>IF(B7="","",IF(Y7&lt;&gt;"都市ガス",VLOOKUP(B7,非_係数!$B$42:$D$55,2,FALSE),""))</f>
        <v/>
      </c>
      <c r="J7" s="368"/>
      <c r="K7" s="435" t="str">
        <f>AG7</f>
        <v/>
      </c>
      <c r="L7" s="189" t="str">
        <f>AH7</f>
        <v/>
      </c>
      <c r="M7" s="368"/>
      <c r="N7" s="417"/>
      <c r="O7" s="368"/>
      <c r="P7" s="368"/>
      <c r="Q7" s="412"/>
      <c r="R7" s="464"/>
      <c r="S7" s="512" t="str">
        <f>IF(Q7="","",IF(R7="",Q7,Q7*R7))</f>
        <v/>
      </c>
      <c r="T7" s="537" t="str">
        <f>AL7</f>
        <v/>
      </c>
      <c r="U7" s="396" t="str">
        <f>IF(B7="","",VLOOKUP(B7,非_単位!$N$38:$O$53,2,FALSE))</f>
        <v/>
      </c>
      <c r="V7" s="538" t="str">
        <f>AM7</f>
        <v/>
      </c>
      <c r="W7" s="539" t="str">
        <f>AN7</f>
        <v/>
      </c>
      <c r="Y7" s="422" t="str">
        <f t="shared" ref="Y7:Y46" si="0">IF(A7="","",IF(LEFT(A7,2)="電気","電気",IF(LEFT(A7,1)="熱","熱",IF(LEFT(A7,4)="都市ガス","都市ガス"))))</f>
        <v/>
      </c>
      <c r="Z7" s="422" t="str">
        <f>IF(A7="","",IF(A7=非_燃料種類_選択リスト!$I$3,"一般送配電_種類",IF(A7=非_燃料種類_選択リスト!$I$4,"一般送配電以外_種類",IF(A7=非_燃料種類_選択リスト!$I$5,"熱_種類",IF(A7=非_燃料種類_選択リスト!$I$6,"都市ガス_種類","")))))</f>
        <v/>
      </c>
      <c r="AA7" s="422" t="str">
        <f>IF(Y7&lt;&gt;"電気","",非_電気事業者!$S$4*1000)</f>
        <v/>
      </c>
      <c r="AB7" s="422" t="str">
        <f>IF(Y7&lt;&gt;"電気","",IF(ISERROR(VLOOKUP(C7&amp;E7,非_電気事業者!$R$9:$S$2000,2,FALSE)),"要記入",VLOOKUP(C7&amp;E7,非_電気事業者!$R$9:$S$2000,2,FALSE)*1000))</f>
        <v/>
      </c>
      <c r="AC7" s="422" t="str">
        <f>IF(Y7&lt;&gt;"熱","",非_熱供給事業者!$T$4)</f>
        <v/>
      </c>
      <c r="AD7" s="422" t="str">
        <f>IF(Y7&lt;&gt;"熱","",IF(ISERROR(VLOOKUP(C7&amp;E7,非_熱供給事業者!$S$8:$T$200,2,FALSE)),"要記入",VLOOKUP(C7&amp;E7,非_熱供給事業者!$S$8:$T$200,2,FALSE)))</f>
        <v/>
      </c>
      <c r="AE7" s="422" t="str">
        <f>IF(Y7&lt;&gt;"都市ガス","",非_都市ガス事業者!$AB$4)</f>
        <v/>
      </c>
      <c r="AF7" s="422" t="str">
        <f>IF(Y7&lt;&gt;"都市ガス","",IF(ISERROR(VLOOKUP(C7&amp;E7,非_都市ガス事業者!$AA$8:$AB$200,2,FALSE)),"要記入",VLOOKUP(C7&amp;E7,非_都市ガス事業者!$AA$8:$AB$200,2,FALSE)))</f>
        <v/>
      </c>
      <c r="AG7" s="422" t="str">
        <f t="shared" ref="AG7:AG46" si="1">IF(Y7="","",IF(Y7="電気",IF(J7="国代替値",AA7,IF(J7="国公表値",AB7,"要記入")),IF(Y7="熱",IF(J7="国代替値",AC7,IF(J7="国公表値",AD7,"要記入")),IF(Y7="都市ガス",IF(J7="国代替値",AE7,IF(J7="国公表値",AF7,"要記入"))))))</f>
        <v/>
      </c>
      <c r="AH7" s="422" t="str">
        <f>IF(Y7="電気","t-CO2/千kWh",IF(Y7="熱","t-CO2/GJ",IF(Y7="都市ガス","t-CO2/千m3(SATP)","")))</f>
        <v/>
      </c>
      <c r="AI7" s="482" t="b">
        <f>_xlfn.ISFORMULA(K7)</f>
        <v>1</v>
      </c>
      <c r="AJ7" s="422" t="str">
        <f>IF(P7="","",VLOOKUP(P7,非_単位補正換算!$B$3:$C$16,2,FALSE))</f>
        <v/>
      </c>
      <c r="AK7" s="422" t="str">
        <f>IF(Y7="","",IF(Y7&lt;&gt;"都市ガス",1,IF(F7="","",SUMIFS(非_単位補正換算!$D$52:$D$63,非_単位補正換算!$B$52:$B$63,"都市ガス"&amp;F7,非_単位補正換算!$C$52:$C$63,電気・熱_都市ガス!P7))))</f>
        <v/>
      </c>
      <c r="AL7" s="422" t="str">
        <f>IF(AND(P7&lt;&gt;"",S7&lt;&gt;"",AJ7&lt;&gt;"",AK7&lt;&gt;""),S7/AJ7*AK7,"")</f>
        <v/>
      </c>
      <c r="AM7" s="422" t="str">
        <f t="shared" ref="AM7:AM46" si="2">IF(AND(Y7&lt;&gt;"",AL7&lt;&gt;""),IF(Y7&lt;&gt;"都市ガス",AL7*I7,IF(H7&gt;0,AL7*H7,"")),"")</f>
        <v/>
      </c>
      <c r="AN7" s="422" t="str">
        <f t="shared" ref="AN7:AN46" si="3">IF(AL7="","",IF(ISNUMBER(K7),AL7*K7,""))</f>
        <v/>
      </c>
      <c r="AO7" s="422" t="str">
        <f>IF(B7="","",VLOOKUP(B7,非_まとめ表行番号!$F$3:$H$12,2,FALSE))</f>
        <v/>
      </c>
      <c r="AP7" s="485" t="b">
        <f>_xlfn.ISFORMULA(H7)</f>
        <v>1</v>
      </c>
      <c r="AQ7" s="422" t="str">
        <f>IF(Y7="","",IF(Y7&lt;&gt;"都市ガス",1,非_係数!$G$55))</f>
        <v/>
      </c>
      <c r="AR7" s="422" t="str">
        <f>IF(AL7="","",AL7*AQ7)</f>
        <v/>
      </c>
      <c r="AS7" s="422" t="str">
        <f t="shared" ref="AS7:AS46" si="4">IF(Y7="都市ガス",IF(AR7="","",G7*AR7),"")</f>
        <v/>
      </c>
      <c r="AT7" s="422" t="str">
        <f>IF(B7="","",VLOOKUP(B7,非_係数!$B$42:$K$55,9,FALSE))</f>
        <v/>
      </c>
      <c r="AU7" s="422" t="str">
        <f>IF(AND(AR7&lt;&gt;"",AT7&lt;&gt;""),IF(Y7&lt;&gt;"都市ガス",AR7*AT7,AS7*AT7*44/12),"")</f>
        <v/>
      </c>
      <c r="AV7" s="422" t="str">
        <f>IF(B7="","",VLOOKUP(B7,非_まとめ表行番号!$F$3:$H$12,3,FALSE))</f>
        <v/>
      </c>
      <c r="AW7" s="422" t="str">
        <f t="shared" ref="AW7:AW46" si="5">IF(O7="無","乗率_排出量","")</f>
        <v/>
      </c>
      <c r="AY7" s="479" t="str">
        <f>IF(AO7="","",VLOOKUP(AO7,非_まとめ表行番号!$U$3:$V$56,2,FALSE))</f>
        <v/>
      </c>
      <c r="AZ7" s="479" t="str">
        <f>IF(C7="","",C7)</f>
        <v/>
      </c>
      <c r="BA7" s="479" t="str">
        <f>IF(D7="","",D7)</f>
        <v/>
      </c>
      <c r="BB7" s="479" t="str">
        <f>IF(G7&lt;&gt;"",G7,IF(I7&lt;&gt;"",I7,""))</f>
        <v/>
      </c>
      <c r="BC7" s="479" t="str">
        <f>IF(H7="","",H7)</f>
        <v/>
      </c>
      <c r="BD7" s="479" t="str">
        <f>IF(J7="","",J7)</f>
        <v/>
      </c>
      <c r="BE7" s="479" t="str">
        <f>IF(K7="","",K7)</f>
        <v/>
      </c>
      <c r="BF7" s="479" t="str">
        <f>IF(T7="","",T7)</f>
        <v/>
      </c>
      <c r="BG7" s="479" t="str">
        <f>IF(AN7="","",IF(AN7&gt;=0,1,-1))</f>
        <v/>
      </c>
    </row>
    <row r="8" spans="1:59" ht="18.75" customHeight="1">
      <c r="A8" s="460"/>
      <c r="B8" s="368"/>
      <c r="C8" s="368"/>
      <c r="D8" s="368"/>
      <c r="E8" s="368"/>
      <c r="F8" s="368"/>
      <c r="G8" s="558" t="str">
        <f>IF(Y8&lt;&gt;"都市ガス","",IF(ISERROR(VLOOKUP(C8,非_都市ガス事業者!$O$8:$P$200,2,FALSE)),"",VLOOKUP(C8,非_都市ガス事業者!$O$8:$P$200,2,FALSE)))</f>
        <v/>
      </c>
      <c r="H8" s="559" t="str">
        <f>IF(Y8&lt;&gt;"都市ガス","",非_都市ガス事業者!$P$4)</f>
        <v/>
      </c>
      <c r="I8" s="560" t="str">
        <f>IF(B8="","",IF(Y8&lt;&gt;"都市ガス",VLOOKUP(B8,非_係数!$B$42:$D$55,2,FALSE),""))</f>
        <v/>
      </c>
      <c r="J8" s="368"/>
      <c r="K8" s="435" t="str">
        <f t="shared" ref="K8:K46" si="6">AG8</f>
        <v/>
      </c>
      <c r="L8" s="190" t="str">
        <f t="shared" ref="L8:L41" si="7">AH8</f>
        <v/>
      </c>
      <c r="M8" s="368"/>
      <c r="N8" s="418"/>
      <c r="O8" s="368"/>
      <c r="P8" s="368"/>
      <c r="Q8" s="413"/>
      <c r="R8" s="443"/>
      <c r="S8" s="518" t="str">
        <f>IF(Q8="","",IF(R8="",Q8,Q8*R8))</f>
        <v/>
      </c>
      <c r="T8" s="398" t="str">
        <f t="shared" ref="T8:T36" si="8">AL8</f>
        <v/>
      </c>
      <c r="U8" s="398" t="str">
        <f>IF(B8="","",VLOOKUP(B8,非_単位!$N$38:$O$53,2,FALSE))</f>
        <v/>
      </c>
      <c r="V8" s="540" t="str">
        <f t="shared" ref="V8:V36" si="9">AM8</f>
        <v/>
      </c>
      <c r="W8" s="541" t="str">
        <f t="shared" ref="W8:W36" si="10">AN8</f>
        <v/>
      </c>
      <c r="Y8" s="422" t="str">
        <f t="shared" si="0"/>
        <v/>
      </c>
      <c r="Z8" s="422" t="str">
        <f>IF(A8="","",IF(A8=非_燃料種類_選択リスト!$I$3,"一般送配電_種類",IF(A8=非_燃料種類_選択リスト!$I$4,"一般送配電以外_種類",IF(A8=非_燃料種類_選択リスト!$I$5,"熱_種類",IF(A8=非_燃料種類_選択リスト!$I$6,"都市ガス_種類","")))))</f>
        <v/>
      </c>
      <c r="AA8" s="422" t="str">
        <f>IF(Y8&lt;&gt;"電気","",非_電気事業者!$S$4*1000)</f>
        <v/>
      </c>
      <c r="AB8" s="422" t="str">
        <f>IF(Y8&lt;&gt;"電気","",IF(ISERROR(VLOOKUP(C8&amp;E8,非_電気事業者!$R$9:$S$2000,2,FALSE)),"要記入",VLOOKUP(C8&amp;E8,非_電気事業者!$R$9:$S$2000,2,FALSE)*1000))</f>
        <v/>
      </c>
      <c r="AC8" s="422" t="str">
        <f>IF(Y8&lt;&gt;"熱","",非_熱供給事業者!$T$4)</f>
        <v/>
      </c>
      <c r="AD8" s="422" t="str">
        <f>IF(Y8&lt;&gt;"熱","",IF(ISERROR(VLOOKUP(C8&amp;E8,非_熱供給事業者!$S$8:$T$200,2,FALSE)),"要記入",VLOOKUP(C8&amp;E8,非_熱供給事業者!$S$8:$T$200,2,FALSE)))</f>
        <v/>
      </c>
      <c r="AE8" s="422" t="str">
        <f>IF(Y8&lt;&gt;"都市ガス","",非_都市ガス事業者!$AB$4)</f>
        <v/>
      </c>
      <c r="AF8" s="422" t="str">
        <f>IF(Y8&lt;&gt;"都市ガス","",IF(ISERROR(VLOOKUP(C8&amp;E8,非_都市ガス事業者!$AA$8:$AB$200,2,FALSE)),"要記入",VLOOKUP(C8&amp;E8,非_都市ガス事業者!$AA$8:$AB$200,2,FALSE)))</f>
        <v/>
      </c>
      <c r="AG8" s="422" t="str">
        <f t="shared" si="1"/>
        <v/>
      </c>
      <c r="AH8" s="422" t="str">
        <f t="shared" ref="AH8:AH36" si="11">IF(Y8="電気","t-CO2/千kWh",IF(Y8="熱","t-CO2/GJ",IF(Y8="都市ガス","t-CO2/千m3(SATP)","")))</f>
        <v/>
      </c>
      <c r="AI8" s="482" t="b">
        <f t="shared" ref="AI8:AI71" si="12">_xlfn.ISFORMULA(K8)</f>
        <v>1</v>
      </c>
      <c r="AJ8" s="422" t="str">
        <f>IF(P8="","",VLOOKUP(P8,非_単位補正換算!$B$3:$C$16,2,FALSE))</f>
        <v/>
      </c>
      <c r="AK8" s="422" t="str">
        <f>IF(Y8="","",IF(Y8&lt;&gt;"都市ガス",1,IF(F8="","",SUMIFS(非_単位補正換算!$D$52:$D$63,非_単位補正換算!$B$52:$B$63,"都市ガス"&amp;F8,非_単位補正換算!$C$52:$C$63,電気・熱_都市ガス!P8))))</f>
        <v/>
      </c>
      <c r="AL8" s="479" t="str">
        <f t="shared" ref="AL8:AL46" si="13">IF(AND(P8&lt;&gt;"",S8&lt;&gt;"",AJ8&lt;&gt;"",AK8&lt;&gt;""),S8/AJ8*AK8,"")</f>
        <v/>
      </c>
      <c r="AM8" s="422" t="str">
        <f t="shared" si="2"/>
        <v/>
      </c>
      <c r="AN8" s="422" t="str">
        <f t="shared" si="3"/>
        <v/>
      </c>
      <c r="AO8" s="422" t="str">
        <f>IF(B8="","",VLOOKUP(B8,非_まとめ表行番号!$F$3:$H$12,2,FALSE))</f>
        <v/>
      </c>
      <c r="AP8" s="485" t="b">
        <f t="shared" ref="AP8:AP71" si="14">_xlfn.ISFORMULA(H8)</f>
        <v>1</v>
      </c>
      <c r="AQ8" s="582" t="str">
        <f>IF(Y8="","",IF(Y8&lt;&gt;"都市ガス",1,非_係数!$G$55))</f>
        <v/>
      </c>
      <c r="AR8" s="422" t="str">
        <f t="shared" ref="AR8:AR36" si="15">IF(AL8="","",AL8*AQ8)</f>
        <v/>
      </c>
      <c r="AS8" s="422" t="str">
        <f t="shared" si="4"/>
        <v/>
      </c>
      <c r="AT8" s="422" t="str">
        <f>IF(B8="","",VLOOKUP(B8,非_係数!$B$42:$K$55,9,FALSE))</f>
        <v/>
      </c>
      <c r="AU8" s="422" t="str">
        <f t="shared" ref="AU8:AU72" si="16">IF(AND(AR8&lt;&gt;"",AT8&lt;&gt;""),IF(Y8&lt;&gt;"都市ガス",AR8*AT8,AS8*AT8*44/12),"")</f>
        <v/>
      </c>
      <c r="AV8" s="422" t="str">
        <f>IF(B8="","",VLOOKUP(B8,非_まとめ表行番号!$F$3:$H$12,3,FALSE))</f>
        <v/>
      </c>
      <c r="AW8" s="422" t="str">
        <f t="shared" si="5"/>
        <v/>
      </c>
      <c r="AY8" s="479" t="str">
        <f>IF(AO8="","",VLOOKUP(AO8,非_まとめ表行番号!$U$3:$V$56,2,FALSE))</f>
        <v/>
      </c>
      <c r="AZ8" s="479" t="str">
        <f t="shared" ref="AZ8:BA46" si="17">IF(C8="","",C8)</f>
        <v/>
      </c>
      <c r="BA8" s="479" t="str">
        <f t="shared" si="17"/>
        <v/>
      </c>
      <c r="BB8" s="479" t="str">
        <f t="shared" ref="BB8:BB71" si="18">IF(G8&lt;&gt;"",G8,IF(I8&lt;&gt;"",I8,""))</f>
        <v/>
      </c>
      <c r="BC8" s="479" t="str">
        <f t="shared" ref="BC8:BC71" si="19">IF(H8="","",H8)</f>
        <v/>
      </c>
      <c r="BD8" s="479" t="str">
        <f t="shared" ref="BD8:BE46" si="20">IF(J8="","",J8)</f>
        <v/>
      </c>
      <c r="BE8" s="479" t="str">
        <f t="shared" si="20"/>
        <v/>
      </c>
      <c r="BF8" s="479" t="str">
        <f t="shared" ref="BF8:BF71" si="21">IF(T8="","",T8)</f>
        <v/>
      </c>
      <c r="BG8" s="580" t="str">
        <f t="shared" ref="BG8:BG46" si="22">IF(AN8="","",IF(AN8&gt;=0,1,-1))</f>
        <v/>
      </c>
    </row>
    <row r="9" spans="1:59" ht="18.75" customHeight="1">
      <c r="A9" s="460"/>
      <c r="B9" s="368"/>
      <c r="C9" s="368"/>
      <c r="D9" s="368"/>
      <c r="E9" s="368"/>
      <c r="F9" s="368"/>
      <c r="G9" s="558" t="str">
        <f>IF(Y9&lt;&gt;"都市ガス","",IF(ISERROR(VLOOKUP(C9,非_都市ガス事業者!$O$8:$P$200,2,FALSE)),"",VLOOKUP(C9,非_都市ガス事業者!$O$8:$P$200,2,FALSE)))</f>
        <v/>
      </c>
      <c r="H9" s="559" t="str">
        <f>IF(Y9&lt;&gt;"都市ガス","",非_都市ガス事業者!$P$4)</f>
        <v/>
      </c>
      <c r="I9" s="560" t="str">
        <f>IF(B9="","",IF(Y9&lt;&gt;"都市ガス",VLOOKUP(B9,非_係数!$B$42:$D$55,2,FALSE),""))</f>
        <v/>
      </c>
      <c r="J9" s="368"/>
      <c r="K9" s="435" t="str">
        <f t="shared" si="6"/>
        <v/>
      </c>
      <c r="L9" s="190" t="str">
        <f t="shared" si="7"/>
        <v/>
      </c>
      <c r="M9" s="368"/>
      <c r="N9" s="418"/>
      <c r="O9" s="368"/>
      <c r="P9" s="368"/>
      <c r="Q9" s="413"/>
      <c r="R9" s="443"/>
      <c r="S9" s="540" t="str">
        <f t="shared" ref="S9:S46" si="23">IF(Q9="","",IF(R9="",Q9,Q9*R9))</f>
        <v/>
      </c>
      <c r="T9" s="397" t="str">
        <f t="shared" si="8"/>
        <v/>
      </c>
      <c r="U9" s="397" t="str">
        <f>IF(B9="","",VLOOKUP(B9,非_単位!$N$38:$O$53,2,FALSE))</f>
        <v/>
      </c>
      <c r="V9" s="540" t="str">
        <f t="shared" si="9"/>
        <v/>
      </c>
      <c r="W9" s="541" t="str">
        <f t="shared" si="10"/>
        <v/>
      </c>
      <c r="Y9" s="422" t="str">
        <f t="shared" si="0"/>
        <v/>
      </c>
      <c r="Z9" s="422" t="str">
        <f>IF(A9="","",IF(A9=非_燃料種類_選択リスト!$I$3,"一般送配電_種類",IF(A9=非_燃料種類_選択リスト!$I$4,"一般送配電以外_種類",IF(A9=非_燃料種類_選択リスト!$I$5,"熱_種類",IF(A9=非_燃料種類_選択リスト!$I$6,"都市ガス_種類","")))))</f>
        <v/>
      </c>
      <c r="AA9" s="422" t="str">
        <f>IF(Y9&lt;&gt;"電気","",非_電気事業者!$S$4*1000)</f>
        <v/>
      </c>
      <c r="AB9" s="422" t="str">
        <f>IF(Y9&lt;&gt;"電気","",IF(ISERROR(VLOOKUP(C9&amp;E9,非_電気事業者!$R$9:$S$2000,2,FALSE)),"要記入",VLOOKUP(C9&amp;E9,非_電気事業者!$R$9:$S$2000,2,FALSE)*1000))</f>
        <v/>
      </c>
      <c r="AC9" s="422" t="str">
        <f>IF(Y9&lt;&gt;"熱","",非_熱供給事業者!$T$4)</f>
        <v/>
      </c>
      <c r="AD9" s="422" t="str">
        <f>IF(Y9&lt;&gt;"熱","",IF(ISERROR(VLOOKUP(C9&amp;E9,非_熱供給事業者!$S$8:$T$200,2,FALSE)),"要記入",VLOOKUP(C9&amp;E9,非_熱供給事業者!$S$8:$T$200,2,FALSE)))</f>
        <v/>
      </c>
      <c r="AE9" s="422" t="str">
        <f>IF(Y9&lt;&gt;"都市ガス","",非_都市ガス事業者!$AB$4)</f>
        <v/>
      </c>
      <c r="AF9" s="422" t="str">
        <f>IF(Y9&lt;&gt;"都市ガス","",IF(ISERROR(VLOOKUP(C9&amp;E9,非_都市ガス事業者!$AA$8:$AB$200,2,FALSE)),"要記入",VLOOKUP(C9&amp;E9,非_都市ガス事業者!$AA$8:$AB$200,2,FALSE)))</f>
        <v/>
      </c>
      <c r="AG9" s="422" t="str">
        <f t="shared" si="1"/>
        <v/>
      </c>
      <c r="AH9" s="422" t="str">
        <f t="shared" si="11"/>
        <v/>
      </c>
      <c r="AI9" s="482" t="b">
        <f t="shared" si="12"/>
        <v>1</v>
      </c>
      <c r="AJ9" s="422" t="str">
        <f>IF(P9="","",VLOOKUP(P9,非_単位補正換算!$B$3:$C$16,2,FALSE))</f>
        <v/>
      </c>
      <c r="AK9" s="422" t="str">
        <f>IF(Y9="","",IF(Y9&lt;&gt;"都市ガス",1,IF(F9="","",SUMIFS(非_単位補正換算!$D$52:$D$63,非_単位補正換算!$B$52:$B$63,"都市ガス"&amp;F9,非_単位補正換算!$C$52:$C$63,電気・熱_都市ガス!P9))))</f>
        <v/>
      </c>
      <c r="AL9" s="479" t="str">
        <f t="shared" si="13"/>
        <v/>
      </c>
      <c r="AM9" s="422" t="str">
        <f t="shared" si="2"/>
        <v/>
      </c>
      <c r="AN9" s="422" t="str">
        <f t="shared" si="3"/>
        <v/>
      </c>
      <c r="AO9" s="422" t="str">
        <f>IF(B9="","",VLOOKUP(B9,非_まとめ表行番号!$F$3:$H$12,2,FALSE))</f>
        <v/>
      </c>
      <c r="AP9" s="485" t="b">
        <f t="shared" si="14"/>
        <v>1</v>
      </c>
      <c r="AQ9" s="582" t="str">
        <f>IF(Y9="","",IF(Y9&lt;&gt;"都市ガス",1,非_係数!$G$55))</f>
        <v/>
      </c>
      <c r="AR9" s="422" t="str">
        <f t="shared" si="15"/>
        <v/>
      </c>
      <c r="AS9" s="422" t="str">
        <f t="shared" si="4"/>
        <v/>
      </c>
      <c r="AT9" s="422" t="str">
        <f>IF(B9="","",VLOOKUP(B9,非_係数!$B$42:$K$55,9,FALSE))</f>
        <v/>
      </c>
      <c r="AU9" s="422" t="str">
        <f t="shared" si="16"/>
        <v/>
      </c>
      <c r="AV9" s="422" t="str">
        <f>IF(B9="","",VLOOKUP(B9,非_まとめ表行番号!$F$3:$H$12,3,FALSE))</f>
        <v/>
      </c>
      <c r="AW9" s="422" t="str">
        <f t="shared" si="5"/>
        <v/>
      </c>
      <c r="AY9" s="479" t="str">
        <f>IF(AO9="","",VLOOKUP(AO9,非_まとめ表行番号!$U$3:$V$56,2,FALSE))</f>
        <v/>
      </c>
      <c r="AZ9" s="479" t="str">
        <f t="shared" si="17"/>
        <v/>
      </c>
      <c r="BA9" s="479" t="str">
        <f t="shared" si="17"/>
        <v/>
      </c>
      <c r="BB9" s="479" t="str">
        <f t="shared" si="18"/>
        <v/>
      </c>
      <c r="BC9" s="479" t="str">
        <f t="shared" si="19"/>
        <v/>
      </c>
      <c r="BD9" s="479" t="str">
        <f t="shared" si="20"/>
        <v/>
      </c>
      <c r="BE9" s="479" t="str">
        <f t="shared" si="20"/>
        <v/>
      </c>
      <c r="BF9" s="479" t="str">
        <f t="shared" si="21"/>
        <v/>
      </c>
      <c r="BG9" s="580" t="str">
        <f t="shared" si="22"/>
        <v/>
      </c>
    </row>
    <row r="10" spans="1:59" ht="18.75" customHeight="1">
      <c r="A10" s="460"/>
      <c r="B10" s="368"/>
      <c r="C10" s="368"/>
      <c r="D10" s="368"/>
      <c r="E10" s="368"/>
      <c r="F10" s="368"/>
      <c r="G10" s="558" t="str">
        <f>IF(Y10&lt;&gt;"都市ガス","",IF(ISERROR(VLOOKUP(C10,非_都市ガス事業者!$O$8:$P$200,2,FALSE)),"",VLOOKUP(C10,非_都市ガス事業者!$O$8:$P$200,2,FALSE)))</f>
        <v/>
      </c>
      <c r="H10" s="559" t="str">
        <f>IF(Y10&lt;&gt;"都市ガス","",非_都市ガス事業者!$P$4)</f>
        <v/>
      </c>
      <c r="I10" s="560" t="str">
        <f>IF(B10="","",IF(Y10&lt;&gt;"都市ガス",VLOOKUP(B10,非_係数!$B$42:$D$55,2,FALSE),""))</f>
        <v/>
      </c>
      <c r="J10" s="368"/>
      <c r="K10" s="435" t="str">
        <f t="shared" si="6"/>
        <v/>
      </c>
      <c r="L10" s="190" t="str">
        <f t="shared" si="7"/>
        <v/>
      </c>
      <c r="M10" s="368"/>
      <c r="N10" s="418"/>
      <c r="O10" s="368"/>
      <c r="P10" s="368"/>
      <c r="Q10" s="413"/>
      <c r="R10" s="443"/>
      <c r="S10" s="540" t="str">
        <f t="shared" si="23"/>
        <v/>
      </c>
      <c r="T10" s="397" t="str">
        <f t="shared" si="8"/>
        <v/>
      </c>
      <c r="U10" s="397" t="str">
        <f>IF(B10="","",VLOOKUP(B10,非_単位!$N$38:$O$53,2,FALSE))</f>
        <v/>
      </c>
      <c r="V10" s="540" t="str">
        <f t="shared" si="9"/>
        <v/>
      </c>
      <c r="W10" s="541" t="str">
        <f t="shared" si="10"/>
        <v/>
      </c>
      <c r="Y10" s="422" t="str">
        <f t="shared" si="0"/>
        <v/>
      </c>
      <c r="Z10" s="422" t="str">
        <f>IF(A10="","",IF(A10=非_燃料種類_選択リスト!$I$3,"一般送配電_種類",IF(A10=非_燃料種類_選択リスト!$I$4,"一般送配電以外_種類",IF(A10=非_燃料種類_選択リスト!$I$5,"熱_種類",IF(A10=非_燃料種類_選択リスト!$I$6,"都市ガス_種類","")))))</f>
        <v/>
      </c>
      <c r="AA10" s="422" t="str">
        <f>IF(Y10&lt;&gt;"電気","",非_電気事業者!$S$4*1000)</f>
        <v/>
      </c>
      <c r="AB10" s="422" t="str">
        <f>IF(Y10&lt;&gt;"電気","",IF(ISERROR(VLOOKUP(C10&amp;E10,非_電気事業者!$R$9:$S$2000,2,FALSE)),"要記入",VLOOKUP(C10&amp;E10,非_電気事業者!$R$9:$S$2000,2,FALSE)*1000))</f>
        <v/>
      </c>
      <c r="AC10" s="422" t="str">
        <f>IF(Y10&lt;&gt;"熱","",非_熱供給事業者!$T$4)</f>
        <v/>
      </c>
      <c r="AD10" s="422" t="str">
        <f>IF(Y10&lt;&gt;"熱","",IF(ISERROR(VLOOKUP(C10&amp;E10,非_熱供給事業者!$S$8:$T$200,2,FALSE)),"要記入",VLOOKUP(C10&amp;E10,非_熱供給事業者!$S$8:$T$200,2,FALSE)))</f>
        <v/>
      </c>
      <c r="AE10" s="422" t="str">
        <f>IF(Y10&lt;&gt;"都市ガス","",非_都市ガス事業者!$AB$4)</f>
        <v/>
      </c>
      <c r="AF10" s="422" t="str">
        <f>IF(Y10&lt;&gt;"都市ガス","",IF(ISERROR(VLOOKUP(C10&amp;E10,非_都市ガス事業者!$AA$8:$AB$200,2,FALSE)),"要記入",VLOOKUP(C10&amp;E10,非_都市ガス事業者!$AA$8:$AB$200,2,FALSE)))</f>
        <v/>
      </c>
      <c r="AG10" s="422" t="str">
        <f t="shared" si="1"/>
        <v/>
      </c>
      <c r="AH10" s="422" t="str">
        <f t="shared" si="11"/>
        <v/>
      </c>
      <c r="AI10" s="482" t="b">
        <f t="shared" si="12"/>
        <v>1</v>
      </c>
      <c r="AJ10" s="422" t="str">
        <f>IF(P10="","",VLOOKUP(P10,非_単位補正換算!$B$3:$C$16,2,FALSE))</f>
        <v/>
      </c>
      <c r="AK10" s="422" t="str">
        <f>IF(Y10="","",IF(Y10&lt;&gt;"都市ガス",1,IF(F10="","",SUMIFS(非_単位補正換算!$D$52:$D$63,非_単位補正換算!$B$52:$B$63,"都市ガス"&amp;F10,非_単位補正換算!$C$52:$C$63,電気・熱_都市ガス!P10))))</f>
        <v/>
      </c>
      <c r="AL10" s="479" t="str">
        <f t="shared" si="13"/>
        <v/>
      </c>
      <c r="AM10" s="422" t="str">
        <f t="shared" si="2"/>
        <v/>
      </c>
      <c r="AN10" s="422" t="str">
        <f t="shared" si="3"/>
        <v/>
      </c>
      <c r="AO10" s="422" t="str">
        <f>IF(B10="","",VLOOKUP(B10,非_まとめ表行番号!$F$3:$H$12,2,FALSE))</f>
        <v/>
      </c>
      <c r="AP10" s="485" t="b">
        <f t="shared" si="14"/>
        <v>1</v>
      </c>
      <c r="AQ10" s="582" t="str">
        <f>IF(Y10="","",IF(Y10&lt;&gt;"都市ガス",1,非_係数!$G$55))</f>
        <v/>
      </c>
      <c r="AR10" s="422" t="str">
        <f t="shared" si="15"/>
        <v/>
      </c>
      <c r="AS10" s="422" t="str">
        <f t="shared" si="4"/>
        <v/>
      </c>
      <c r="AT10" s="422" t="str">
        <f>IF(B10="","",VLOOKUP(B10,非_係数!$B$42:$K$55,9,FALSE))</f>
        <v/>
      </c>
      <c r="AU10" s="422" t="str">
        <f t="shared" si="16"/>
        <v/>
      </c>
      <c r="AV10" s="422" t="str">
        <f>IF(B10="","",VLOOKUP(B10,非_まとめ表行番号!$F$3:$H$12,3,FALSE))</f>
        <v/>
      </c>
      <c r="AW10" s="422" t="str">
        <f t="shared" si="5"/>
        <v/>
      </c>
      <c r="AY10" s="479" t="str">
        <f>IF(AO10="","",VLOOKUP(AO10,非_まとめ表行番号!$U$3:$V$56,2,FALSE))</f>
        <v/>
      </c>
      <c r="AZ10" s="479" t="str">
        <f t="shared" si="17"/>
        <v/>
      </c>
      <c r="BA10" s="479" t="str">
        <f t="shared" si="17"/>
        <v/>
      </c>
      <c r="BB10" s="479" t="str">
        <f t="shared" si="18"/>
        <v/>
      </c>
      <c r="BC10" s="479" t="str">
        <f t="shared" si="19"/>
        <v/>
      </c>
      <c r="BD10" s="479" t="str">
        <f t="shared" si="20"/>
        <v/>
      </c>
      <c r="BE10" s="479" t="str">
        <f t="shared" si="20"/>
        <v/>
      </c>
      <c r="BF10" s="479" t="str">
        <f t="shared" si="21"/>
        <v/>
      </c>
      <c r="BG10" s="580" t="str">
        <f t="shared" si="22"/>
        <v/>
      </c>
    </row>
    <row r="11" spans="1:59" ht="18.75" customHeight="1">
      <c r="A11" s="460"/>
      <c r="B11" s="368"/>
      <c r="C11" s="368"/>
      <c r="D11" s="368"/>
      <c r="E11" s="368"/>
      <c r="F11" s="368"/>
      <c r="G11" s="558" t="str">
        <f>IF(Y11&lt;&gt;"都市ガス","",IF(ISERROR(VLOOKUP(C11,非_都市ガス事業者!$O$8:$P$200,2,FALSE)),"",VLOOKUP(C11,非_都市ガス事業者!$O$8:$P$200,2,FALSE)))</f>
        <v/>
      </c>
      <c r="H11" s="559" t="str">
        <f>IF(Y11&lt;&gt;"都市ガス","",非_都市ガス事業者!$P$4)</f>
        <v/>
      </c>
      <c r="I11" s="560" t="str">
        <f>IF(B11="","",IF(Y11&lt;&gt;"都市ガス",VLOOKUP(B11,非_係数!$B$42:$D$55,2,FALSE),""))</f>
        <v/>
      </c>
      <c r="J11" s="368"/>
      <c r="K11" s="435" t="str">
        <f t="shared" si="6"/>
        <v/>
      </c>
      <c r="L11" s="190" t="str">
        <f t="shared" si="7"/>
        <v/>
      </c>
      <c r="M11" s="368"/>
      <c r="N11" s="418"/>
      <c r="O11" s="368"/>
      <c r="P11" s="368"/>
      <c r="Q11" s="413"/>
      <c r="R11" s="443"/>
      <c r="S11" s="540" t="str">
        <f t="shared" si="23"/>
        <v/>
      </c>
      <c r="T11" s="397" t="str">
        <f t="shared" si="8"/>
        <v/>
      </c>
      <c r="U11" s="397" t="str">
        <f>IF(B11="","",VLOOKUP(B11,非_単位!$N$38:$O$53,2,FALSE))</f>
        <v/>
      </c>
      <c r="V11" s="540" t="str">
        <f t="shared" si="9"/>
        <v/>
      </c>
      <c r="W11" s="541" t="str">
        <f t="shared" si="10"/>
        <v/>
      </c>
      <c r="Y11" s="422" t="str">
        <f t="shared" si="0"/>
        <v/>
      </c>
      <c r="Z11" s="422" t="str">
        <f>IF(A11="","",IF(A11=非_燃料種類_選択リスト!$I$3,"一般送配電_種類",IF(A11=非_燃料種類_選択リスト!$I$4,"一般送配電以外_種類",IF(A11=非_燃料種類_選択リスト!$I$5,"熱_種類",IF(A11=非_燃料種類_選択リスト!$I$6,"都市ガス_種類","")))))</f>
        <v/>
      </c>
      <c r="AA11" s="422" t="str">
        <f>IF(Y11&lt;&gt;"電気","",非_電気事業者!$S$4*1000)</f>
        <v/>
      </c>
      <c r="AB11" s="422" t="str">
        <f>IF(Y11&lt;&gt;"電気","",IF(ISERROR(VLOOKUP(C11&amp;E11,非_電気事業者!$R$9:$S$2000,2,FALSE)),"要記入",VLOOKUP(C11&amp;E11,非_電気事業者!$R$9:$S$2000,2,FALSE)*1000))</f>
        <v/>
      </c>
      <c r="AC11" s="422" t="str">
        <f>IF(Y11&lt;&gt;"熱","",非_熱供給事業者!$T$4)</f>
        <v/>
      </c>
      <c r="AD11" s="422" t="str">
        <f>IF(Y11&lt;&gt;"熱","",IF(ISERROR(VLOOKUP(C11&amp;E11,非_熱供給事業者!$S$8:$T$200,2,FALSE)),"要記入",VLOOKUP(C11&amp;E11,非_熱供給事業者!$S$8:$T$200,2,FALSE)))</f>
        <v/>
      </c>
      <c r="AE11" s="422" t="str">
        <f>IF(Y11&lt;&gt;"都市ガス","",非_都市ガス事業者!$AB$4)</f>
        <v/>
      </c>
      <c r="AF11" s="422" t="str">
        <f>IF(Y11&lt;&gt;"都市ガス","",IF(ISERROR(VLOOKUP(C11&amp;E11,非_都市ガス事業者!$AA$8:$AB$200,2,FALSE)),"要記入",VLOOKUP(C11&amp;E11,非_都市ガス事業者!$AA$8:$AB$200,2,FALSE)))</f>
        <v/>
      </c>
      <c r="AG11" s="422" t="str">
        <f t="shared" si="1"/>
        <v/>
      </c>
      <c r="AH11" s="422" t="str">
        <f t="shared" si="11"/>
        <v/>
      </c>
      <c r="AI11" s="482" t="b">
        <f t="shared" si="12"/>
        <v>1</v>
      </c>
      <c r="AJ11" s="422" t="str">
        <f>IF(P11="","",VLOOKUP(P11,非_単位補正換算!$B$3:$C$16,2,FALSE))</f>
        <v/>
      </c>
      <c r="AK11" s="422" t="str">
        <f>IF(Y11="","",IF(Y11&lt;&gt;"都市ガス",1,IF(F11="","",SUMIFS(非_単位補正換算!$D$52:$D$63,非_単位補正換算!$B$52:$B$63,"都市ガス"&amp;F11,非_単位補正換算!$C$52:$C$63,電気・熱_都市ガス!P11))))</f>
        <v/>
      </c>
      <c r="AL11" s="479" t="str">
        <f t="shared" si="13"/>
        <v/>
      </c>
      <c r="AM11" s="422" t="str">
        <f t="shared" si="2"/>
        <v/>
      </c>
      <c r="AN11" s="422" t="str">
        <f t="shared" si="3"/>
        <v/>
      </c>
      <c r="AO11" s="422" t="str">
        <f>IF(B11="","",VLOOKUP(B11,非_まとめ表行番号!$F$3:$H$12,2,FALSE))</f>
        <v/>
      </c>
      <c r="AP11" s="485" t="b">
        <f t="shared" si="14"/>
        <v>1</v>
      </c>
      <c r="AQ11" s="582" t="str">
        <f>IF(Y11="","",IF(Y11&lt;&gt;"都市ガス",1,非_係数!$G$55))</f>
        <v/>
      </c>
      <c r="AR11" s="422" t="str">
        <f t="shared" si="15"/>
        <v/>
      </c>
      <c r="AS11" s="422" t="str">
        <f t="shared" si="4"/>
        <v/>
      </c>
      <c r="AT11" s="422" t="str">
        <f>IF(B11="","",VLOOKUP(B11,非_係数!$B$42:$K$55,9,FALSE))</f>
        <v/>
      </c>
      <c r="AU11" s="422" t="str">
        <f t="shared" si="16"/>
        <v/>
      </c>
      <c r="AV11" s="422" t="str">
        <f>IF(B11="","",VLOOKUP(B11,非_まとめ表行番号!$F$3:$H$12,3,FALSE))</f>
        <v/>
      </c>
      <c r="AW11" s="422" t="str">
        <f t="shared" si="5"/>
        <v/>
      </c>
      <c r="AY11" s="479" t="str">
        <f>IF(AO11="","",VLOOKUP(AO11,非_まとめ表行番号!$U$3:$V$56,2,FALSE))</f>
        <v/>
      </c>
      <c r="AZ11" s="479" t="str">
        <f t="shared" si="17"/>
        <v/>
      </c>
      <c r="BA11" s="479" t="str">
        <f t="shared" si="17"/>
        <v/>
      </c>
      <c r="BB11" s="479" t="str">
        <f t="shared" si="18"/>
        <v/>
      </c>
      <c r="BC11" s="479" t="str">
        <f t="shared" si="19"/>
        <v/>
      </c>
      <c r="BD11" s="479" t="str">
        <f t="shared" si="20"/>
        <v/>
      </c>
      <c r="BE11" s="479" t="str">
        <f t="shared" si="20"/>
        <v/>
      </c>
      <c r="BF11" s="479" t="str">
        <f t="shared" si="21"/>
        <v/>
      </c>
      <c r="BG11" s="580" t="str">
        <f t="shared" si="22"/>
        <v/>
      </c>
    </row>
    <row r="12" spans="1:59" ht="18.75" customHeight="1">
      <c r="A12" s="460"/>
      <c r="B12" s="368"/>
      <c r="C12" s="368"/>
      <c r="D12" s="368"/>
      <c r="E12" s="368"/>
      <c r="F12" s="368"/>
      <c r="G12" s="558" t="str">
        <f>IF(Y12&lt;&gt;"都市ガス","",IF(ISERROR(VLOOKUP(C12,非_都市ガス事業者!$O$8:$P$200,2,FALSE)),"",VLOOKUP(C12,非_都市ガス事業者!$O$8:$P$200,2,FALSE)))</f>
        <v/>
      </c>
      <c r="H12" s="559" t="str">
        <f>IF(Y12&lt;&gt;"都市ガス","",非_都市ガス事業者!$P$4)</f>
        <v/>
      </c>
      <c r="I12" s="560" t="str">
        <f>IF(B12="","",IF(Y12&lt;&gt;"都市ガス",VLOOKUP(B12,非_係数!$B$42:$D$55,2,FALSE),""))</f>
        <v/>
      </c>
      <c r="J12" s="368"/>
      <c r="K12" s="435" t="str">
        <f t="shared" si="6"/>
        <v/>
      </c>
      <c r="L12" s="190" t="str">
        <f t="shared" si="7"/>
        <v/>
      </c>
      <c r="M12" s="368"/>
      <c r="N12" s="418"/>
      <c r="O12" s="368"/>
      <c r="P12" s="368"/>
      <c r="Q12" s="413"/>
      <c r="R12" s="443"/>
      <c r="S12" s="540" t="str">
        <f t="shared" si="23"/>
        <v/>
      </c>
      <c r="T12" s="397" t="str">
        <f t="shared" si="8"/>
        <v/>
      </c>
      <c r="U12" s="397" t="str">
        <f>IF(B12="","",VLOOKUP(B12,非_単位!$N$38:$O$53,2,FALSE))</f>
        <v/>
      </c>
      <c r="V12" s="540" t="str">
        <f t="shared" si="9"/>
        <v/>
      </c>
      <c r="W12" s="541" t="str">
        <f t="shared" si="10"/>
        <v/>
      </c>
      <c r="Y12" s="422" t="str">
        <f t="shared" si="0"/>
        <v/>
      </c>
      <c r="Z12" s="422" t="str">
        <f>IF(A12="","",IF(A12=非_燃料種類_選択リスト!$I$3,"一般送配電_種類",IF(A12=非_燃料種類_選択リスト!$I$4,"一般送配電以外_種類",IF(A12=非_燃料種類_選択リスト!$I$5,"熱_種類",IF(A12=非_燃料種類_選択リスト!$I$6,"都市ガス_種類","")))))</f>
        <v/>
      </c>
      <c r="AA12" s="422" t="str">
        <f>IF(Y12&lt;&gt;"電気","",非_電気事業者!$S$4*1000)</f>
        <v/>
      </c>
      <c r="AB12" s="422" t="str">
        <f>IF(Y12&lt;&gt;"電気","",IF(ISERROR(VLOOKUP(C12&amp;E12,非_電気事業者!$R$9:$S$2000,2,FALSE)),"要記入",VLOOKUP(C12&amp;E12,非_電気事業者!$R$9:$S$2000,2,FALSE)*1000))</f>
        <v/>
      </c>
      <c r="AC12" s="422" t="str">
        <f>IF(Y12&lt;&gt;"熱","",非_熱供給事業者!$T$4)</f>
        <v/>
      </c>
      <c r="AD12" s="422" t="str">
        <f>IF(Y12&lt;&gt;"熱","",IF(ISERROR(VLOOKUP(C12&amp;E12,非_熱供給事業者!$S$8:$T$200,2,FALSE)),"要記入",VLOOKUP(C12&amp;E12,非_熱供給事業者!$S$8:$T$200,2,FALSE)))</f>
        <v/>
      </c>
      <c r="AE12" s="422" t="str">
        <f>IF(Y12&lt;&gt;"都市ガス","",非_都市ガス事業者!$AB$4)</f>
        <v/>
      </c>
      <c r="AF12" s="422" t="str">
        <f>IF(Y12&lt;&gt;"都市ガス","",IF(ISERROR(VLOOKUP(C12&amp;E12,非_都市ガス事業者!$AA$8:$AB$200,2,FALSE)),"要記入",VLOOKUP(C12&amp;E12,非_都市ガス事業者!$AA$8:$AB$200,2,FALSE)))</f>
        <v/>
      </c>
      <c r="AG12" s="422" t="str">
        <f t="shared" si="1"/>
        <v/>
      </c>
      <c r="AH12" s="422" t="str">
        <f t="shared" si="11"/>
        <v/>
      </c>
      <c r="AI12" s="482" t="b">
        <f t="shared" si="12"/>
        <v>1</v>
      </c>
      <c r="AJ12" s="422" t="str">
        <f>IF(P12="","",VLOOKUP(P12,非_単位補正換算!$B$3:$C$16,2,FALSE))</f>
        <v/>
      </c>
      <c r="AK12" s="422" t="str">
        <f>IF(Y12="","",IF(Y12&lt;&gt;"都市ガス",1,IF(F12="","",SUMIFS(非_単位補正換算!$D$52:$D$63,非_単位補正換算!$B$52:$B$63,"都市ガス"&amp;F12,非_単位補正換算!$C$52:$C$63,電気・熱_都市ガス!P12))))</f>
        <v/>
      </c>
      <c r="AL12" s="479" t="str">
        <f t="shared" si="13"/>
        <v/>
      </c>
      <c r="AM12" s="422" t="str">
        <f t="shared" si="2"/>
        <v/>
      </c>
      <c r="AN12" s="422" t="str">
        <f t="shared" si="3"/>
        <v/>
      </c>
      <c r="AO12" s="422" t="str">
        <f>IF(B12="","",VLOOKUP(B12,非_まとめ表行番号!$F$3:$H$12,2,FALSE))</f>
        <v/>
      </c>
      <c r="AP12" s="485" t="b">
        <f t="shared" si="14"/>
        <v>1</v>
      </c>
      <c r="AQ12" s="582" t="str">
        <f>IF(Y12="","",IF(Y12&lt;&gt;"都市ガス",1,非_係数!$G$55))</f>
        <v/>
      </c>
      <c r="AR12" s="422" t="str">
        <f t="shared" si="15"/>
        <v/>
      </c>
      <c r="AS12" s="422" t="str">
        <f t="shared" si="4"/>
        <v/>
      </c>
      <c r="AT12" s="422" t="str">
        <f>IF(B12="","",VLOOKUP(B12,非_係数!$B$42:$K$55,9,FALSE))</f>
        <v/>
      </c>
      <c r="AU12" s="422" t="str">
        <f t="shared" si="16"/>
        <v/>
      </c>
      <c r="AV12" s="422" t="str">
        <f>IF(B12="","",VLOOKUP(B12,非_まとめ表行番号!$F$3:$H$12,3,FALSE))</f>
        <v/>
      </c>
      <c r="AW12" s="422" t="str">
        <f t="shared" si="5"/>
        <v/>
      </c>
      <c r="AY12" s="479" t="str">
        <f>IF(AO12="","",VLOOKUP(AO12,非_まとめ表行番号!$U$3:$V$56,2,FALSE))</f>
        <v/>
      </c>
      <c r="AZ12" s="479" t="str">
        <f t="shared" si="17"/>
        <v/>
      </c>
      <c r="BA12" s="479" t="str">
        <f t="shared" si="17"/>
        <v/>
      </c>
      <c r="BB12" s="479" t="str">
        <f t="shared" si="18"/>
        <v/>
      </c>
      <c r="BC12" s="479" t="str">
        <f t="shared" si="19"/>
        <v/>
      </c>
      <c r="BD12" s="479" t="str">
        <f t="shared" si="20"/>
        <v/>
      </c>
      <c r="BE12" s="479" t="str">
        <f t="shared" si="20"/>
        <v/>
      </c>
      <c r="BF12" s="479" t="str">
        <f t="shared" si="21"/>
        <v/>
      </c>
      <c r="BG12" s="580" t="str">
        <f t="shared" si="22"/>
        <v/>
      </c>
    </row>
    <row r="13" spans="1:59" ht="18.75" customHeight="1">
      <c r="A13" s="460"/>
      <c r="B13" s="368"/>
      <c r="C13" s="368"/>
      <c r="D13" s="368"/>
      <c r="E13" s="368"/>
      <c r="F13" s="368"/>
      <c r="G13" s="558" t="str">
        <f>IF(Y13&lt;&gt;"都市ガス","",IF(ISERROR(VLOOKUP(C13,非_都市ガス事業者!$O$8:$P$200,2,FALSE)),"",VLOOKUP(C13,非_都市ガス事業者!$O$8:$P$200,2,FALSE)))</f>
        <v/>
      </c>
      <c r="H13" s="559" t="str">
        <f>IF(Y13&lt;&gt;"都市ガス","",非_都市ガス事業者!$P$4)</f>
        <v/>
      </c>
      <c r="I13" s="560" t="str">
        <f>IF(B13="","",IF(Y13&lt;&gt;"都市ガス",VLOOKUP(B13,非_係数!$B$42:$D$55,2,FALSE),""))</f>
        <v/>
      </c>
      <c r="J13" s="368"/>
      <c r="K13" s="435" t="str">
        <f t="shared" si="6"/>
        <v/>
      </c>
      <c r="L13" s="190" t="str">
        <f t="shared" si="7"/>
        <v/>
      </c>
      <c r="M13" s="368"/>
      <c r="N13" s="418"/>
      <c r="O13" s="368"/>
      <c r="P13" s="368"/>
      <c r="Q13" s="413"/>
      <c r="R13" s="443"/>
      <c r="S13" s="540" t="str">
        <f t="shared" si="23"/>
        <v/>
      </c>
      <c r="T13" s="397" t="str">
        <f t="shared" si="8"/>
        <v/>
      </c>
      <c r="U13" s="397" t="str">
        <f>IF(B13="","",VLOOKUP(B13,非_単位!$N$38:$O$53,2,FALSE))</f>
        <v/>
      </c>
      <c r="V13" s="540" t="str">
        <f t="shared" si="9"/>
        <v/>
      </c>
      <c r="W13" s="541" t="str">
        <f t="shared" si="10"/>
        <v/>
      </c>
      <c r="Y13" s="422" t="str">
        <f t="shared" si="0"/>
        <v/>
      </c>
      <c r="Z13" s="422" t="str">
        <f>IF(A13="","",IF(A13=非_燃料種類_選択リスト!$I$3,"一般送配電_種類",IF(A13=非_燃料種類_選択リスト!$I$4,"一般送配電以外_種類",IF(A13=非_燃料種類_選択リスト!$I$5,"熱_種類",IF(A13=非_燃料種類_選択リスト!$I$6,"都市ガス_種類","")))))</f>
        <v/>
      </c>
      <c r="AA13" s="422" t="str">
        <f>IF(Y13&lt;&gt;"電気","",非_電気事業者!$S$4*1000)</f>
        <v/>
      </c>
      <c r="AB13" s="422" t="str">
        <f>IF(Y13&lt;&gt;"電気","",IF(ISERROR(VLOOKUP(C13&amp;E13,非_電気事業者!$R$9:$S$2000,2,FALSE)),"要記入",VLOOKUP(C13&amp;E13,非_電気事業者!$R$9:$S$2000,2,FALSE)*1000))</f>
        <v/>
      </c>
      <c r="AC13" s="422" t="str">
        <f>IF(Y13&lt;&gt;"熱","",非_熱供給事業者!$T$4)</f>
        <v/>
      </c>
      <c r="AD13" s="422" t="str">
        <f>IF(Y13&lt;&gt;"熱","",IF(ISERROR(VLOOKUP(C13&amp;E13,非_熱供給事業者!$S$8:$T$200,2,FALSE)),"要記入",VLOOKUP(C13&amp;E13,非_熱供給事業者!$S$8:$T$200,2,FALSE)))</f>
        <v/>
      </c>
      <c r="AE13" s="422" t="str">
        <f>IF(Y13&lt;&gt;"都市ガス","",非_都市ガス事業者!$AB$4)</f>
        <v/>
      </c>
      <c r="AF13" s="422" t="str">
        <f>IF(Y13&lt;&gt;"都市ガス","",IF(ISERROR(VLOOKUP(C13&amp;E13,非_都市ガス事業者!$AA$8:$AB$200,2,FALSE)),"要記入",VLOOKUP(C13&amp;E13,非_都市ガス事業者!$AA$8:$AB$200,2,FALSE)))</f>
        <v/>
      </c>
      <c r="AG13" s="422" t="str">
        <f t="shared" si="1"/>
        <v/>
      </c>
      <c r="AH13" s="422" t="str">
        <f t="shared" si="11"/>
        <v/>
      </c>
      <c r="AI13" s="482" t="b">
        <f t="shared" si="12"/>
        <v>1</v>
      </c>
      <c r="AJ13" s="422" t="str">
        <f>IF(P13="","",VLOOKUP(P13,非_単位補正換算!$B$3:$C$16,2,FALSE))</f>
        <v/>
      </c>
      <c r="AK13" s="422" t="str">
        <f>IF(Y13="","",IF(Y13&lt;&gt;"都市ガス",1,IF(F13="","",SUMIFS(非_単位補正換算!$D$52:$D$63,非_単位補正換算!$B$52:$B$63,"都市ガス"&amp;F13,非_単位補正換算!$C$52:$C$63,電気・熱_都市ガス!P13))))</f>
        <v/>
      </c>
      <c r="AL13" s="479" t="str">
        <f t="shared" si="13"/>
        <v/>
      </c>
      <c r="AM13" s="422" t="str">
        <f t="shared" si="2"/>
        <v/>
      </c>
      <c r="AN13" s="422" t="str">
        <f t="shared" si="3"/>
        <v/>
      </c>
      <c r="AO13" s="422" t="str">
        <f>IF(B13="","",VLOOKUP(B13,非_まとめ表行番号!$F$3:$H$12,2,FALSE))</f>
        <v/>
      </c>
      <c r="AP13" s="485" t="b">
        <f t="shared" si="14"/>
        <v>1</v>
      </c>
      <c r="AQ13" s="582" t="str">
        <f>IF(Y13="","",IF(Y13&lt;&gt;"都市ガス",1,非_係数!$G$55))</f>
        <v/>
      </c>
      <c r="AR13" s="422" t="str">
        <f t="shared" si="15"/>
        <v/>
      </c>
      <c r="AS13" s="422" t="str">
        <f t="shared" si="4"/>
        <v/>
      </c>
      <c r="AT13" s="422" t="str">
        <f>IF(B13="","",VLOOKUP(B13,非_係数!$B$42:$K$55,9,FALSE))</f>
        <v/>
      </c>
      <c r="AU13" s="422" t="str">
        <f t="shared" si="16"/>
        <v/>
      </c>
      <c r="AV13" s="422" t="str">
        <f>IF(B13="","",VLOOKUP(B13,非_まとめ表行番号!$F$3:$H$12,3,FALSE))</f>
        <v/>
      </c>
      <c r="AW13" s="422" t="str">
        <f t="shared" si="5"/>
        <v/>
      </c>
      <c r="AY13" s="479" t="str">
        <f>IF(AO13="","",VLOOKUP(AO13,非_まとめ表行番号!$U$3:$V$56,2,FALSE))</f>
        <v/>
      </c>
      <c r="AZ13" s="479" t="str">
        <f t="shared" si="17"/>
        <v/>
      </c>
      <c r="BA13" s="479" t="str">
        <f t="shared" si="17"/>
        <v/>
      </c>
      <c r="BB13" s="479" t="str">
        <f t="shared" si="18"/>
        <v/>
      </c>
      <c r="BC13" s="479" t="str">
        <f t="shared" si="19"/>
        <v/>
      </c>
      <c r="BD13" s="479" t="str">
        <f t="shared" si="20"/>
        <v/>
      </c>
      <c r="BE13" s="479" t="str">
        <f t="shared" si="20"/>
        <v/>
      </c>
      <c r="BF13" s="479" t="str">
        <f t="shared" si="21"/>
        <v/>
      </c>
      <c r="BG13" s="580" t="str">
        <f t="shared" si="22"/>
        <v/>
      </c>
    </row>
    <row r="14" spans="1:59" ht="18.75" customHeight="1">
      <c r="A14" s="460"/>
      <c r="B14" s="368"/>
      <c r="C14" s="368"/>
      <c r="D14" s="368"/>
      <c r="E14" s="368"/>
      <c r="F14" s="368"/>
      <c r="G14" s="558" t="str">
        <f>IF(Y14&lt;&gt;"都市ガス","",IF(ISERROR(VLOOKUP(C14,非_都市ガス事業者!$O$8:$P$200,2,FALSE)),"",VLOOKUP(C14,非_都市ガス事業者!$O$8:$P$200,2,FALSE)))</f>
        <v/>
      </c>
      <c r="H14" s="559" t="str">
        <f>IF(Y14&lt;&gt;"都市ガス","",非_都市ガス事業者!$P$4)</f>
        <v/>
      </c>
      <c r="I14" s="560" t="str">
        <f>IF(B14="","",IF(Y14&lt;&gt;"都市ガス",VLOOKUP(B14,非_係数!$B$42:$D$55,2,FALSE),""))</f>
        <v/>
      </c>
      <c r="J14" s="368"/>
      <c r="K14" s="435" t="str">
        <f t="shared" si="6"/>
        <v/>
      </c>
      <c r="L14" s="190" t="str">
        <f t="shared" si="7"/>
        <v/>
      </c>
      <c r="M14" s="368"/>
      <c r="N14" s="418"/>
      <c r="O14" s="368"/>
      <c r="P14" s="368"/>
      <c r="Q14" s="413"/>
      <c r="R14" s="443"/>
      <c r="S14" s="540" t="str">
        <f t="shared" si="23"/>
        <v/>
      </c>
      <c r="T14" s="397" t="str">
        <f t="shared" si="8"/>
        <v/>
      </c>
      <c r="U14" s="397" t="str">
        <f>IF(B14="","",VLOOKUP(B14,非_単位!$N$38:$O$53,2,FALSE))</f>
        <v/>
      </c>
      <c r="V14" s="540" t="str">
        <f t="shared" si="9"/>
        <v/>
      </c>
      <c r="W14" s="541" t="str">
        <f t="shared" si="10"/>
        <v/>
      </c>
      <c r="Y14" s="422" t="str">
        <f t="shared" si="0"/>
        <v/>
      </c>
      <c r="Z14" s="422" t="str">
        <f>IF(A14="","",IF(A14=非_燃料種類_選択リスト!$I$3,"一般送配電_種類",IF(A14=非_燃料種類_選択リスト!$I$4,"一般送配電以外_種類",IF(A14=非_燃料種類_選択リスト!$I$5,"熱_種類",IF(A14=非_燃料種類_選択リスト!$I$6,"都市ガス_種類","")))))</f>
        <v/>
      </c>
      <c r="AA14" s="422" t="str">
        <f>IF(Y14&lt;&gt;"電気","",非_電気事業者!$S$4*1000)</f>
        <v/>
      </c>
      <c r="AB14" s="422" t="str">
        <f>IF(Y14&lt;&gt;"電気","",IF(ISERROR(VLOOKUP(C14&amp;E14,非_電気事業者!$R$9:$S$2000,2,FALSE)),"要記入",VLOOKUP(C14&amp;E14,非_電気事業者!$R$9:$S$2000,2,FALSE)*1000))</f>
        <v/>
      </c>
      <c r="AC14" s="422" t="str">
        <f>IF(Y14&lt;&gt;"熱","",非_熱供給事業者!$T$4)</f>
        <v/>
      </c>
      <c r="AD14" s="422" t="str">
        <f>IF(Y14&lt;&gt;"熱","",IF(ISERROR(VLOOKUP(C14&amp;E14,非_熱供給事業者!$S$8:$T$200,2,FALSE)),"要記入",VLOOKUP(C14&amp;E14,非_熱供給事業者!$S$8:$T$200,2,FALSE)))</f>
        <v/>
      </c>
      <c r="AE14" s="422" t="str">
        <f>IF(Y14&lt;&gt;"都市ガス","",非_都市ガス事業者!$AB$4)</f>
        <v/>
      </c>
      <c r="AF14" s="422" t="str">
        <f>IF(Y14&lt;&gt;"都市ガス","",IF(ISERROR(VLOOKUP(C14&amp;E14,非_都市ガス事業者!$AA$8:$AB$200,2,FALSE)),"要記入",VLOOKUP(C14&amp;E14,非_都市ガス事業者!$AA$8:$AB$200,2,FALSE)))</f>
        <v/>
      </c>
      <c r="AG14" s="422" t="str">
        <f t="shared" si="1"/>
        <v/>
      </c>
      <c r="AH14" s="422" t="str">
        <f t="shared" si="11"/>
        <v/>
      </c>
      <c r="AI14" s="482" t="b">
        <f t="shared" si="12"/>
        <v>1</v>
      </c>
      <c r="AJ14" s="422" t="str">
        <f>IF(P14="","",VLOOKUP(P14,非_単位補正換算!$B$3:$C$16,2,FALSE))</f>
        <v/>
      </c>
      <c r="AK14" s="422" t="str">
        <f>IF(Y14="","",IF(Y14&lt;&gt;"都市ガス",1,IF(F14="","",SUMIFS(非_単位補正換算!$D$52:$D$63,非_単位補正換算!$B$52:$B$63,"都市ガス"&amp;F14,非_単位補正換算!$C$52:$C$63,電気・熱_都市ガス!P14))))</f>
        <v/>
      </c>
      <c r="AL14" s="479" t="str">
        <f t="shared" si="13"/>
        <v/>
      </c>
      <c r="AM14" s="422" t="str">
        <f t="shared" si="2"/>
        <v/>
      </c>
      <c r="AN14" s="422" t="str">
        <f t="shared" si="3"/>
        <v/>
      </c>
      <c r="AO14" s="422" t="str">
        <f>IF(B14="","",VLOOKUP(B14,非_まとめ表行番号!$F$3:$H$12,2,FALSE))</f>
        <v/>
      </c>
      <c r="AP14" s="485" t="b">
        <f t="shared" si="14"/>
        <v>1</v>
      </c>
      <c r="AQ14" s="582" t="str">
        <f>IF(Y14="","",IF(Y14&lt;&gt;"都市ガス",1,非_係数!$G$55))</f>
        <v/>
      </c>
      <c r="AR14" s="422" t="str">
        <f t="shared" si="15"/>
        <v/>
      </c>
      <c r="AS14" s="422" t="str">
        <f t="shared" si="4"/>
        <v/>
      </c>
      <c r="AT14" s="422" t="str">
        <f>IF(B14="","",VLOOKUP(B14,非_係数!$B$42:$K$55,9,FALSE))</f>
        <v/>
      </c>
      <c r="AU14" s="422" t="str">
        <f t="shared" si="16"/>
        <v/>
      </c>
      <c r="AV14" s="422" t="str">
        <f>IF(B14="","",VLOOKUP(B14,非_まとめ表行番号!$F$3:$H$12,3,FALSE))</f>
        <v/>
      </c>
      <c r="AW14" s="422" t="str">
        <f t="shared" si="5"/>
        <v/>
      </c>
      <c r="AY14" s="479" t="str">
        <f>IF(AO14="","",VLOOKUP(AO14,非_まとめ表行番号!$U$3:$V$56,2,FALSE))</f>
        <v/>
      </c>
      <c r="AZ14" s="479" t="str">
        <f t="shared" si="17"/>
        <v/>
      </c>
      <c r="BA14" s="479" t="str">
        <f t="shared" si="17"/>
        <v/>
      </c>
      <c r="BB14" s="479" t="str">
        <f t="shared" si="18"/>
        <v/>
      </c>
      <c r="BC14" s="479" t="str">
        <f t="shared" si="19"/>
        <v/>
      </c>
      <c r="BD14" s="479" t="str">
        <f t="shared" si="20"/>
        <v/>
      </c>
      <c r="BE14" s="479" t="str">
        <f t="shared" si="20"/>
        <v/>
      </c>
      <c r="BF14" s="479" t="str">
        <f t="shared" si="21"/>
        <v/>
      </c>
      <c r="BG14" s="580" t="str">
        <f t="shared" si="22"/>
        <v/>
      </c>
    </row>
    <row r="15" spans="1:59" ht="18.75" customHeight="1">
      <c r="A15" s="460"/>
      <c r="B15" s="368"/>
      <c r="C15" s="368"/>
      <c r="D15" s="368"/>
      <c r="E15" s="368"/>
      <c r="F15" s="368"/>
      <c r="G15" s="558" t="str">
        <f>IF(Y15&lt;&gt;"都市ガス","",IF(ISERROR(VLOOKUP(C15,非_都市ガス事業者!$O$8:$P$200,2,FALSE)),"",VLOOKUP(C15,非_都市ガス事業者!$O$8:$P$200,2,FALSE)))</f>
        <v/>
      </c>
      <c r="H15" s="559" t="str">
        <f>IF(Y15&lt;&gt;"都市ガス","",非_都市ガス事業者!$P$4)</f>
        <v/>
      </c>
      <c r="I15" s="560" t="str">
        <f>IF(B15="","",IF(Y15&lt;&gt;"都市ガス",VLOOKUP(B15,非_係数!$B$42:$D$55,2,FALSE),""))</f>
        <v/>
      </c>
      <c r="J15" s="368"/>
      <c r="K15" s="435" t="str">
        <f t="shared" si="6"/>
        <v/>
      </c>
      <c r="L15" s="190" t="str">
        <f t="shared" si="7"/>
        <v/>
      </c>
      <c r="M15" s="368"/>
      <c r="N15" s="418"/>
      <c r="O15" s="368"/>
      <c r="P15" s="368"/>
      <c r="Q15" s="413"/>
      <c r="R15" s="443"/>
      <c r="S15" s="540" t="str">
        <f t="shared" si="23"/>
        <v/>
      </c>
      <c r="T15" s="397" t="str">
        <f t="shared" si="8"/>
        <v/>
      </c>
      <c r="U15" s="397" t="str">
        <f>IF(B15="","",VLOOKUP(B15,非_単位!$N$38:$O$53,2,FALSE))</f>
        <v/>
      </c>
      <c r="V15" s="540" t="str">
        <f t="shared" si="9"/>
        <v/>
      </c>
      <c r="W15" s="541" t="str">
        <f t="shared" si="10"/>
        <v/>
      </c>
      <c r="Y15" s="422" t="str">
        <f t="shared" si="0"/>
        <v/>
      </c>
      <c r="Z15" s="422" t="str">
        <f>IF(A15="","",IF(A15=非_燃料種類_選択リスト!$I$3,"一般送配電_種類",IF(A15=非_燃料種類_選択リスト!$I$4,"一般送配電以外_種類",IF(A15=非_燃料種類_選択リスト!$I$5,"熱_種類",IF(A15=非_燃料種類_選択リスト!$I$6,"都市ガス_種類","")))))</f>
        <v/>
      </c>
      <c r="AA15" s="422" t="str">
        <f>IF(Y15&lt;&gt;"電気","",非_電気事業者!$S$4*1000)</f>
        <v/>
      </c>
      <c r="AB15" s="422" t="str">
        <f>IF(Y15&lt;&gt;"電気","",IF(ISERROR(VLOOKUP(C15&amp;E15,非_電気事業者!$R$9:$S$2000,2,FALSE)),"要記入",VLOOKUP(C15&amp;E15,非_電気事業者!$R$9:$S$2000,2,FALSE)*1000))</f>
        <v/>
      </c>
      <c r="AC15" s="422" t="str">
        <f>IF(Y15&lt;&gt;"熱","",非_熱供給事業者!$T$4)</f>
        <v/>
      </c>
      <c r="AD15" s="422" t="str">
        <f>IF(Y15&lt;&gt;"熱","",IF(ISERROR(VLOOKUP(C15&amp;E15,非_熱供給事業者!$S$8:$T$200,2,FALSE)),"要記入",VLOOKUP(C15&amp;E15,非_熱供給事業者!$S$8:$T$200,2,FALSE)))</f>
        <v/>
      </c>
      <c r="AE15" s="422" t="str">
        <f>IF(Y15&lt;&gt;"都市ガス","",非_都市ガス事業者!$AB$4)</f>
        <v/>
      </c>
      <c r="AF15" s="422" t="str">
        <f>IF(Y15&lt;&gt;"都市ガス","",IF(ISERROR(VLOOKUP(C15&amp;E15,非_都市ガス事業者!$AA$8:$AB$200,2,FALSE)),"要記入",VLOOKUP(C15&amp;E15,非_都市ガス事業者!$AA$8:$AB$200,2,FALSE)))</f>
        <v/>
      </c>
      <c r="AG15" s="422" t="str">
        <f t="shared" si="1"/>
        <v/>
      </c>
      <c r="AH15" s="422" t="str">
        <f t="shared" si="11"/>
        <v/>
      </c>
      <c r="AI15" s="482" t="b">
        <f t="shared" si="12"/>
        <v>1</v>
      </c>
      <c r="AJ15" s="422" t="str">
        <f>IF(P15="","",VLOOKUP(P15,非_単位補正換算!$B$3:$C$16,2,FALSE))</f>
        <v/>
      </c>
      <c r="AK15" s="422" t="str">
        <f>IF(Y15="","",IF(Y15&lt;&gt;"都市ガス",1,IF(F15="","",SUMIFS(非_単位補正換算!$D$52:$D$63,非_単位補正換算!$B$52:$B$63,"都市ガス"&amp;F15,非_単位補正換算!$C$52:$C$63,電気・熱_都市ガス!P15))))</f>
        <v/>
      </c>
      <c r="AL15" s="479" t="str">
        <f t="shared" si="13"/>
        <v/>
      </c>
      <c r="AM15" s="422" t="str">
        <f t="shared" si="2"/>
        <v/>
      </c>
      <c r="AN15" s="422" t="str">
        <f t="shared" si="3"/>
        <v/>
      </c>
      <c r="AO15" s="422" t="str">
        <f>IF(B15="","",VLOOKUP(B15,非_まとめ表行番号!$F$3:$H$12,2,FALSE))</f>
        <v/>
      </c>
      <c r="AP15" s="485" t="b">
        <f t="shared" si="14"/>
        <v>1</v>
      </c>
      <c r="AQ15" s="582" t="str">
        <f>IF(Y15="","",IF(Y15&lt;&gt;"都市ガス",1,非_係数!$G$55))</f>
        <v/>
      </c>
      <c r="AR15" s="422" t="str">
        <f t="shared" si="15"/>
        <v/>
      </c>
      <c r="AS15" s="422" t="str">
        <f t="shared" si="4"/>
        <v/>
      </c>
      <c r="AT15" s="422" t="str">
        <f>IF(B15="","",VLOOKUP(B15,非_係数!$B$42:$K$55,9,FALSE))</f>
        <v/>
      </c>
      <c r="AU15" s="422" t="str">
        <f t="shared" si="16"/>
        <v/>
      </c>
      <c r="AV15" s="422" t="str">
        <f>IF(B15="","",VLOOKUP(B15,非_まとめ表行番号!$F$3:$H$12,3,FALSE))</f>
        <v/>
      </c>
      <c r="AW15" s="422" t="str">
        <f t="shared" si="5"/>
        <v/>
      </c>
      <c r="AY15" s="479" t="str">
        <f>IF(AO15="","",VLOOKUP(AO15,非_まとめ表行番号!$U$3:$V$56,2,FALSE))</f>
        <v/>
      </c>
      <c r="AZ15" s="479" t="str">
        <f t="shared" si="17"/>
        <v/>
      </c>
      <c r="BA15" s="479" t="str">
        <f t="shared" si="17"/>
        <v/>
      </c>
      <c r="BB15" s="479" t="str">
        <f t="shared" si="18"/>
        <v/>
      </c>
      <c r="BC15" s="479" t="str">
        <f t="shared" si="19"/>
        <v/>
      </c>
      <c r="BD15" s="479" t="str">
        <f t="shared" si="20"/>
        <v/>
      </c>
      <c r="BE15" s="479" t="str">
        <f t="shared" si="20"/>
        <v/>
      </c>
      <c r="BF15" s="479" t="str">
        <f t="shared" si="21"/>
        <v/>
      </c>
      <c r="BG15" s="580" t="str">
        <f t="shared" si="22"/>
        <v/>
      </c>
    </row>
    <row r="16" spans="1:59" ht="18.75" customHeight="1">
      <c r="A16" s="460"/>
      <c r="B16" s="368"/>
      <c r="C16" s="368"/>
      <c r="D16" s="368"/>
      <c r="E16" s="368"/>
      <c r="F16" s="368"/>
      <c r="G16" s="558" t="str">
        <f>IF(Y16&lt;&gt;"都市ガス","",IF(ISERROR(VLOOKUP(C16,非_都市ガス事業者!$O$8:$P$200,2,FALSE)),"",VLOOKUP(C16,非_都市ガス事業者!$O$8:$P$200,2,FALSE)))</f>
        <v/>
      </c>
      <c r="H16" s="559" t="str">
        <f>IF(Y16&lt;&gt;"都市ガス","",非_都市ガス事業者!$P$4)</f>
        <v/>
      </c>
      <c r="I16" s="560" t="str">
        <f>IF(B16="","",IF(Y16&lt;&gt;"都市ガス",VLOOKUP(B16,非_係数!$B$42:$D$55,2,FALSE),""))</f>
        <v/>
      </c>
      <c r="J16" s="368"/>
      <c r="K16" s="435" t="str">
        <f t="shared" si="6"/>
        <v/>
      </c>
      <c r="L16" s="190" t="str">
        <f t="shared" si="7"/>
        <v/>
      </c>
      <c r="M16" s="368"/>
      <c r="N16" s="418"/>
      <c r="O16" s="368"/>
      <c r="P16" s="368"/>
      <c r="Q16" s="413"/>
      <c r="R16" s="443"/>
      <c r="S16" s="540" t="str">
        <f t="shared" si="23"/>
        <v/>
      </c>
      <c r="T16" s="397" t="str">
        <f t="shared" si="8"/>
        <v/>
      </c>
      <c r="U16" s="397" t="str">
        <f>IF(B16="","",VLOOKUP(B16,非_単位!$N$38:$O$53,2,FALSE))</f>
        <v/>
      </c>
      <c r="V16" s="540" t="str">
        <f t="shared" si="9"/>
        <v/>
      </c>
      <c r="W16" s="541" t="str">
        <f t="shared" si="10"/>
        <v/>
      </c>
      <c r="Y16" s="422" t="str">
        <f t="shared" si="0"/>
        <v/>
      </c>
      <c r="Z16" s="422" t="str">
        <f>IF(A16="","",IF(A16=非_燃料種類_選択リスト!$I$3,"一般送配電_種類",IF(A16=非_燃料種類_選択リスト!$I$4,"一般送配電以外_種類",IF(A16=非_燃料種類_選択リスト!$I$5,"熱_種類",IF(A16=非_燃料種類_選択リスト!$I$6,"都市ガス_種類","")))))</f>
        <v/>
      </c>
      <c r="AA16" s="422" t="str">
        <f>IF(Y16&lt;&gt;"電気","",非_電気事業者!$S$4*1000)</f>
        <v/>
      </c>
      <c r="AB16" s="422" t="str">
        <f>IF(Y16&lt;&gt;"電気","",IF(ISERROR(VLOOKUP(C16&amp;E16,非_電気事業者!$R$9:$S$2000,2,FALSE)),"要記入",VLOOKUP(C16&amp;E16,非_電気事業者!$R$9:$S$2000,2,FALSE)*1000))</f>
        <v/>
      </c>
      <c r="AC16" s="422" t="str">
        <f>IF(Y16&lt;&gt;"熱","",非_熱供給事業者!$T$4)</f>
        <v/>
      </c>
      <c r="AD16" s="422" t="str">
        <f>IF(Y16&lt;&gt;"熱","",IF(ISERROR(VLOOKUP(C16&amp;E16,非_熱供給事業者!$S$8:$T$200,2,FALSE)),"要記入",VLOOKUP(C16&amp;E16,非_熱供給事業者!$S$8:$T$200,2,FALSE)))</f>
        <v/>
      </c>
      <c r="AE16" s="422" t="str">
        <f>IF(Y16&lt;&gt;"都市ガス","",非_都市ガス事業者!$AB$4)</f>
        <v/>
      </c>
      <c r="AF16" s="422" t="str">
        <f>IF(Y16&lt;&gt;"都市ガス","",IF(ISERROR(VLOOKUP(C16&amp;E16,非_都市ガス事業者!$AA$8:$AB$200,2,FALSE)),"要記入",VLOOKUP(C16&amp;E16,非_都市ガス事業者!$AA$8:$AB$200,2,FALSE)))</f>
        <v/>
      </c>
      <c r="AG16" s="422" t="str">
        <f t="shared" si="1"/>
        <v/>
      </c>
      <c r="AH16" s="422" t="str">
        <f t="shared" si="11"/>
        <v/>
      </c>
      <c r="AI16" s="482" t="b">
        <f t="shared" si="12"/>
        <v>1</v>
      </c>
      <c r="AJ16" s="422" t="str">
        <f>IF(P16="","",VLOOKUP(P16,非_単位補正換算!$B$3:$C$16,2,FALSE))</f>
        <v/>
      </c>
      <c r="AK16" s="422" t="str">
        <f>IF(Y16="","",IF(Y16&lt;&gt;"都市ガス",1,IF(F16="","",SUMIFS(非_単位補正換算!$D$52:$D$63,非_単位補正換算!$B$52:$B$63,"都市ガス"&amp;F16,非_単位補正換算!$C$52:$C$63,電気・熱_都市ガス!P16))))</f>
        <v/>
      </c>
      <c r="AL16" s="479" t="str">
        <f t="shared" si="13"/>
        <v/>
      </c>
      <c r="AM16" s="422" t="str">
        <f t="shared" si="2"/>
        <v/>
      </c>
      <c r="AN16" s="422" t="str">
        <f t="shared" si="3"/>
        <v/>
      </c>
      <c r="AO16" s="422" t="str">
        <f>IF(B16="","",VLOOKUP(B16,非_まとめ表行番号!$F$3:$H$12,2,FALSE))</f>
        <v/>
      </c>
      <c r="AP16" s="485" t="b">
        <f t="shared" si="14"/>
        <v>1</v>
      </c>
      <c r="AQ16" s="582" t="str">
        <f>IF(Y16="","",IF(Y16&lt;&gt;"都市ガス",1,非_係数!$G$55))</f>
        <v/>
      </c>
      <c r="AR16" s="422" t="str">
        <f t="shared" si="15"/>
        <v/>
      </c>
      <c r="AS16" s="422" t="str">
        <f t="shared" si="4"/>
        <v/>
      </c>
      <c r="AT16" s="422" t="str">
        <f>IF(B16="","",VLOOKUP(B16,非_係数!$B$42:$K$55,9,FALSE))</f>
        <v/>
      </c>
      <c r="AU16" s="422" t="str">
        <f t="shared" si="16"/>
        <v/>
      </c>
      <c r="AV16" s="422" t="str">
        <f>IF(B16="","",VLOOKUP(B16,非_まとめ表行番号!$F$3:$H$12,3,FALSE))</f>
        <v/>
      </c>
      <c r="AW16" s="422" t="str">
        <f t="shared" si="5"/>
        <v/>
      </c>
      <c r="AY16" s="479" t="str">
        <f>IF(AO16="","",VLOOKUP(AO16,非_まとめ表行番号!$U$3:$V$56,2,FALSE))</f>
        <v/>
      </c>
      <c r="AZ16" s="479" t="str">
        <f t="shared" si="17"/>
        <v/>
      </c>
      <c r="BA16" s="479" t="str">
        <f t="shared" si="17"/>
        <v/>
      </c>
      <c r="BB16" s="479" t="str">
        <f t="shared" si="18"/>
        <v/>
      </c>
      <c r="BC16" s="479" t="str">
        <f t="shared" si="19"/>
        <v/>
      </c>
      <c r="BD16" s="479" t="str">
        <f t="shared" si="20"/>
        <v/>
      </c>
      <c r="BE16" s="479" t="str">
        <f t="shared" si="20"/>
        <v/>
      </c>
      <c r="BF16" s="479" t="str">
        <f t="shared" si="21"/>
        <v/>
      </c>
      <c r="BG16" s="580" t="str">
        <f t="shared" si="22"/>
        <v/>
      </c>
    </row>
    <row r="17" spans="1:59" ht="18.75" customHeight="1">
      <c r="A17" s="460"/>
      <c r="B17" s="368"/>
      <c r="C17" s="368"/>
      <c r="D17" s="368"/>
      <c r="E17" s="368"/>
      <c r="F17" s="368"/>
      <c r="G17" s="558" t="str">
        <f>IF(Y17&lt;&gt;"都市ガス","",IF(ISERROR(VLOOKUP(C17,非_都市ガス事業者!$O$8:$P$200,2,FALSE)),"",VLOOKUP(C17,非_都市ガス事業者!$O$8:$P$200,2,FALSE)))</f>
        <v/>
      </c>
      <c r="H17" s="559" t="str">
        <f>IF(Y17&lt;&gt;"都市ガス","",非_都市ガス事業者!$P$4)</f>
        <v/>
      </c>
      <c r="I17" s="560" t="str">
        <f>IF(B17="","",IF(Y17&lt;&gt;"都市ガス",VLOOKUP(B17,非_係数!$B$42:$D$55,2,FALSE),""))</f>
        <v/>
      </c>
      <c r="J17" s="368"/>
      <c r="K17" s="435" t="str">
        <f t="shared" si="6"/>
        <v/>
      </c>
      <c r="L17" s="190" t="str">
        <f t="shared" si="7"/>
        <v/>
      </c>
      <c r="M17" s="368"/>
      <c r="N17" s="418"/>
      <c r="O17" s="368"/>
      <c r="P17" s="368"/>
      <c r="Q17" s="413"/>
      <c r="R17" s="443"/>
      <c r="S17" s="540" t="str">
        <f t="shared" si="23"/>
        <v/>
      </c>
      <c r="T17" s="397" t="str">
        <f t="shared" si="8"/>
        <v/>
      </c>
      <c r="U17" s="397" t="str">
        <f>IF(B17="","",VLOOKUP(B17,非_単位!$N$38:$O$53,2,FALSE))</f>
        <v/>
      </c>
      <c r="V17" s="540" t="str">
        <f t="shared" si="9"/>
        <v/>
      </c>
      <c r="W17" s="541" t="str">
        <f t="shared" si="10"/>
        <v/>
      </c>
      <c r="Y17" s="422" t="str">
        <f t="shared" si="0"/>
        <v/>
      </c>
      <c r="Z17" s="422" t="str">
        <f>IF(A17="","",IF(A17=非_燃料種類_選択リスト!$I$3,"一般送配電_種類",IF(A17=非_燃料種類_選択リスト!$I$4,"一般送配電以外_種類",IF(A17=非_燃料種類_選択リスト!$I$5,"熱_種類",IF(A17=非_燃料種類_選択リスト!$I$6,"都市ガス_種類","")))))</f>
        <v/>
      </c>
      <c r="AA17" s="422" t="str">
        <f>IF(Y17&lt;&gt;"電気","",非_電気事業者!$S$4*1000)</f>
        <v/>
      </c>
      <c r="AB17" s="422" t="str">
        <f>IF(Y17&lt;&gt;"電気","",IF(ISERROR(VLOOKUP(C17&amp;E17,非_電気事業者!$R$9:$S$2000,2,FALSE)),"要記入",VLOOKUP(C17&amp;E17,非_電気事業者!$R$9:$S$2000,2,FALSE)*1000))</f>
        <v/>
      </c>
      <c r="AC17" s="422" t="str">
        <f>IF(Y17&lt;&gt;"熱","",非_熱供給事業者!$T$4)</f>
        <v/>
      </c>
      <c r="AD17" s="422" t="str">
        <f>IF(Y17&lt;&gt;"熱","",IF(ISERROR(VLOOKUP(C17&amp;E17,非_熱供給事業者!$S$8:$T$200,2,FALSE)),"要記入",VLOOKUP(C17&amp;E17,非_熱供給事業者!$S$8:$T$200,2,FALSE)))</f>
        <v/>
      </c>
      <c r="AE17" s="422" t="str">
        <f>IF(Y17&lt;&gt;"都市ガス","",非_都市ガス事業者!$AB$4)</f>
        <v/>
      </c>
      <c r="AF17" s="422" t="str">
        <f>IF(Y17&lt;&gt;"都市ガス","",IF(ISERROR(VLOOKUP(C17&amp;E17,非_都市ガス事業者!$AA$8:$AB$200,2,FALSE)),"要記入",VLOOKUP(C17&amp;E17,非_都市ガス事業者!$AA$8:$AB$200,2,FALSE)))</f>
        <v/>
      </c>
      <c r="AG17" s="422" t="str">
        <f t="shared" si="1"/>
        <v/>
      </c>
      <c r="AH17" s="422" t="str">
        <f t="shared" si="11"/>
        <v/>
      </c>
      <c r="AI17" s="482" t="b">
        <f t="shared" si="12"/>
        <v>1</v>
      </c>
      <c r="AJ17" s="422" t="str">
        <f>IF(P17="","",VLOOKUP(P17,非_単位補正換算!$B$3:$C$16,2,FALSE))</f>
        <v/>
      </c>
      <c r="AK17" s="422" t="str">
        <f>IF(Y17="","",IF(Y17&lt;&gt;"都市ガス",1,IF(F17="","",SUMIFS(非_単位補正換算!$D$52:$D$63,非_単位補正換算!$B$52:$B$63,"都市ガス"&amp;F17,非_単位補正換算!$C$52:$C$63,電気・熱_都市ガス!P17))))</f>
        <v/>
      </c>
      <c r="AL17" s="479" t="str">
        <f t="shared" si="13"/>
        <v/>
      </c>
      <c r="AM17" s="422" t="str">
        <f t="shared" si="2"/>
        <v/>
      </c>
      <c r="AN17" s="422" t="str">
        <f t="shared" si="3"/>
        <v/>
      </c>
      <c r="AO17" s="422" t="str">
        <f>IF(B17="","",VLOOKUP(B17,非_まとめ表行番号!$F$3:$H$12,2,FALSE))</f>
        <v/>
      </c>
      <c r="AP17" s="485" t="b">
        <f t="shared" si="14"/>
        <v>1</v>
      </c>
      <c r="AQ17" s="582" t="str">
        <f>IF(Y17="","",IF(Y17&lt;&gt;"都市ガス",1,非_係数!$G$55))</f>
        <v/>
      </c>
      <c r="AR17" s="422" t="str">
        <f t="shared" si="15"/>
        <v/>
      </c>
      <c r="AS17" s="422" t="str">
        <f t="shared" si="4"/>
        <v/>
      </c>
      <c r="AT17" s="422" t="str">
        <f>IF(B17="","",VLOOKUP(B17,非_係数!$B$42:$K$55,9,FALSE))</f>
        <v/>
      </c>
      <c r="AU17" s="422" t="str">
        <f t="shared" si="16"/>
        <v/>
      </c>
      <c r="AV17" s="422" t="str">
        <f>IF(B17="","",VLOOKUP(B17,非_まとめ表行番号!$F$3:$H$12,3,FALSE))</f>
        <v/>
      </c>
      <c r="AW17" s="422" t="str">
        <f t="shared" si="5"/>
        <v/>
      </c>
      <c r="AY17" s="479" t="str">
        <f>IF(AO17="","",VLOOKUP(AO17,非_まとめ表行番号!$U$3:$V$56,2,FALSE))</f>
        <v/>
      </c>
      <c r="AZ17" s="479" t="str">
        <f t="shared" si="17"/>
        <v/>
      </c>
      <c r="BA17" s="479" t="str">
        <f t="shared" si="17"/>
        <v/>
      </c>
      <c r="BB17" s="479" t="str">
        <f t="shared" si="18"/>
        <v/>
      </c>
      <c r="BC17" s="479" t="str">
        <f t="shared" si="19"/>
        <v/>
      </c>
      <c r="BD17" s="479" t="str">
        <f t="shared" si="20"/>
        <v/>
      </c>
      <c r="BE17" s="479" t="str">
        <f t="shared" si="20"/>
        <v/>
      </c>
      <c r="BF17" s="479" t="str">
        <f t="shared" si="21"/>
        <v/>
      </c>
      <c r="BG17" s="580" t="str">
        <f t="shared" si="22"/>
        <v/>
      </c>
    </row>
    <row r="18" spans="1:59" ht="18.75" customHeight="1">
      <c r="A18" s="460"/>
      <c r="B18" s="368"/>
      <c r="C18" s="368"/>
      <c r="D18" s="368"/>
      <c r="E18" s="368"/>
      <c r="F18" s="368"/>
      <c r="G18" s="558" t="str">
        <f>IF(Y18&lt;&gt;"都市ガス","",IF(ISERROR(VLOOKUP(C18,非_都市ガス事業者!$O$8:$P$200,2,FALSE)),"",VLOOKUP(C18,非_都市ガス事業者!$O$8:$P$200,2,FALSE)))</f>
        <v/>
      </c>
      <c r="H18" s="559" t="str">
        <f>IF(Y18&lt;&gt;"都市ガス","",非_都市ガス事業者!$P$4)</f>
        <v/>
      </c>
      <c r="I18" s="560" t="str">
        <f>IF(B18="","",IF(Y18&lt;&gt;"都市ガス",VLOOKUP(B18,非_係数!$B$42:$D$55,2,FALSE),""))</f>
        <v/>
      </c>
      <c r="J18" s="368"/>
      <c r="K18" s="435" t="str">
        <f t="shared" si="6"/>
        <v/>
      </c>
      <c r="L18" s="190" t="str">
        <f t="shared" si="7"/>
        <v/>
      </c>
      <c r="M18" s="368"/>
      <c r="N18" s="418"/>
      <c r="O18" s="368"/>
      <c r="P18" s="368"/>
      <c r="Q18" s="413"/>
      <c r="R18" s="443"/>
      <c r="S18" s="540" t="str">
        <f t="shared" si="23"/>
        <v/>
      </c>
      <c r="T18" s="397" t="str">
        <f t="shared" si="8"/>
        <v/>
      </c>
      <c r="U18" s="397" t="str">
        <f>IF(B18="","",VLOOKUP(B18,非_単位!$N$38:$O$53,2,FALSE))</f>
        <v/>
      </c>
      <c r="V18" s="540" t="str">
        <f t="shared" si="9"/>
        <v/>
      </c>
      <c r="W18" s="541" t="str">
        <f t="shared" si="10"/>
        <v/>
      </c>
      <c r="Y18" s="422" t="str">
        <f t="shared" si="0"/>
        <v/>
      </c>
      <c r="Z18" s="422" t="str">
        <f>IF(A18="","",IF(A18=非_燃料種類_選択リスト!$I$3,"一般送配電_種類",IF(A18=非_燃料種類_選択リスト!$I$4,"一般送配電以外_種類",IF(A18=非_燃料種類_選択リスト!$I$5,"熱_種類",IF(A18=非_燃料種類_選択リスト!$I$6,"都市ガス_種類","")))))</f>
        <v/>
      </c>
      <c r="AA18" s="422" t="str">
        <f>IF(Y18&lt;&gt;"電気","",非_電気事業者!$S$4*1000)</f>
        <v/>
      </c>
      <c r="AB18" s="422" t="str">
        <f>IF(Y18&lt;&gt;"電気","",IF(ISERROR(VLOOKUP(C18&amp;E18,非_電気事業者!$R$9:$S$2000,2,FALSE)),"要記入",VLOOKUP(C18&amp;E18,非_電気事業者!$R$9:$S$2000,2,FALSE)*1000))</f>
        <v/>
      </c>
      <c r="AC18" s="422" t="str">
        <f>IF(Y18&lt;&gt;"熱","",非_熱供給事業者!$T$4)</f>
        <v/>
      </c>
      <c r="AD18" s="422" t="str">
        <f>IF(Y18&lt;&gt;"熱","",IF(ISERROR(VLOOKUP(C18&amp;E18,非_熱供給事業者!$S$8:$T$200,2,FALSE)),"要記入",VLOOKUP(C18&amp;E18,非_熱供給事業者!$S$8:$T$200,2,FALSE)))</f>
        <v/>
      </c>
      <c r="AE18" s="422" t="str">
        <f>IF(Y18&lt;&gt;"都市ガス","",非_都市ガス事業者!$AB$4)</f>
        <v/>
      </c>
      <c r="AF18" s="422" t="str">
        <f>IF(Y18&lt;&gt;"都市ガス","",IF(ISERROR(VLOOKUP(C18&amp;E18,非_都市ガス事業者!$AA$8:$AB$200,2,FALSE)),"要記入",VLOOKUP(C18&amp;E18,非_都市ガス事業者!$AA$8:$AB$200,2,FALSE)))</f>
        <v/>
      </c>
      <c r="AG18" s="422" t="str">
        <f t="shared" si="1"/>
        <v/>
      </c>
      <c r="AH18" s="422" t="str">
        <f t="shared" si="11"/>
        <v/>
      </c>
      <c r="AI18" s="482" t="b">
        <f t="shared" si="12"/>
        <v>1</v>
      </c>
      <c r="AJ18" s="422" t="str">
        <f>IF(P18="","",VLOOKUP(P18,非_単位補正換算!$B$3:$C$16,2,FALSE))</f>
        <v/>
      </c>
      <c r="AK18" s="422" t="str">
        <f>IF(Y18="","",IF(Y18&lt;&gt;"都市ガス",1,IF(F18="","",SUMIFS(非_単位補正換算!$D$52:$D$63,非_単位補正換算!$B$52:$B$63,"都市ガス"&amp;F18,非_単位補正換算!$C$52:$C$63,電気・熱_都市ガス!P18))))</f>
        <v/>
      </c>
      <c r="AL18" s="479" t="str">
        <f t="shared" si="13"/>
        <v/>
      </c>
      <c r="AM18" s="422" t="str">
        <f t="shared" si="2"/>
        <v/>
      </c>
      <c r="AN18" s="422" t="str">
        <f t="shared" si="3"/>
        <v/>
      </c>
      <c r="AO18" s="422" t="str">
        <f>IF(B18="","",VLOOKUP(B18,非_まとめ表行番号!$F$3:$H$12,2,FALSE))</f>
        <v/>
      </c>
      <c r="AP18" s="485" t="b">
        <f t="shared" si="14"/>
        <v>1</v>
      </c>
      <c r="AQ18" s="582" t="str">
        <f>IF(Y18="","",IF(Y18&lt;&gt;"都市ガス",1,非_係数!$G$55))</f>
        <v/>
      </c>
      <c r="AR18" s="422" t="str">
        <f t="shared" si="15"/>
        <v/>
      </c>
      <c r="AS18" s="422" t="str">
        <f t="shared" si="4"/>
        <v/>
      </c>
      <c r="AT18" s="422" t="str">
        <f>IF(B18="","",VLOOKUP(B18,非_係数!$B$42:$K$55,9,FALSE))</f>
        <v/>
      </c>
      <c r="AU18" s="422" t="str">
        <f t="shared" si="16"/>
        <v/>
      </c>
      <c r="AV18" s="422" t="str">
        <f>IF(B18="","",VLOOKUP(B18,非_まとめ表行番号!$F$3:$H$12,3,FALSE))</f>
        <v/>
      </c>
      <c r="AW18" s="422" t="str">
        <f t="shared" si="5"/>
        <v/>
      </c>
      <c r="AY18" s="479" t="str">
        <f>IF(AO18="","",VLOOKUP(AO18,非_まとめ表行番号!$U$3:$V$56,2,FALSE))</f>
        <v/>
      </c>
      <c r="AZ18" s="479" t="str">
        <f t="shared" si="17"/>
        <v/>
      </c>
      <c r="BA18" s="479" t="str">
        <f t="shared" si="17"/>
        <v/>
      </c>
      <c r="BB18" s="479" t="str">
        <f t="shared" si="18"/>
        <v/>
      </c>
      <c r="BC18" s="479" t="str">
        <f t="shared" si="19"/>
        <v/>
      </c>
      <c r="BD18" s="479" t="str">
        <f t="shared" si="20"/>
        <v/>
      </c>
      <c r="BE18" s="479" t="str">
        <f t="shared" si="20"/>
        <v/>
      </c>
      <c r="BF18" s="479" t="str">
        <f t="shared" si="21"/>
        <v/>
      </c>
      <c r="BG18" s="580" t="str">
        <f t="shared" si="22"/>
        <v/>
      </c>
    </row>
    <row r="19" spans="1:59" ht="18.75" customHeight="1">
      <c r="A19" s="460"/>
      <c r="B19" s="368"/>
      <c r="C19" s="368"/>
      <c r="D19" s="368"/>
      <c r="E19" s="368"/>
      <c r="F19" s="368"/>
      <c r="G19" s="558" t="str">
        <f>IF(Y19&lt;&gt;"都市ガス","",IF(ISERROR(VLOOKUP(C19,非_都市ガス事業者!$O$8:$P$200,2,FALSE)),"",VLOOKUP(C19,非_都市ガス事業者!$O$8:$P$200,2,FALSE)))</f>
        <v/>
      </c>
      <c r="H19" s="559" t="str">
        <f>IF(Y19&lt;&gt;"都市ガス","",非_都市ガス事業者!$P$4)</f>
        <v/>
      </c>
      <c r="I19" s="560" t="str">
        <f>IF(B19="","",IF(Y19&lt;&gt;"都市ガス",VLOOKUP(B19,非_係数!$B$42:$D$55,2,FALSE),""))</f>
        <v/>
      </c>
      <c r="J19" s="368"/>
      <c r="K19" s="435" t="str">
        <f t="shared" si="6"/>
        <v/>
      </c>
      <c r="L19" s="190" t="str">
        <f t="shared" ref="L19:L26" si="24">AH19</f>
        <v/>
      </c>
      <c r="M19" s="368"/>
      <c r="N19" s="418"/>
      <c r="O19" s="368"/>
      <c r="P19" s="368"/>
      <c r="Q19" s="413"/>
      <c r="R19" s="443"/>
      <c r="S19" s="540" t="str">
        <f t="shared" si="23"/>
        <v/>
      </c>
      <c r="T19" s="397" t="str">
        <f t="shared" ref="T19:T26" si="25">AL19</f>
        <v/>
      </c>
      <c r="U19" s="397" t="str">
        <f>IF(B19="","",VLOOKUP(B19,非_単位!$N$38:$O$53,2,FALSE))</f>
        <v/>
      </c>
      <c r="V19" s="540" t="str">
        <f t="shared" ref="V19:V26" si="26">AM19</f>
        <v/>
      </c>
      <c r="W19" s="541" t="str">
        <f t="shared" ref="W19:W26" si="27">AN19</f>
        <v/>
      </c>
      <c r="Y19" s="422" t="str">
        <f t="shared" si="0"/>
        <v/>
      </c>
      <c r="Z19" s="422" t="str">
        <f>IF(A19="","",IF(A19=非_燃料種類_選択リスト!$I$3,"一般送配電_種類",IF(A19=非_燃料種類_選択リスト!$I$4,"一般送配電以外_種類",IF(A19=非_燃料種類_選択リスト!$I$5,"熱_種類",IF(A19=非_燃料種類_選択リスト!$I$6,"都市ガス_種類","")))))</f>
        <v/>
      </c>
      <c r="AA19" s="422" t="str">
        <f>IF(Y19&lt;&gt;"電気","",非_電気事業者!$S$4*1000)</f>
        <v/>
      </c>
      <c r="AB19" s="422" t="str">
        <f>IF(Y19&lt;&gt;"電気","",IF(ISERROR(VLOOKUP(C19&amp;E19,非_電気事業者!$R$9:$S$2000,2,FALSE)),"要記入",VLOOKUP(C19&amp;E19,非_電気事業者!$R$9:$S$2000,2,FALSE)*1000))</f>
        <v/>
      </c>
      <c r="AC19" s="422" t="str">
        <f>IF(Y19&lt;&gt;"熱","",非_熱供給事業者!$T$4)</f>
        <v/>
      </c>
      <c r="AD19" s="422" t="str">
        <f>IF(Y19&lt;&gt;"熱","",IF(ISERROR(VLOOKUP(C19&amp;E19,非_熱供給事業者!$S$8:$T$200,2,FALSE)),"要記入",VLOOKUP(C19&amp;E19,非_熱供給事業者!$S$8:$T$200,2,FALSE)))</f>
        <v/>
      </c>
      <c r="AE19" s="422" t="str">
        <f>IF(Y19&lt;&gt;"都市ガス","",非_都市ガス事業者!$AB$4)</f>
        <v/>
      </c>
      <c r="AF19" s="422" t="str">
        <f>IF(Y19&lt;&gt;"都市ガス","",IF(ISERROR(VLOOKUP(C19&amp;E19,非_都市ガス事業者!$AA$8:$AB$200,2,FALSE)),"要記入",VLOOKUP(C19&amp;E19,非_都市ガス事業者!$AA$8:$AB$200,2,FALSE)))</f>
        <v/>
      </c>
      <c r="AG19" s="422" t="str">
        <f t="shared" si="1"/>
        <v/>
      </c>
      <c r="AH19" s="422" t="str">
        <f t="shared" si="11"/>
        <v/>
      </c>
      <c r="AI19" s="482" t="b">
        <f t="shared" si="12"/>
        <v>1</v>
      </c>
      <c r="AJ19" s="422" t="str">
        <f>IF(P19="","",VLOOKUP(P19,非_単位補正換算!$B$3:$C$16,2,FALSE))</f>
        <v/>
      </c>
      <c r="AK19" s="422" t="str">
        <f>IF(Y19="","",IF(Y19&lt;&gt;"都市ガス",1,IF(F19="","",SUMIFS(非_単位補正換算!$D$52:$D$63,非_単位補正換算!$B$52:$B$63,"都市ガス"&amp;F19,非_単位補正換算!$C$52:$C$63,電気・熱_都市ガス!P19))))</f>
        <v/>
      </c>
      <c r="AL19" s="479" t="str">
        <f t="shared" si="13"/>
        <v/>
      </c>
      <c r="AM19" s="422" t="str">
        <f t="shared" si="2"/>
        <v/>
      </c>
      <c r="AN19" s="422" t="str">
        <f t="shared" si="3"/>
        <v/>
      </c>
      <c r="AO19" s="422" t="str">
        <f>IF(B19="","",VLOOKUP(B19,非_まとめ表行番号!$F$3:$H$12,2,FALSE))</f>
        <v/>
      </c>
      <c r="AP19" s="485" t="b">
        <f t="shared" si="14"/>
        <v>1</v>
      </c>
      <c r="AQ19" s="582" t="str">
        <f>IF(Y19="","",IF(Y19&lt;&gt;"都市ガス",1,非_係数!$G$55))</f>
        <v/>
      </c>
      <c r="AR19" s="422" t="str">
        <f t="shared" ref="AR19:AR26" si="28">IF(AL19="","",AL19*AQ19)</f>
        <v/>
      </c>
      <c r="AS19" s="422" t="str">
        <f t="shared" si="4"/>
        <v/>
      </c>
      <c r="AT19" s="422" t="str">
        <f>IF(B19="","",VLOOKUP(B19,非_係数!$B$42:$K$55,9,FALSE))</f>
        <v/>
      </c>
      <c r="AU19" s="422" t="str">
        <f t="shared" si="16"/>
        <v/>
      </c>
      <c r="AV19" s="422" t="str">
        <f>IF(B19="","",VLOOKUP(B19,非_まとめ表行番号!$F$3:$H$12,3,FALSE))</f>
        <v/>
      </c>
      <c r="AW19" s="422" t="str">
        <f t="shared" si="5"/>
        <v/>
      </c>
      <c r="AY19" s="479" t="str">
        <f>IF(AO19="","",VLOOKUP(AO19,非_まとめ表行番号!$U$3:$V$56,2,FALSE))</f>
        <v/>
      </c>
      <c r="AZ19" s="479" t="str">
        <f t="shared" si="17"/>
        <v/>
      </c>
      <c r="BA19" s="479" t="str">
        <f t="shared" si="17"/>
        <v/>
      </c>
      <c r="BB19" s="479" t="str">
        <f t="shared" si="18"/>
        <v/>
      </c>
      <c r="BC19" s="479" t="str">
        <f t="shared" si="19"/>
        <v/>
      </c>
      <c r="BD19" s="479" t="str">
        <f t="shared" si="20"/>
        <v/>
      </c>
      <c r="BE19" s="479" t="str">
        <f t="shared" si="20"/>
        <v/>
      </c>
      <c r="BF19" s="479" t="str">
        <f t="shared" si="21"/>
        <v/>
      </c>
      <c r="BG19" s="580" t="str">
        <f t="shared" si="22"/>
        <v/>
      </c>
    </row>
    <row r="20" spans="1:59" ht="18.75" customHeight="1">
      <c r="A20" s="460"/>
      <c r="B20" s="368"/>
      <c r="C20" s="368"/>
      <c r="D20" s="368"/>
      <c r="E20" s="368"/>
      <c r="F20" s="368"/>
      <c r="G20" s="558" t="str">
        <f>IF(Y20&lt;&gt;"都市ガス","",IF(ISERROR(VLOOKUP(C20,非_都市ガス事業者!$O$8:$P$200,2,FALSE)),"",VLOOKUP(C20,非_都市ガス事業者!$O$8:$P$200,2,FALSE)))</f>
        <v/>
      </c>
      <c r="H20" s="559" t="str">
        <f>IF(Y20&lt;&gt;"都市ガス","",非_都市ガス事業者!$P$4)</f>
        <v/>
      </c>
      <c r="I20" s="560" t="str">
        <f>IF(B20="","",IF(Y20&lt;&gt;"都市ガス",VLOOKUP(B20,非_係数!$B$42:$D$55,2,FALSE),""))</f>
        <v/>
      </c>
      <c r="J20" s="368"/>
      <c r="K20" s="435" t="str">
        <f t="shared" si="6"/>
        <v/>
      </c>
      <c r="L20" s="190" t="str">
        <f t="shared" ref="L20:L24" si="29">AH20</f>
        <v/>
      </c>
      <c r="M20" s="368"/>
      <c r="N20" s="418"/>
      <c r="O20" s="368"/>
      <c r="P20" s="368"/>
      <c r="Q20" s="413"/>
      <c r="R20" s="443"/>
      <c r="S20" s="540" t="str">
        <f t="shared" si="23"/>
        <v/>
      </c>
      <c r="T20" s="397" t="str">
        <f t="shared" ref="T20:T24" si="30">AL20</f>
        <v/>
      </c>
      <c r="U20" s="397" t="str">
        <f>IF(B20="","",VLOOKUP(B20,非_単位!$N$38:$O$53,2,FALSE))</f>
        <v/>
      </c>
      <c r="V20" s="540" t="str">
        <f t="shared" ref="V20:V24" si="31">AM20</f>
        <v/>
      </c>
      <c r="W20" s="541" t="str">
        <f t="shared" ref="W20:W24" si="32">AN20</f>
        <v/>
      </c>
      <c r="Y20" s="422" t="str">
        <f t="shared" si="0"/>
        <v/>
      </c>
      <c r="Z20" s="422" t="str">
        <f>IF(A20="","",IF(A20=非_燃料種類_選択リスト!$I$3,"一般送配電_種類",IF(A20=非_燃料種類_選択リスト!$I$4,"一般送配電以外_種類",IF(A20=非_燃料種類_選択リスト!$I$5,"熱_種類",IF(A20=非_燃料種類_選択リスト!$I$6,"都市ガス_種類","")))))</f>
        <v/>
      </c>
      <c r="AA20" s="422" t="str">
        <f>IF(Y20&lt;&gt;"電気","",非_電気事業者!$S$4*1000)</f>
        <v/>
      </c>
      <c r="AB20" s="422" t="str">
        <f>IF(Y20&lt;&gt;"電気","",IF(ISERROR(VLOOKUP(C20&amp;E20,非_電気事業者!$R$9:$S$2000,2,FALSE)),"要記入",VLOOKUP(C20&amp;E20,非_電気事業者!$R$9:$S$2000,2,FALSE)*1000))</f>
        <v/>
      </c>
      <c r="AC20" s="422" t="str">
        <f>IF(Y20&lt;&gt;"熱","",非_熱供給事業者!$T$4)</f>
        <v/>
      </c>
      <c r="AD20" s="422" t="str">
        <f>IF(Y20&lt;&gt;"熱","",IF(ISERROR(VLOOKUP(C20&amp;E20,非_熱供給事業者!$S$8:$T$200,2,FALSE)),"要記入",VLOOKUP(C20&amp;E20,非_熱供給事業者!$S$8:$T$200,2,FALSE)))</f>
        <v/>
      </c>
      <c r="AE20" s="422" t="str">
        <f>IF(Y20&lt;&gt;"都市ガス","",非_都市ガス事業者!$AB$4)</f>
        <v/>
      </c>
      <c r="AF20" s="422" t="str">
        <f>IF(Y20&lt;&gt;"都市ガス","",IF(ISERROR(VLOOKUP(C20&amp;E20,非_都市ガス事業者!$AA$8:$AB$200,2,FALSE)),"要記入",VLOOKUP(C20&amp;E20,非_都市ガス事業者!$AA$8:$AB$200,2,FALSE)))</f>
        <v/>
      </c>
      <c r="AG20" s="422" t="str">
        <f t="shared" si="1"/>
        <v/>
      </c>
      <c r="AH20" s="422" t="str">
        <f t="shared" si="11"/>
        <v/>
      </c>
      <c r="AI20" s="482" t="b">
        <f t="shared" si="12"/>
        <v>1</v>
      </c>
      <c r="AJ20" s="422" t="str">
        <f>IF(P20="","",VLOOKUP(P20,非_単位補正換算!$B$3:$C$16,2,FALSE))</f>
        <v/>
      </c>
      <c r="AK20" s="422" t="str">
        <f>IF(Y20="","",IF(Y20&lt;&gt;"都市ガス",1,IF(F20="","",SUMIFS(非_単位補正換算!$D$52:$D$63,非_単位補正換算!$B$52:$B$63,"都市ガス"&amp;F20,非_単位補正換算!$C$52:$C$63,電気・熱_都市ガス!P20))))</f>
        <v/>
      </c>
      <c r="AL20" s="479" t="str">
        <f t="shared" si="13"/>
        <v/>
      </c>
      <c r="AM20" s="422" t="str">
        <f t="shared" si="2"/>
        <v/>
      </c>
      <c r="AN20" s="422" t="str">
        <f t="shared" si="3"/>
        <v/>
      </c>
      <c r="AO20" s="422" t="str">
        <f>IF(B20="","",VLOOKUP(B20,非_まとめ表行番号!$F$3:$H$12,2,FALSE))</f>
        <v/>
      </c>
      <c r="AP20" s="485" t="b">
        <f t="shared" si="14"/>
        <v>1</v>
      </c>
      <c r="AQ20" s="582" t="str">
        <f>IF(Y20="","",IF(Y20&lt;&gt;"都市ガス",1,非_係数!$G$55))</f>
        <v/>
      </c>
      <c r="AR20" s="422" t="str">
        <f t="shared" ref="AR20:AR24" si="33">IF(AL20="","",AL20*AQ20)</f>
        <v/>
      </c>
      <c r="AS20" s="422" t="str">
        <f t="shared" si="4"/>
        <v/>
      </c>
      <c r="AT20" s="422" t="str">
        <f>IF(B20="","",VLOOKUP(B20,非_係数!$B$42:$K$55,9,FALSE))</f>
        <v/>
      </c>
      <c r="AU20" s="422" t="str">
        <f t="shared" si="16"/>
        <v/>
      </c>
      <c r="AV20" s="422" t="str">
        <f>IF(B20="","",VLOOKUP(B20,非_まとめ表行番号!$F$3:$H$12,3,FALSE))</f>
        <v/>
      </c>
      <c r="AW20" s="422" t="str">
        <f t="shared" si="5"/>
        <v/>
      </c>
      <c r="AY20" s="479" t="str">
        <f>IF(AO20="","",VLOOKUP(AO20,非_まとめ表行番号!$U$3:$V$56,2,FALSE))</f>
        <v/>
      </c>
      <c r="AZ20" s="479" t="str">
        <f t="shared" si="17"/>
        <v/>
      </c>
      <c r="BA20" s="479" t="str">
        <f t="shared" si="17"/>
        <v/>
      </c>
      <c r="BB20" s="479" t="str">
        <f t="shared" si="18"/>
        <v/>
      </c>
      <c r="BC20" s="479" t="str">
        <f t="shared" si="19"/>
        <v/>
      </c>
      <c r="BD20" s="479" t="str">
        <f t="shared" si="20"/>
        <v/>
      </c>
      <c r="BE20" s="479" t="str">
        <f t="shared" si="20"/>
        <v/>
      </c>
      <c r="BF20" s="479" t="str">
        <f t="shared" si="21"/>
        <v/>
      </c>
      <c r="BG20" s="580" t="str">
        <f t="shared" si="22"/>
        <v/>
      </c>
    </row>
    <row r="21" spans="1:59" ht="18.75" customHeight="1">
      <c r="A21" s="460"/>
      <c r="B21" s="368"/>
      <c r="C21" s="368"/>
      <c r="D21" s="368"/>
      <c r="E21" s="368"/>
      <c r="F21" s="368"/>
      <c r="G21" s="558" t="str">
        <f>IF(Y21&lt;&gt;"都市ガス","",IF(ISERROR(VLOOKUP(C21,非_都市ガス事業者!$O$8:$P$200,2,FALSE)),"",VLOOKUP(C21,非_都市ガス事業者!$O$8:$P$200,2,FALSE)))</f>
        <v/>
      </c>
      <c r="H21" s="559" t="str">
        <f>IF(Y21&lt;&gt;"都市ガス","",非_都市ガス事業者!$P$4)</f>
        <v/>
      </c>
      <c r="I21" s="560" t="str">
        <f>IF(B21="","",IF(Y21&lt;&gt;"都市ガス",VLOOKUP(B21,非_係数!$B$42:$D$55,2,FALSE),""))</f>
        <v/>
      </c>
      <c r="J21" s="368"/>
      <c r="K21" s="435" t="str">
        <f t="shared" si="6"/>
        <v/>
      </c>
      <c r="L21" s="190" t="str">
        <f t="shared" si="29"/>
        <v/>
      </c>
      <c r="M21" s="368"/>
      <c r="N21" s="418"/>
      <c r="O21" s="368"/>
      <c r="P21" s="368"/>
      <c r="Q21" s="413"/>
      <c r="R21" s="443"/>
      <c r="S21" s="540" t="str">
        <f t="shared" si="23"/>
        <v/>
      </c>
      <c r="T21" s="397" t="str">
        <f t="shared" si="30"/>
        <v/>
      </c>
      <c r="U21" s="397" t="str">
        <f>IF(B21="","",VLOOKUP(B21,非_単位!$N$38:$O$53,2,FALSE))</f>
        <v/>
      </c>
      <c r="V21" s="540" t="str">
        <f t="shared" si="31"/>
        <v/>
      </c>
      <c r="W21" s="541" t="str">
        <f t="shared" si="32"/>
        <v/>
      </c>
      <c r="Y21" s="422" t="str">
        <f t="shared" si="0"/>
        <v/>
      </c>
      <c r="Z21" s="422" t="str">
        <f>IF(A21="","",IF(A21=非_燃料種類_選択リスト!$I$3,"一般送配電_種類",IF(A21=非_燃料種類_選択リスト!$I$4,"一般送配電以外_種類",IF(A21=非_燃料種類_選択リスト!$I$5,"熱_種類",IF(A21=非_燃料種類_選択リスト!$I$6,"都市ガス_種類","")))))</f>
        <v/>
      </c>
      <c r="AA21" s="422" t="str">
        <f>IF(Y21&lt;&gt;"電気","",非_電気事業者!$S$4*1000)</f>
        <v/>
      </c>
      <c r="AB21" s="422" t="str">
        <f>IF(Y21&lt;&gt;"電気","",IF(ISERROR(VLOOKUP(C21&amp;E21,非_電気事業者!$R$9:$S$2000,2,FALSE)),"要記入",VLOOKUP(C21&amp;E21,非_電気事業者!$R$9:$S$2000,2,FALSE)*1000))</f>
        <v/>
      </c>
      <c r="AC21" s="422" t="str">
        <f>IF(Y21&lt;&gt;"熱","",非_熱供給事業者!$T$4)</f>
        <v/>
      </c>
      <c r="AD21" s="422" t="str">
        <f>IF(Y21&lt;&gt;"熱","",IF(ISERROR(VLOOKUP(C21&amp;E21,非_熱供給事業者!$S$8:$T$200,2,FALSE)),"要記入",VLOOKUP(C21&amp;E21,非_熱供給事業者!$S$8:$T$200,2,FALSE)))</f>
        <v/>
      </c>
      <c r="AE21" s="422" t="str">
        <f>IF(Y21&lt;&gt;"都市ガス","",非_都市ガス事業者!$AB$4)</f>
        <v/>
      </c>
      <c r="AF21" s="422" t="str">
        <f>IF(Y21&lt;&gt;"都市ガス","",IF(ISERROR(VLOOKUP(C21&amp;E21,非_都市ガス事業者!$AA$8:$AB$200,2,FALSE)),"要記入",VLOOKUP(C21&amp;E21,非_都市ガス事業者!$AA$8:$AB$200,2,FALSE)))</f>
        <v/>
      </c>
      <c r="AG21" s="422" t="str">
        <f t="shared" si="1"/>
        <v/>
      </c>
      <c r="AH21" s="422" t="str">
        <f t="shared" si="11"/>
        <v/>
      </c>
      <c r="AI21" s="482" t="b">
        <f t="shared" si="12"/>
        <v>1</v>
      </c>
      <c r="AJ21" s="422" t="str">
        <f>IF(P21="","",VLOOKUP(P21,非_単位補正換算!$B$3:$C$16,2,FALSE))</f>
        <v/>
      </c>
      <c r="AK21" s="422" t="str">
        <f>IF(Y21="","",IF(Y21&lt;&gt;"都市ガス",1,IF(F21="","",SUMIFS(非_単位補正換算!$D$52:$D$63,非_単位補正換算!$B$52:$B$63,"都市ガス"&amp;F21,非_単位補正換算!$C$52:$C$63,電気・熱_都市ガス!P21))))</f>
        <v/>
      </c>
      <c r="AL21" s="479" t="str">
        <f t="shared" si="13"/>
        <v/>
      </c>
      <c r="AM21" s="422" t="str">
        <f t="shared" si="2"/>
        <v/>
      </c>
      <c r="AN21" s="422" t="str">
        <f t="shared" si="3"/>
        <v/>
      </c>
      <c r="AO21" s="422" t="str">
        <f>IF(B21="","",VLOOKUP(B21,非_まとめ表行番号!$F$3:$H$12,2,FALSE))</f>
        <v/>
      </c>
      <c r="AP21" s="485" t="b">
        <f t="shared" si="14"/>
        <v>1</v>
      </c>
      <c r="AQ21" s="582" t="str">
        <f>IF(Y21="","",IF(Y21&lt;&gt;"都市ガス",1,非_係数!$G$55))</f>
        <v/>
      </c>
      <c r="AR21" s="422" t="str">
        <f t="shared" si="33"/>
        <v/>
      </c>
      <c r="AS21" s="422" t="str">
        <f t="shared" si="4"/>
        <v/>
      </c>
      <c r="AT21" s="422" t="str">
        <f>IF(B21="","",VLOOKUP(B21,非_係数!$B$42:$K$55,9,FALSE))</f>
        <v/>
      </c>
      <c r="AU21" s="422" t="str">
        <f t="shared" si="16"/>
        <v/>
      </c>
      <c r="AV21" s="422" t="str">
        <f>IF(B21="","",VLOOKUP(B21,非_まとめ表行番号!$F$3:$H$12,3,FALSE))</f>
        <v/>
      </c>
      <c r="AW21" s="422" t="str">
        <f t="shared" si="5"/>
        <v/>
      </c>
      <c r="AY21" s="479" t="str">
        <f>IF(AO21="","",VLOOKUP(AO21,非_まとめ表行番号!$U$3:$V$56,2,FALSE))</f>
        <v/>
      </c>
      <c r="AZ21" s="479" t="str">
        <f t="shared" si="17"/>
        <v/>
      </c>
      <c r="BA21" s="479" t="str">
        <f t="shared" si="17"/>
        <v/>
      </c>
      <c r="BB21" s="479" t="str">
        <f t="shared" si="18"/>
        <v/>
      </c>
      <c r="BC21" s="479" t="str">
        <f t="shared" si="19"/>
        <v/>
      </c>
      <c r="BD21" s="479" t="str">
        <f t="shared" si="20"/>
        <v/>
      </c>
      <c r="BE21" s="479" t="str">
        <f t="shared" si="20"/>
        <v/>
      </c>
      <c r="BF21" s="479" t="str">
        <f t="shared" si="21"/>
        <v/>
      </c>
      <c r="BG21" s="580" t="str">
        <f t="shared" si="22"/>
        <v/>
      </c>
    </row>
    <row r="22" spans="1:59" ht="18.75" customHeight="1">
      <c r="A22" s="460"/>
      <c r="B22" s="368"/>
      <c r="C22" s="368"/>
      <c r="D22" s="368"/>
      <c r="E22" s="368"/>
      <c r="F22" s="368"/>
      <c r="G22" s="558" t="str">
        <f>IF(Y22&lt;&gt;"都市ガス","",IF(ISERROR(VLOOKUP(C22,非_都市ガス事業者!$O$8:$P$200,2,FALSE)),"",VLOOKUP(C22,非_都市ガス事業者!$O$8:$P$200,2,FALSE)))</f>
        <v/>
      </c>
      <c r="H22" s="559" t="str">
        <f>IF(Y22&lt;&gt;"都市ガス","",非_都市ガス事業者!$P$4)</f>
        <v/>
      </c>
      <c r="I22" s="560" t="str">
        <f>IF(B22="","",IF(Y22&lt;&gt;"都市ガス",VLOOKUP(B22,非_係数!$B$42:$D$55,2,FALSE),""))</f>
        <v/>
      </c>
      <c r="J22" s="368"/>
      <c r="K22" s="435" t="str">
        <f t="shared" si="6"/>
        <v/>
      </c>
      <c r="L22" s="190" t="str">
        <f t="shared" si="29"/>
        <v/>
      </c>
      <c r="M22" s="368"/>
      <c r="N22" s="418"/>
      <c r="O22" s="368"/>
      <c r="P22" s="368"/>
      <c r="Q22" s="413"/>
      <c r="R22" s="443"/>
      <c r="S22" s="540" t="str">
        <f t="shared" si="23"/>
        <v/>
      </c>
      <c r="T22" s="397" t="str">
        <f t="shared" si="30"/>
        <v/>
      </c>
      <c r="U22" s="397" t="str">
        <f>IF(B22="","",VLOOKUP(B22,非_単位!$N$38:$O$53,2,FALSE))</f>
        <v/>
      </c>
      <c r="V22" s="540" t="str">
        <f t="shared" si="31"/>
        <v/>
      </c>
      <c r="W22" s="541" t="str">
        <f t="shared" si="32"/>
        <v/>
      </c>
      <c r="Y22" s="422" t="str">
        <f t="shared" si="0"/>
        <v/>
      </c>
      <c r="Z22" s="422" t="str">
        <f>IF(A22="","",IF(A22=非_燃料種類_選択リスト!$I$3,"一般送配電_種類",IF(A22=非_燃料種類_選択リスト!$I$4,"一般送配電以外_種類",IF(A22=非_燃料種類_選択リスト!$I$5,"熱_種類",IF(A22=非_燃料種類_選択リスト!$I$6,"都市ガス_種類","")))))</f>
        <v/>
      </c>
      <c r="AA22" s="422" t="str">
        <f>IF(Y22&lt;&gt;"電気","",非_電気事業者!$S$4*1000)</f>
        <v/>
      </c>
      <c r="AB22" s="422" t="str">
        <f>IF(Y22&lt;&gt;"電気","",IF(ISERROR(VLOOKUP(C22&amp;E22,非_電気事業者!$R$9:$S$2000,2,FALSE)),"要記入",VLOOKUP(C22&amp;E22,非_電気事業者!$R$9:$S$2000,2,FALSE)*1000))</f>
        <v/>
      </c>
      <c r="AC22" s="422" t="str">
        <f>IF(Y22&lt;&gt;"熱","",非_熱供給事業者!$T$4)</f>
        <v/>
      </c>
      <c r="AD22" s="422" t="str">
        <f>IF(Y22&lt;&gt;"熱","",IF(ISERROR(VLOOKUP(C22&amp;E22,非_熱供給事業者!$S$8:$T$200,2,FALSE)),"要記入",VLOOKUP(C22&amp;E22,非_熱供給事業者!$S$8:$T$200,2,FALSE)))</f>
        <v/>
      </c>
      <c r="AE22" s="422" t="str">
        <f>IF(Y22&lt;&gt;"都市ガス","",非_都市ガス事業者!$AB$4)</f>
        <v/>
      </c>
      <c r="AF22" s="422" t="str">
        <f>IF(Y22&lt;&gt;"都市ガス","",IF(ISERROR(VLOOKUP(C22&amp;E22,非_都市ガス事業者!$AA$8:$AB$200,2,FALSE)),"要記入",VLOOKUP(C22&amp;E22,非_都市ガス事業者!$AA$8:$AB$200,2,FALSE)))</f>
        <v/>
      </c>
      <c r="AG22" s="422" t="str">
        <f t="shared" si="1"/>
        <v/>
      </c>
      <c r="AH22" s="422" t="str">
        <f t="shared" si="11"/>
        <v/>
      </c>
      <c r="AI22" s="482" t="b">
        <f t="shared" si="12"/>
        <v>1</v>
      </c>
      <c r="AJ22" s="422" t="str">
        <f>IF(P22="","",VLOOKUP(P22,非_単位補正換算!$B$3:$C$16,2,FALSE))</f>
        <v/>
      </c>
      <c r="AK22" s="422" t="str">
        <f>IF(Y22="","",IF(Y22&lt;&gt;"都市ガス",1,IF(F22="","",SUMIFS(非_単位補正換算!$D$52:$D$63,非_単位補正換算!$B$52:$B$63,"都市ガス"&amp;F22,非_単位補正換算!$C$52:$C$63,電気・熱_都市ガス!P22))))</f>
        <v/>
      </c>
      <c r="AL22" s="479" t="str">
        <f t="shared" si="13"/>
        <v/>
      </c>
      <c r="AM22" s="422" t="str">
        <f t="shared" si="2"/>
        <v/>
      </c>
      <c r="AN22" s="422" t="str">
        <f t="shared" si="3"/>
        <v/>
      </c>
      <c r="AO22" s="422" t="str">
        <f>IF(B22="","",VLOOKUP(B22,非_まとめ表行番号!$F$3:$H$12,2,FALSE))</f>
        <v/>
      </c>
      <c r="AP22" s="485" t="b">
        <f t="shared" si="14"/>
        <v>1</v>
      </c>
      <c r="AQ22" s="582" t="str">
        <f>IF(Y22="","",IF(Y22&lt;&gt;"都市ガス",1,非_係数!$G$55))</f>
        <v/>
      </c>
      <c r="AR22" s="422" t="str">
        <f t="shared" si="33"/>
        <v/>
      </c>
      <c r="AS22" s="422" t="str">
        <f t="shared" si="4"/>
        <v/>
      </c>
      <c r="AT22" s="422" t="str">
        <f>IF(B22="","",VLOOKUP(B22,非_係数!$B$42:$K$55,9,FALSE))</f>
        <v/>
      </c>
      <c r="AU22" s="422" t="str">
        <f t="shared" si="16"/>
        <v/>
      </c>
      <c r="AV22" s="422" t="str">
        <f>IF(B22="","",VLOOKUP(B22,非_まとめ表行番号!$F$3:$H$12,3,FALSE))</f>
        <v/>
      </c>
      <c r="AW22" s="422" t="str">
        <f t="shared" si="5"/>
        <v/>
      </c>
      <c r="AY22" s="479" t="str">
        <f>IF(AO22="","",VLOOKUP(AO22,非_まとめ表行番号!$U$3:$V$56,2,FALSE))</f>
        <v/>
      </c>
      <c r="AZ22" s="479" t="str">
        <f t="shared" si="17"/>
        <v/>
      </c>
      <c r="BA22" s="479" t="str">
        <f t="shared" si="17"/>
        <v/>
      </c>
      <c r="BB22" s="479" t="str">
        <f t="shared" si="18"/>
        <v/>
      </c>
      <c r="BC22" s="479" t="str">
        <f t="shared" si="19"/>
        <v/>
      </c>
      <c r="BD22" s="479" t="str">
        <f t="shared" si="20"/>
        <v/>
      </c>
      <c r="BE22" s="479" t="str">
        <f t="shared" si="20"/>
        <v/>
      </c>
      <c r="BF22" s="479" t="str">
        <f t="shared" si="21"/>
        <v/>
      </c>
      <c r="BG22" s="580" t="str">
        <f t="shared" si="22"/>
        <v/>
      </c>
    </row>
    <row r="23" spans="1:59" ht="18.75" customHeight="1">
      <c r="A23" s="460"/>
      <c r="B23" s="368"/>
      <c r="C23" s="368"/>
      <c r="D23" s="368"/>
      <c r="E23" s="368"/>
      <c r="F23" s="368"/>
      <c r="G23" s="558" t="str">
        <f>IF(Y23&lt;&gt;"都市ガス","",IF(ISERROR(VLOOKUP(C23,非_都市ガス事業者!$O$8:$P$200,2,FALSE)),"",VLOOKUP(C23,非_都市ガス事業者!$O$8:$P$200,2,FALSE)))</f>
        <v/>
      </c>
      <c r="H23" s="559" t="str">
        <f>IF(Y23&lt;&gt;"都市ガス","",非_都市ガス事業者!$P$4)</f>
        <v/>
      </c>
      <c r="I23" s="560" t="str">
        <f>IF(B23="","",IF(Y23&lt;&gt;"都市ガス",VLOOKUP(B23,非_係数!$B$42:$D$55,2,FALSE),""))</f>
        <v/>
      </c>
      <c r="J23" s="368"/>
      <c r="K23" s="435" t="str">
        <f t="shared" si="6"/>
        <v/>
      </c>
      <c r="L23" s="190" t="str">
        <f t="shared" si="29"/>
        <v/>
      </c>
      <c r="M23" s="368"/>
      <c r="N23" s="418"/>
      <c r="O23" s="368"/>
      <c r="P23" s="368"/>
      <c r="Q23" s="413"/>
      <c r="R23" s="443"/>
      <c r="S23" s="540" t="str">
        <f t="shared" si="23"/>
        <v/>
      </c>
      <c r="T23" s="397" t="str">
        <f t="shared" si="30"/>
        <v/>
      </c>
      <c r="U23" s="397" t="str">
        <f>IF(B23="","",VLOOKUP(B23,非_単位!$N$38:$O$53,2,FALSE))</f>
        <v/>
      </c>
      <c r="V23" s="540" t="str">
        <f t="shared" si="31"/>
        <v/>
      </c>
      <c r="W23" s="541" t="str">
        <f t="shared" si="32"/>
        <v/>
      </c>
      <c r="Y23" s="422" t="str">
        <f t="shared" si="0"/>
        <v/>
      </c>
      <c r="Z23" s="422" t="str">
        <f>IF(A23="","",IF(A23=非_燃料種類_選択リスト!$I$3,"一般送配電_種類",IF(A23=非_燃料種類_選択リスト!$I$4,"一般送配電以外_種類",IF(A23=非_燃料種類_選択リスト!$I$5,"熱_種類",IF(A23=非_燃料種類_選択リスト!$I$6,"都市ガス_種類","")))))</f>
        <v/>
      </c>
      <c r="AA23" s="422" t="str">
        <f>IF(Y23&lt;&gt;"電気","",非_電気事業者!$S$4*1000)</f>
        <v/>
      </c>
      <c r="AB23" s="422" t="str">
        <f>IF(Y23&lt;&gt;"電気","",IF(ISERROR(VLOOKUP(C23&amp;E23,非_電気事業者!$R$9:$S$2000,2,FALSE)),"要記入",VLOOKUP(C23&amp;E23,非_電気事業者!$R$9:$S$2000,2,FALSE)*1000))</f>
        <v/>
      </c>
      <c r="AC23" s="422" t="str">
        <f>IF(Y23&lt;&gt;"熱","",非_熱供給事業者!$T$4)</f>
        <v/>
      </c>
      <c r="AD23" s="422" t="str">
        <f>IF(Y23&lt;&gt;"熱","",IF(ISERROR(VLOOKUP(C23&amp;E23,非_熱供給事業者!$S$8:$T$200,2,FALSE)),"要記入",VLOOKUP(C23&amp;E23,非_熱供給事業者!$S$8:$T$200,2,FALSE)))</f>
        <v/>
      </c>
      <c r="AE23" s="422" t="str">
        <f>IF(Y23&lt;&gt;"都市ガス","",非_都市ガス事業者!$AB$4)</f>
        <v/>
      </c>
      <c r="AF23" s="422" t="str">
        <f>IF(Y23&lt;&gt;"都市ガス","",IF(ISERROR(VLOOKUP(C23&amp;E23,非_都市ガス事業者!$AA$8:$AB$200,2,FALSE)),"要記入",VLOOKUP(C23&amp;E23,非_都市ガス事業者!$AA$8:$AB$200,2,FALSE)))</f>
        <v/>
      </c>
      <c r="AG23" s="422" t="str">
        <f t="shared" si="1"/>
        <v/>
      </c>
      <c r="AH23" s="422" t="str">
        <f t="shared" si="11"/>
        <v/>
      </c>
      <c r="AI23" s="482" t="b">
        <f t="shared" si="12"/>
        <v>1</v>
      </c>
      <c r="AJ23" s="422" t="str">
        <f>IF(P23="","",VLOOKUP(P23,非_単位補正換算!$B$3:$C$16,2,FALSE))</f>
        <v/>
      </c>
      <c r="AK23" s="422" t="str">
        <f>IF(Y23="","",IF(Y23&lt;&gt;"都市ガス",1,IF(F23="","",SUMIFS(非_単位補正換算!$D$52:$D$63,非_単位補正換算!$B$52:$B$63,"都市ガス"&amp;F23,非_単位補正換算!$C$52:$C$63,電気・熱_都市ガス!P23))))</f>
        <v/>
      </c>
      <c r="AL23" s="479" t="str">
        <f t="shared" si="13"/>
        <v/>
      </c>
      <c r="AM23" s="422" t="str">
        <f t="shared" si="2"/>
        <v/>
      </c>
      <c r="AN23" s="422" t="str">
        <f t="shared" si="3"/>
        <v/>
      </c>
      <c r="AO23" s="422" t="str">
        <f>IF(B23="","",VLOOKUP(B23,非_まとめ表行番号!$F$3:$H$12,2,FALSE))</f>
        <v/>
      </c>
      <c r="AP23" s="485" t="b">
        <f t="shared" si="14"/>
        <v>1</v>
      </c>
      <c r="AQ23" s="582" t="str">
        <f>IF(Y23="","",IF(Y23&lt;&gt;"都市ガス",1,非_係数!$G$55))</f>
        <v/>
      </c>
      <c r="AR23" s="422" t="str">
        <f t="shared" si="33"/>
        <v/>
      </c>
      <c r="AS23" s="422" t="str">
        <f t="shared" si="4"/>
        <v/>
      </c>
      <c r="AT23" s="422" t="str">
        <f>IF(B23="","",VLOOKUP(B23,非_係数!$B$42:$K$55,9,FALSE))</f>
        <v/>
      </c>
      <c r="AU23" s="422" t="str">
        <f t="shared" si="16"/>
        <v/>
      </c>
      <c r="AV23" s="422" t="str">
        <f>IF(B23="","",VLOOKUP(B23,非_まとめ表行番号!$F$3:$H$12,3,FALSE))</f>
        <v/>
      </c>
      <c r="AW23" s="422" t="str">
        <f t="shared" si="5"/>
        <v/>
      </c>
      <c r="AY23" s="479" t="str">
        <f>IF(AO23="","",VLOOKUP(AO23,非_まとめ表行番号!$U$3:$V$56,2,FALSE))</f>
        <v/>
      </c>
      <c r="AZ23" s="479" t="str">
        <f t="shared" si="17"/>
        <v/>
      </c>
      <c r="BA23" s="479" t="str">
        <f t="shared" si="17"/>
        <v/>
      </c>
      <c r="BB23" s="479" t="str">
        <f t="shared" si="18"/>
        <v/>
      </c>
      <c r="BC23" s="479" t="str">
        <f t="shared" si="19"/>
        <v/>
      </c>
      <c r="BD23" s="479" t="str">
        <f t="shared" si="20"/>
        <v/>
      </c>
      <c r="BE23" s="479" t="str">
        <f t="shared" si="20"/>
        <v/>
      </c>
      <c r="BF23" s="479" t="str">
        <f t="shared" si="21"/>
        <v/>
      </c>
      <c r="BG23" s="580" t="str">
        <f t="shared" si="22"/>
        <v/>
      </c>
    </row>
    <row r="24" spans="1:59" ht="18.75" customHeight="1">
      <c r="A24" s="460"/>
      <c r="B24" s="368"/>
      <c r="C24" s="368"/>
      <c r="D24" s="368"/>
      <c r="E24" s="368"/>
      <c r="F24" s="368"/>
      <c r="G24" s="558" t="str">
        <f>IF(Y24&lt;&gt;"都市ガス","",IF(ISERROR(VLOOKUP(C24,非_都市ガス事業者!$O$8:$P$200,2,FALSE)),"",VLOOKUP(C24,非_都市ガス事業者!$O$8:$P$200,2,FALSE)))</f>
        <v/>
      </c>
      <c r="H24" s="559" t="str">
        <f>IF(Y24&lt;&gt;"都市ガス","",非_都市ガス事業者!$P$4)</f>
        <v/>
      </c>
      <c r="I24" s="560" t="str">
        <f>IF(B24="","",IF(Y24&lt;&gt;"都市ガス",VLOOKUP(B24,非_係数!$B$42:$D$55,2,FALSE),""))</f>
        <v/>
      </c>
      <c r="J24" s="368"/>
      <c r="K24" s="435" t="str">
        <f t="shared" si="6"/>
        <v/>
      </c>
      <c r="L24" s="190" t="str">
        <f t="shared" si="29"/>
        <v/>
      </c>
      <c r="M24" s="368"/>
      <c r="N24" s="418"/>
      <c r="O24" s="368"/>
      <c r="P24" s="368"/>
      <c r="Q24" s="413"/>
      <c r="R24" s="443"/>
      <c r="S24" s="540" t="str">
        <f t="shared" si="23"/>
        <v/>
      </c>
      <c r="T24" s="397" t="str">
        <f t="shared" si="30"/>
        <v/>
      </c>
      <c r="U24" s="397" t="str">
        <f>IF(B24="","",VLOOKUP(B24,非_単位!$N$38:$O$53,2,FALSE))</f>
        <v/>
      </c>
      <c r="V24" s="540" t="str">
        <f t="shared" si="31"/>
        <v/>
      </c>
      <c r="W24" s="541" t="str">
        <f t="shared" si="32"/>
        <v/>
      </c>
      <c r="Y24" s="422" t="str">
        <f t="shared" si="0"/>
        <v/>
      </c>
      <c r="Z24" s="422" t="str">
        <f>IF(A24="","",IF(A24=非_燃料種類_選択リスト!$I$3,"一般送配電_種類",IF(A24=非_燃料種類_選択リスト!$I$4,"一般送配電以外_種類",IF(A24=非_燃料種類_選択リスト!$I$5,"熱_種類",IF(A24=非_燃料種類_選択リスト!$I$6,"都市ガス_種類","")))))</f>
        <v/>
      </c>
      <c r="AA24" s="422" t="str">
        <f>IF(Y24&lt;&gt;"電気","",非_電気事業者!$S$4*1000)</f>
        <v/>
      </c>
      <c r="AB24" s="422" t="str">
        <f>IF(Y24&lt;&gt;"電気","",IF(ISERROR(VLOOKUP(C24&amp;E24,非_電気事業者!$R$9:$S$2000,2,FALSE)),"要記入",VLOOKUP(C24&amp;E24,非_電気事業者!$R$9:$S$2000,2,FALSE)*1000))</f>
        <v/>
      </c>
      <c r="AC24" s="422" t="str">
        <f>IF(Y24&lt;&gt;"熱","",非_熱供給事業者!$T$4)</f>
        <v/>
      </c>
      <c r="AD24" s="422" t="str">
        <f>IF(Y24&lt;&gt;"熱","",IF(ISERROR(VLOOKUP(C24&amp;E24,非_熱供給事業者!$S$8:$T$200,2,FALSE)),"要記入",VLOOKUP(C24&amp;E24,非_熱供給事業者!$S$8:$T$200,2,FALSE)))</f>
        <v/>
      </c>
      <c r="AE24" s="422" t="str">
        <f>IF(Y24&lt;&gt;"都市ガス","",非_都市ガス事業者!$AB$4)</f>
        <v/>
      </c>
      <c r="AF24" s="422" t="str">
        <f>IF(Y24&lt;&gt;"都市ガス","",IF(ISERROR(VLOOKUP(C24&amp;E24,非_都市ガス事業者!$AA$8:$AB$200,2,FALSE)),"要記入",VLOOKUP(C24&amp;E24,非_都市ガス事業者!$AA$8:$AB$200,2,FALSE)))</f>
        <v/>
      </c>
      <c r="AG24" s="422" t="str">
        <f t="shared" si="1"/>
        <v/>
      </c>
      <c r="AH24" s="422" t="str">
        <f t="shared" si="11"/>
        <v/>
      </c>
      <c r="AI24" s="482" t="b">
        <f t="shared" si="12"/>
        <v>1</v>
      </c>
      <c r="AJ24" s="422" t="str">
        <f>IF(P24="","",VLOOKUP(P24,非_単位補正換算!$B$3:$C$16,2,FALSE))</f>
        <v/>
      </c>
      <c r="AK24" s="422" t="str">
        <f>IF(Y24="","",IF(Y24&lt;&gt;"都市ガス",1,IF(F24="","",SUMIFS(非_単位補正換算!$D$52:$D$63,非_単位補正換算!$B$52:$B$63,"都市ガス"&amp;F24,非_単位補正換算!$C$52:$C$63,電気・熱_都市ガス!P24))))</f>
        <v/>
      </c>
      <c r="AL24" s="479" t="str">
        <f t="shared" si="13"/>
        <v/>
      </c>
      <c r="AM24" s="422" t="str">
        <f t="shared" si="2"/>
        <v/>
      </c>
      <c r="AN24" s="422" t="str">
        <f t="shared" si="3"/>
        <v/>
      </c>
      <c r="AO24" s="422" t="str">
        <f>IF(B24="","",VLOOKUP(B24,非_まとめ表行番号!$F$3:$H$12,2,FALSE))</f>
        <v/>
      </c>
      <c r="AP24" s="485" t="b">
        <f t="shared" si="14"/>
        <v>1</v>
      </c>
      <c r="AQ24" s="582" t="str">
        <f>IF(Y24="","",IF(Y24&lt;&gt;"都市ガス",1,非_係数!$G$55))</f>
        <v/>
      </c>
      <c r="AR24" s="422" t="str">
        <f t="shared" si="33"/>
        <v/>
      </c>
      <c r="AS24" s="422" t="str">
        <f t="shared" si="4"/>
        <v/>
      </c>
      <c r="AT24" s="422" t="str">
        <f>IF(B24="","",VLOOKUP(B24,非_係数!$B$42:$K$55,9,FALSE))</f>
        <v/>
      </c>
      <c r="AU24" s="422" t="str">
        <f t="shared" si="16"/>
        <v/>
      </c>
      <c r="AV24" s="422" t="str">
        <f>IF(B24="","",VLOOKUP(B24,非_まとめ表行番号!$F$3:$H$12,3,FALSE))</f>
        <v/>
      </c>
      <c r="AW24" s="422" t="str">
        <f t="shared" si="5"/>
        <v/>
      </c>
      <c r="AY24" s="479" t="str">
        <f>IF(AO24="","",VLOOKUP(AO24,非_まとめ表行番号!$U$3:$V$56,2,FALSE))</f>
        <v/>
      </c>
      <c r="AZ24" s="479" t="str">
        <f t="shared" si="17"/>
        <v/>
      </c>
      <c r="BA24" s="479" t="str">
        <f t="shared" si="17"/>
        <v/>
      </c>
      <c r="BB24" s="479" t="str">
        <f t="shared" si="18"/>
        <v/>
      </c>
      <c r="BC24" s="479" t="str">
        <f t="shared" si="19"/>
        <v/>
      </c>
      <c r="BD24" s="479" t="str">
        <f t="shared" si="20"/>
        <v/>
      </c>
      <c r="BE24" s="479" t="str">
        <f t="shared" si="20"/>
        <v/>
      </c>
      <c r="BF24" s="479" t="str">
        <f t="shared" si="21"/>
        <v/>
      </c>
      <c r="BG24" s="580" t="str">
        <f t="shared" si="22"/>
        <v/>
      </c>
    </row>
    <row r="25" spans="1:59" ht="18.75" customHeight="1">
      <c r="A25" s="460"/>
      <c r="B25" s="368"/>
      <c r="C25" s="368"/>
      <c r="D25" s="368"/>
      <c r="E25" s="368"/>
      <c r="F25" s="368"/>
      <c r="G25" s="558" t="str">
        <f>IF(Y25&lt;&gt;"都市ガス","",IF(ISERROR(VLOOKUP(C25,非_都市ガス事業者!$O$8:$P$200,2,FALSE)),"",VLOOKUP(C25,非_都市ガス事業者!$O$8:$P$200,2,FALSE)))</f>
        <v/>
      </c>
      <c r="H25" s="559" t="str">
        <f>IF(Y25&lt;&gt;"都市ガス","",非_都市ガス事業者!$P$4)</f>
        <v/>
      </c>
      <c r="I25" s="560" t="str">
        <f>IF(B25="","",IF(Y25&lt;&gt;"都市ガス",VLOOKUP(B25,非_係数!$B$42:$D$55,2,FALSE),""))</f>
        <v/>
      </c>
      <c r="J25" s="368"/>
      <c r="K25" s="435" t="str">
        <f t="shared" si="6"/>
        <v/>
      </c>
      <c r="L25" s="190" t="str">
        <f t="shared" si="24"/>
        <v/>
      </c>
      <c r="M25" s="368"/>
      <c r="N25" s="418"/>
      <c r="O25" s="368"/>
      <c r="P25" s="368"/>
      <c r="Q25" s="413"/>
      <c r="R25" s="443"/>
      <c r="S25" s="540" t="str">
        <f t="shared" si="23"/>
        <v/>
      </c>
      <c r="T25" s="397" t="str">
        <f t="shared" si="25"/>
        <v/>
      </c>
      <c r="U25" s="397" t="str">
        <f>IF(B25="","",VLOOKUP(B25,非_単位!$N$38:$O$53,2,FALSE))</f>
        <v/>
      </c>
      <c r="V25" s="540" t="str">
        <f t="shared" si="26"/>
        <v/>
      </c>
      <c r="W25" s="541" t="str">
        <f t="shared" si="27"/>
        <v/>
      </c>
      <c r="Y25" s="422" t="str">
        <f t="shared" si="0"/>
        <v/>
      </c>
      <c r="Z25" s="422" t="str">
        <f>IF(A25="","",IF(A25=非_燃料種類_選択リスト!$I$3,"一般送配電_種類",IF(A25=非_燃料種類_選択リスト!$I$4,"一般送配電以外_種類",IF(A25=非_燃料種類_選択リスト!$I$5,"熱_種類",IF(A25=非_燃料種類_選択リスト!$I$6,"都市ガス_種類","")))))</f>
        <v/>
      </c>
      <c r="AA25" s="422" t="str">
        <f>IF(Y25&lt;&gt;"電気","",非_電気事業者!$S$4*1000)</f>
        <v/>
      </c>
      <c r="AB25" s="422" t="str">
        <f>IF(Y25&lt;&gt;"電気","",IF(ISERROR(VLOOKUP(C25&amp;E25,非_電気事業者!$R$9:$S$2000,2,FALSE)),"要記入",VLOOKUP(C25&amp;E25,非_電気事業者!$R$9:$S$2000,2,FALSE)*1000))</f>
        <v/>
      </c>
      <c r="AC25" s="422" t="str">
        <f>IF(Y25&lt;&gt;"熱","",非_熱供給事業者!$T$4)</f>
        <v/>
      </c>
      <c r="AD25" s="422" t="str">
        <f>IF(Y25&lt;&gt;"熱","",IF(ISERROR(VLOOKUP(C25&amp;E25,非_熱供給事業者!$S$8:$T$200,2,FALSE)),"要記入",VLOOKUP(C25&amp;E25,非_熱供給事業者!$S$8:$T$200,2,FALSE)))</f>
        <v/>
      </c>
      <c r="AE25" s="422" t="str">
        <f>IF(Y25&lt;&gt;"都市ガス","",非_都市ガス事業者!$AB$4)</f>
        <v/>
      </c>
      <c r="AF25" s="422" t="str">
        <f>IF(Y25&lt;&gt;"都市ガス","",IF(ISERROR(VLOOKUP(C25&amp;E25,非_都市ガス事業者!$AA$8:$AB$200,2,FALSE)),"要記入",VLOOKUP(C25&amp;E25,非_都市ガス事業者!$AA$8:$AB$200,2,FALSE)))</f>
        <v/>
      </c>
      <c r="AG25" s="422" t="str">
        <f t="shared" si="1"/>
        <v/>
      </c>
      <c r="AH25" s="422" t="str">
        <f t="shared" si="11"/>
        <v/>
      </c>
      <c r="AI25" s="482" t="b">
        <f t="shared" si="12"/>
        <v>1</v>
      </c>
      <c r="AJ25" s="422" t="str">
        <f>IF(P25="","",VLOOKUP(P25,非_単位補正換算!$B$3:$C$16,2,FALSE))</f>
        <v/>
      </c>
      <c r="AK25" s="422" t="str">
        <f>IF(Y25="","",IF(Y25&lt;&gt;"都市ガス",1,IF(F25="","",SUMIFS(非_単位補正換算!$D$52:$D$63,非_単位補正換算!$B$52:$B$63,"都市ガス"&amp;F25,非_単位補正換算!$C$52:$C$63,電気・熱_都市ガス!P25))))</f>
        <v/>
      </c>
      <c r="AL25" s="479" t="str">
        <f t="shared" si="13"/>
        <v/>
      </c>
      <c r="AM25" s="422" t="str">
        <f t="shared" si="2"/>
        <v/>
      </c>
      <c r="AN25" s="422" t="str">
        <f t="shared" si="3"/>
        <v/>
      </c>
      <c r="AO25" s="422" t="str">
        <f>IF(B25="","",VLOOKUP(B25,非_まとめ表行番号!$F$3:$H$12,2,FALSE))</f>
        <v/>
      </c>
      <c r="AP25" s="485" t="b">
        <f t="shared" si="14"/>
        <v>1</v>
      </c>
      <c r="AQ25" s="582" t="str">
        <f>IF(Y25="","",IF(Y25&lt;&gt;"都市ガス",1,非_係数!$G$55))</f>
        <v/>
      </c>
      <c r="AR25" s="422" t="str">
        <f t="shared" si="28"/>
        <v/>
      </c>
      <c r="AS25" s="422" t="str">
        <f t="shared" si="4"/>
        <v/>
      </c>
      <c r="AT25" s="422" t="str">
        <f>IF(B25="","",VLOOKUP(B25,非_係数!$B$42:$K$55,9,FALSE))</f>
        <v/>
      </c>
      <c r="AU25" s="422" t="str">
        <f t="shared" si="16"/>
        <v/>
      </c>
      <c r="AV25" s="422" t="str">
        <f>IF(B25="","",VLOOKUP(B25,非_まとめ表行番号!$F$3:$H$12,3,FALSE))</f>
        <v/>
      </c>
      <c r="AW25" s="422" t="str">
        <f t="shared" si="5"/>
        <v/>
      </c>
      <c r="AY25" s="479" t="str">
        <f>IF(AO25="","",VLOOKUP(AO25,非_まとめ表行番号!$U$3:$V$56,2,FALSE))</f>
        <v/>
      </c>
      <c r="AZ25" s="479" t="str">
        <f t="shared" si="17"/>
        <v/>
      </c>
      <c r="BA25" s="479" t="str">
        <f t="shared" si="17"/>
        <v/>
      </c>
      <c r="BB25" s="479" t="str">
        <f t="shared" si="18"/>
        <v/>
      </c>
      <c r="BC25" s="479" t="str">
        <f t="shared" si="19"/>
        <v/>
      </c>
      <c r="BD25" s="479" t="str">
        <f t="shared" si="20"/>
        <v/>
      </c>
      <c r="BE25" s="479" t="str">
        <f t="shared" si="20"/>
        <v/>
      </c>
      <c r="BF25" s="479" t="str">
        <f t="shared" si="21"/>
        <v/>
      </c>
      <c r="BG25" s="580" t="str">
        <f t="shared" si="22"/>
        <v/>
      </c>
    </row>
    <row r="26" spans="1:59" ht="18.75" customHeight="1">
      <c r="A26" s="460"/>
      <c r="B26" s="368"/>
      <c r="C26" s="368"/>
      <c r="D26" s="368"/>
      <c r="E26" s="368"/>
      <c r="F26" s="368"/>
      <c r="G26" s="558" t="str">
        <f>IF(Y26&lt;&gt;"都市ガス","",IF(ISERROR(VLOOKUP(C26,非_都市ガス事業者!$O$8:$P$200,2,FALSE)),"",VLOOKUP(C26,非_都市ガス事業者!$O$8:$P$200,2,FALSE)))</f>
        <v/>
      </c>
      <c r="H26" s="559" t="str">
        <f>IF(Y26&lt;&gt;"都市ガス","",非_都市ガス事業者!$P$4)</f>
        <v/>
      </c>
      <c r="I26" s="560" t="str">
        <f>IF(B26="","",IF(Y26&lt;&gt;"都市ガス",VLOOKUP(B26,非_係数!$B$42:$D$55,2,FALSE),""))</f>
        <v/>
      </c>
      <c r="J26" s="368"/>
      <c r="K26" s="435" t="str">
        <f t="shared" si="6"/>
        <v/>
      </c>
      <c r="L26" s="190" t="str">
        <f t="shared" si="24"/>
        <v/>
      </c>
      <c r="M26" s="368"/>
      <c r="N26" s="418"/>
      <c r="O26" s="368"/>
      <c r="P26" s="368"/>
      <c r="Q26" s="413"/>
      <c r="R26" s="443"/>
      <c r="S26" s="540" t="str">
        <f t="shared" si="23"/>
        <v/>
      </c>
      <c r="T26" s="397" t="str">
        <f t="shared" si="25"/>
        <v/>
      </c>
      <c r="U26" s="397" t="str">
        <f>IF(B26="","",VLOOKUP(B26,非_単位!$N$38:$O$53,2,FALSE))</f>
        <v/>
      </c>
      <c r="V26" s="540" t="str">
        <f t="shared" si="26"/>
        <v/>
      </c>
      <c r="W26" s="541" t="str">
        <f t="shared" si="27"/>
        <v/>
      </c>
      <c r="Y26" s="422" t="str">
        <f t="shared" si="0"/>
        <v/>
      </c>
      <c r="Z26" s="422" t="str">
        <f>IF(A26="","",IF(A26=非_燃料種類_選択リスト!$I$3,"一般送配電_種類",IF(A26=非_燃料種類_選択リスト!$I$4,"一般送配電以外_種類",IF(A26=非_燃料種類_選択リスト!$I$5,"熱_種類",IF(A26=非_燃料種類_選択リスト!$I$6,"都市ガス_種類","")))))</f>
        <v/>
      </c>
      <c r="AA26" s="422" t="str">
        <f>IF(Y26&lt;&gt;"電気","",非_電気事業者!$S$4*1000)</f>
        <v/>
      </c>
      <c r="AB26" s="422" t="str">
        <f>IF(Y26&lt;&gt;"電気","",IF(ISERROR(VLOOKUP(C26&amp;E26,非_電気事業者!$R$9:$S$2000,2,FALSE)),"要記入",VLOOKUP(C26&amp;E26,非_電気事業者!$R$9:$S$2000,2,FALSE)*1000))</f>
        <v/>
      </c>
      <c r="AC26" s="422" t="str">
        <f>IF(Y26&lt;&gt;"熱","",非_熱供給事業者!$T$4)</f>
        <v/>
      </c>
      <c r="AD26" s="422" t="str">
        <f>IF(Y26&lt;&gt;"熱","",IF(ISERROR(VLOOKUP(C26&amp;E26,非_熱供給事業者!$S$8:$T$200,2,FALSE)),"要記入",VLOOKUP(C26&amp;E26,非_熱供給事業者!$S$8:$T$200,2,FALSE)))</f>
        <v/>
      </c>
      <c r="AE26" s="422" t="str">
        <f>IF(Y26&lt;&gt;"都市ガス","",非_都市ガス事業者!$AB$4)</f>
        <v/>
      </c>
      <c r="AF26" s="422" t="str">
        <f>IF(Y26&lt;&gt;"都市ガス","",IF(ISERROR(VLOOKUP(C26&amp;E26,非_都市ガス事業者!$AA$8:$AB$200,2,FALSE)),"要記入",VLOOKUP(C26&amp;E26,非_都市ガス事業者!$AA$8:$AB$200,2,FALSE)))</f>
        <v/>
      </c>
      <c r="AG26" s="422" t="str">
        <f t="shared" si="1"/>
        <v/>
      </c>
      <c r="AH26" s="422" t="str">
        <f t="shared" si="11"/>
        <v/>
      </c>
      <c r="AI26" s="482" t="b">
        <f t="shared" si="12"/>
        <v>1</v>
      </c>
      <c r="AJ26" s="422" t="str">
        <f>IF(P26="","",VLOOKUP(P26,非_単位補正換算!$B$3:$C$16,2,FALSE))</f>
        <v/>
      </c>
      <c r="AK26" s="422" t="str">
        <f>IF(Y26="","",IF(Y26&lt;&gt;"都市ガス",1,IF(F26="","",SUMIFS(非_単位補正換算!$D$52:$D$63,非_単位補正換算!$B$52:$B$63,"都市ガス"&amp;F26,非_単位補正換算!$C$52:$C$63,電気・熱_都市ガス!P26))))</f>
        <v/>
      </c>
      <c r="AL26" s="479" t="str">
        <f t="shared" si="13"/>
        <v/>
      </c>
      <c r="AM26" s="422" t="str">
        <f t="shared" si="2"/>
        <v/>
      </c>
      <c r="AN26" s="422" t="str">
        <f t="shared" si="3"/>
        <v/>
      </c>
      <c r="AO26" s="422" t="str">
        <f>IF(B26="","",VLOOKUP(B26,非_まとめ表行番号!$F$3:$H$12,2,FALSE))</f>
        <v/>
      </c>
      <c r="AP26" s="485" t="b">
        <f t="shared" si="14"/>
        <v>1</v>
      </c>
      <c r="AQ26" s="582" t="str">
        <f>IF(Y26="","",IF(Y26&lt;&gt;"都市ガス",1,非_係数!$G$55))</f>
        <v/>
      </c>
      <c r="AR26" s="422" t="str">
        <f t="shared" si="28"/>
        <v/>
      </c>
      <c r="AS26" s="422" t="str">
        <f t="shared" si="4"/>
        <v/>
      </c>
      <c r="AT26" s="422" t="str">
        <f>IF(B26="","",VLOOKUP(B26,非_係数!$B$42:$K$55,9,FALSE))</f>
        <v/>
      </c>
      <c r="AU26" s="422" t="str">
        <f t="shared" si="16"/>
        <v/>
      </c>
      <c r="AV26" s="422" t="str">
        <f>IF(B26="","",VLOOKUP(B26,非_まとめ表行番号!$F$3:$H$12,3,FALSE))</f>
        <v/>
      </c>
      <c r="AW26" s="422" t="str">
        <f t="shared" si="5"/>
        <v/>
      </c>
      <c r="AY26" s="479" t="str">
        <f>IF(AO26="","",VLOOKUP(AO26,非_まとめ表行番号!$U$3:$V$56,2,FALSE))</f>
        <v/>
      </c>
      <c r="AZ26" s="479" t="str">
        <f t="shared" si="17"/>
        <v/>
      </c>
      <c r="BA26" s="479" t="str">
        <f t="shared" si="17"/>
        <v/>
      </c>
      <c r="BB26" s="479" t="str">
        <f t="shared" si="18"/>
        <v/>
      </c>
      <c r="BC26" s="479" t="str">
        <f t="shared" si="19"/>
        <v/>
      </c>
      <c r="BD26" s="479" t="str">
        <f t="shared" si="20"/>
        <v/>
      </c>
      <c r="BE26" s="479" t="str">
        <f t="shared" si="20"/>
        <v/>
      </c>
      <c r="BF26" s="479" t="str">
        <f t="shared" si="21"/>
        <v/>
      </c>
      <c r="BG26" s="580" t="str">
        <f t="shared" si="22"/>
        <v/>
      </c>
    </row>
    <row r="27" spans="1:59" ht="18.75" customHeight="1">
      <c r="A27" s="460"/>
      <c r="B27" s="368"/>
      <c r="C27" s="368"/>
      <c r="D27" s="368"/>
      <c r="E27" s="368"/>
      <c r="F27" s="368"/>
      <c r="G27" s="558" t="str">
        <f>IF(Y27&lt;&gt;"都市ガス","",IF(ISERROR(VLOOKUP(C27,非_都市ガス事業者!$O$8:$P$200,2,FALSE)),"",VLOOKUP(C27,非_都市ガス事業者!$O$8:$P$200,2,FALSE)))</f>
        <v/>
      </c>
      <c r="H27" s="559" t="str">
        <f>IF(Y27&lt;&gt;"都市ガス","",非_都市ガス事業者!$P$4)</f>
        <v/>
      </c>
      <c r="I27" s="560" t="str">
        <f>IF(B27="","",IF(Y27&lt;&gt;"都市ガス",VLOOKUP(B27,非_係数!$B$42:$D$55,2,FALSE),""))</f>
        <v/>
      </c>
      <c r="J27" s="368"/>
      <c r="K27" s="435" t="str">
        <f t="shared" si="6"/>
        <v/>
      </c>
      <c r="L27" s="190" t="str">
        <f t="shared" ref="L27" si="34">AH27</f>
        <v/>
      </c>
      <c r="M27" s="368"/>
      <c r="N27" s="418"/>
      <c r="O27" s="368"/>
      <c r="P27" s="368"/>
      <c r="Q27" s="413"/>
      <c r="R27" s="443"/>
      <c r="S27" s="540" t="str">
        <f t="shared" si="23"/>
        <v/>
      </c>
      <c r="T27" s="397" t="str">
        <f t="shared" ref="T27" si="35">AL27</f>
        <v/>
      </c>
      <c r="U27" s="397" t="str">
        <f>IF(B27="","",VLOOKUP(B27,非_単位!$N$38:$O$53,2,FALSE))</f>
        <v/>
      </c>
      <c r="V27" s="540" t="str">
        <f t="shared" ref="V27" si="36">AM27</f>
        <v/>
      </c>
      <c r="W27" s="541" t="str">
        <f t="shared" ref="W27" si="37">AN27</f>
        <v/>
      </c>
      <c r="Y27" s="422" t="str">
        <f t="shared" si="0"/>
        <v/>
      </c>
      <c r="Z27" s="422" t="str">
        <f>IF(A27="","",IF(A27=非_燃料種類_選択リスト!$I$3,"一般送配電_種類",IF(A27=非_燃料種類_選択リスト!$I$4,"一般送配電以外_種類",IF(A27=非_燃料種類_選択リスト!$I$5,"熱_種類",IF(A27=非_燃料種類_選択リスト!$I$6,"都市ガス_種類","")))))</f>
        <v/>
      </c>
      <c r="AA27" s="422" t="str">
        <f>IF(Y27&lt;&gt;"電気","",非_電気事業者!$S$4*1000)</f>
        <v/>
      </c>
      <c r="AB27" s="422" t="str">
        <f>IF(Y27&lt;&gt;"電気","",IF(ISERROR(VLOOKUP(C27&amp;E27,非_電気事業者!$R$9:$S$2000,2,FALSE)),"要記入",VLOOKUP(C27&amp;E27,非_電気事業者!$R$9:$S$2000,2,FALSE)*1000))</f>
        <v/>
      </c>
      <c r="AC27" s="422" t="str">
        <f>IF(Y27&lt;&gt;"熱","",非_熱供給事業者!$T$4)</f>
        <v/>
      </c>
      <c r="AD27" s="422" t="str">
        <f>IF(Y27&lt;&gt;"熱","",IF(ISERROR(VLOOKUP(C27&amp;E27,非_熱供給事業者!$S$8:$T$200,2,FALSE)),"要記入",VLOOKUP(C27&amp;E27,非_熱供給事業者!$S$8:$T$200,2,FALSE)))</f>
        <v/>
      </c>
      <c r="AE27" s="422" t="str">
        <f>IF(Y27&lt;&gt;"都市ガス","",非_都市ガス事業者!$AB$4)</f>
        <v/>
      </c>
      <c r="AF27" s="422" t="str">
        <f>IF(Y27&lt;&gt;"都市ガス","",IF(ISERROR(VLOOKUP(C27&amp;E27,非_都市ガス事業者!$AA$8:$AB$200,2,FALSE)),"要記入",VLOOKUP(C27&amp;E27,非_都市ガス事業者!$AA$8:$AB$200,2,FALSE)))</f>
        <v/>
      </c>
      <c r="AG27" s="422" t="str">
        <f t="shared" si="1"/>
        <v/>
      </c>
      <c r="AH27" s="422" t="str">
        <f t="shared" si="11"/>
        <v/>
      </c>
      <c r="AI27" s="482" t="b">
        <f t="shared" si="12"/>
        <v>1</v>
      </c>
      <c r="AJ27" s="422" t="str">
        <f>IF(P27="","",VLOOKUP(P27,非_単位補正換算!$B$3:$C$16,2,FALSE))</f>
        <v/>
      </c>
      <c r="AK27" s="422" t="str">
        <f>IF(Y27="","",IF(Y27&lt;&gt;"都市ガス",1,IF(F27="","",SUMIFS(非_単位補正換算!$D$52:$D$63,非_単位補正換算!$B$52:$B$63,"都市ガス"&amp;F27,非_単位補正換算!$C$52:$C$63,電気・熱_都市ガス!P27))))</f>
        <v/>
      </c>
      <c r="AL27" s="479" t="str">
        <f t="shared" si="13"/>
        <v/>
      </c>
      <c r="AM27" s="422" t="str">
        <f t="shared" si="2"/>
        <v/>
      </c>
      <c r="AN27" s="422" t="str">
        <f t="shared" si="3"/>
        <v/>
      </c>
      <c r="AO27" s="422" t="str">
        <f>IF(B27="","",VLOOKUP(B27,非_まとめ表行番号!$F$3:$H$12,2,FALSE))</f>
        <v/>
      </c>
      <c r="AP27" s="485" t="b">
        <f t="shared" si="14"/>
        <v>1</v>
      </c>
      <c r="AQ27" s="582" t="str">
        <f>IF(Y27="","",IF(Y27&lt;&gt;"都市ガス",1,非_係数!$G$55))</f>
        <v/>
      </c>
      <c r="AR27" s="422" t="str">
        <f t="shared" ref="AR27" si="38">IF(AL27="","",AL27*AQ27)</f>
        <v/>
      </c>
      <c r="AS27" s="422" t="str">
        <f t="shared" si="4"/>
        <v/>
      </c>
      <c r="AT27" s="422" t="str">
        <f>IF(B27="","",VLOOKUP(B27,非_係数!$B$42:$K$55,9,FALSE))</f>
        <v/>
      </c>
      <c r="AU27" s="422" t="str">
        <f t="shared" si="16"/>
        <v/>
      </c>
      <c r="AV27" s="422" t="str">
        <f>IF(B27="","",VLOOKUP(B27,非_まとめ表行番号!$F$3:$H$12,3,FALSE))</f>
        <v/>
      </c>
      <c r="AW27" s="422" t="str">
        <f t="shared" si="5"/>
        <v/>
      </c>
      <c r="AY27" s="479" t="str">
        <f>IF(AO27="","",VLOOKUP(AO27,非_まとめ表行番号!$U$3:$V$56,2,FALSE))</f>
        <v/>
      </c>
      <c r="AZ27" s="479" t="str">
        <f t="shared" si="17"/>
        <v/>
      </c>
      <c r="BA27" s="479" t="str">
        <f t="shared" si="17"/>
        <v/>
      </c>
      <c r="BB27" s="479" t="str">
        <f t="shared" si="18"/>
        <v/>
      </c>
      <c r="BC27" s="479" t="str">
        <f t="shared" si="19"/>
        <v/>
      </c>
      <c r="BD27" s="479" t="str">
        <f t="shared" si="20"/>
        <v/>
      </c>
      <c r="BE27" s="479" t="str">
        <f t="shared" si="20"/>
        <v/>
      </c>
      <c r="BF27" s="479" t="str">
        <f t="shared" si="21"/>
        <v/>
      </c>
      <c r="BG27" s="580" t="str">
        <f t="shared" si="22"/>
        <v/>
      </c>
    </row>
    <row r="28" spans="1:59" ht="18.75" customHeight="1">
      <c r="A28" s="460"/>
      <c r="B28" s="368"/>
      <c r="C28" s="368"/>
      <c r="D28" s="368"/>
      <c r="E28" s="368"/>
      <c r="F28" s="368"/>
      <c r="G28" s="558" t="str">
        <f>IF(Y28&lt;&gt;"都市ガス","",IF(ISERROR(VLOOKUP(C28,非_都市ガス事業者!$O$8:$P$200,2,FALSE)),"",VLOOKUP(C28,非_都市ガス事業者!$O$8:$P$200,2,FALSE)))</f>
        <v/>
      </c>
      <c r="H28" s="559" t="str">
        <f>IF(Y28&lt;&gt;"都市ガス","",非_都市ガス事業者!$P$4)</f>
        <v/>
      </c>
      <c r="I28" s="560" t="str">
        <f>IF(B28="","",IF(Y28&lt;&gt;"都市ガス",VLOOKUP(B28,非_係数!$B$42:$D$55,2,FALSE),""))</f>
        <v/>
      </c>
      <c r="J28" s="368"/>
      <c r="K28" s="435" t="str">
        <f t="shared" si="6"/>
        <v/>
      </c>
      <c r="L28" s="190" t="str">
        <f t="shared" si="7"/>
        <v/>
      </c>
      <c r="M28" s="368"/>
      <c r="N28" s="418"/>
      <c r="O28" s="368"/>
      <c r="P28" s="368"/>
      <c r="Q28" s="413"/>
      <c r="R28" s="443"/>
      <c r="S28" s="540" t="str">
        <f t="shared" si="23"/>
        <v/>
      </c>
      <c r="T28" s="397" t="str">
        <f t="shared" si="8"/>
        <v/>
      </c>
      <c r="U28" s="397" t="str">
        <f>IF(B28="","",VLOOKUP(B28,非_単位!$N$38:$O$53,2,FALSE))</f>
        <v/>
      </c>
      <c r="V28" s="540" t="str">
        <f t="shared" si="9"/>
        <v/>
      </c>
      <c r="W28" s="541" t="str">
        <f t="shared" si="10"/>
        <v/>
      </c>
      <c r="Y28" s="422" t="str">
        <f t="shared" si="0"/>
        <v/>
      </c>
      <c r="Z28" s="422" t="str">
        <f>IF(A28="","",IF(A28=非_燃料種類_選択リスト!$I$3,"一般送配電_種類",IF(A28=非_燃料種類_選択リスト!$I$4,"一般送配電以外_種類",IF(A28=非_燃料種類_選択リスト!$I$5,"熱_種類",IF(A28=非_燃料種類_選択リスト!$I$6,"都市ガス_種類","")))))</f>
        <v/>
      </c>
      <c r="AA28" s="422" t="str">
        <f>IF(Y28&lt;&gt;"電気","",非_電気事業者!$S$4*1000)</f>
        <v/>
      </c>
      <c r="AB28" s="422" t="str">
        <f>IF(Y28&lt;&gt;"電気","",IF(ISERROR(VLOOKUP(C28&amp;E28,非_電気事業者!$R$9:$S$2000,2,FALSE)),"要記入",VLOOKUP(C28&amp;E28,非_電気事業者!$R$9:$S$2000,2,FALSE)*1000))</f>
        <v/>
      </c>
      <c r="AC28" s="422" t="str">
        <f>IF(Y28&lt;&gt;"熱","",非_熱供給事業者!$T$4)</f>
        <v/>
      </c>
      <c r="AD28" s="422" t="str">
        <f>IF(Y28&lt;&gt;"熱","",IF(ISERROR(VLOOKUP(C28&amp;E28,非_熱供給事業者!$S$8:$T$200,2,FALSE)),"要記入",VLOOKUP(C28&amp;E28,非_熱供給事業者!$S$8:$T$200,2,FALSE)))</f>
        <v/>
      </c>
      <c r="AE28" s="422" t="str">
        <f>IF(Y28&lt;&gt;"都市ガス","",非_都市ガス事業者!$AB$4)</f>
        <v/>
      </c>
      <c r="AF28" s="422" t="str">
        <f>IF(Y28&lt;&gt;"都市ガス","",IF(ISERROR(VLOOKUP(C28&amp;E28,非_都市ガス事業者!$AA$8:$AB$200,2,FALSE)),"要記入",VLOOKUP(C28&amp;E28,非_都市ガス事業者!$AA$8:$AB$200,2,FALSE)))</f>
        <v/>
      </c>
      <c r="AG28" s="422" t="str">
        <f t="shared" si="1"/>
        <v/>
      </c>
      <c r="AH28" s="422" t="str">
        <f t="shared" si="11"/>
        <v/>
      </c>
      <c r="AI28" s="482" t="b">
        <f t="shared" si="12"/>
        <v>1</v>
      </c>
      <c r="AJ28" s="422" t="str">
        <f>IF(P28="","",VLOOKUP(P28,非_単位補正換算!$B$3:$C$16,2,FALSE))</f>
        <v/>
      </c>
      <c r="AK28" s="422" t="str">
        <f>IF(Y28="","",IF(Y28&lt;&gt;"都市ガス",1,IF(F28="","",SUMIFS(非_単位補正換算!$D$52:$D$63,非_単位補正換算!$B$52:$B$63,"都市ガス"&amp;F28,非_単位補正換算!$C$52:$C$63,電気・熱_都市ガス!P28))))</f>
        <v/>
      </c>
      <c r="AL28" s="479" t="str">
        <f t="shared" si="13"/>
        <v/>
      </c>
      <c r="AM28" s="422" t="str">
        <f t="shared" si="2"/>
        <v/>
      </c>
      <c r="AN28" s="422" t="str">
        <f t="shared" si="3"/>
        <v/>
      </c>
      <c r="AO28" s="422" t="str">
        <f>IF(B28="","",VLOOKUP(B28,非_まとめ表行番号!$F$3:$H$12,2,FALSE))</f>
        <v/>
      </c>
      <c r="AP28" s="485" t="b">
        <f t="shared" si="14"/>
        <v>1</v>
      </c>
      <c r="AQ28" s="582" t="str">
        <f>IF(Y28="","",IF(Y28&lt;&gt;"都市ガス",1,非_係数!$G$55))</f>
        <v/>
      </c>
      <c r="AR28" s="422" t="str">
        <f t="shared" si="15"/>
        <v/>
      </c>
      <c r="AS28" s="422" t="str">
        <f t="shared" si="4"/>
        <v/>
      </c>
      <c r="AT28" s="422" t="str">
        <f>IF(B28="","",VLOOKUP(B28,非_係数!$B$42:$K$55,9,FALSE))</f>
        <v/>
      </c>
      <c r="AU28" s="422" t="str">
        <f t="shared" si="16"/>
        <v/>
      </c>
      <c r="AV28" s="422" t="str">
        <f>IF(B28="","",VLOOKUP(B28,非_まとめ表行番号!$F$3:$H$12,3,FALSE))</f>
        <v/>
      </c>
      <c r="AW28" s="422" t="str">
        <f t="shared" si="5"/>
        <v/>
      </c>
      <c r="AY28" s="479" t="str">
        <f>IF(AO28="","",VLOOKUP(AO28,非_まとめ表行番号!$U$3:$V$56,2,FALSE))</f>
        <v/>
      </c>
      <c r="AZ28" s="479" t="str">
        <f t="shared" si="17"/>
        <v/>
      </c>
      <c r="BA28" s="479" t="str">
        <f t="shared" si="17"/>
        <v/>
      </c>
      <c r="BB28" s="479" t="str">
        <f t="shared" si="18"/>
        <v/>
      </c>
      <c r="BC28" s="479" t="str">
        <f t="shared" si="19"/>
        <v/>
      </c>
      <c r="BD28" s="479" t="str">
        <f t="shared" si="20"/>
        <v/>
      </c>
      <c r="BE28" s="479" t="str">
        <f t="shared" si="20"/>
        <v/>
      </c>
      <c r="BF28" s="479" t="str">
        <f t="shared" si="21"/>
        <v/>
      </c>
      <c r="BG28" s="580" t="str">
        <f t="shared" si="22"/>
        <v/>
      </c>
    </row>
    <row r="29" spans="1:59" ht="18.75" customHeight="1">
      <c r="A29" s="460"/>
      <c r="B29" s="368"/>
      <c r="C29" s="368"/>
      <c r="D29" s="368"/>
      <c r="E29" s="368"/>
      <c r="F29" s="368"/>
      <c r="G29" s="558" t="str">
        <f>IF(Y29&lt;&gt;"都市ガス","",IF(ISERROR(VLOOKUP(C29,非_都市ガス事業者!$O$8:$P$200,2,FALSE)),"",VLOOKUP(C29,非_都市ガス事業者!$O$8:$P$200,2,FALSE)))</f>
        <v/>
      </c>
      <c r="H29" s="559" t="str">
        <f>IF(Y29&lt;&gt;"都市ガス","",非_都市ガス事業者!$P$4)</f>
        <v/>
      </c>
      <c r="I29" s="560" t="str">
        <f>IF(B29="","",IF(Y29&lt;&gt;"都市ガス",VLOOKUP(B29,非_係数!$B$42:$D$55,2,FALSE),""))</f>
        <v/>
      </c>
      <c r="J29" s="368"/>
      <c r="K29" s="435" t="str">
        <f t="shared" si="6"/>
        <v/>
      </c>
      <c r="L29" s="190" t="str">
        <f t="shared" si="7"/>
        <v/>
      </c>
      <c r="M29" s="368"/>
      <c r="N29" s="418"/>
      <c r="O29" s="368"/>
      <c r="P29" s="368"/>
      <c r="Q29" s="413"/>
      <c r="R29" s="443"/>
      <c r="S29" s="540" t="str">
        <f t="shared" si="23"/>
        <v/>
      </c>
      <c r="T29" s="397" t="str">
        <f t="shared" si="8"/>
        <v/>
      </c>
      <c r="U29" s="397" t="str">
        <f>IF(B29="","",VLOOKUP(B29,非_単位!$N$38:$O$53,2,FALSE))</f>
        <v/>
      </c>
      <c r="V29" s="540" t="str">
        <f t="shared" si="9"/>
        <v/>
      </c>
      <c r="W29" s="541" t="str">
        <f t="shared" si="10"/>
        <v/>
      </c>
      <c r="Y29" s="422" t="str">
        <f t="shared" si="0"/>
        <v/>
      </c>
      <c r="Z29" s="422" t="str">
        <f>IF(A29="","",IF(A29=非_燃料種類_選択リスト!$I$3,"一般送配電_種類",IF(A29=非_燃料種類_選択リスト!$I$4,"一般送配電以外_種類",IF(A29=非_燃料種類_選択リスト!$I$5,"熱_種類",IF(A29=非_燃料種類_選択リスト!$I$6,"都市ガス_種類","")))))</f>
        <v/>
      </c>
      <c r="AA29" s="422" t="str">
        <f>IF(Y29&lt;&gt;"電気","",非_電気事業者!$S$4*1000)</f>
        <v/>
      </c>
      <c r="AB29" s="422" t="str">
        <f>IF(Y29&lt;&gt;"電気","",IF(ISERROR(VLOOKUP(C29&amp;E29,非_電気事業者!$R$9:$S$2000,2,FALSE)),"要記入",VLOOKUP(C29&amp;E29,非_電気事業者!$R$9:$S$2000,2,FALSE)*1000))</f>
        <v/>
      </c>
      <c r="AC29" s="422" t="str">
        <f>IF(Y29&lt;&gt;"熱","",非_熱供給事業者!$T$4)</f>
        <v/>
      </c>
      <c r="AD29" s="422" t="str">
        <f>IF(Y29&lt;&gt;"熱","",IF(ISERROR(VLOOKUP(C29&amp;E29,非_熱供給事業者!$S$8:$T$200,2,FALSE)),"要記入",VLOOKUP(C29&amp;E29,非_熱供給事業者!$S$8:$T$200,2,FALSE)))</f>
        <v/>
      </c>
      <c r="AE29" s="422" t="str">
        <f>IF(Y29&lt;&gt;"都市ガス","",非_都市ガス事業者!$AB$4)</f>
        <v/>
      </c>
      <c r="AF29" s="422" t="str">
        <f>IF(Y29&lt;&gt;"都市ガス","",IF(ISERROR(VLOOKUP(C29&amp;E29,非_都市ガス事業者!$AA$8:$AB$200,2,FALSE)),"要記入",VLOOKUP(C29&amp;E29,非_都市ガス事業者!$AA$8:$AB$200,2,FALSE)))</f>
        <v/>
      </c>
      <c r="AG29" s="422" t="str">
        <f t="shared" si="1"/>
        <v/>
      </c>
      <c r="AH29" s="422" t="str">
        <f t="shared" si="11"/>
        <v/>
      </c>
      <c r="AI29" s="482" t="b">
        <f t="shared" si="12"/>
        <v>1</v>
      </c>
      <c r="AJ29" s="422" t="str">
        <f>IF(P29="","",VLOOKUP(P29,非_単位補正換算!$B$3:$C$16,2,FALSE))</f>
        <v/>
      </c>
      <c r="AK29" s="422" t="str">
        <f>IF(Y29="","",IF(Y29&lt;&gt;"都市ガス",1,IF(F29="","",SUMIFS(非_単位補正換算!$D$52:$D$63,非_単位補正換算!$B$52:$B$63,"都市ガス"&amp;F29,非_単位補正換算!$C$52:$C$63,電気・熱_都市ガス!P29))))</f>
        <v/>
      </c>
      <c r="AL29" s="479" t="str">
        <f t="shared" si="13"/>
        <v/>
      </c>
      <c r="AM29" s="422" t="str">
        <f t="shared" si="2"/>
        <v/>
      </c>
      <c r="AN29" s="422" t="str">
        <f t="shared" si="3"/>
        <v/>
      </c>
      <c r="AO29" s="422" t="str">
        <f>IF(B29="","",VLOOKUP(B29,非_まとめ表行番号!$F$3:$H$12,2,FALSE))</f>
        <v/>
      </c>
      <c r="AP29" s="485" t="b">
        <f t="shared" si="14"/>
        <v>1</v>
      </c>
      <c r="AQ29" s="582" t="str">
        <f>IF(Y29="","",IF(Y29&lt;&gt;"都市ガス",1,非_係数!$G$55))</f>
        <v/>
      </c>
      <c r="AR29" s="422" t="str">
        <f t="shared" si="15"/>
        <v/>
      </c>
      <c r="AS29" s="422" t="str">
        <f t="shared" si="4"/>
        <v/>
      </c>
      <c r="AT29" s="422" t="str">
        <f>IF(B29="","",VLOOKUP(B29,非_係数!$B$42:$K$55,9,FALSE))</f>
        <v/>
      </c>
      <c r="AU29" s="422" t="str">
        <f t="shared" si="16"/>
        <v/>
      </c>
      <c r="AV29" s="422" t="str">
        <f>IF(B29="","",VLOOKUP(B29,非_まとめ表行番号!$F$3:$H$12,3,FALSE))</f>
        <v/>
      </c>
      <c r="AW29" s="422" t="str">
        <f t="shared" si="5"/>
        <v/>
      </c>
      <c r="AY29" s="479" t="str">
        <f>IF(AO29="","",VLOOKUP(AO29,非_まとめ表行番号!$U$3:$V$56,2,FALSE))</f>
        <v/>
      </c>
      <c r="AZ29" s="479" t="str">
        <f t="shared" si="17"/>
        <v/>
      </c>
      <c r="BA29" s="479" t="str">
        <f t="shared" si="17"/>
        <v/>
      </c>
      <c r="BB29" s="479" t="str">
        <f t="shared" si="18"/>
        <v/>
      </c>
      <c r="BC29" s="479" t="str">
        <f t="shared" si="19"/>
        <v/>
      </c>
      <c r="BD29" s="479" t="str">
        <f t="shared" si="20"/>
        <v/>
      </c>
      <c r="BE29" s="479" t="str">
        <f t="shared" si="20"/>
        <v/>
      </c>
      <c r="BF29" s="479" t="str">
        <f t="shared" si="21"/>
        <v/>
      </c>
      <c r="BG29" s="580" t="str">
        <f t="shared" si="22"/>
        <v/>
      </c>
    </row>
    <row r="30" spans="1:59" ht="18.75" customHeight="1">
      <c r="A30" s="460"/>
      <c r="B30" s="368"/>
      <c r="C30" s="368"/>
      <c r="D30" s="368"/>
      <c r="E30" s="368"/>
      <c r="F30" s="368"/>
      <c r="G30" s="558" t="str">
        <f>IF(Y30&lt;&gt;"都市ガス","",IF(ISERROR(VLOOKUP(C30,非_都市ガス事業者!$O$8:$P$200,2,FALSE)),"",VLOOKUP(C30,非_都市ガス事業者!$O$8:$P$200,2,FALSE)))</f>
        <v/>
      </c>
      <c r="H30" s="559" t="str">
        <f>IF(Y30&lt;&gt;"都市ガス","",非_都市ガス事業者!$P$4)</f>
        <v/>
      </c>
      <c r="I30" s="560" t="str">
        <f>IF(B30="","",IF(Y30&lt;&gt;"都市ガス",VLOOKUP(B30,非_係数!$B$42:$D$55,2,FALSE),""))</f>
        <v/>
      </c>
      <c r="J30" s="368"/>
      <c r="K30" s="435" t="str">
        <f t="shared" si="6"/>
        <v/>
      </c>
      <c r="L30" s="190" t="str">
        <f t="shared" si="7"/>
        <v/>
      </c>
      <c r="M30" s="368"/>
      <c r="N30" s="418"/>
      <c r="O30" s="368"/>
      <c r="P30" s="368"/>
      <c r="Q30" s="413"/>
      <c r="R30" s="443"/>
      <c r="S30" s="540" t="str">
        <f t="shared" si="23"/>
        <v/>
      </c>
      <c r="T30" s="397" t="str">
        <f t="shared" si="8"/>
        <v/>
      </c>
      <c r="U30" s="397" t="str">
        <f>IF(B30="","",VLOOKUP(B30,非_単位!$N$38:$O$53,2,FALSE))</f>
        <v/>
      </c>
      <c r="V30" s="540" t="str">
        <f t="shared" si="9"/>
        <v/>
      </c>
      <c r="W30" s="541" t="str">
        <f t="shared" si="10"/>
        <v/>
      </c>
      <c r="Y30" s="422" t="str">
        <f t="shared" si="0"/>
        <v/>
      </c>
      <c r="Z30" s="422" t="str">
        <f>IF(A30="","",IF(A30=非_燃料種類_選択リスト!$I$3,"一般送配電_種類",IF(A30=非_燃料種類_選択リスト!$I$4,"一般送配電以外_種類",IF(A30=非_燃料種類_選択リスト!$I$5,"熱_種類",IF(A30=非_燃料種類_選択リスト!$I$6,"都市ガス_種類","")))))</f>
        <v/>
      </c>
      <c r="AA30" s="422" t="str">
        <f>IF(Y30&lt;&gt;"電気","",非_電気事業者!$S$4*1000)</f>
        <v/>
      </c>
      <c r="AB30" s="422" t="str">
        <f>IF(Y30&lt;&gt;"電気","",IF(ISERROR(VLOOKUP(C30&amp;E30,非_電気事業者!$R$9:$S$2000,2,FALSE)),"要記入",VLOOKUP(C30&amp;E30,非_電気事業者!$R$9:$S$2000,2,FALSE)*1000))</f>
        <v/>
      </c>
      <c r="AC30" s="422" t="str">
        <f>IF(Y30&lt;&gt;"熱","",非_熱供給事業者!$T$4)</f>
        <v/>
      </c>
      <c r="AD30" s="422" t="str">
        <f>IF(Y30&lt;&gt;"熱","",IF(ISERROR(VLOOKUP(C30&amp;E30,非_熱供給事業者!$S$8:$T$200,2,FALSE)),"要記入",VLOOKUP(C30&amp;E30,非_熱供給事業者!$S$8:$T$200,2,FALSE)))</f>
        <v/>
      </c>
      <c r="AE30" s="422" t="str">
        <f>IF(Y30&lt;&gt;"都市ガス","",非_都市ガス事業者!$AB$4)</f>
        <v/>
      </c>
      <c r="AF30" s="422" t="str">
        <f>IF(Y30&lt;&gt;"都市ガス","",IF(ISERROR(VLOOKUP(C30&amp;E30,非_都市ガス事業者!$AA$8:$AB$200,2,FALSE)),"要記入",VLOOKUP(C30&amp;E30,非_都市ガス事業者!$AA$8:$AB$200,2,FALSE)))</f>
        <v/>
      </c>
      <c r="AG30" s="422" t="str">
        <f t="shared" si="1"/>
        <v/>
      </c>
      <c r="AH30" s="422" t="str">
        <f t="shared" si="11"/>
        <v/>
      </c>
      <c r="AI30" s="482" t="b">
        <f t="shared" si="12"/>
        <v>1</v>
      </c>
      <c r="AJ30" s="422" t="str">
        <f>IF(P30="","",VLOOKUP(P30,非_単位補正換算!$B$3:$C$16,2,FALSE))</f>
        <v/>
      </c>
      <c r="AK30" s="422" t="str">
        <f>IF(Y30="","",IF(Y30&lt;&gt;"都市ガス",1,IF(F30="","",SUMIFS(非_単位補正換算!$D$52:$D$63,非_単位補正換算!$B$52:$B$63,"都市ガス"&amp;F30,非_単位補正換算!$C$52:$C$63,電気・熱_都市ガス!P30))))</f>
        <v/>
      </c>
      <c r="AL30" s="479" t="str">
        <f t="shared" si="13"/>
        <v/>
      </c>
      <c r="AM30" s="422" t="str">
        <f t="shared" si="2"/>
        <v/>
      </c>
      <c r="AN30" s="422" t="str">
        <f t="shared" si="3"/>
        <v/>
      </c>
      <c r="AO30" s="422" t="str">
        <f>IF(B30="","",VLOOKUP(B30,非_まとめ表行番号!$F$3:$H$12,2,FALSE))</f>
        <v/>
      </c>
      <c r="AP30" s="485" t="b">
        <f t="shared" si="14"/>
        <v>1</v>
      </c>
      <c r="AQ30" s="582" t="str">
        <f>IF(Y30="","",IF(Y30&lt;&gt;"都市ガス",1,非_係数!$G$55))</f>
        <v/>
      </c>
      <c r="AR30" s="422" t="str">
        <f t="shared" si="15"/>
        <v/>
      </c>
      <c r="AS30" s="422" t="str">
        <f t="shared" si="4"/>
        <v/>
      </c>
      <c r="AT30" s="422" t="str">
        <f>IF(B30="","",VLOOKUP(B30,非_係数!$B$42:$K$55,9,FALSE))</f>
        <v/>
      </c>
      <c r="AU30" s="422" t="str">
        <f t="shared" si="16"/>
        <v/>
      </c>
      <c r="AV30" s="422" t="str">
        <f>IF(B30="","",VLOOKUP(B30,非_まとめ表行番号!$F$3:$H$12,3,FALSE))</f>
        <v/>
      </c>
      <c r="AW30" s="422" t="str">
        <f t="shared" si="5"/>
        <v/>
      </c>
      <c r="AY30" s="479" t="str">
        <f>IF(AO30="","",VLOOKUP(AO30,非_まとめ表行番号!$U$3:$V$56,2,FALSE))</f>
        <v/>
      </c>
      <c r="AZ30" s="479" t="str">
        <f t="shared" si="17"/>
        <v/>
      </c>
      <c r="BA30" s="479" t="str">
        <f t="shared" si="17"/>
        <v/>
      </c>
      <c r="BB30" s="479" t="str">
        <f t="shared" si="18"/>
        <v/>
      </c>
      <c r="BC30" s="479" t="str">
        <f t="shared" si="19"/>
        <v/>
      </c>
      <c r="BD30" s="479" t="str">
        <f t="shared" si="20"/>
        <v/>
      </c>
      <c r="BE30" s="479" t="str">
        <f t="shared" si="20"/>
        <v/>
      </c>
      <c r="BF30" s="479" t="str">
        <f t="shared" si="21"/>
        <v/>
      </c>
      <c r="BG30" s="580" t="str">
        <f t="shared" si="22"/>
        <v/>
      </c>
    </row>
    <row r="31" spans="1:59" ht="18.75" customHeight="1">
      <c r="A31" s="460"/>
      <c r="B31" s="368"/>
      <c r="C31" s="368"/>
      <c r="D31" s="368"/>
      <c r="E31" s="368"/>
      <c r="F31" s="368"/>
      <c r="G31" s="558" t="str">
        <f>IF(Y31&lt;&gt;"都市ガス","",IF(ISERROR(VLOOKUP(C31,非_都市ガス事業者!$O$8:$P$200,2,FALSE)),"",VLOOKUP(C31,非_都市ガス事業者!$O$8:$P$200,2,FALSE)))</f>
        <v/>
      </c>
      <c r="H31" s="559" t="str">
        <f>IF(Y31&lt;&gt;"都市ガス","",非_都市ガス事業者!$P$4)</f>
        <v/>
      </c>
      <c r="I31" s="560" t="str">
        <f>IF(B31="","",IF(Y31&lt;&gt;"都市ガス",VLOOKUP(B31,非_係数!$B$42:$D$55,2,FALSE),""))</f>
        <v/>
      </c>
      <c r="J31" s="368"/>
      <c r="K31" s="435" t="str">
        <f t="shared" si="6"/>
        <v/>
      </c>
      <c r="L31" s="190" t="str">
        <f t="shared" si="7"/>
        <v/>
      </c>
      <c r="M31" s="368"/>
      <c r="N31" s="418"/>
      <c r="O31" s="368"/>
      <c r="P31" s="368"/>
      <c r="Q31" s="413"/>
      <c r="R31" s="443"/>
      <c r="S31" s="540" t="str">
        <f t="shared" si="23"/>
        <v/>
      </c>
      <c r="T31" s="397" t="str">
        <f t="shared" si="8"/>
        <v/>
      </c>
      <c r="U31" s="397" t="str">
        <f>IF(B31="","",VLOOKUP(B31,非_単位!$N$38:$O$53,2,FALSE))</f>
        <v/>
      </c>
      <c r="V31" s="540" t="str">
        <f t="shared" si="9"/>
        <v/>
      </c>
      <c r="W31" s="541" t="str">
        <f t="shared" si="10"/>
        <v/>
      </c>
      <c r="Y31" s="422" t="str">
        <f t="shared" si="0"/>
        <v/>
      </c>
      <c r="Z31" s="422" t="str">
        <f>IF(A31="","",IF(A31=非_燃料種類_選択リスト!$I$3,"一般送配電_種類",IF(A31=非_燃料種類_選択リスト!$I$4,"一般送配電以外_種類",IF(A31=非_燃料種類_選択リスト!$I$5,"熱_種類",IF(A31=非_燃料種類_選択リスト!$I$6,"都市ガス_種類","")))))</f>
        <v/>
      </c>
      <c r="AA31" s="422" t="str">
        <f>IF(Y31&lt;&gt;"電気","",非_電気事業者!$S$4*1000)</f>
        <v/>
      </c>
      <c r="AB31" s="422" t="str">
        <f>IF(Y31&lt;&gt;"電気","",IF(ISERROR(VLOOKUP(C31&amp;E31,非_電気事業者!$R$9:$S$2000,2,FALSE)),"要記入",VLOOKUP(C31&amp;E31,非_電気事業者!$R$9:$S$2000,2,FALSE)*1000))</f>
        <v/>
      </c>
      <c r="AC31" s="422" t="str">
        <f>IF(Y31&lt;&gt;"熱","",非_熱供給事業者!$T$4)</f>
        <v/>
      </c>
      <c r="AD31" s="422" t="str">
        <f>IF(Y31&lt;&gt;"熱","",IF(ISERROR(VLOOKUP(C31&amp;E31,非_熱供給事業者!$S$8:$T$200,2,FALSE)),"要記入",VLOOKUP(C31&amp;E31,非_熱供給事業者!$S$8:$T$200,2,FALSE)))</f>
        <v/>
      </c>
      <c r="AE31" s="422" t="str">
        <f>IF(Y31&lt;&gt;"都市ガス","",非_都市ガス事業者!$AB$4)</f>
        <v/>
      </c>
      <c r="AF31" s="422" t="str">
        <f>IF(Y31&lt;&gt;"都市ガス","",IF(ISERROR(VLOOKUP(C31&amp;E31,非_都市ガス事業者!$AA$8:$AB$200,2,FALSE)),"要記入",VLOOKUP(C31&amp;E31,非_都市ガス事業者!$AA$8:$AB$200,2,FALSE)))</f>
        <v/>
      </c>
      <c r="AG31" s="422" t="str">
        <f t="shared" si="1"/>
        <v/>
      </c>
      <c r="AH31" s="422" t="str">
        <f t="shared" si="11"/>
        <v/>
      </c>
      <c r="AI31" s="482" t="b">
        <f t="shared" si="12"/>
        <v>1</v>
      </c>
      <c r="AJ31" s="422" t="str">
        <f>IF(P31="","",VLOOKUP(P31,非_単位補正換算!$B$3:$C$16,2,FALSE))</f>
        <v/>
      </c>
      <c r="AK31" s="422" t="str">
        <f>IF(Y31="","",IF(Y31&lt;&gt;"都市ガス",1,IF(F31="","",SUMIFS(非_単位補正換算!$D$52:$D$63,非_単位補正換算!$B$52:$B$63,"都市ガス"&amp;F31,非_単位補正換算!$C$52:$C$63,電気・熱_都市ガス!P31))))</f>
        <v/>
      </c>
      <c r="AL31" s="479" t="str">
        <f t="shared" si="13"/>
        <v/>
      </c>
      <c r="AM31" s="422" t="str">
        <f t="shared" si="2"/>
        <v/>
      </c>
      <c r="AN31" s="422" t="str">
        <f t="shared" si="3"/>
        <v/>
      </c>
      <c r="AO31" s="422" t="str">
        <f>IF(B31="","",VLOOKUP(B31,非_まとめ表行番号!$F$3:$H$12,2,FALSE))</f>
        <v/>
      </c>
      <c r="AP31" s="485" t="b">
        <f t="shared" si="14"/>
        <v>1</v>
      </c>
      <c r="AQ31" s="582" t="str">
        <f>IF(Y31="","",IF(Y31&lt;&gt;"都市ガス",1,非_係数!$G$55))</f>
        <v/>
      </c>
      <c r="AR31" s="422" t="str">
        <f t="shared" si="15"/>
        <v/>
      </c>
      <c r="AS31" s="422" t="str">
        <f t="shared" si="4"/>
        <v/>
      </c>
      <c r="AT31" s="422" t="str">
        <f>IF(B31="","",VLOOKUP(B31,非_係数!$B$42:$K$55,9,FALSE))</f>
        <v/>
      </c>
      <c r="AU31" s="422" t="str">
        <f t="shared" si="16"/>
        <v/>
      </c>
      <c r="AV31" s="422" t="str">
        <f>IF(B31="","",VLOOKUP(B31,非_まとめ表行番号!$F$3:$H$12,3,FALSE))</f>
        <v/>
      </c>
      <c r="AW31" s="422" t="str">
        <f t="shared" si="5"/>
        <v/>
      </c>
      <c r="AY31" s="479" t="str">
        <f>IF(AO31="","",VLOOKUP(AO31,非_まとめ表行番号!$U$3:$V$56,2,FALSE))</f>
        <v/>
      </c>
      <c r="AZ31" s="479" t="str">
        <f t="shared" si="17"/>
        <v/>
      </c>
      <c r="BA31" s="479" t="str">
        <f t="shared" si="17"/>
        <v/>
      </c>
      <c r="BB31" s="479" t="str">
        <f t="shared" si="18"/>
        <v/>
      </c>
      <c r="BC31" s="479" t="str">
        <f t="shared" si="19"/>
        <v/>
      </c>
      <c r="BD31" s="479" t="str">
        <f t="shared" si="20"/>
        <v/>
      </c>
      <c r="BE31" s="479" t="str">
        <f t="shared" si="20"/>
        <v/>
      </c>
      <c r="BF31" s="479" t="str">
        <f t="shared" si="21"/>
        <v/>
      </c>
      <c r="BG31" s="580" t="str">
        <f t="shared" si="22"/>
        <v/>
      </c>
    </row>
    <row r="32" spans="1:59" ht="18.75" customHeight="1">
      <c r="A32" s="460"/>
      <c r="B32" s="368"/>
      <c r="C32" s="368"/>
      <c r="D32" s="368"/>
      <c r="E32" s="368"/>
      <c r="F32" s="368"/>
      <c r="G32" s="558" t="str">
        <f>IF(Y32&lt;&gt;"都市ガス","",IF(ISERROR(VLOOKUP(C32,非_都市ガス事業者!$O$8:$P$200,2,FALSE)),"",VLOOKUP(C32,非_都市ガス事業者!$O$8:$P$200,2,FALSE)))</f>
        <v/>
      </c>
      <c r="H32" s="559" t="str">
        <f>IF(Y32&lt;&gt;"都市ガス","",非_都市ガス事業者!$P$4)</f>
        <v/>
      </c>
      <c r="I32" s="560" t="str">
        <f>IF(B32="","",IF(Y32&lt;&gt;"都市ガス",VLOOKUP(B32,非_係数!$B$42:$D$55,2,FALSE),""))</f>
        <v/>
      </c>
      <c r="J32" s="368"/>
      <c r="K32" s="435" t="str">
        <f t="shared" si="6"/>
        <v/>
      </c>
      <c r="L32" s="190" t="str">
        <f t="shared" si="7"/>
        <v/>
      </c>
      <c r="M32" s="368"/>
      <c r="N32" s="418"/>
      <c r="O32" s="368"/>
      <c r="P32" s="368"/>
      <c r="Q32" s="413"/>
      <c r="R32" s="443"/>
      <c r="S32" s="540" t="str">
        <f t="shared" si="23"/>
        <v/>
      </c>
      <c r="T32" s="399" t="str">
        <f t="shared" si="8"/>
        <v/>
      </c>
      <c r="U32" s="399" t="str">
        <f>IF(B32="","",VLOOKUP(B32,非_単位!$N$38:$O$53,2,FALSE))</f>
        <v/>
      </c>
      <c r="V32" s="540" t="str">
        <f t="shared" si="9"/>
        <v/>
      </c>
      <c r="W32" s="541" t="str">
        <f t="shared" si="10"/>
        <v/>
      </c>
      <c r="Y32" s="422" t="str">
        <f t="shared" si="0"/>
        <v/>
      </c>
      <c r="Z32" s="422" t="str">
        <f>IF(A32="","",IF(A32=非_燃料種類_選択リスト!$I$3,"一般送配電_種類",IF(A32=非_燃料種類_選択リスト!$I$4,"一般送配電以外_種類",IF(A32=非_燃料種類_選択リスト!$I$5,"熱_種類",IF(A32=非_燃料種類_選択リスト!$I$6,"都市ガス_種類","")))))</f>
        <v/>
      </c>
      <c r="AA32" s="422" t="str">
        <f>IF(Y32&lt;&gt;"電気","",非_電気事業者!$S$4*1000)</f>
        <v/>
      </c>
      <c r="AB32" s="422" t="str">
        <f>IF(Y32&lt;&gt;"電気","",IF(ISERROR(VLOOKUP(C32&amp;E32,非_電気事業者!$R$9:$S$2000,2,FALSE)),"要記入",VLOOKUP(C32&amp;E32,非_電気事業者!$R$9:$S$2000,2,FALSE)*1000))</f>
        <v/>
      </c>
      <c r="AC32" s="422" t="str">
        <f>IF(Y32&lt;&gt;"熱","",非_熱供給事業者!$T$4)</f>
        <v/>
      </c>
      <c r="AD32" s="422" t="str">
        <f>IF(Y32&lt;&gt;"熱","",IF(ISERROR(VLOOKUP(C32&amp;E32,非_熱供給事業者!$S$8:$T$200,2,FALSE)),"要記入",VLOOKUP(C32&amp;E32,非_熱供給事業者!$S$8:$T$200,2,FALSE)))</f>
        <v/>
      </c>
      <c r="AE32" s="422" t="str">
        <f>IF(Y32&lt;&gt;"都市ガス","",非_都市ガス事業者!$AB$4)</f>
        <v/>
      </c>
      <c r="AF32" s="422" t="str">
        <f>IF(Y32&lt;&gt;"都市ガス","",IF(ISERROR(VLOOKUP(C32&amp;E32,非_都市ガス事業者!$AA$8:$AB$200,2,FALSE)),"要記入",VLOOKUP(C32&amp;E32,非_都市ガス事業者!$AA$8:$AB$200,2,FALSE)))</f>
        <v/>
      </c>
      <c r="AG32" s="422" t="str">
        <f t="shared" si="1"/>
        <v/>
      </c>
      <c r="AH32" s="422" t="str">
        <f t="shared" si="11"/>
        <v/>
      </c>
      <c r="AI32" s="482" t="b">
        <f t="shared" si="12"/>
        <v>1</v>
      </c>
      <c r="AJ32" s="422" t="str">
        <f>IF(P32="","",VLOOKUP(P32,非_単位補正換算!$B$3:$C$16,2,FALSE))</f>
        <v/>
      </c>
      <c r="AK32" s="422" t="str">
        <f>IF(Y32="","",IF(Y32&lt;&gt;"都市ガス",1,IF(F32="","",SUMIFS(非_単位補正換算!$D$52:$D$63,非_単位補正換算!$B$52:$B$63,"都市ガス"&amp;F32,非_単位補正換算!$C$52:$C$63,電気・熱_都市ガス!P32))))</f>
        <v/>
      </c>
      <c r="AL32" s="479" t="str">
        <f t="shared" si="13"/>
        <v/>
      </c>
      <c r="AM32" s="422" t="str">
        <f t="shared" si="2"/>
        <v/>
      </c>
      <c r="AN32" s="422" t="str">
        <f t="shared" si="3"/>
        <v/>
      </c>
      <c r="AO32" s="422" t="str">
        <f>IF(B32="","",VLOOKUP(B32,非_まとめ表行番号!$F$3:$H$12,2,FALSE))</f>
        <v/>
      </c>
      <c r="AP32" s="485" t="b">
        <f t="shared" si="14"/>
        <v>1</v>
      </c>
      <c r="AQ32" s="582" t="str">
        <f>IF(Y32="","",IF(Y32&lt;&gt;"都市ガス",1,非_係数!$G$55))</f>
        <v/>
      </c>
      <c r="AR32" s="422" t="str">
        <f t="shared" si="15"/>
        <v/>
      </c>
      <c r="AS32" s="422" t="str">
        <f t="shared" si="4"/>
        <v/>
      </c>
      <c r="AT32" s="422" t="str">
        <f>IF(B32="","",VLOOKUP(B32,非_係数!$B$42:$K$55,9,FALSE))</f>
        <v/>
      </c>
      <c r="AU32" s="422" t="str">
        <f t="shared" si="16"/>
        <v/>
      </c>
      <c r="AV32" s="422" t="str">
        <f>IF(B32="","",VLOOKUP(B32,非_まとめ表行番号!$F$3:$H$12,3,FALSE))</f>
        <v/>
      </c>
      <c r="AW32" s="422" t="str">
        <f t="shared" si="5"/>
        <v/>
      </c>
      <c r="AY32" s="479" t="str">
        <f>IF(AO32="","",VLOOKUP(AO32,非_まとめ表行番号!$U$3:$V$56,2,FALSE))</f>
        <v/>
      </c>
      <c r="AZ32" s="479" t="str">
        <f t="shared" si="17"/>
        <v/>
      </c>
      <c r="BA32" s="479" t="str">
        <f t="shared" si="17"/>
        <v/>
      </c>
      <c r="BB32" s="479" t="str">
        <f t="shared" si="18"/>
        <v/>
      </c>
      <c r="BC32" s="479" t="str">
        <f t="shared" si="19"/>
        <v/>
      </c>
      <c r="BD32" s="479" t="str">
        <f t="shared" si="20"/>
        <v/>
      </c>
      <c r="BE32" s="479" t="str">
        <f t="shared" si="20"/>
        <v/>
      </c>
      <c r="BF32" s="479" t="str">
        <f t="shared" si="21"/>
        <v/>
      </c>
      <c r="BG32" s="580" t="str">
        <f t="shared" si="22"/>
        <v/>
      </c>
    </row>
    <row r="33" spans="1:59" ht="18.75" customHeight="1">
      <c r="A33" s="460"/>
      <c r="B33" s="368"/>
      <c r="C33" s="368"/>
      <c r="D33" s="368"/>
      <c r="E33" s="368"/>
      <c r="F33" s="368"/>
      <c r="G33" s="558" t="str">
        <f>IF(Y33&lt;&gt;"都市ガス","",IF(ISERROR(VLOOKUP(C33,非_都市ガス事業者!$O$8:$P$200,2,FALSE)),"",VLOOKUP(C33,非_都市ガス事業者!$O$8:$P$200,2,FALSE)))</f>
        <v/>
      </c>
      <c r="H33" s="559" t="str">
        <f>IF(Y33&lt;&gt;"都市ガス","",非_都市ガス事業者!$P$4)</f>
        <v/>
      </c>
      <c r="I33" s="560" t="str">
        <f>IF(B33="","",IF(Y33&lt;&gt;"都市ガス",VLOOKUP(B33,非_係数!$B$42:$D$55,2,FALSE),""))</f>
        <v/>
      </c>
      <c r="J33" s="368"/>
      <c r="K33" s="435" t="str">
        <f t="shared" si="6"/>
        <v/>
      </c>
      <c r="L33" s="190" t="str">
        <f t="shared" si="7"/>
        <v/>
      </c>
      <c r="M33" s="368"/>
      <c r="N33" s="418"/>
      <c r="O33" s="368"/>
      <c r="P33" s="368"/>
      <c r="Q33" s="413"/>
      <c r="R33" s="443"/>
      <c r="S33" s="540" t="str">
        <f t="shared" si="23"/>
        <v/>
      </c>
      <c r="T33" s="399" t="str">
        <f t="shared" si="8"/>
        <v/>
      </c>
      <c r="U33" s="399" t="str">
        <f>IF(B33="","",VLOOKUP(B33,非_単位!$N$38:$O$53,2,FALSE))</f>
        <v/>
      </c>
      <c r="V33" s="540" t="str">
        <f t="shared" si="9"/>
        <v/>
      </c>
      <c r="W33" s="541" t="str">
        <f t="shared" si="10"/>
        <v/>
      </c>
      <c r="Y33" s="422" t="str">
        <f t="shared" si="0"/>
        <v/>
      </c>
      <c r="Z33" s="422" t="str">
        <f>IF(A33="","",IF(A33=非_燃料種類_選択リスト!$I$3,"一般送配電_種類",IF(A33=非_燃料種類_選択リスト!$I$4,"一般送配電以外_種類",IF(A33=非_燃料種類_選択リスト!$I$5,"熱_種類",IF(A33=非_燃料種類_選択リスト!$I$6,"都市ガス_種類","")))))</f>
        <v/>
      </c>
      <c r="AA33" s="422" t="str">
        <f>IF(Y33&lt;&gt;"電気","",非_電気事業者!$S$4*1000)</f>
        <v/>
      </c>
      <c r="AB33" s="422" t="str">
        <f>IF(Y33&lt;&gt;"電気","",IF(ISERROR(VLOOKUP(C33&amp;E33,非_電気事業者!$R$9:$S$2000,2,FALSE)),"要記入",VLOOKUP(C33&amp;E33,非_電気事業者!$R$9:$S$2000,2,FALSE)*1000))</f>
        <v/>
      </c>
      <c r="AC33" s="422" t="str">
        <f>IF(Y33&lt;&gt;"熱","",非_熱供給事業者!$T$4)</f>
        <v/>
      </c>
      <c r="AD33" s="422" t="str">
        <f>IF(Y33&lt;&gt;"熱","",IF(ISERROR(VLOOKUP(C33&amp;E33,非_熱供給事業者!$S$8:$T$200,2,FALSE)),"要記入",VLOOKUP(C33&amp;E33,非_熱供給事業者!$S$8:$T$200,2,FALSE)))</f>
        <v/>
      </c>
      <c r="AE33" s="422" t="str">
        <f>IF(Y33&lt;&gt;"都市ガス","",非_都市ガス事業者!$AB$4)</f>
        <v/>
      </c>
      <c r="AF33" s="422" t="str">
        <f>IF(Y33&lt;&gt;"都市ガス","",IF(ISERROR(VLOOKUP(C33&amp;E33,非_都市ガス事業者!$AA$8:$AB$200,2,FALSE)),"要記入",VLOOKUP(C33&amp;E33,非_都市ガス事業者!$AA$8:$AB$200,2,FALSE)))</f>
        <v/>
      </c>
      <c r="AG33" s="422" t="str">
        <f t="shared" si="1"/>
        <v/>
      </c>
      <c r="AH33" s="422" t="str">
        <f t="shared" si="11"/>
        <v/>
      </c>
      <c r="AI33" s="482" t="b">
        <f t="shared" si="12"/>
        <v>1</v>
      </c>
      <c r="AJ33" s="422" t="str">
        <f>IF(P33="","",VLOOKUP(P33,非_単位補正換算!$B$3:$C$16,2,FALSE))</f>
        <v/>
      </c>
      <c r="AK33" s="422" t="str">
        <f>IF(Y33="","",IF(Y33&lt;&gt;"都市ガス",1,IF(F33="","",SUMIFS(非_単位補正換算!$D$52:$D$63,非_単位補正換算!$B$52:$B$63,"都市ガス"&amp;F33,非_単位補正換算!$C$52:$C$63,電気・熱_都市ガス!P33))))</f>
        <v/>
      </c>
      <c r="AL33" s="479" t="str">
        <f t="shared" si="13"/>
        <v/>
      </c>
      <c r="AM33" s="422" t="str">
        <f t="shared" si="2"/>
        <v/>
      </c>
      <c r="AN33" s="422" t="str">
        <f t="shared" si="3"/>
        <v/>
      </c>
      <c r="AO33" s="422" t="str">
        <f>IF(B33="","",VLOOKUP(B33,非_まとめ表行番号!$F$3:$H$12,2,FALSE))</f>
        <v/>
      </c>
      <c r="AP33" s="485" t="b">
        <f t="shared" si="14"/>
        <v>1</v>
      </c>
      <c r="AQ33" s="582" t="str">
        <f>IF(Y33="","",IF(Y33&lt;&gt;"都市ガス",1,非_係数!$G$55))</f>
        <v/>
      </c>
      <c r="AR33" s="422" t="str">
        <f t="shared" si="15"/>
        <v/>
      </c>
      <c r="AS33" s="422" t="str">
        <f t="shared" si="4"/>
        <v/>
      </c>
      <c r="AT33" s="422" t="str">
        <f>IF(B33="","",VLOOKUP(B33,非_係数!$B$42:$K$55,9,FALSE))</f>
        <v/>
      </c>
      <c r="AU33" s="422" t="str">
        <f t="shared" si="16"/>
        <v/>
      </c>
      <c r="AV33" s="422" t="str">
        <f>IF(B33="","",VLOOKUP(B33,非_まとめ表行番号!$F$3:$H$12,3,FALSE))</f>
        <v/>
      </c>
      <c r="AW33" s="422" t="str">
        <f t="shared" si="5"/>
        <v/>
      </c>
      <c r="AY33" s="479" t="str">
        <f>IF(AO33="","",VLOOKUP(AO33,非_まとめ表行番号!$U$3:$V$56,2,FALSE))</f>
        <v/>
      </c>
      <c r="AZ33" s="479" t="str">
        <f t="shared" si="17"/>
        <v/>
      </c>
      <c r="BA33" s="479" t="str">
        <f t="shared" si="17"/>
        <v/>
      </c>
      <c r="BB33" s="479" t="str">
        <f t="shared" si="18"/>
        <v/>
      </c>
      <c r="BC33" s="479" t="str">
        <f t="shared" si="19"/>
        <v/>
      </c>
      <c r="BD33" s="479" t="str">
        <f t="shared" si="20"/>
        <v/>
      </c>
      <c r="BE33" s="479" t="str">
        <f t="shared" si="20"/>
        <v/>
      </c>
      <c r="BF33" s="479" t="str">
        <f t="shared" si="21"/>
        <v/>
      </c>
      <c r="BG33" s="580" t="str">
        <f t="shared" si="22"/>
        <v/>
      </c>
    </row>
    <row r="34" spans="1:59" ht="18.75" customHeight="1">
      <c r="A34" s="460"/>
      <c r="B34" s="368"/>
      <c r="C34" s="368"/>
      <c r="D34" s="368"/>
      <c r="E34" s="368"/>
      <c r="F34" s="368"/>
      <c r="G34" s="558" t="str">
        <f>IF(Y34&lt;&gt;"都市ガス","",IF(ISERROR(VLOOKUP(C34,非_都市ガス事業者!$O$8:$P$200,2,FALSE)),"",VLOOKUP(C34,非_都市ガス事業者!$O$8:$P$200,2,FALSE)))</f>
        <v/>
      </c>
      <c r="H34" s="559" t="str">
        <f>IF(Y34&lt;&gt;"都市ガス","",非_都市ガス事業者!$P$4)</f>
        <v/>
      </c>
      <c r="I34" s="560" t="str">
        <f>IF(B34="","",IF(Y34&lt;&gt;"都市ガス",VLOOKUP(B34,非_係数!$B$42:$D$55,2,FALSE),""))</f>
        <v/>
      </c>
      <c r="J34" s="368"/>
      <c r="K34" s="435" t="str">
        <f t="shared" si="6"/>
        <v/>
      </c>
      <c r="L34" s="190" t="str">
        <f t="shared" si="7"/>
        <v/>
      </c>
      <c r="M34" s="368"/>
      <c r="N34" s="418"/>
      <c r="O34" s="368"/>
      <c r="P34" s="368"/>
      <c r="Q34" s="413"/>
      <c r="R34" s="443"/>
      <c r="S34" s="540" t="str">
        <f t="shared" si="23"/>
        <v/>
      </c>
      <c r="T34" s="399" t="str">
        <f t="shared" si="8"/>
        <v/>
      </c>
      <c r="U34" s="399" t="str">
        <f>IF(B34="","",VLOOKUP(B34,非_単位!$N$38:$O$53,2,FALSE))</f>
        <v/>
      </c>
      <c r="V34" s="540" t="str">
        <f t="shared" si="9"/>
        <v/>
      </c>
      <c r="W34" s="541" t="str">
        <f t="shared" si="10"/>
        <v/>
      </c>
      <c r="Y34" s="422" t="str">
        <f t="shared" si="0"/>
        <v/>
      </c>
      <c r="Z34" s="422" t="str">
        <f>IF(A34="","",IF(A34=非_燃料種類_選択リスト!$I$3,"一般送配電_種類",IF(A34=非_燃料種類_選択リスト!$I$4,"一般送配電以外_種類",IF(A34=非_燃料種類_選択リスト!$I$5,"熱_種類",IF(A34=非_燃料種類_選択リスト!$I$6,"都市ガス_種類","")))))</f>
        <v/>
      </c>
      <c r="AA34" s="422" t="str">
        <f>IF(Y34&lt;&gt;"電気","",非_電気事業者!$S$4*1000)</f>
        <v/>
      </c>
      <c r="AB34" s="422" t="str">
        <f>IF(Y34&lt;&gt;"電気","",IF(ISERROR(VLOOKUP(C34&amp;E34,非_電気事業者!$R$9:$S$2000,2,FALSE)),"要記入",VLOOKUP(C34&amp;E34,非_電気事業者!$R$9:$S$2000,2,FALSE)*1000))</f>
        <v/>
      </c>
      <c r="AC34" s="422" t="str">
        <f>IF(Y34&lt;&gt;"熱","",非_熱供給事業者!$T$4)</f>
        <v/>
      </c>
      <c r="AD34" s="422" t="str">
        <f>IF(Y34&lt;&gt;"熱","",IF(ISERROR(VLOOKUP(C34&amp;E34,非_熱供給事業者!$S$8:$T$200,2,FALSE)),"要記入",VLOOKUP(C34&amp;E34,非_熱供給事業者!$S$8:$T$200,2,FALSE)))</f>
        <v/>
      </c>
      <c r="AE34" s="422" t="str">
        <f>IF(Y34&lt;&gt;"都市ガス","",非_都市ガス事業者!$AB$4)</f>
        <v/>
      </c>
      <c r="AF34" s="422" t="str">
        <f>IF(Y34&lt;&gt;"都市ガス","",IF(ISERROR(VLOOKUP(C34&amp;E34,非_都市ガス事業者!$AA$8:$AB$200,2,FALSE)),"要記入",VLOOKUP(C34&amp;E34,非_都市ガス事業者!$AA$8:$AB$200,2,FALSE)))</f>
        <v/>
      </c>
      <c r="AG34" s="422" t="str">
        <f t="shared" si="1"/>
        <v/>
      </c>
      <c r="AH34" s="422" t="str">
        <f t="shared" si="11"/>
        <v/>
      </c>
      <c r="AI34" s="482" t="b">
        <f t="shared" si="12"/>
        <v>1</v>
      </c>
      <c r="AJ34" s="422" t="str">
        <f>IF(P34="","",VLOOKUP(P34,非_単位補正換算!$B$3:$C$16,2,FALSE))</f>
        <v/>
      </c>
      <c r="AK34" s="422" t="str">
        <f>IF(Y34="","",IF(Y34&lt;&gt;"都市ガス",1,IF(F34="","",SUMIFS(非_単位補正換算!$D$52:$D$63,非_単位補正換算!$B$52:$B$63,"都市ガス"&amp;F34,非_単位補正換算!$C$52:$C$63,電気・熱_都市ガス!P34))))</f>
        <v/>
      </c>
      <c r="AL34" s="479" t="str">
        <f t="shared" si="13"/>
        <v/>
      </c>
      <c r="AM34" s="422" t="str">
        <f t="shared" si="2"/>
        <v/>
      </c>
      <c r="AN34" s="422" t="str">
        <f t="shared" si="3"/>
        <v/>
      </c>
      <c r="AO34" s="422" t="str">
        <f>IF(B34="","",VLOOKUP(B34,非_まとめ表行番号!$F$3:$H$12,2,FALSE))</f>
        <v/>
      </c>
      <c r="AP34" s="485" t="b">
        <f t="shared" si="14"/>
        <v>1</v>
      </c>
      <c r="AQ34" s="582" t="str">
        <f>IF(Y34="","",IF(Y34&lt;&gt;"都市ガス",1,非_係数!$G$55))</f>
        <v/>
      </c>
      <c r="AR34" s="422" t="str">
        <f t="shared" si="15"/>
        <v/>
      </c>
      <c r="AS34" s="422" t="str">
        <f t="shared" si="4"/>
        <v/>
      </c>
      <c r="AT34" s="422" t="str">
        <f>IF(B34="","",VLOOKUP(B34,非_係数!$B$42:$K$55,9,FALSE))</f>
        <v/>
      </c>
      <c r="AU34" s="422" t="str">
        <f t="shared" si="16"/>
        <v/>
      </c>
      <c r="AV34" s="422" t="str">
        <f>IF(B34="","",VLOOKUP(B34,非_まとめ表行番号!$F$3:$H$12,3,FALSE))</f>
        <v/>
      </c>
      <c r="AW34" s="422" t="str">
        <f t="shared" si="5"/>
        <v/>
      </c>
      <c r="AY34" s="479" t="str">
        <f>IF(AO34="","",VLOOKUP(AO34,非_まとめ表行番号!$U$3:$V$56,2,FALSE))</f>
        <v/>
      </c>
      <c r="AZ34" s="479" t="str">
        <f t="shared" si="17"/>
        <v/>
      </c>
      <c r="BA34" s="479" t="str">
        <f t="shared" si="17"/>
        <v/>
      </c>
      <c r="BB34" s="479" t="str">
        <f t="shared" si="18"/>
        <v/>
      </c>
      <c r="BC34" s="479" t="str">
        <f t="shared" si="19"/>
        <v/>
      </c>
      <c r="BD34" s="479" t="str">
        <f t="shared" si="20"/>
        <v/>
      </c>
      <c r="BE34" s="479" t="str">
        <f t="shared" si="20"/>
        <v/>
      </c>
      <c r="BF34" s="479" t="str">
        <f t="shared" si="21"/>
        <v/>
      </c>
      <c r="BG34" s="580" t="str">
        <f t="shared" si="22"/>
        <v/>
      </c>
    </row>
    <row r="35" spans="1:59" ht="18.75" customHeight="1">
      <c r="A35" s="460"/>
      <c r="B35" s="368"/>
      <c r="C35" s="368"/>
      <c r="D35" s="368"/>
      <c r="E35" s="368"/>
      <c r="F35" s="368"/>
      <c r="G35" s="558" t="str">
        <f>IF(Y35&lt;&gt;"都市ガス","",IF(ISERROR(VLOOKUP(C35,非_都市ガス事業者!$O$8:$P$200,2,FALSE)),"",VLOOKUP(C35,非_都市ガス事業者!$O$8:$P$200,2,FALSE)))</f>
        <v/>
      </c>
      <c r="H35" s="559" t="str">
        <f>IF(Y35&lt;&gt;"都市ガス","",非_都市ガス事業者!$P$4)</f>
        <v/>
      </c>
      <c r="I35" s="560" t="str">
        <f>IF(B35="","",IF(Y35&lt;&gt;"都市ガス",VLOOKUP(B35,非_係数!$B$42:$D$55,2,FALSE),""))</f>
        <v/>
      </c>
      <c r="J35" s="368"/>
      <c r="K35" s="435" t="str">
        <f t="shared" si="6"/>
        <v/>
      </c>
      <c r="L35" s="190" t="str">
        <f t="shared" si="7"/>
        <v/>
      </c>
      <c r="M35" s="368"/>
      <c r="N35" s="418"/>
      <c r="O35" s="368"/>
      <c r="P35" s="368"/>
      <c r="Q35" s="413"/>
      <c r="R35" s="443"/>
      <c r="S35" s="540" t="str">
        <f t="shared" si="23"/>
        <v/>
      </c>
      <c r="T35" s="399" t="str">
        <f t="shared" si="8"/>
        <v/>
      </c>
      <c r="U35" s="399" t="str">
        <f>IF(B35="","",VLOOKUP(B35,非_単位!$N$38:$O$53,2,FALSE))</f>
        <v/>
      </c>
      <c r="V35" s="540" t="str">
        <f t="shared" si="9"/>
        <v/>
      </c>
      <c r="W35" s="541" t="str">
        <f t="shared" si="10"/>
        <v/>
      </c>
      <c r="Y35" s="422" t="str">
        <f t="shared" si="0"/>
        <v/>
      </c>
      <c r="Z35" s="422" t="str">
        <f>IF(A35="","",IF(A35=非_燃料種類_選択リスト!$I$3,"一般送配電_種類",IF(A35=非_燃料種類_選択リスト!$I$4,"一般送配電以外_種類",IF(A35=非_燃料種類_選択リスト!$I$5,"熱_種類",IF(A35=非_燃料種類_選択リスト!$I$6,"都市ガス_種類","")))))</f>
        <v/>
      </c>
      <c r="AA35" s="422" t="str">
        <f>IF(Y35&lt;&gt;"電気","",非_電気事業者!$S$4*1000)</f>
        <v/>
      </c>
      <c r="AB35" s="422" t="str">
        <f>IF(Y35&lt;&gt;"電気","",IF(ISERROR(VLOOKUP(C35&amp;E35,非_電気事業者!$R$9:$S$2000,2,FALSE)),"要記入",VLOOKUP(C35&amp;E35,非_電気事業者!$R$9:$S$2000,2,FALSE)*1000))</f>
        <v/>
      </c>
      <c r="AC35" s="422" t="str">
        <f>IF(Y35&lt;&gt;"熱","",非_熱供給事業者!$T$4)</f>
        <v/>
      </c>
      <c r="AD35" s="422" t="str">
        <f>IF(Y35&lt;&gt;"熱","",IF(ISERROR(VLOOKUP(C35&amp;E35,非_熱供給事業者!$S$8:$T$200,2,FALSE)),"要記入",VLOOKUP(C35&amp;E35,非_熱供給事業者!$S$8:$T$200,2,FALSE)))</f>
        <v/>
      </c>
      <c r="AE35" s="422" t="str">
        <f>IF(Y35&lt;&gt;"都市ガス","",非_都市ガス事業者!$AB$4)</f>
        <v/>
      </c>
      <c r="AF35" s="422" t="str">
        <f>IF(Y35&lt;&gt;"都市ガス","",IF(ISERROR(VLOOKUP(C35&amp;E35,非_都市ガス事業者!$AA$8:$AB$200,2,FALSE)),"要記入",VLOOKUP(C35&amp;E35,非_都市ガス事業者!$AA$8:$AB$200,2,FALSE)))</f>
        <v/>
      </c>
      <c r="AG35" s="422" t="str">
        <f t="shared" si="1"/>
        <v/>
      </c>
      <c r="AH35" s="422" t="str">
        <f t="shared" si="11"/>
        <v/>
      </c>
      <c r="AI35" s="482" t="b">
        <f t="shared" si="12"/>
        <v>1</v>
      </c>
      <c r="AJ35" s="422" t="str">
        <f>IF(P35="","",VLOOKUP(P35,非_単位補正換算!$B$3:$C$16,2,FALSE))</f>
        <v/>
      </c>
      <c r="AK35" s="422" t="str">
        <f>IF(Y35="","",IF(Y35&lt;&gt;"都市ガス",1,IF(F35="","",SUMIFS(非_単位補正換算!$D$52:$D$63,非_単位補正換算!$B$52:$B$63,"都市ガス"&amp;F35,非_単位補正換算!$C$52:$C$63,電気・熱_都市ガス!P35))))</f>
        <v/>
      </c>
      <c r="AL35" s="479" t="str">
        <f t="shared" si="13"/>
        <v/>
      </c>
      <c r="AM35" s="422" t="str">
        <f t="shared" si="2"/>
        <v/>
      </c>
      <c r="AN35" s="422" t="str">
        <f t="shared" si="3"/>
        <v/>
      </c>
      <c r="AO35" s="422" t="str">
        <f>IF(B35="","",VLOOKUP(B35,非_まとめ表行番号!$F$3:$H$12,2,FALSE))</f>
        <v/>
      </c>
      <c r="AP35" s="485" t="b">
        <f t="shared" si="14"/>
        <v>1</v>
      </c>
      <c r="AQ35" s="582" t="str">
        <f>IF(Y35="","",IF(Y35&lt;&gt;"都市ガス",1,非_係数!$G$55))</f>
        <v/>
      </c>
      <c r="AR35" s="422" t="str">
        <f t="shared" si="15"/>
        <v/>
      </c>
      <c r="AS35" s="422" t="str">
        <f t="shared" si="4"/>
        <v/>
      </c>
      <c r="AT35" s="422" t="str">
        <f>IF(B35="","",VLOOKUP(B35,非_係数!$B$42:$K$55,9,FALSE))</f>
        <v/>
      </c>
      <c r="AU35" s="422" t="str">
        <f t="shared" si="16"/>
        <v/>
      </c>
      <c r="AV35" s="422" t="str">
        <f>IF(B35="","",VLOOKUP(B35,非_まとめ表行番号!$F$3:$H$12,3,FALSE))</f>
        <v/>
      </c>
      <c r="AW35" s="422" t="str">
        <f t="shared" si="5"/>
        <v/>
      </c>
      <c r="AY35" s="479" t="str">
        <f>IF(AO35="","",VLOOKUP(AO35,非_まとめ表行番号!$U$3:$V$56,2,FALSE))</f>
        <v/>
      </c>
      <c r="AZ35" s="479" t="str">
        <f t="shared" si="17"/>
        <v/>
      </c>
      <c r="BA35" s="479" t="str">
        <f t="shared" si="17"/>
        <v/>
      </c>
      <c r="BB35" s="479" t="str">
        <f t="shared" si="18"/>
        <v/>
      </c>
      <c r="BC35" s="479" t="str">
        <f t="shared" si="19"/>
        <v/>
      </c>
      <c r="BD35" s="479" t="str">
        <f t="shared" si="20"/>
        <v/>
      </c>
      <c r="BE35" s="479" t="str">
        <f t="shared" si="20"/>
        <v/>
      </c>
      <c r="BF35" s="479" t="str">
        <f t="shared" si="21"/>
        <v/>
      </c>
      <c r="BG35" s="580" t="str">
        <f t="shared" si="22"/>
        <v/>
      </c>
    </row>
    <row r="36" spans="1:59" ht="18.75" customHeight="1">
      <c r="A36" s="460"/>
      <c r="B36" s="368"/>
      <c r="C36" s="368"/>
      <c r="D36" s="368"/>
      <c r="E36" s="368"/>
      <c r="F36" s="368"/>
      <c r="G36" s="558" t="str">
        <f>IF(Y36&lt;&gt;"都市ガス","",IF(ISERROR(VLOOKUP(C36,非_都市ガス事業者!$O$8:$P$200,2,FALSE)),"",VLOOKUP(C36,非_都市ガス事業者!$O$8:$P$200,2,FALSE)))</f>
        <v/>
      </c>
      <c r="H36" s="559" t="str">
        <f>IF(Y36&lt;&gt;"都市ガス","",非_都市ガス事業者!$P$4)</f>
        <v/>
      </c>
      <c r="I36" s="560" t="str">
        <f>IF(B36="","",IF(Y36&lt;&gt;"都市ガス",VLOOKUP(B36,非_係数!$B$42:$D$55,2,FALSE),""))</f>
        <v/>
      </c>
      <c r="J36" s="368"/>
      <c r="K36" s="435" t="str">
        <f t="shared" si="6"/>
        <v/>
      </c>
      <c r="L36" s="190" t="str">
        <f t="shared" si="7"/>
        <v/>
      </c>
      <c r="M36" s="368"/>
      <c r="N36" s="418"/>
      <c r="O36" s="368"/>
      <c r="P36" s="368"/>
      <c r="Q36" s="413"/>
      <c r="R36" s="443"/>
      <c r="S36" s="540" t="str">
        <f t="shared" si="23"/>
        <v/>
      </c>
      <c r="T36" s="399" t="str">
        <f t="shared" si="8"/>
        <v/>
      </c>
      <c r="U36" s="399" t="str">
        <f>IF(B36="","",VLOOKUP(B36,非_単位!$N$38:$O$53,2,FALSE))</f>
        <v/>
      </c>
      <c r="V36" s="540" t="str">
        <f t="shared" si="9"/>
        <v/>
      </c>
      <c r="W36" s="541" t="str">
        <f t="shared" si="10"/>
        <v/>
      </c>
      <c r="Y36" s="422" t="str">
        <f t="shared" si="0"/>
        <v/>
      </c>
      <c r="Z36" s="422" t="str">
        <f>IF(A36="","",IF(A36=非_燃料種類_選択リスト!$I$3,"一般送配電_種類",IF(A36=非_燃料種類_選択リスト!$I$4,"一般送配電以外_種類",IF(A36=非_燃料種類_選択リスト!$I$5,"熱_種類",IF(A36=非_燃料種類_選択リスト!$I$6,"都市ガス_種類","")))))</f>
        <v/>
      </c>
      <c r="AA36" s="422" t="str">
        <f>IF(Y36&lt;&gt;"電気","",非_電気事業者!$S$4*1000)</f>
        <v/>
      </c>
      <c r="AB36" s="422" t="str">
        <f>IF(Y36&lt;&gt;"電気","",IF(ISERROR(VLOOKUP(C36&amp;E36,非_電気事業者!$R$9:$S$2000,2,FALSE)),"要記入",VLOOKUP(C36&amp;E36,非_電気事業者!$R$9:$S$2000,2,FALSE)*1000))</f>
        <v/>
      </c>
      <c r="AC36" s="422" t="str">
        <f>IF(Y36&lt;&gt;"熱","",非_熱供給事業者!$T$4)</f>
        <v/>
      </c>
      <c r="AD36" s="422" t="str">
        <f>IF(Y36&lt;&gt;"熱","",IF(ISERROR(VLOOKUP(C36&amp;E36,非_熱供給事業者!$S$8:$T$200,2,FALSE)),"要記入",VLOOKUP(C36&amp;E36,非_熱供給事業者!$S$8:$T$200,2,FALSE)))</f>
        <v/>
      </c>
      <c r="AE36" s="422" t="str">
        <f>IF(Y36&lt;&gt;"都市ガス","",非_都市ガス事業者!$AB$4)</f>
        <v/>
      </c>
      <c r="AF36" s="422" t="str">
        <f>IF(Y36&lt;&gt;"都市ガス","",IF(ISERROR(VLOOKUP(C36&amp;E36,非_都市ガス事業者!$AA$8:$AB$200,2,FALSE)),"要記入",VLOOKUP(C36&amp;E36,非_都市ガス事業者!$AA$8:$AB$200,2,FALSE)))</f>
        <v/>
      </c>
      <c r="AG36" s="422" t="str">
        <f t="shared" si="1"/>
        <v/>
      </c>
      <c r="AH36" s="422" t="str">
        <f t="shared" si="11"/>
        <v/>
      </c>
      <c r="AI36" s="482" t="b">
        <f t="shared" si="12"/>
        <v>1</v>
      </c>
      <c r="AJ36" s="422" t="str">
        <f>IF(P36="","",VLOOKUP(P36,非_単位補正換算!$B$3:$C$16,2,FALSE))</f>
        <v/>
      </c>
      <c r="AK36" s="422" t="str">
        <f>IF(Y36="","",IF(Y36&lt;&gt;"都市ガス",1,IF(F36="","",SUMIFS(非_単位補正換算!$D$52:$D$63,非_単位補正換算!$B$52:$B$63,"都市ガス"&amp;F36,非_単位補正換算!$C$52:$C$63,電気・熱_都市ガス!P36))))</f>
        <v/>
      </c>
      <c r="AL36" s="479" t="str">
        <f t="shared" si="13"/>
        <v/>
      </c>
      <c r="AM36" s="422" t="str">
        <f t="shared" si="2"/>
        <v/>
      </c>
      <c r="AN36" s="422" t="str">
        <f t="shared" si="3"/>
        <v/>
      </c>
      <c r="AO36" s="422" t="str">
        <f>IF(B36="","",VLOOKUP(B36,非_まとめ表行番号!$F$3:$H$12,2,FALSE))</f>
        <v/>
      </c>
      <c r="AP36" s="485" t="b">
        <f t="shared" si="14"/>
        <v>1</v>
      </c>
      <c r="AQ36" s="582" t="str">
        <f>IF(Y36="","",IF(Y36&lt;&gt;"都市ガス",1,非_係数!$G$55))</f>
        <v/>
      </c>
      <c r="AR36" s="422" t="str">
        <f t="shared" si="15"/>
        <v/>
      </c>
      <c r="AS36" s="422" t="str">
        <f t="shared" si="4"/>
        <v/>
      </c>
      <c r="AT36" s="422" t="str">
        <f>IF(B36="","",VLOOKUP(B36,非_係数!$B$42:$K$55,9,FALSE))</f>
        <v/>
      </c>
      <c r="AU36" s="422" t="str">
        <f t="shared" si="16"/>
        <v/>
      </c>
      <c r="AV36" s="422" t="str">
        <f>IF(B36="","",VLOOKUP(B36,非_まとめ表行番号!$F$3:$H$12,3,FALSE))</f>
        <v/>
      </c>
      <c r="AW36" s="422" t="str">
        <f t="shared" si="5"/>
        <v/>
      </c>
      <c r="AY36" s="479" t="str">
        <f>IF(AO36="","",VLOOKUP(AO36,非_まとめ表行番号!$U$3:$V$56,2,FALSE))</f>
        <v/>
      </c>
      <c r="AZ36" s="479" t="str">
        <f t="shared" si="17"/>
        <v/>
      </c>
      <c r="BA36" s="479" t="str">
        <f t="shared" si="17"/>
        <v/>
      </c>
      <c r="BB36" s="479" t="str">
        <f t="shared" si="18"/>
        <v/>
      </c>
      <c r="BC36" s="479" t="str">
        <f t="shared" si="19"/>
        <v/>
      </c>
      <c r="BD36" s="479" t="str">
        <f t="shared" si="20"/>
        <v/>
      </c>
      <c r="BE36" s="479" t="str">
        <f t="shared" si="20"/>
        <v/>
      </c>
      <c r="BF36" s="479" t="str">
        <f t="shared" si="21"/>
        <v/>
      </c>
      <c r="BG36" s="580" t="str">
        <f t="shared" si="22"/>
        <v/>
      </c>
    </row>
    <row r="37" spans="1:59" ht="18.75" customHeight="1">
      <c r="A37" s="460"/>
      <c r="B37" s="368"/>
      <c r="C37" s="368"/>
      <c r="D37" s="368"/>
      <c r="E37" s="368"/>
      <c r="F37" s="368"/>
      <c r="G37" s="558" t="str">
        <f>IF(Y37&lt;&gt;"都市ガス","",IF(ISERROR(VLOOKUP(C37,非_都市ガス事業者!$O$8:$P$200,2,FALSE)),"",VLOOKUP(C37,非_都市ガス事業者!$O$8:$P$200,2,FALSE)))</f>
        <v/>
      </c>
      <c r="H37" s="559" t="str">
        <f>IF(Y37&lt;&gt;"都市ガス","",非_都市ガス事業者!$P$4)</f>
        <v/>
      </c>
      <c r="I37" s="560" t="str">
        <f>IF(B37="","",IF(Y37&lt;&gt;"都市ガス",VLOOKUP(B37,非_係数!$B$42:$D$55,2,FALSE),""))</f>
        <v/>
      </c>
      <c r="J37" s="368"/>
      <c r="K37" s="435" t="str">
        <f t="shared" si="6"/>
        <v/>
      </c>
      <c r="L37" s="190" t="str">
        <f t="shared" si="7"/>
        <v/>
      </c>
      <c r="M37" s="368"/>
      <c r="N37" s="418"/>
      <c r="O37" s="368"/>
      <c r="P37" s="368"/>
      <c r="Q37" s="413"/>
      <c r="R37" s="443"/>
      <c r="S37" s="540" t="str">
        <f t="shared" si="23"/>
        <v/>
      </c>
      <c r="T37" s="399" t="str">
        <f t="shared" ref="T37:T40" si="39">AL37</f>
        <v/>
      </c>
      <c r="U37" s="399" t="str">
        <f>IF(B37="","",VLOOKUP(B37,非_単位!$N$38:$O$53,2,FALSE))</f>
        <v/>
      </c>
      <c r="V37" s="540" t="str">
        <f t="shared" ref="V37:V40" si="40">AM37</f>
        <v/>
      </c>
      <c r="W37" s="541" t="str">
        <f t="shared" ref="W37:W40" si="41">AN37</f>
        <v/>
      </c>
      <c r="Y37" s="422" t="str">
        <f t="shared" si="0"/>
        <v/>
      </c>
      <c r="Z37" s="422" t="str">
        <f>IF(A37="","",IF(A37=非_燃料種類_選択リスト!$I$3,"一般送配電_種類",IF(A37=非_燃料種類_選択リスト!$I$4,"一般送配電以外_種類",IF(A37=非_燃料種類_選択リスト!$I$5,"熱_種類",IF(A37=非_燃料種類_選択リスト!$I$6,"都市ガス_種類","")))))</f>
        <v/>
      </c>
      <c r="AA37" s="422" t="str">
        <f>IF(Y37&lt;&gt;"電気","",非_電気事業者!$S$4*1000)</f>
        <v/>
      </c>
      <c r="AB37" s="422" t="str">
        <f>IF(Y37&lt;&gt;"電気","",IF(ISERROR(VLOOKUP(C37&amp;E37,非_電気事業者!$R$9:$S$2000,2,FALSE)),"要記入",VLOOKUP(C37&amp;E37,非_電気事業者!$R$9:$S$2000,2,FALSE)*1000))</f>
        <v/>
      </c>
      <c r="AC37" s="422" t="str">
        <f>IF(Y37&lt;&gt;"熱","",非_熱供給事業者!$T$4)</f>
        <v/>
      </c>
      <c r="AD37" s="422" t="str">
        <f>IF(Y37&lt;&gt;"熱","",IF(ISERROR(VLOOKUP(C37&amp;E37,非_熱供給事業者!$S$8:$T$200,2,FALSE)),"要記入",VLOOKUP(C37&amp;E37,非_熱供給事業者!$S$8:$T$200,2,FALSE)))</f>
        <v/>
      </c>
      <c r="AE37" s="422" t="str">
        <f>IF(Y37&lt;&gt;"都市ガス","",非_都市ガス事業者!$AB$4)</f>
        <v/>
      </c>
      <c r="AF37" s="422" t="str">
        <f>IF(Y37&lt;&gt;"都市ガス","",IF(ISERROR(VLOOKUP(C37&amp;E37,非_都市ガス事業者!$AA$8:$AB$200,2,FALSE)),"要記入",VLOOKUP(C37&amp;E37,非_都市ガス事業者!$AA$8:$AB$200,2,FALSE)))</f>
        <v/>
      </c>
      <c r="AG37" s="422" t="str">
        <f t="shared" si="1"/>
        <v/>
      </c>
      <c r="AH37" s="422" t="str">
        <f t="shared" ref="AH37:AH40" si="42">IF(Y37="電気","t-CO2/千kWh",IF(Y37="熱","t-CO2/GJ",IF(Y37="都市ガス","t-CO2/千m3(SATP)","")))</f>
        <v/>
      </c>
      <c r="AI37" s="482" t="b">
        <f t="shared" si="12"/>
        <v>1</v>
      </c>
      <c r="AJ37" s="422" t="str">
        <f>IF(P37="","",VLOOKUP(P37,非_単位補正換算!$B$3:$C$16,2,FALSE))</f>
        <v/>
      </c>
      <c r="AK37" s="422" t="str">
        <f>IF(Y37="","",IF(Y37&lt;&gt;"都市ガス",1,IF(F37="","",SUMIFS(非_単位補正換算!$D$52:$D$63,非_単位補正換算!$B$52:$B$63,"都市ガス"&amp;F37,非_単位補正換算!$C$52:$C$63,電気・熱_都市ガス!P37))))</f>
        <v/>
      </c>
      <c r="AL37" s="479" t="str">
        <f t="shared" si="13"/>
        <v/>
      </c>
      <c r="AM37" s="422" t="str">
        <f t="shared" si="2"/>
        <v/>
      </c>
      <c r="AN37" s="422" t="str">
        <f t="shared" si="3"/>
        <v/>
      </c>
      <c r="AO37" s="422" t="str">
        <f>IF(B37="","",VLOOKUP(B37,非_まとめ表行番号!$F$3:$H$12,2,FALSE))</f>
        <v/>
      </c>
      <c r="AP37" s="485" t="b">
        <f t="shared" si="14"/>
        <v>1</v>
      </c>
      <c r="AQ37" s="582" t="str">
        <f>IF(Y37="","",IF(Y37&lt;&gt;"都市ガス",1,非_係数!$G$55))</f>
        <v/>
      </c>
      <c r="AR37" s="422" t="str">
        <f t="shared" ref="AR37:AR40" si="43">IF(AL37="","",AL37*AQ37)</f>
        <v/>
      </c>
      <c r="AS37" s="422" t="str">
        <f t="shared" si="4"/>
        <v/>
      </c>
      <c r="AT37" s="422" t="str">
        <f>IF(B37="","",VLOOKUP(B37,非_係数!$B$42:$K$55,9,FALSE))</f>
        <v/>
      </c>
      <c r="AU37" s="422" t="str">
        <f t="shared" ref="AU37:AU40" si="44">IF(AND(AR37&lt;&gt;"",AT37&lt;&gt;""),IF(Y37&lt;&gt;"都市ガス",AR37*AT37,AS37*AT37*44/12),"")</f>
        <v/>
      </c>
      <c r="AV37" s="422" t="str">
        <f>IF(B37="","",VLOOKUP(B37,非_まとめ表行番号!$F$3:$H$12,3,FALSE))</f>
        <v/>
      </c>
      <c r="AW37" s="422" t="str">
        <f t="shared" si="5"/>
        <v/>
      </c>
      <c r="AY37" s="479" t="str">
        <f>IF(AO37="","",VLOOKUP(AO37,非_まとめ表行番号!$U$3:$V$56,2,FALSE))</f>
        <v/>
      </c>
      <c r="AZ37" s="479" t="str">
        <f t="shared" si="17"/>
        <v/>
      </c>
      <c r="BA37" s="479" t="str">
        <f t="shared" si="17"/>
        <v/>
      </c>
      <c r="BB37" s="479" t="str">
        <f t="shared" si="18"/>
        <v/>
      </c>
      <c r="BC37" s="479" t="str">
        <f t="shared" si="19"/>
        <v/>
      </c>
      <c r="BD37" s="479" t="str">
        <f t="shared" si="20"/>
        <v/>
      </c>
      <c r="BE37" s="479" t="str">
        <f t="shared" si="20"/>
        <v/>
      </c>
      <c r="BF37" s="479" t="str">
        <f t="shared" si="21"/>
        <v/>
      </c>
      <c r="BG37" s="580" t="str">
        <f t="shared" si="22"/>
        <v/>
      </c>
    </row>
    <row r="38" spans="1:59" ht="18.75" customHeight="1">
      <c r="A38" s="460"/>
      <c r="B38" s="368"/>
      <c r="C38" s="368"/>
      <c r="D38" s="368"/>
      <c r="E38" s="368"/>
      <c r="F38" s="368"/>
      <c r="G38" s="558" t="str">
        <f>IF(Y38&lt;&gt;"都市ガス","",IF(ISERROR(VLOOKUP(C38,非_都市ガス事業者!$O$8:$P$200,2,FALSE)),"",VLOOKUP(C38,非_都市ガス事業者!$O$8:$P$200,2,FALSE)))</f>
        <v/>
      </c>
      <c r="H38" s="559" t="str">
        <f>IF(Y38&lt;&gt;"都市ガス","",非_都市ガス事業者!$P$4)</f>
        <v/>
      </c>
      <c r="I38" s="560" t="str">
        <f>IF(B38="","",IF(Y38&lt;&gt;"都市ガス",VLOOKUP(B38,非_係数!$B$42:$D$55,2,FALSE),""))</f>
        <v/>
      </c>
      <c r="J38" s="368"/>
      <c r="K38" s="435" t="str">
        <f t="shared" si="6"/>
        <v/>
      </c>
      <c r="L38" s="190" t="str">
        <f t="shared" si="7"/>
        <v/>
      </c>
      <c r="M38" s="368"/>
      <c r="N38" s="418"/>
      <c r="O38" s="368"/>
      <c r="P38" s="368"/>
      <c r="Q38" s="413"/>
      <c r="R38" s="443"/>
      <c r="S38" s="540" t="str">
        <f t="shared" si="23"/>
        <v/>
      </c>
      <c r="T38" s="399" t="str">
        <f t="shared" si="39"/>
        <v/>
      </c>
      <c r="U38" s="399" t="str">
        <f>IF(B38="","",VLOOKUP(B38,非_単位!$N$38:$O$53,2,FALSE))</f>
        <v/>
      </c>
      <c r="V38" s="540" t="str">
        <f t="shared" si="40"/>
        <v/>
      </c>
      <c r="W38" s="541" t="str">
        <f t="shared" si="41"/>
        <v/>
      </c>
      <c r="Y38" s="422" t="str">
        <f t="shared" si="0"/>
        <v/>
      </c>
      <c r="Z38" s="422" t="str">
        <f>IF(A38="","",IF(A38=非_燃料種類_選択リスト!$I$3,"一般送配電_種類",IF(A38=非_燃料種類_選択リスト!$I$4,"一般送配電以外_種類",IF(A38=非_燃料種類_選択リスト!$I$5,"熱_種類",IF(A38=非_燃料種類_選択リスト!$I$6,"都市ガス_種類","")))))</f>
        <v/>
      </c>
      <c r="AA38" s="422" t="str">
        <f>IF(Y38&lt;&gt;"電気","",非_電気事業者!$S$4*1000)</f>
        <v/>
      </c>
      <c r="AB38" s="422" t="str">
        <f>IF(Y38&lt;&gt;"電気","",IF(ISERROR(VLOOKUP(C38&amp;E38,非_電気事業者!$R$9:$S$2000,2,FALSE)),"要記入",VLOOKUP(C38&amp;E38,非_電気事業者!$R$9:$S$2000,2,FALSE)*1000))</f>
        <v/>
      </c>
      <c r="AC38" s="422" t="str">
        <f>IF(Y38&lt;&gt;"熱","",非_熱供給事業者!$T$4)</f>
        <v/>
      </c>
      <c r="AD38" s="422" t="str">
        <f>IF(Y38&lt;&gt;"熱","",IF(ISERROR(VLOOKUP(C38&amp;E38,非_熱供給事業者!$S$8:$T$200,2,FALSE)),"要記入",VLOOKUP(C38&amp;E38,非_熱供給事業者!$S$8:$T$200,2,FALSE)))</f>
        <v/>
      </c>
      <c r="AE38" s="422" t="str">
        <f>IF(Y38&lt;&gt;"都市ガス","",非_都市ガス事業者!$AB$4)</f>
        <v/>
      </c>
      <c r="AF38" s="422" t="str">
        <f>IF(Y38&lt;&gt;"都市ガス","",IF(ISERROR(VLOOKUP(C38&amp;E38,非_都市ガス事業者!$AA$8:$AB$200,2,FALSE)),"要記入",VLOOKUP(C38&amp;E38,非_都市ガス事業者!$AA$8:$AB$200,2,FALSE)))</f>
        <v/>
      </c>
      <c r="AG38" s="422" t="str">
        <f t="shared" si="1"/>
        <v/>
      </c>
      <c r="AH38" s="422" t="str">
        <f t="shared" si="42"/>
        <v/>
      </c>
      <c r="AI38" s="482" t="b">
        <f t="shared" si="12"/>
        <v>1</v>
      </c>
      <c r="AJ38" s="422" t="str">
        <f>IF(P38="","",VLOOKUP(P38,非_単位補正換算!$B$3:$C$16,2,FALSE))</f>
        <v/>
      </c>
      <c r="AK38" s="422" t="str">
        <f>IF(Y38="","",IF(Y38&lt;&gt;"都市ガス",1,IF(F38="","",SUMIFS(非_単位補正換算!$D$52:$D$63,非_単位補正換算!$B$52:$B$63,"都市ガス"&amp;F38,非_単位補正換算!$C$52:$C$63,電気・熱_都市ガス!P38))))</f>
        <v/>
      </c>
      <c r="AL38" s="479" t="str">
        <f t="shared" si="13"/>
        <v/>
      </c>
      <c r="AM38" s="422" t="str">
        <f t="shared" si="2"/>
        <v/>
      </c>
      <c r="AN38" s="422" t="str">
        <f t="shared" si="3"/>
        <v/>
      </c>
      <c r="AO38" s="422" t="str">
        <f>IF(B38="","",VLOOKUP(B38,非_まとめ表行番号!$F$3:$H$12,2,FALSE))</f>
        <v/>
      </c>
      <c r="AP38" s="485" t="b">
        <f t="shared" si="14"/>
        <v>1</v>
      </c>
      <c r="AQ38" s="582" t="str">
        <f>IF(Y38="","",IF(Y38&lt;&gt;"都市ガス",1,非_係数!$G$55))</f>
        <v/>
      </c>
      <c r="AR38" s="422" t="str">
        <f t="shared" si="43"/>
        <v/>
      </c>
      <c r="AS38" s="422" t="str">
        <f t="shared" si="4"/>
        <v/>
      </c>
      <c r="AT38" s="422" t="str">
        <f>IF(B38="","",VLOOKUP(B38,非_係数!$B$42:$K$55,9,FALSE))</f>
        <v/>
      </c>
      <c r="AU38" s="422" t="str">
        <f t="shared" si="44"/>
        <v/>
      </c>
      <c r="AV38" s="422" t="str">
        <f>IF(B38="","",VLOOKUP(B38,非_まとめ表行番号!$F$3:$H$12,3,FALSE))</f>
        <v/>
      </c>
      <c r="AW38" s="422" t="str">
        <f t="shared" si="5"/>
        <v/>
      </c>
      <c r="AY38" s="479" t="str">
        <f>IF(AO38="","",VLOOKUP(AO38,非_まとめ表行番号!$U$3:$V$56,2,FALSE))</f>
        <v/>
      </c>
      <c r="AZ38" s="479" t="str">
        <f t="shared" si="17"/>
        <v/>
      </c>
      <c r="BA38" s="479" t="str">
        <f t="shared" si="17"/>
        <v/>
      </c>
      <c r="BB38" s="479" t="str">
        <f t="shared" si="18"/>
        <v/>
      </c>
      <c r="BC38" s="479" t="str">
        <f t="shared" si="19"/>
        <v/>
      </c>
      <c r="BD38" s="479" t="str">
        <f t="shared" si="20"/>
        <v/>
      </c>
      <c r="BE38" s="479" t="str">
        <f t="shared" si="20"/>
        <v/>
      </c>
      <c r="BF38" s="479" t="str">
        <f t="shared" si="21"/>
        <v/>
      </c>
      <c r="BG38" s="580" t="str">
        <f t="shared" si="22"/>
        <v/>
      </c>
    </row>
    <row r="39" spans="1:59" ht="18.75" customHeight="1">
      <c r="A39" s="460"/>
      <c r="B39" s="368"/>
      <c r="C39" s="368"/>
      <c r="D39" s="368"/>
      <c r="E39" s="368"/>
      <c r="F39" s="368"/>
      <c r="G39" s="558" t="str">
        <f>IF(Y39&lt;&gt;"都市ガス","",IF(ISERROR(VLOOKUP(C39,非_都市ガス事業者!$O$8:$P$200,2,FALSE)),"",VLOOKUP(C39,非_都市ガス事業者!$O$8:$P$200,2,FALSE)))</f>
        <v/>
      </c>
      <c r="H39" s="559" t="str">
        <f>IF(Y39&lt;&gt;"都市ガス","",非_都市ガス事業者!$P$4)</f>
        <v/>
      </c>
      <c r="I39" s="560" t="str">
        <f>IF(B39="","",IF(Y39&lt;&gt;"都市ガス",VLOOKUP(B39,非_係数!$B$42:$D$55,2,FALSE),""))</f>
        <v/>
      </c>
      <c r="J39" s="368"/>
      <c r="K39" s="435" t="str">
        <f t="shared" si="6"/>
        <v/>
      </c>
      <c r="L39" s="190" t="str">
        <f t="shared" si="7"/>
        <v/>
      </c>
      <c r="M39" s="368"/>
      <c r="N39" s="418"/>
      <c r="O39" s="368"/>
      <c r="P39" s="368"/>
      <c r="Q39" s="413"/>
      <c r="R39" s="443"/>
      <c r="S39" s="540" t="str">
        <f t="shared" si="23"/>
        <v/>
      </c>
      <c r="T39" s="399" t="str">
        <f t="shared" si="39"/>
        <v/>
      </c>
      <c r="U39" s="399" t="str">
        <f>IF(B39="","",VLOOKUP(B39,非_単位!$N$38:$O$53,2,FALSE))</f>
        <v/>
      </c>
      <c r="V39" s="540" t="str">
        <f t="shared" si="40"/>
        <v/>
      </c>
      <c r="W39" s="541" t="str">
        <f t="shared" si="41"/>
        <v/>
      </c>
      <c r="Y39" s="422" t="str">
        <f t="shared" si="0"/>
        <v/>
      </c>
      <c r="Z39" s="422" t="str">
        <f>IF(A39="","",IF(A39=非_燃料種類_選択リスト!$I$3,"一般送配電_種類",IF(A39=非_燃料種類_選択リスト!$I$4,"一般送配電以外_種類",IF(A39=非_燃料種類_選択リスト!$I$5,"熱_種類",IF(A39=非_燃料種類_選択リスト!$I$6,"都市ガス_種類","")))))</f>
        <v/>
      </c>
      <c r="AA39" s="422" t="str">
        <f>IF(Y39&lt;&gt;"電気","",非_電気事業者!$S$4*1000)</f>
        <v/>
      </c>
      <c r="AB39" s="422" t="str">
        <f>IF(Y39&lt;&gt;"電気","",IF(ISERROR(VLOOKUP(C39&amp;E39,非_電気事業者!$R$9:$S$2000,2,FALSE)),"要記入",VLOOKUP(C39&amp;E39,非_電気事業者!$R$9:$S$2000,2,FALSE)*1000))</f>
        <v/>
      </c>
      <c r="AC39" s="422" t="str">
        <f>IF(Y39&lt;&gt;"熱","",非_熱供給事業者!$T$4)</f>
        <v/>
      </c>
      <c r="AD39" s="422" t="str">
        <f>IF(Y39&lt;&gt;"熱","",IF(ISERROR(VLOOKUP(C39&amp;E39,非_熱供給事業者!$S$8:$T$200,2,FALSE)),"要記入",VLOOKUP(C39&amp;E39,非_熱供給事業者!$S$8:$T$200,2,FALSE)))</f>
        <v/>
      </c>
      <c r="AE39" s="422" t="str">
        <f>IF(Y39&lt;&gt;"都市ガス","",非_都市ガス事業者!$AB$4)</f>
        <v/>
      </c>
      <c r="AF39" s="422" t="str">
        <f>IF(Y39&lt;&gt;"都市ガス","",IF(ISERROR(VLOOKUP(C39&amp;E39,非_都市ガス事業者!$AA$8:$AB$200,2,FALSE)),"要記入",VLOOKUP(C39&amp;E39,非_都市ガス事業者!$AA$8:$AB$200,2,FALSE)))</f>
        <v/>
      </c>
      <c r="AG39" s="422" t="str">
        <f t="shared" si="1"/>
        <v/>
      </c>
      <c r="AH39" s="422" t="str">
        <f t="shared" si="42"/>
        <v/>
      </c>
      <c r="AI39" s="482" t="b">
        <f t="shared" si="12"/>
        <v>1</v>
      </c>
      <c r="AJ39" s="422" t="str">
        <f>IF(P39="","",VLOOKUP(P39,非_単位補正換算!$B$3:$C$16,2,FALSE))</f>
        <v/>
      </c>
      <c r="AK39" s="422" t="str">
        <f>IF(Y39="","",IF(Y39&lt;&gt;"都市ガス",1,IF(F39="","",SUMIFS(非_単位補正換算!$D$52:$D$63,非_単位補正換算!$B$52:$B$63,"都市ガス"&amp;F39,非_単位補正換算!$C$52:$C$63,電気・熱_都市ガス!P39))))</f>
        <v/>
      </c>
      <c r="AL39" s="479" t="str">
        <f t="shared" si="13"/>
        <v/>
      </c>
      <c r="AM39" s="422" t="str">
        <f t="shared" si="2"/>
        <v/>
      </c>
      <c r="AN39" s="422" t="str">
        <f t="shared" si="3"/>
        <v/>
      </c>
      <c r="AO39" s="422" t="str">
        <f>IF(B39="","",VLOOKUP(B39,非_まとめ表行番号!$F$3:$H$12,2,FALSE))</f>
        <v/>
      </c>
      <c r="AP39" s="485" t="b">
        <f t="shared" si="14"/>
        <v>1</v>
      </c>
      <c r="AQ39" s="582" t="str">
        <f>IF(Y39="","",IF(Y39&lt;&gt;"都市ガス",1,非_係数!$G$55))</f>
        <v/>
      </c>
      <c r="AR39" s="422" t="str">
        <f t="shared" si="43"/>
        <v/>
      </c>
      <c r="AS39" s="422" t="str">
        <f t="shared" si="4"/>
        <v/>
      </c>
      <c r="AT39" s="422" t="str">
        <f>IF(B39="","",VLOOKUP(B39,非_係数!$B$42:$K$55,9,FALSE))</f>
        <v/>
      </c>
      <c r="AU39" s="422" t="str">
        <f t="shared" si="44"/>
        <v/>
      </c>
      <c r="AV39" s="422" t="str">
        <f>IF(B39="","",VLOOKUP(B39,非_まとめ表行番号!$F$3:$H$12,3,FALSE))</f>
        <v/>
      </c>
      <c r="AW39" s="422" t="str">
        <f t="shared" si="5"/>
        <v/>
      </c>
      <c r="AY39" s="479" t="str">
        <f>IF(AO39="","",VLOOKUP(AO39,非_まとめ表行番号!$U$3:$V$56,2,FALSE))</f>
        <v/>
      </c>
      <c r="AZ39" s="479" t="str">
        <f t="shared" si="17"/>
        <v/>
      </c>
      <c r="BA39" s="479" t="str">
        <f t="shared" si="17"/>
        <v/>
      </c>
      <c r="BB39" s="479" t="str">
        <f t="shared" si="18"/>
        <v/>
      </c>
      <c r="BC39" s="479" t="str">
        <f t="shared" si="19"/>
        <v/>
      </c>
      <c r="BD39" s="479" t="str">
        <f t="shared" si="20"/>
        <v/>
      </c>
      <c r="BE39" s="479" t="str">
        <f t="shared" si="20"/>
        <v/>
      </c>
      <c r="BF39" s="479" t="str">
        <f t="shared" si="21"/>
        <v/>
      </c>
      <c r="BG39" s="580" t="str">
        <f t="shared" si="22"/>
        <v/>
      </c>
    </row>
    <row r="40" spans="1:59" ht="18.75" customHeight="1">
      <c r="A40" s="460"/>
      <c r="B40" s="368"/>
      <c r="C40" s="368"/>
      <c r="D40" s="368"/>
      <c r="E40" s="368"/>
      <c r="F40" s="368"/>
      <c r="G40" s="558" t="str">
        <f>IF(Y40&lt;&gt;"都市ガス","",IF(ISERROR(VLOOKUP(C40,非_都市ガス事業者!$O$8:$P$200,2,FALSE)),"",VLOOKUP(C40,非_都市ガス事業者!$O$8:$P$200,2,FALSE)))</f>
        <v/>
      </c>
      <c r="H40" s="559" t="str">
        <f>IF(Y40&lt;&gt;"都市ガス","",非_都市ガス事業者!$P$4)</f>
        <v/>
      </c>
      <c r="I40" s="560" t="str">
        <f>IF(B40="","",IF(Y40&lt;&gt;"都市ガス",VLOOKUP(B40,非_係数!$B$42:$D$55,2,FALSE),""))</f>
        <v/>
      </c>
      <c r="J40" s="368"/>
      <c r="K40" s="435" t="str">
        <f t="shared" si="6"/>
        <v/>
      </c>
      <c r="L40" s="190" t="str">
        <f t="shared" si="7"/>
        <v/>
      </c>
      <c r="M40" s="368"/>
      <c r="N40" s="418"/>
      <c r="O40" s="368"/>
      <c r="P40" s="368"/>
      <c r="Q40" s="413"/>
      <c r="R40" s="443"/>
      <c r="S40" s="540" t="str">
        <f t="shared" si="23"/>
        <v/>
      </c>
      <c r="T40" s="399" t="str">
        <f t="shared" si="39"/>
        <v/>
      </c>
      <c r="U40" s="399" t="str">
        <f>IF(B40="","",VLOOKUP(B40,非_単位!$N$38:$O$53,2,FALSE))</f>
        <v/>
      </c>
      <c r="V40" s="540" t="str">
        <f t="shared" si="40"/>
        <v/>
      </c>
      <c r="W40" s="541" t="str">
        <f t="shared" si="41"/>
        <v/>
      </c>
      <c r="Y40" s="422" t="str">
        <f t="shared" si="0"/>
        <v/>
      </c>
      <c r="Z40" s="422" t="str">
        <f>IF(A40="","",IF(A40=非_燃料種類_選択リスト!$I$3,"一般送配電_種類",IF(A40=非_燃料種類_選択リスト!$I$4,"一般送配電以外_種類",IF(A40=非_燃料種類_選択リスト!$I$5,"熱_種類",IF(A40=非_燃料種類_選択リスト!$I$6,"都市ガス_種類","")))))</f>
        <v/>
      </c>
      <c r="AA40" s="422" t="str">
        <f>IF(Y40&lt;&gt;"電気","",非_電気事業者!$S$4*1000)</f>
        <v/>
      </c>
      <c r="AB40" s="422" t="str">
        <f>IF(Y40&lt;&gt;"電気","",IF(ISERROR(VLOOKUP(C40&amp;E40,非_電気事業者!$R$9:$S$2000,2,FALSE)),"要記入",VLOOKUP(C40&amp;E40,非_電気事業者!$R$9:$S$2000,2,FALSE)*1000))</f>
        <v/>
      </c>
      <c r="AC40" s="422" t="str">
        <f>IF(Y40&lt;&gt;"熱","",非_熱供給事業者!$T$4)</f>
        <v/>
      </c>
      <c r="AD40" s="422" t="str">
        <f>IF(Y40&lt;&gt;"熱","",IF(ISERROR(VLOOKUP(C40&amp;E40,非_熱供給事業者!$S$8:$T$200,2,FALSE)),"要記入",VLOOKUP(C40&amp;E40,非_熱供給事業者!$S$8:$T$200,2,FALSE)))</f>
        <v/>
      </c>
      <c r="AE40" s="422" t="str">
        <f>IF(Y40&lt;&gt;"都市ガス","",非_都市ガス事業者!$AB$4)</f>
        <v/>
      </c>
      <c r="AF40" s="422" t="str">
        <f>IF(Y40&lt;&gt;"都市ガス","",IF(ISERROR(VLOOKUP(C40&amp;E40,非_都市ガス事業者!$AA$8:$AB$200,2,FALSE)),"要記入",VLOOKUP(C40&amp;E40,非_都市ガス事業者!$AA$8:$AB$200,2,FALSE)))</f>
        <v/>
      </c>
      <c r="AG40" s="422" t="str">
        <f t="shared" si="1"/>
        <v/>
      </c>
      <c r="AH40" s="422" t="str">
        <f t="shared" si="42"/>
        <v/>
      </c>
      <c r="AI40" s="482" t="b">
        <f t="shared" si="12"/>
        <v>1</v>
      </c>
      <c r="AJ40" s="422" t="str">
        <f>IF(P40="","",VLOOKUP(P40,非_単位補正換算!$B$3:$C$16,2,FALSE))</f>
        <v/>
      </c>
      <c r="AK40" s="422" t="str">
        <f>IF(Y40="","",IF(Y40&lt;&gt;"都市ガス",1,IF(F40="","",SUMIFS(非_単位補正換算!$D$52:$D$63,非_単位補正換算!$B$52:$B$63,"都市ガス"&amp;F40,非_単位補正換算!$C$52:$C$63,電気・熱_都市ガス!P40))))</f>
        <v/>
      </c>
      <c r="AL40" s="479" t="str">
        <f t="shared" si="13"/>
        <v/>
      </c>
      <c r="AM40" s="422" t="str">
        <f t="shared" si="2"/>
        <v/>
      </c>
      <c r="AN40" s="422" t="str">
        <f t="shared" si="3"/>
        <v/>
      </c>
      <c r="AO40" s="422" t="str">
        <f>IF(B40="","",VLOOKUP(B40,非_まとめ表行番号!$F$3:$H$12,2,FALSE))</f>
        <v/>
      </c>
      <c r="AP40" s="485" t="b">
        <f t="shared" si="14"/>
        <v>1</v>
      </c>
      <c r="AQ40" s="582" t="str">
        <f>IF(Y40="","",IF(Y40&lt;&gt;"都市ガス",1,非_係数!$G$55))</f>
        <v/>
      </c>
      <c r="AR40" s="422" t="str">
        <f t="shared" si="43"/>
        <v/>
      </c>
      <c r="AS40" s="422" t="str">
        <f t="shared" si="4"/>
        <v/>
      </c>
      <c r="AT40" s="422" t="str">
        <f>IF(B40="","",VLOOKUP(B40,非_係数!$B$42:$K$55,9,FALSE))</f>
        <v/>
      </c>
      <c r="AU40" s="422" t="str">
        <f t="shared" si="44"/>
        <v/>
      </c>
      <c r="AV40" s="422" t="str">
        <f>IF(B40="","",VLOOKUP(B40,非_まとめ表行番号!$F$3:$H$12,3,FALSE))</f>
        <v/>
      </c>
      <c r="AW40" s="422" t="str">
        <f t="shared" si="5"/>
        <v/>
      </c>
      <c r="AY40" s="479" t="str">
        <f>IF(AO40="","",VLOOKUP(AO40,非_まとめ表行番号!$U$3:$V$56,2,FALSE))</f>
        <v/>
      </c>
      <c r="AZ40" s="479" t="str">
        <f t="shared" si="17"/>
        <v/>
      </c>
      <c r="BA40" s="479" t="str">
        <f t="shared" si="17"/>
        <v/>
      </c>
      <c r="BB40" s="479" t="str">
        <f t="shared" si="18"/>
        <v/>
      </c>
      <c r="BC40" s="479" t="str">
        <f t="shared" si="19"/>
        <v/>
      </c>
      <c r="BD40" s="479" t="str">
        <f t="shared" si="20"/>
        <v/>
      </c>
      <c r="BE40" s="479" t="str">
        <f t="shared" si="20"/>
        <v/>
      </c>
      <c r="BF40" s="479" t="str">
        <f t="shared" si="21"/>
        <v/>
      </c>
      <c r="BG40" s="580" t="str">
        <f t="shared" si="22"/>
        <v/>
      </c>
    </row>
    <row r="41" spans="1:59" ht="18.75" customHeight="1">
      <c r="A41" s="460"/>
      <c r="B41" s="368"/>
      <c r="C41" s="368"/>
      <c r="D41" s="368"/>
      <c r="E41" s="368"/>
      <c r="F41" s="368"/>
      <c r="G41" s="558" t="str">
        <f>IF(Y41&lt;&gt;"都市ガス","",IF(ISERROR(VLOOKUP(C41,非_都市ガス事業者!$O$8:$P$200,2,FALSE)),"",VLOOKUP(C41,非_都市ガス事業者!$O$8:$P$200,2,FALSE)))</f>
        <v/>
      </c>
      <c r="H41" s="559" t="str">
        <f>IF(Y41&lt;&gt;"都市ガス","",非_都市ガス事業者!$P$4)</f>
        <v/>
      </c>
      <c r="I41" s="560" t="str">
        <f>IF(B41="","",IF(Y41&lt;&gt;"都市ガス",VLOOKUP(B41,非_係数!$B$42:$D$55,2,FALSE),""))</f>
        <v/>
      </c>
      <c r="J41" s="368"/>
      <c r="K41" s="435" t="str">
        <f t="shared" si="6"/>
        <v/>
      </c>
      <c r="L41" s="190" t="str">
        <f t="shared" si="7"/>
        <v/>
      </c>
      <c r="M41" s="368"/>
      <c r="N41" s="418"/>
      <c r="O41" s="368"/>
      <c r="P41" s="368"/>
      <c r="Q41" s="413"/>
      <c r="R41" s="443"/>
      <c r="S41" s="540" t="str">
        <f t="shared" si="23"/>
        <v/>
      </c>
      <c r="T41" s="399" t="str">
        <f t="shared" ref="T41:T46" si="45">AL41</f>
        <v/>
      </c>
      <c r="U41" s="399" t="str">
        <f>IF(B41="","",VLOOKUP(B41,非_単位!$N$38:$O$53,2,FALSE))</f>
        <v/>
      </c>
      <c r="V41" s="540" t="str">
        <f t="shared" ref="V41:V46" si="46">AM41</f>
        <v/>
      </c>
      <c r="W41" s="541" t="str">
        <f t="shared" ref="W41:W46" si="47">AN41</f>
        <v/>
      </c>
      <c r="Y41" s="422" t="str">
        <f t="shared" si="0"/>
        <v/>
      </c>
      <c r="Z41" s="422" t="str">
        <f>IF(A41="","",IF(A41=非_燃料種類_選択リスト!$I$3,"一般送配電_種類",IF(A41=非_燃料種類_選択リスト!$I$4,"一般送配電以外_種類",IF(A41=非_燃料種類_選択リスト!$I$5,"熱_種類",IF(A41=非_燃料種類_選択リスト!$I$6,"都市ガス_種類","")))))</f>
        <v/>
      </c>
      <c r="AA41" s="422" t="str">
        <f>IF(Y41&lt;&gt;"電気","",非_電気事業者!$S$4*1000)</f>
        <v/>
      </c>
      <c r="AB41" s="422" t="str">
        <f>IF(Y41&lt;&gt;"電気","",IF(ISERROR(VLOOKUP(C41&amp;E41,非_電気事業者!$R$9:$S$2000,2,FALSE)),"要記入",VLOOKUP(C41&amp;E41,非_電気事業者!$R$9:$S$2000,2,FALSE)*1000))</f>
        <v/>
      </c>
      <c r="AC41" s="422" t="str">
        <f>IF(Y41&lt;&gt;"熱","",非_熱供給事業者!$T$4)</f>
        <v/>
      </c>
      <c r="AD41" s="422" t="str">
        <f>IF(Y41&lt;&gt;"熱","",IF(ISERROR(VLOOKUP(C41&amp;E41,非_熱供給事業者!$S$8:$T$200,2,FALSE)),"要記入",VLOOKUP(C41&amp;E41,非_熱供給事業者!$S$8:$T$200,2,FALSE)))</f>
        <v/>
      </c>
      <c r="AE41" s="422" t="str">
        <f>IF(Y41&lt;&gt;"都市ガス","",非_都市ガス事業者!$AB$4)</f>
        <v/>
      </c>
      <c r="AF41" s="422" t="str">
        <f>IF(Y41&lt;&gt;"都市ガス","",IF(ISERROR(VLOOKUP(C41&amp;E41,非_都市ガス事業者!$AA$8:$AB$200,2,FALSE)),"要記入",VLOOKUP(C41&amp;E41,非_都市ガス事業者!$AA$8:$AB$200,2,FALSE)))</f>
        <v/>
      </c>
      <c r="AG41" s="422" t="str">
        <f t="shared" si="1"/>
        <v/>
      </c>
      <c r="AH41" s="422" t="str">
        <f t="shared" ref="AH41:AH46" si="48">IF(Y41="電気","t-CO2/千kWh",IF(Y41="熱","t-CO2/GJ",IF(Y41="都市ガス","t-CO2/千m3(SATP)","")))</f>
        <v/>
      </c>
      <c r="AI41" s="482" t="b">
        <f t="shared" si="12"/>
        <v>1</v>
      </c>
      <c r="AJ41" s="422" t="str">
        <f>IF(P41="","",VLOOKUP(P41,非_単位補正換算!$B$3:$C$16,2,FALSE))</f>
        <v/>
      </c>
      <c r="AK41" s="422" t="str">
        <f>IF(Y41="","",IF(Y41&lt;&gt;"都市ガス",1,IF(F41="","",SUMIFS(非_単位補正換算!$D$52:$D$63,非_単位補正換算!$B$52:$B$63,"都市ガス"&amp;F41,非_単位補正換算!$C$52:$C$63,電気・熱_都市ガス!P41))))</f>
        <v/>
      </c>
      <c r="AL41" s="479" t="str">
        <f t="shared" si="13"/>
        <v/>
      </c>
      <c r="AM41" s="422" t="str">
        <f t="shared" si="2"/>
        <v/>
      </c>
      <c r="AN41" s="422" t="str">
        <f t="shared" si="3"/>
        <v/>
      </c>
      <c r="AO41" s="422" t="str">
        <f>IF(B41="","",VLOOKUP(B41,非_まとめ表行番号!$F$3:$H$12,2,FALSE))</f>
        <v/>
      </c>
      <c r="AP41" s="485" t="b">
        <f t="shared" si="14"/>
        <v>1</v>
      </c>
      <c r="AQ41" s="582" t="str">
        <f>IF(Y41="","",IF(Y41&lt;&gt;"都市ガス",1,非_係数!$G$55))</f>
        <v/>
      </c>
      <c r="AR41" s="422" t="str">
        <f t="shared" ref="AR41:AR46" si="49">IF(AL41="","",AL41*AQ41)</f>
        <v/>
      </c>
      <c r="AS41" s="422" t="str">
        <f t="shared" si="4"/>
        <v/>
      </c>
      <c r="AT41" s="422" t="str">
        <f>IF(B41="","",VLOOKUP(B41,非_係数!$B$42:$K$55,9,FALSE))</f>
        <v/>
      </c>
      <c r="AU41" s="422" t="str">
        <f t="shared" ref="AU41:AU46" si="50">IF(AND(AR41&lt;&gt;"",AT41&lt;&gt;""),IF(Y41&lt;&gt;"都市ガス",AR41*AT41,AS41*AT41*44/12),"")</f>
        <v/>
      </c>
      <c r="AV41" s="422" t="str">
        <f>IF(B41="","",VLOOKUP(B41,非_まとめ表行番号!$F$3:$H$12,3,FALSE))</f>
        <v/>
      </c>
      <c r="AW41" s="422" t="str">
        <f t="shared" si="5"/>
        <v/>
      </c>
      <c r="AY41" s="479" t="str">
        <f>IF(AO41="","",VLOOKUP(AO41,非_まとめ表行番号!$U$3:$V$56,2,FALSE))</f>
        <v/>
      </c>
      <c r="AZ41" s="479" t="str">
        <f t="shared" si="17"/>
        <v/>
      </c>
      <c r="BA41" s="479" t="str">
        <f t="shared" si="17"/>
        <v/>
      </c>
      <c r="BB41" s="479" t="str">
        <f t="shared" si="18"/>
        <v/>
      </c>
      <c r="BC41" s="479" t="str">
        <f t="shared" si="19"/>
        <v/>
      </c>
      <c r="BD41" s="479" t="str">
        <f t="shared" si="20"/>
        <v/>
      </c>
      <c r="BE41" s="479" t="str">
        <f t="shared" si="20"/>
        <v/>
      </c>
      <c r="BF41" s="479" t="str">
        <f t="shared" si="21"/>
        <v/>
      </c>
      <c r="BG41" s="580" t="str">
        <f t="shared" si="22"/>
        <v/>
      </c>
    </row>
    <row r="42" spans="1:59" ht="18.75" customHeight="1">
      <c r="A42" s="460"/>
      <c r="B42" s="368"/>
      <c r="C42" s="368"/>
      <c r="D42" s="368"/>
      <c r="E42" s="368"/>
      <c r="F42" s="368"/>
      <c r="G42" s="558" t="str">
        <f>IF(Y42&lt;&gt;"都市ガス","",IF(ISERROR(VLOOKUP(C42,非_都市ガス事業者!$O$8:$P$200,2,FALSE)),"",VLOOKUP(C42,非_都市ガス事業者!$O$8:$P$200,2,FALSE)))</f>
        <v/>
      </c>
      <c r="H42" s="559" t="str">
        <f>IF(Y42&lt;&gt;"都市ガス","",非_都市ガス事業者!$P$4)</f>
        <v/>
      </c>
      <c r="I42" s="560" t="str">
        <f>IF(B42="","",IF(Y42&lt;&gt;"都市ガス",VLOOKUP(B42,非_係数!$B$42:$D$55,2,FALSE),""))</f>
        <v/>
      </c>
      <c r="J42" s="368"/>
      <c r="K42" s="435" t="str">
        <f t="shared" si="6"/>
        <v/>
      </c>
      <c r="L42" s="190" t="str">
        <f t="shared" ref="L42:L46" si="51">AH42</f>
        <v/>
      </c>
      <c r="M42" s="368"/>
      <c r="N42" s="418"/>
      <c r="O42" s="368"/>
      <c r="P42" s="368"/>
      <c r="Q42" s="413"/>
      <c r="R42" s="443"/>
      <c r="S42" s="540" t="str">
        <f t="shared" si="23"/>
        <v/>
      </c>
      <c r="T42" s="399" t="str">
        <f t="shared" si="45"/>
        <v/>
      </c>
      <c r="U42" s="399" t="str">
        <f>IF(B42="","",VLOOKUP(B42,非_単位!$N$38:$O$53,2,FALSE))</f>
        <v/>
      </c>
      <c r="V42" s="540" t="str">
        <f t="shared" si="46"/>
        <v/>
      </c>
      <c r="W42" s="541" t="str">
        <f t="shared" si="47"/>
        <v/>
      </c>
      <c r="Y42" s="422" t="str">
        <f t="shared" si="0"/>
        <v/>
      </c>
      <c r="Z42" s="422" t="str">
        <f>IF(A42="","",IF(A42=非_燃料種類_選択リスト!$I$3,"一般送配電_種類",IF(A42=非_燃料種類_選択リスト!$I$4,"一般送配電以外_種類",IF(A42=非_燃料種類_選択リスト!$I$5,"熱_種類",IF(A42=非_燃料種類_選択リスト!$I$6,"都市ガス_種類","")))))</f>
        <v/>
      </c>
      <c r="AA42" s="422" t="str">
        <f>IF(Y42&lt;&gt;"電気","",非_電気事業者!$S$4*1000)</f>
        <v/>
      </c>
      <c r="AB42" s="422" t="str">
        <f>IF(Y42&lt;&gt;"電気","",IF(ISERROR(VLOOKUP(C42&amp;E42,非_電気事業者!$R$9:$S$2000,2,FALSE)),"要記入",VLOOKUP(C42&amp;E42,非_電気事業者!$R$9:$S$2000,2,FALSE)*1000))</f>
        <v/>
      </c>
      <c r="AC42" s="422" t="str">
        <f>IF(Y42&lt;&gt;"熱","",非_熱供給事業者!$T$4)</f>
        <v/>
      </c>
      <c r="AD42" s="422" t="str">
        <f>IF(Y42&lt;&gt;"熱","",IF(ISERROR(VLOOKUP(C42&amp;E42,非_熱供給事業者!$S$8:$T$200,2,FALSE)),"要記入",VLOOKUP(C42&amp;E42,非_熱供給事業者!$S$8:$T$200,2,FALSE)))</f>
        <v/>
      </c>
      <c r="AE42" s="422" t="str">
        <f>IF(Y42&lt;&gt;"都市ガス","",非_都市ガス事業者!$AB$4)</f>
        <v/>
      </c>
      <c r="AF42" s="422" t="str">
        <f>IF(Y42&lt;&gt;"都市ガス","",IF(ISERROR(VLOOKUP(C42&amp;E42,非_都市ガス事業者!$AA$8:$AB$200,2,FALSE)),"要記入",VLOOKUP(C42&amp;E42,非_都市ガス事業者!$AA$8:$AB$200,2,FALSE)))</f>
        <v/>
      </c>
      <c r="AG42" s="422" t="str">
        <f t="shared" si="1"/>
        <v/>
      </c>
      <c r="AH42" s="422" t="str">
        <f t="shared" si="48"/>
        <v/>
      </c>
      <c r="AI42" s="482" t="b">
        <f t="shared" si="12"/>
        <v>1</v>
      </c>
      <c r="AJ42" s="422" t="str">
        <f>IF(P42="","",VLOOKUP(P42,非_単位補正換算!$B$3:$C$16,2,FALSE))</f>
        <v/>
      </c>
      <c r="AK42" s="422" t="str">
        <f>IF(Y42="","",IF(Y42&lt;&gt;"都市ガス",1,IF(F42="","",SUMIFS(非_単位補正換算!$D$52:$D$63,非_単位補正換算!$B$52:$B$63,"都市ガス"&amp;F42,非_単位補正換算!$C$52:$C$63,電気・熱_都市ガス!P42))))</f>
        <v/>
      </c>
      <c r="AL42" s="479" t="str">
        <f t="shared" si="13"/>
        <v/>
      </c>
      <c r="AM42" s="422" t="str">
        <f t="shared" si="2"/>
        <v/>
      </c>
      <c r="AN42" s="422" t="str">
        <f t="shared" si="3"/>
        <v/>
      </c>
      <c r="AO42" s="422" t="str">
        <f>IF(B42="","",VLOOKUP(B42,非_まとめ表行番号!$F$3:$H$12,2,FALSE))</f>
        <v/>
      </c>
      <c r="AP42" s="485" t="b">
        <f t="shared" si="14"/>
        <v>1</v>
      </c>
      <c r="AQ42" s="582" t="str">
        <f>IF(Y42="","",IF(Y42&lt;&gt;"都市ガス",1,非_係数!$G$55))</f>
        <v/>
      </c>
      <c r="AR42" s="422" t="str">
        <f t="shared" si="49"/>
        <v/>
      </c>
      <c r="AS42" s="422" t="str">
        <f t="shared" si="4"/>
        <v/>
      </c>
      <c r="AT42" s="422" t="str">
        <f>IF(B42="","",VLOOKUP(B42,非_係数!$B$42:$K$55,9,FALSE))</f>
        <v/>
      </c>
      <c r="AU42" s="422" t="str">
        <f t="shared" si="50"/>
        <v/>
      </c>
      <c r="AV42" s="422" t="str">
        <f>IF(B42="","",VLOOKUP(B42,非_まとめ表行番号!$F$3:$H$12,3,FALSE))</f>
        <v/>
      </c>
      <c r="AW42" s="422" t="str">
        <f t="shared" si="5"/>
        <v/>
      </c>
      <c r="AY42" s="479" t="str">
        <f>IF(AO42="","",VLOOKUP(AO42,非_まとめ表行番号!$U$3:$V$56,2,FALSE))</f>
        <v/>
      </c>
      <c r="AZ42" s="479" t="str">
        <f t="shared" si="17"/>
        <v/>
      </c>
      <c r="BA42" s="479" t="str">
        <f t="shared" si="17"/>
        <v/>
      </c>
      <c r="BB42" s="479" t="str">
        <f t="shared" si="18"/>
        <v/>
      </c>
      <c r="BC42" s="479" t="str">
        <f t="shared" si="19"/>
        <v/>
      </c>
      <c r="BD42" s="479" t="str">
        <f t="shared" si="20"/>
        <v/>
      </c>
      <c r="BE42" s="479" t="str">
        <f t="shared" si="20"/>
        <v/>
      </c>
      <c r="BF42" s="479" t="str">
        <f t="shared" si="21"/>
        <v/>
      </c>
      <c r="BG42" s="580" t="str">
        <f t="shared" si="22"/>
        <v/>
      </c>
    </row>
    <row r="43" spans="1:59" ht="18.75" customHeight="1">
      <c r="A43" s="460"/>
      <c r="B43" s="368"/>
      <c r="C43" s="368"/>
      <c r="D43" s="368"/>
      <c r="E43" s="368"/>
      <c r="F43" s="368"/>
      <c r="G43" s="558" t="str">
        <f>IF(Y43&lt;&gt;"都市ガス","",IF(ISERROR(VLOOKUP(C43,非_都市ガス事業者!$O$8:$P$200,2,FALSE)),"",VLOOKUP(C43,非_都市ガス事業者!$O$8:$P$200,2,FALSE)))</f>
        <v/>
      </c>
      <c r="H43" s="559" t="str">
        <f>IF(Y43&lt;&gt;"都市ガス","",非_都市ガス事業者!$P$4)</f>
        <v/>
      </c>
      <c r="I43" s="560" t="str">
        <f>IF(B43="","",IF(Y43&lt;&gt;"都市ガス",VLOOKUP(B43,非_係数!$B$42:$D$55,2,FALSE),""))</f>
        <v/>
      </c>
      <c r="J43" s="368"/>
      <c r="K43" s="435" t="str">
        <f t="shared" si="6"/>
        <v/>
      </c>
      <c r="L43" s="190" t="str">
        <f t="shared" si="51"/>
        <v/>
      </c>
      <c r="M43" s="368"/>
      <c r="N43" s="418"/>
      <c r="O43" s="368"/>
      <c r="P43" s="368"/>
      <c r="Q43" s="413"/>
      <c r="R43" s="443"/>
      <c r="S43" s="540" t="str">
        <f t="shared" si="23"/>
        <v/>
      </c>
      <c r="T43" s="399" t="str">
        <f t="shared" si="45"/>
        <v/>
      </c>
      <c r="U43" s="399" t="str">
        <f>IF(B43="","",VLOOKUP(B43,非_単位!$N$38:$O$53,2,FALSE))</f>
        <v/>
      </c>
      <c r="V43" s="540" t="str">
        <f t="shared" si="46"/>
        <v/>
      </c>
      <c r="W43" s="541" t="str">
        <f t="shared" si="47"/>
        <v/>
      </c>
      <c r="Y43" s="422" t="str">
        <f t="shared" si="0"/>
        <v/>
      </c>
      <c r="Z43" s="422" t="str">
        <f>IF(A43="","",IF(A43=非_燃料種類_選択リスト!$I$3,"一般送配電_種類",IF(A43=非_燃料種類_選択リスト!$I$4,"一般送配電以外_種類",IF(A43=非_燃料種類_選択リスト!$I$5,"熱_種類",IF(A43=非_燃料種類_選択リスト!$I$6,"都市ガス_種類","")))))</f>
        <v/>
      </c>
      <c r="AA43" s="422" t="str">
        <f>IF(Y43&lt;&gt;"電気","",非_電気事業者!$S$4*1000)</f>
        <v/>
      </c>
      <c r="AB43" s="422" t="str">
        <f>IF(Y43&lt;&gt;"電気","",IF(ISERROR(VLOOKUP(C43&amp;E43,非_電気事業者!$R$9:$S$2000,2,FALSE)),"要記入",VLOOKUP(C43&amp;E43,非_電気事業者!$R$9:$S$2000,2,FALSE)*1000))</f>
        <v/>
      </c>
      <c r="AC43" s="422" t="str">
        <f>IF(Y43&lt;&gt;"熱","",非_熱供給事業者!$T$4)</f>
        <v/>
      </c>
      <c r="AD43" s="422" t="str">
        <f>IF(Y43&lt;&gt;"熱","",IF(ISERROR(VLOOKUP(C43&amp;E43,非_熱供給事業者!$S$8:$T$200,2,FALSE)),"要記入",VLOOKUP(C43&amp;E43,非_熱供給事業者!$S$8:$T$200,2,FALSE)))</f>
        <v/>
      </c>
      <c r="AE43" s="422" t="str">
        <f>IF(Y43&lt;&gt;"都市ガス","",非_都市ガス事業者!$AB$4)</f>
        <v/>
      </c>
      <c r="AF43" s="422" t="str">
        <f>IF(Y43&lt;&gt;"都市ガス","",IF(ISERROR(VLOOKUP(C43&amp;E43,非_都市ガス事業者!$AA$8:$AB$200,2,FALSE)),"要記入",VLOOKUP(C43&amp;E43,非_都市ガス事業者!$AA$8:$AB$200,2,FALSE)))</f>
        <v/>
      </c>
      <c r="AG43" s="422" t="str">
        <f t="shared" si="1"/>
        <v/>
      </c>
      <c r="AH43" s="422" t="str">
        <f t="shared" si="48"/>
        <v/>
      </c>
      <c r="AI43" s="482" t="b">
        <f t="shared" si="12"/>
        <v>1</v>
      </c>
      <c r="AJ43" s="422" t="str">
        <f>IF(P43="","",VLOOKUP(P43,非_単位補正換算!$B$3:$C$16,2,FALSE))</f>
        <v/>
      </c>
      <c r="AK43" s="422" t="str">
        <f>IF(Y43="","",IF(Y43&lt;&gt;"都市ガス",1,IF(F43="","",SUMIFS(非_単位補正換算!$D$52:$D$63,非_単位補正換算!$B$52:$B$63,"都市ガス"&amp;F43,非_単位補正換算!$C$52:$C$63,電気・熱_都市ガス!P43))))</f>
        <v/>
      </c>
      <c r="AL43" s="479" t="str">
        <f t="shared" si="13"/>
        <v/>
      </c>
      <c r="AM43" s="422" t="str">
        <f t="shared" si="2"/>
        <v/>
      </c>
      <c r="AN43" s="422" t="str">
        <f t="shared" si="3"/>
        <v/>
      </c>
      <c r="AO43" s="422" t="str">
        <f>IF(B43="","",VLOOKUP(B43,非_まとめ表行番号!$F$3:$H$12,2,FALSE))</f>
        <v/>
      </c>
      <c r="AP43" s="485" t="b">
        <f t="shared" si="14"/>
        <v>1</v>
      </c>
      <c r="AQ43" s="582" t="str">
        <f>IF(Y43="","",IF(Y43&lt;&gt;"都市ガス",1,非_係数!$G$55))</f>
        <v/>
      </c>
      <c r="AR43" s="422" t="str">
        <f t="shared" si="49"/>
        <v/>
      </c>
      <c r="AS43" s="422" t="str">
        <f t="shared" si="4"/>
        <v/>
      </c>
      <c r="AT43" s="422" t="str">
        <f>IF(B43="","",VLOOKUP(B43,非_係数!$B$42:$K$55,9,FALSE))</f>
        <v/>
      </c>
      <c r="AU43" s="422" t="str">
        <f t="shared" si="50"/>
        <v/>
      </c>
      <c r="AV43" s="422" t="str">
        <f>IF(B43="","",VLOOKUP(B43,非_まとめ表行番号!$F$3:$H$12,3,FALSE))</f>
        <v/>
      </c>
      <c r="AW43" s="422" t="str">
        <f t="shared" si="5"/>
        <v/>
      </c>
      <c r="AY43" s="479" t="str">
        <f>IF(AO43="","",VLOOKUP(AO43,非_まとめ表行番号!$U$3:$V$56,2,FALSE))</f>
        <v/>
      </c>
      <c r="AZ43" s="479" t="str">
        <f t="shared" si="17"/>
        <v/>
      </c>
      <c r="BA43" s="479" t="str">
        <f t="shared" si="17"/>
        <v/>
      </c>
      <c r="BB43" s="479" t="str">
        <f t="shared" si="18"/>
        <v/>
      </c>
      <c r="BC43" s="479" t="str">
        <f t="shared" si="19"/>
        <v/>
      </c>
      <c r="BD43" s="479" t="str">
        <f t="shared" si="20"/>
        <v/>
      </c>
      <c r="BE43" s="479" t="str">
        <f t="shared" si="20"/>
        <v/>
      </c>
      <c r="BF43" s="479" t="str">
        <f t="shared" si="21"/>
        <v/>
      </c>
      <c r="BG43" s="580" t="str">
        <f t="shared" si="22"/>
        <v/>
      </c>
    </row>
    <row r="44" spans="1:59" ht="18.75" customHeight="1">
      <c r="A44" s="460"/>
      <c r="B44" s="368"/>
      <c r="C44" s="368"/>
      <c r="D44" s="368"/>
      <c r="E44" s="368"/>
      <c r="F44" s="368"/>
      <c r="G44" s="558" t="str">
        <f>IF(Y44&lt;&gt;"都市ガス","",IF(ISERROR(VLOOKUP(C44,非_都市ガス事業者!$O$8:$P$200,2,FALSE)),"",VLOOKUP(C44,非_都市ガス事業者!$O$8:$P$200,2,FALSE)))</f>
        <v/>
      </c>
      <c r="H44" s="559" t="str">
        <f>IF(Y44&lt;&gt;"都市ガス","",非_都市ガス事業者!$P$4)</f>
        <v/>
      </c>
      <c r="I44" s="560" t="str">
        <f>IF(B44="","",IF(Y44&lt;&gt;"都市ガス",VLOOKUP(B44,非_係数!$B$42:$D$55,2,FALSE),""))</f>
        <v/>
      </c>
      <c r="J44" s="368"/>
      <c r="K44" s="435" t="str">
        <f t="shared" si="6"/>
        <v/>
      </c>
      <c r="L44" s="190" t="str">
        <f t="shared" si="51"/>
        <v/>
      </c>
      <c r="M44" s="368"/>
      <c r="N44" s="418"/>
      <c r="O44" s="368"/>
      <c r="P44" s="368"/>
      <c r="Q44" s="413"/>
      <c r="R44" s="443"/>
      <c r="S44" s="540" t="str">
        <f t="shared" si="23"/>
        <v/>
      </c>
      <c r="T44" s="399" t="str">
        <f t="shared" si="45"/>
        <v/>
      </c>
      <c r="U44" s="399" t="str">
        <f>IF(B44="","",VLOOKUP(B44,非_単位!$N$38:$O$53,2,FALSE))</f>
        <v/>
      </c>
      <c r="V44" s="540" t="str">
        <f t="shared" si="46"/>
        <v/>
      </c>
      <c r="W44" s="541" t="str">
        <f t="shared" si="47"/>
        <v/>
      </c>
      <c r="Y44" s="422" t="str">
        <f t="shared" si="0"/>
        <v/>
      </c>
      <c r="Z44" s="422" t="str">
        <f>IF(A44="","",IF(A44=非_燃料種類_選択リスト!$I$3,"一般送配電_種類",IF(A44=非_燃料種類_選択リスト!$I$4,"一般送配電以外_種類",IF(A44=非_燃料種類_選択リスト!$I$5,"熱_種類",IF(A44=非_燃料種類_選択リスト!$I$6,"都市ガス_種類","")))))</f>
        <v/>
      </c>
      <c r="AA44" s="422" t="str">
        <f>IF(Y44&lt;&gt;"電気","",非_電気事業者!$S$4*1000)</f>
        <v/>
      </c>
      <c r="AB44" s="422" t="str">
        <f>IF(Y44&lt;&gt;"電気","",IF(ISERROR(VLOOKUP(C44&amp;E44,非_電気事業者!$R$9:$S$2000,2,FALSE)),"要記入",VLOOKUP(C44&amp;E44,非_電気事業者!$R$9:$S$2000,2,FALSE)*1000))</f>
        <v/>
      </c>
      <c r="AC44" s="422" t="str">
        <f>IF(Y44&lt;&gt;"熱","",非_熱供給事業者!$T$4)</f>
        <v/>
      </c>
      <c r="AD44" s="422" t="str">
        <f>IF(Y44&lt;&gt;"熱","",IF(ISERROR(VLOOKUP(C44&amp;E44,非_熱供給事業者!$S$8:$T$200,2,FALSE)),"要記入",VLOOKUP(C44&amp;E44,非_熱供給事業者!$S$8:$T$200,2,FALSE)))</f>
        <v/>
      </c>
      <c r="AE44" s="422" t="str">
        <f>IF(Y44&lt;&gt;"都市ガス","",非_都市ガス事業者!$AB$4)</f>
        <v/>
      </c>
      <c r="AF44" s="422" t="str">
        <f>IF(Y44&lt;&gt;"都市ガス","",IF(ISERROR(VLOOKUP(C44&amp;E44,非_都市ガス事業者!$AA$8:$AB$200,2,FALSE)),"要記入",VLOOKUP(C44&amp;E44,非_都市ガス事業者!$AA$8:$AB$200,2,FALSE)))</f>
        <v/>
      </c>
      <c r="AG44" s="422" t="str">
        <f t="shared" si="1"/>
        <v/>
      </c>
      <c r="AH44" s="422" t="str">
        <f t="shared" si="48"/>
        <v/>
      </c>
      <c r="AI44" s="482" t="b">
        <f t="shared" si="12"/>
        <v>1</v>
      </c>
      <c r="AJ44" s="422" t="str">
        <f>IF(P44="","",VLOOKUP(P44,非_単位補正換算!$B$3:$C$16,2,FALSE))</f>
        <v/>
      </c>
      <c r="AK44" s="422" t="str">
        <f>IF(Y44="","",IF(Y44&lt;&gt;"都市ガス",1,IF(F44="","",SUMIFS(非_単位補正換算!$D$52:$D$63,非_単位補正換算!$B$52:$B$63,"都市ガス"&amp;F44,非_単位補正換算!$C$52:$C$63,電気・熱_都市ガス!P44))))</f>
        <v/>
      </c>
      <c r="AL44" s="479" t="str">
        <f t="shared" si="13"/>
        <v/>
      </c>
      <c r="AM44" s="422" t="str">
        <f t="shared" si="2"/>
        <v/>
      </c>
      <c r="AN44" s="422" t="str">
        <f t="shared" si="3"/>
        <v/>
      </c>
      <c r="AO44" s="422" t="str">
        <f>IF(B44="","",VLOOKUP(B44,非_まとめ表行番号!$F$3:$H$12,2,FALSE))</f>
        <v/>
      </c>
      <c r="AP44" s="485" t="b">
        <f t="shared" si="14"/>
        <v>1</v>
      </c>
      <c r="AQ44" s="582" t="str">
        <f>IF(Y44="","",IF(Y44&lt;&gt;"都市ガス",1,非_係数!$G$55))</f>
        <v/>
      </c>
      <c r="AR44" s="422" t="str">
        <f t="shared" si="49"/>
        <v/>
      </c>
      <c r="AS44" s="422" t="str">
        <f t="shared" si="4"/>
        <v/>
      </c>
      <c r="AT44" s="422" t="str">
        <f>IF(B44="","",VLOOKUP(B44,非_係数!$B$42:$K$55,9,FALSE))</f>
        <v/>
      </c>
      <c r="AU44" s="422" t="str">
        <f t="shared" si="50"/>
        <v/>
      </c>
      <c r="AV44" s="422" t="str">
        <f>IF(B44="","",VLOOKUP(B44,非_まとめ表行番号!$F$3:$H$12,3,FALSE))</f>
        <v/>
      </c>
      <c r="AW44" s="422" t="str">
        <f t="shared" si="5"/>
        <v/>
      </c>
      <c r="AY44" s="479" t="str">
        <f>IF(AO44="","",VLOOKUP(AO44,非_まとめ表行番号!$U$3:$V$56,2,FALSE))</f>
        <v/>
      </c>
      <c r="AZ44" s="479" t="str">
        <f t="shared" si="17"/>
        <v/>
      </c>
      <c r="BA44" s="479" t="str">
        <f t="shared" si="17"/>
        <v/>
      </c>
      <c r="BB44" s="479" t="str">
        <f t="shared" si="18"/>
        <v/>
      </c>
      <c r="BC44" s="479" t="str">
        <f t="shared" si="19"/>
        <v/>
      </c>
      <c r="BD44" s="479" t="str">
        <f t="shared" si="20"/>
        <v/>
      </c>
      <c r="BE44" s="479" t="str">
        <f t="shared" si="20"/>
        <v/>
      </c>
      <c r="BF44" s="479" t="str">
        <f t="shared" si="21"/>
        <v/>
      </c>
      <c r="BG44" s="580" t="str">
        <f t="shared" si="22"/>
        <v/>
      </c>
    </row>
    <row r="45" spans="1:59" ht="18.75" customHeight="1">
      <c r="A45" s="460"/>
      <c r="B45" s="368"/>
      <c r="C45" s="368"/>
      <c r="D45" s="368"/>
      <c r="E45" s="368"/>
      <c r="F45" s="368"/>
      <c r="G45" s="558" t="str">
        <f>IF(Y45&lt;&gt;"都市ガス","",IF(ISERROR(VLOOKUP(C45,非_都市ガス事業者!$O$8:$P$200,2,FALSE)),"",VLOOKUP(C45,非_都市ガス事業者!$O$8:$P$200,2,FALSE)))</f>
        <v/>
      </c>
      <c r="H45" s="559" t="str">
        <f>IF(Y45&lt;&gt;"都市ガス","",非_都市ガス事業者!$P$4)</f>
        <v/>
      </c>
      <c r="I45" s="560" t="str">
        <f>IF(B45="","",IF(Y45&lt;&gt;"都市ガス",VLOOKUP(B45,非_係数!$B$42:$D$55,2,FALSE),""))</f>
        <v/>
      </c>
      <c r="J45" s="368"/>
      <c r="K45" s="435" t="str">
        <f t="shared" si="6"/>
        <v/>
      </c>
      <c r="L45" s="190" t="str">
        <f t="shared" si="51"/>
        <v/>
      </c>
      <c r="M45" s="368"/>
      <c r="N45" s="418"/>
      <c r="O45" s="368"/>
      <c r="P45" s="368"/>
      <c r="Q45" s="413"/>
      <c r="R45" s="443"/>
      <c r="S45" s="540" t="str">
        <f t="shared" si="23"/>
        <v/>
      </c>
      <c r="T45" s="399" t="str">
        <f t="shared" si="45"/>
        <v/>
      </c>
      <c r="U45" s="399" t="str">
        <f>IF(B45="","",VLOOKUP(B45,非_単位!$N$38:$O$53,2,FALSE))</f>
        <v/>
      </c>
      <c r="V45" s="540" t="str">
        <f t="shared" si="46"/>
        <v/>
      </c>
      <c r="W45" s="541" t="str">
        <f t="shared" si="47"/>
        <v/>
      </c>
      <c r="Y45" s="422" t="str">
        <f t="shared" si="0"/>
        <v/>
      </c>
      <c r="Z45" s="422" t="str">
        <f>IF(A45="","",IF(A45=非_燃料種類_選択リスト!$I$3,"一般送配電_種類",IF(A45=非_燃料種類_選択リスト!$I$4,"一般送配電以外_種類",IF(A45=非_燃料種類_選択リスト!$I$5,"熱_種類",IF(A45=非_燃料種類_選択リスト!$I$6,"都市ガス_種類","")))))</f>
        <v/>
      </c>
      <c r="AA45" s="422" t="str">
        <f>IF(Y45&lt;&gt;"電気","",非_電気事業者!$S$4*1000)</f>
        <v/>
      </c>
      <c r="AB45" s="422" t="str">
        <f>IF(Y45&lt;&gt;"電気","",IF(ISERROR(VLOOKUP(C45&amp;E45,非_電気事業者!$R$9:$S$2000,2,FALSE)),"要記入",VLOOKUP(C45&amp;E45,非_電気事業者!$R$9:$S$2000,2,FALSE)*1000))</f>
        <v/>
      </c>
      <c r="AC45" s="422" t="str">
        <f>IF(Y45&lt;&gt;"熱","",非_熱供給事業者!$T$4)</f>
        <v/>
      </c>
      <c r="AD45" s="422" t="str">
        <f>IF(Y45&lt;&gt;"熱","",IF(ISERROR(VLOOKUP(C45&amp;E45,非_熱供給事業者!$S$8:$T$200,2,FALSE)),"要記入",VLOOKUP(C45&amp;E45,非_熱供給事業者!$S$8:$T$200,2,FALSE)))</f>
        <v/>
      </c>
      <c r="AE45" s="422" t="str">
        <f>IF(Y45&lt;&gt;"都市ガス","",非_都市ガス事業者!$AB$4)</f>
        <v/>
      </c>
      <c r="AF45" s="422" t="str">
        <f>IF(Y45&lt;&gt;"都市ガス","",IF(ISERROR(VLOOKUP(C45&amp;E45,非_都市ガス事業者!$AA$8:$AB$200,2,FALSE)),"要記入",VLOOKUP(C45&amp;E45,非_都市ガス事業者!$AA$8:$AB$200,2,FALSE)))</f>
        <v/>
      </c>
      <c r="AG45" s="422" t="str">
        <f t="shared" si="1"/>
        <v/>
      </c>
      <c r="AH45" s="422" t="str">
        <f t="shared" si="48"/>
        <v/>
      </c>
      <c r="AI45" s="482" t="b">
        <f t="shared" si="12"/>
        <v>1</v>
      </c>
      <c r="AJ45" s="422" t="str">
        <f>IF(P45="","",VLOOKUP(P45,非_単位補正換算!$B$3:$C$16,2,FALSE))</f>
        <v/>
      </c>
      <c r="AK45" s="422" t="str">
        <f>IF(Y45="","",IF(Y45&lt;&gt;"都市ガス",1,IF(F45="","",SUMIFS(非_単位補正換算!$D$52:$D$63,非_単位補正換算!$B$52:$B$63,"都市ガス"&amp;F45,非_単位補正換算!$C$52:$C$63,電気・熱_都市ガス!P45))))</f>
        <v/>
      </c>
      <c r="AL45" s="479" t="str">
        <f t="shared" si="13"/>
        <v/>
      </c>
      <c r="AM45" s="422" t="str">
        <f t="shared" si="2"/>
        <v/>
      </c>
      <c r="AN45" s="422" t="str">
        <f t="shared" si="3"/>
        <v/>
      </c>
      <c r="AO45" s="422" t="str">
        <f>IF(B45="","",VLOOKUP(B45,非_まとめ表行番号!$F$3:$H$12,2,FALSE))</f>
        <v/>
      </c>
      <c r="AP45" s="485" t="b">
        <f t="shared" si="14"/>
        <v>1</v>
      </c>
      <c r="AQ45" s="582" t="str">
        <f>IF(Y45="","",IF(Y45&lt;&gt;"都市ガス",1,非_係数!$G$55))</f>
        <v/>
      </c>
      <c r="AR45" s="422" t="str">
        <f t="shared" si="49"/>
        <v/>
      </c>
      <c r="AS45" s="422" t="str">
        <f t="shared" si="4"/>
        <v/>
      </c>
      <c r="AT45" s="422" t="str">
        <f>IF(B45="","",VLOOKUP(B45,非_係数!$B$42:$K$55,9,FALSE))</f>
        <v/>
      </c>
      <c r="AU45" s="422" t="str">
        <f t="shared" si="50"/>
        <v/>
      </c>
      <c r="AV45" s="422" t="str">
        <f>IF(B45="","",VLOOKUP(B45,非_まとめ表行番号!$F$3:$H$12,3,FALSE))</f>
        <v/>
      </c>
      <c r="AW45" s="422" t="str">
        <f t="shared" si="5"/>
        <v/>
      </c>
      <c r="AY45" s="479" t="str">
        <f>IF(AO45="","",VLOOKUP(AO45,非_まとめ表行番号!$U$3:$V$56,2,FALSE))</f>
        <v/>
      </c>
      <c r="AZ45" s="479" t="str">
        <f t="shared" si="17"/>
        <v/>
      </c>
      <c r="BA45" s="479" t="str">
        <f t="shared" si="17"/>
        <v/>
      </c>
      <c r="BB45" s="479" t="str">
        <f t="shared" si="18"/>
        <v/>
      </c>
      <c r="BC45" s="479" t="str">
        <f t="shared" si="19"/>
        <v/>
      </c>
      <c r="BD45" s="479" t="str">
        <f t="shared" si="20"/>
        <v/>
      </c>
      <c r="BE45" s="479" t="str">
        <f t="shared" si="20"/>
        <v/>
      </c>
      <c r="BF45" s="479" t="str">
        <f t="shared" si="21"/>
        <v/>
      </c>
      <c r="BG45" s="580" t="str">
        <f t="shared" si="22"/>
        <v/>
      </c>
    </row>
    <row r="46" spans="1:59" ht="18.75" customHeight="1" thickBot="1">
      <c r="A46" s="460"/>
      <c r="B46" s="368"/>
      <c r="C46" s="368"/>
      <c r="D46" s="368"/>
      <c r="E46" s="368"/>
      <c r="F46" s="368"/>
      <c r="G46" s="558" t="str">
        <f>IF(Y46&lt;&gt;"都市ガス","",IF(ISERROR(VLOOKUP(C46,非_都市ガス事業者!$O$8:$P$200,2,FALSE)),"",VLOOKUP(C46,非_都市ガス事業者!$O$8:$P$200,2,FALSE)))</f>
        <v/>
      </c>
      <c r="H46" s="559" t="str">
        <f>IF(Y46&lt;&gt;"都市ガス","",非_都市ガス事業者!$P$4)</f>
        <v/>
      </c>
      <c r="I46" s="560" t="str">
        <f>IF(B46="","",IF(Y46&lt;&gt;"都市ガス",VLOOKUP(B46,非_係数!$B$42:$D$55,2,FALSE),""))</f>
        <v/>
      </c>
      <c r="J46" s="368"/>
      <c r="K46" s="435" t="str">
        <f t="shared" si="6"/>
        <v/>
      </c>
      <c r="L46" s="190" t="str">
        <f t="shared" si="51"/>
        <v/>
      </c>
      <c r="M46" s="368"/>
      <c r="N46" s="418"/>
      <c r="O46" s="368"/>
      <c r="P46" s="368"/>
      <c r="Q46" s="413"/>
      <c r="R46" s="471"/>
      <c r="S46" s="540" t="str">
        <f t="shared" si="23"/>
        <v/>
      </c>
      <c r="T46" s="399" t="str">
        <f t="shared" si="45"/>
        <v/>
      </c>
      <c r="U46" s="399" t="str">
        <f>IF(B46="","",VLOOKUP(B46,非_単位!$N$38:$O$53,2,FALSE))</f>
        <v/>
      </c>
      <c r="V46" s="540" t="str">
        <f t="shared" si="46"/>
        <v/>
      </c>
      <c r="W46" s="541" t="str">
        <f t="shared" si="47"/>
        <v/>
      </c>
      <c r="Y46" s="422" t="str">
        <f t="shared" si="0"/>
        <v/>
      </c>
      <c r="Z46" s="422" t="str">
        <f>IF(A46="","",IF(A46=非_燃料種類_選択リスト!$I$3,"一般送配電_種類",IF(A46=非_燃料種類_選択リスト!$I$4,"一般送配電以外_種類",IF(A46=非_燃料種類_選択リスト!$I$5,"熱_種類",IF(A46=非_燃料種類_選択リスト!$I$6,"都市ガス_種類","")))))</f>
        <v/>
      </c>
      <c r="AA46" s="422" t="str">
        <f>IF(Y46&lt;&gt;"電気","",非_電気事業者!$S$4*1000)</f>
        <v/>
      </c>
      <c r="AB46" s="422" t="str">
        <f>IF(Y46&lt;&gt;"電気","",IF(ISERROR(VLOOKUP(C46&amp;E46,非_電気事業者!$R$9:$S$2000,2,FALSE)),"要記入",VLOOKUP(C46&amp;E46,非_電気事業者!$R$9:$S$2000,2,FALSE)*1000))</f>
        <v/>
      </c>
      <c r="AC46" s="422" t="str">
        <f>IF(Y46&lt;&gt;"熱","",非_熱供給事業者!$T$4)</f>
        <v/>
      </c>
      <c r="AD46" s="422" t="str">
        <f>IF(Y46&lt;&gt;"熱","",IF(ISERROR(VLOOKUP(C46&amp;E46,非_熱供給事業者!$S$8:$T$200,2,FALSE)),"要記入",VLOOKUP(C46&amp;E46,非_熱供給事業者!$S$8:$T$200,2,FALSE)))</f>
        <v/>
      </c>
      <c r="AE46" s="422" t="str">
        <f>IF(Y46&lt;&gt;"都市ガス","",非_都市ガス事業者!$AB$4)</f>
        <v/>
      </c>
      <c r="AF46" s="422" t="str">
        <f>IF(Y46&lt;&gt;"都市ガス","",IF(ISERROR(VLOOKUP(C46&amp;E46,非_都市ガス事業者!$AA$8:$AB$200,2,FALSE)),"要記入",VLOOKUP(C46&amp;E46,非_都市ガス事業者!$AA$8:$AB$200,2,FALSE)))</f>
        <v/>
      </c>
      <c r="AG46" s="422" t="str">
        <f t="shared" si="1"/>
        <v/>
      </c>
      <c r="AH46" s="422" t="str">
        <f t="shared" si="48"/>
        <v/>
      </c>
      <c r="AI46" s="482" t="b">
        <f t="shared" si="12"/>
        <v>1</v>
      </c>
      <c r="AJ46" s="422" t="str">
        <f>IF(P46="","",VLOOKUP(P46,非_単位補正換算!$B$3:$C$16,2,FALSE))</f>
        <v/>
      </c>
      <c r="AK46" s="422" t="str">
        <f>IF(Y46="","",IF(Y46&lt;&gt;"都市ガス",1,IF(F46="","",SUMIFS(非_単位補正換算!$D$52:$D$63,非_単位補正換算!$B$52:$B$63,"都市ガス"&amp;F46,非_単位補正換算!$C$52:$C$63,電気・熱_都市ガス!P46))))</f>
        <v/>
      </c>
      <c r="AL46" s="479" t="str">
        <f t="shared" si="13"/>
        <v/>
      </c>
      <c r="AM46" s="422" t="str">
        <f t="shared" si="2"/>
        <v/>
      </c>
      <c r="AN46" s="422" t="str">
        <f t="shared" si="3"/>
        <v/>
      </c>
      <c r="AO46" s="422" t="str">
        <f>IF(B46="","",VLOOKUP(B46,非_まとめ表行番号!$F$3:$H$12,2,FALSE))</f>
        <v/>
      </c>
      <c r="AP46" s="485" t="b">
        <f t="shared" si="14"/>
        <v>1</v>
      </c>
      <c r="AQ46" s="582" t="str">
        <f>IF(Y46="","",IF(Y46&lt;&gt;"都市ガス",1,非_係数!$G$55))</f>
        <v/>
      </c>
      <c r="AR46" s="422" t="str">
        <f t="shared" si="49"/>
        <v/>
      </c>
      <c r="AS46" s="422" t="str">
        <f t="shared" si="4"/>
        <v/>
      </c>
      <c r="AT46" s="422" t="str">
        <f>IF(B46="","",VLOOKUP(B46,非_係数!$B$42:$K$55,9,FALSE))</f>
        <v/>
      </c>
      <c r="AU46" s="422" t="str">
        <f t="shared" si="50"/>
        <v/>
      </c>
      <c r="AV46" s="422" t="str">
        <f>IF(B46="","",VLOOKUP(B46,非_まとめ表行番号!$F$3:$H$12,3,FALSE))</f>
        <v/>
      </c>
      <c r="AW46" s="422" t="str">
        <f t="shared" si="5"/>
        <v/>
      </c>
      <c r="AY46" s="479" t="str">
        <f>IF(AO46="","",VLOOKUP(AO46,非_まとめ表行番号!$U$3:$V$56,2,FALSE))</f>
        <v/>
      </c>
      <c r="AZ46" s="479" t="str">
        <f t="shared" si="17"/>
        <v/>
      </c>
      <c r="BA46" s="479" t="str">
        <f t="shared" si="17"/>
        <v/>
      </c>
      <c r="BB46" s="479" t="str">
        <f t="shared" si="18"/>
        <v/>
      </c>
      <c r="BC46" s="479" t="str">
        <f t="shared" si="19"/>
        <v/>
      </c>
      <c r="BD46" s="479" t="str">
        <f t="shared" si="20"/>
        <v/>
      </c>
      <c r="BE46" s="479" t="str">
        <f t="shared" si="20"/>
        <v/>
      </c>
      <c r="BF46" s="479" t="str">
        <f t="shared" si="21"/>
        <v/>
      </c>
      <c r="BG46" s="580" t="str">
        <f t="shared" si="22"/>
        <v/>
      </c>
    </row>
    <row r="47" spans="1:59" ht="18" customHeight="1" thickTop="1" thickBot="1">
      <c r="A47" s="299" t="s">
        <v>2016</v>
      </c>
      <c r="B47" s="300"/>
      <c r="C47" s="300"/>
      <c r="D47" s="300"/>
      <c r="E47" s="300"/>
      <c r="F47" s="300"/>
      <c r="G47" s="300"/>
      <c r="H47" s="300"/>
      <c r="I47" s="300"/>
      <c r="J47" s="300"/>
      <c r="K47" s="300"/>
      <c r="L47" s="300"/>
      <c r="M47" s="300"/>
      <c r="N47" s="300"/>
      <c r="O47" s="300"/>
      <c r="P47" s="300"/>
      <c r="Q47" s="300"/>
      <c r="R47" s="300"/>
      <c r="S47" s="300"/>
      <c r="T47" s="200"/>
      <c r="U47" s="200"/>
      <c r="V47" s="57"/>
      <c r="W47" s="58"/>
      <c r="Z47" s="427"/>
      <c r="AY47" s="427"/>
      <c r="AZ47" s="427"/>
      <c r="BA47" s="427"/>
      <c r="BB47" s="427"/>
      <c r="BC47" s="427"/>
      <c r="BD47" s="427"/>
      <c r="BE47" s="427"/>
      <c r="BF47" s="427"/>
      <c r="BG47" s="427"/>
    </row>
    <row r="48" spans="1:59" ht="18.75" customHeight="1" thickTop="1">
      <c r="A48" s="460"/>
      <c r="B48" s="368"/>
      <c r="C48" s="368"/>
      <c r="D48" s="368"/>
      <c r="E48" s="368"/>
      <c r="F48" s="368"/>
      <c r="G48" s="558" t="str">
        <f>IF(Y48&lt;&gt;"都市ガス","",IF(ISERROR(VLOOKUP(C48,非_都市ガス事業者!$O$8:$P$200,2,FALSE)),"",VLOOKUP(C48,非_都市ガス事業者!$O$8:$P$200,2,FALSE)))</f>
        <v/>
      </c>
      <c r="H48" s="559" t="str">
        <f>IF(Y48&lt;&gt;"都市ガス","",非_都市ガス事業者!$P$4)</f>
        <v/>
      </c>
      <c r="I48" s="561" t="str">
        <f>IF(B48="","",IF(COUNTIFS(B48,"*自ら生成*")&gt;0,"要記入",IF(Y48&lt;&gt;"都市ガス",VLOOKUP(B48,非_係数!$B$42:$D$55,2,FALSE),"")))</f>
        <v/>
      </c>
      <c r="J48" s="368"/>
      <c r="K48" s="435" t="str">
        <f>AG48</f>
        <v/>
      </c>
      <c r="L48" s="189" t="str">
        <f>AH48</f>
        <v/>
      </c>
      <c r="M48" s="368"/>
      <c r="N48" s="417"/>
      <c r="O48" s="368"/>
      <c r="P48" s="368"/>
      <c r="Q48" s="412"/>
      <c r="R48" s="464"/>
      <c r="S48" s="512" t="str">
        <f>IF(Q48="","",IF(R48="",Q48,Q48*R48))</f>
        <v/>
      </c>
      <c r="T48" s="542" t="str">
        <f>IF(AL48="","",-1*AL48)</f>
        <v/>
      </c>
      <c r="U48" s="396" t="str">
        <f>IF(B48="","",VLOOKUP(B48,非_単位!$N$38:$O$53,2,FALSE))</f>
        <v/>
      </c>
      <c r="V48" s="538" t="str">
        <f>IF(AM48="","",-1*AM48)</f>
        <v/>
      </c>
      <c r="W48" s="539" t="str">
        <f>IF(AN48="","",-1*AN48)</f>
        <v/>
      </c>
      <c r="Y48" s="422" t="str">
        <f t="shared" ref="Y48:Y72" si="52">IF(B48="","",IF(LEFT(B48,2)="電気","電気",IF(LEFT(B48,1)="熱","熱",IF(LEFT(B48,4)="都市ガス","都市ガス"))))</f>
        <v/>
      </c>
      <c r="Z48" s="422" t="str">
        <f>IF(A48="","",IF(A48=非_燃料種類_選択リスト!$I$13,"外部供給_種類","外部供給以外_種類"))</f>
        <v/>
      </c>
      <c r="AA48" s="422" t="str">
        <f>IF(Y48&lt;&gt;"電気","",非_電気事業者!$S$4*1000)</f>
        <v/>
      </c>
      <c r="AB48" s="422" t="str">
        <f>IF(Y48&lt;&gt;"電気","",IF(ISERROR(VLOOKUP(C48&amp;E48,非_電気事業者!$R$9:$S$2000,2,FALSE)),"要記入",VLOOKUP(C48&amp;E48,非_電気事業者!$R$9:$S$2000,2,FALSE)*1000))</f>
        <v/>
      </c>
      <c r="AC48" s="422" t="str">
        <f>IF(Y48&lt;&gt;"熱","",非_熱供給事業者!$T$4)</f>
        <v/>
      </c>
      <c r="AD48" s="422" t="str">
        <f>IF(Y48&lt;&gt;"熱","",IF(ISERROR(VLOOKUP(C48&amp;E48,非_熱供給事業者!$S$8:$T$200,2,FALSE)),"要記入",VLOOKUP(C48&amp;E48,非_熱供給事業者!$S$8:$T$200,2,FALSE)))</f>
        <v/>
      </c>
      <c r="AE48" s="422" t="str">
        <f>IF(Y48&lt;&gt;"都市ガス","",非_都市ガス事業者!$AB$4)</f>
        <v/>
      </c>
      <c r="AF48" s="422" t="str">
        <f>IF(Y48&lt;&gt;"都市ガス","",IF(ISERROR(VLOOKUP(C48&amp;E48,非_都市ガス事業者!$AA$8:$AB$200,2,FALSE)),"要記入",VLOOKUP(C48&amp;E48,非_都市ガス事業者!$AA$8:$AB$200,2,FALSE)))</f>
        <v/>
      </c>
      <c r="AG48" s="422" t="str">
        <f t="shared" ref="AG48:AG72" si="53">IF(Y48="","",IF(Y48="電気",IF(J48="国代替値",AA48,IF(J48="国公表値",AB48,"要記入")),IF(Y48="熱",IF(J48="国代替値",AC48,IF(J48="国公表値",AD48,"要記入")),IF(Y48="都市ガス",IF(J48="国代替値",AE48,IF(J48="国公表値",AF48,"要記入"))))))</f>
        <v/>
      </c>
      <c r="AH48" s="422" t="str">
        <f>IF(Y48="電気","t-CO2/千kWh",IF(Y48="熱","t-CO2/GJ",IF(Y48="都市ガス","t-CO2/千m3(SATP)","")))</f>
        <v/>
      </c>
      <c r="AI48" s="482" t="b">
        <f t="shared" si="12"/>
        <v>1</v>
      </c>
      <c r="AJ48" s="422" t="str">
        <f>IF(P48="","",VLOOKUP(P48,非_単位補正換算!$B$3:$C$16,2,FALSE))</f>
        <v/>
      </c>
      <c r="AK48" s="422" t="str">
        <f>IF(Y48="","",IF(Y48&lt;&gt;"都市ガス",1,IF(F48="","",SUMIFS(非_単位補正換算!$D$52:$D$63,非_単位補正換算!$B$52:$B$63,"都市ガス"&amp;F48,非_単位補正換算!$C$52:$C$63,電気・熱_都市ガス!P48))))</f>
        <v/>
      </c>
      <c r="AL48" s="479" t="str">
        <f>IF(AND(P48&lt;&gt;"",S48&lt;&gt;"",AJ48&lt;&gt;"",AK48&lt;&gt;""),-1*S48/AJ48*AK48,"")</f>
        <v/>
      </c>
      <c r="AM48" s="422" t="str">
        <f t="shared" ref="AM48:AM72" si="54">IF(AND(Y48&lt;&gt;"",AL48&lt;&gt;""),IF(COUNTIFS(B48,"*自ら生成*")&gt;0,AL48*I48,IF(Y48&lt;&gt;"都市ガス",AL48*I48,IF(H48&gt;0,AL48*H48,""))),"")</f>
        <v/>
      </c>
      <c r="AN48" s="422" t="str">
        <f t="shared" ref="AN48:AN72" si="55">IF(AL48="","",IF(ISNUMBER(K48),AL48*K48,""))</f>
        <v/>
      </c>
      <c r="AO48" s="422" t="str">
        <f>IF(B48="","",VLOOKUP(B48,非_まとめ表行番号!$F$3:$H$12,2,FALSE))</f>
        <v/>
      </c>
      <c r="AP48" s="485" t="b">
        <f t="shared" si="14"/>
        <v>1</v>
      </c>
      <c r="AQ48" s="582" t="str">
        <f>IF(Y48="","",IF(Y48&lt;&gt;"都市ガス",1,非_係数!$G$55))</f>
        <v/>
      </c>
      <c r="AR48" s="422" t="str">
        <f>IF(AL48="","",AL48*AQ48)</f>
        <v/>
      </c>
      <c r="AS48" s="422" t="str">
        <f t="shared" ref="AS48:AS72" si="56">IF(Y48="都市ガス",IF(AR48="","",G48*AR48),"")</f>
        <v/>
      </c>
      <c r="AT48" s="422" t="str">
        <f>IF(B48="","",IF(COUNTIFS(B48,"*自ら生成*")&gt;0,K48,VLOOKUP(B48,非_係数!$B$42:$K$55,9,FALSE)))</f>
        <v/>
      </c>
      <c r="AU48" s="422" t="str">
        <f t="shared" si="16"/>
        <v/>
      </c>
      <c r="AV48" s="422" t="str">
        <f>IF(B48="","",VLOOKUP(B48,非_まとめ表行番号!$F$3:$H$12,3,FALSE))</f>
        <v/>
      </c>
      <c r="AW48" s="422" t="str">
        <f t="shared" ref="AW48:AW72" si="57">IF(O48="無","乗率_除外する排出量","")</f>
        <v/>
      </c>
      <c r="AY48" s="479" t="str">
        <f>IF(AO48="","",VLOOKUP(AO48,非_まとめ表行番号!$U$3:$V$56,2,FALSE))</f>
        <v/>
      </c>
      <c r="AZ48" s="479" t="str">
        <f>IF(C48="","",C48)</f>
        <v/>
      </c>
      <c r="BA48" s="479" t="str">
        <f t="shared" ref="BA48:BA71" si="58">IF(D48="","",D48)</f>
        <v/>
      </c>
      <c r="BB48" s="479" t="str">
        <f t="shared" si="18"/>
        <v/>
      </c>
      <c r="BC48" s="479" t="str">
        <f t="shared" si="19"/>
        <v/>
      </c>
      <c r="BD48" s="479" t="str">
        <f t="shared" ref="BD48:BE63" si="59">IF(J48="","",J48)</f>
        <v/>
      </c>
      <c r="BE48" s="479" t="str">
        <f t="shared" si="59"/>
        <v/>
      </c>
      <c r="BF48" s="479" t="str">
        <f t="shared" si="21"/>
        <v/>
      </c>
      <c r="BG48" s="581" t="str">
        <f>IF(AN48="","",IF(AN48&gt;0,1,-1))</f>
        <v/>
      </c>
    </row>
    <row r="49" spans="1:59" ht="18.75" customHeight="1">
      <c r="A49" s="460"/>
      <c r="B49" s="368"/>
      <c r="C49" s="368"/>
      <c r="D49" s="368"/>
      <c r="E49" s="368"/>
      <c r="F49" s="368"/>
      <c r="G49" s="558" t="str">
        <f>IF(Y49&lt;&gt;"都市ガス","",IF(ISERROR(VLOOKUP(C49,非_都市ガス事業者!$O$8:$P$200,2,FALSE)),"",VLOOKUP(C49,非_都市ガス事業者!$O$8:$P$200,2,FALSE)))</f>
        <v/>
      </c>
      <c r="H49" s="559" t="str">
        <f>IF(Y49&lt;&gt;"都市ガス","",非_都市ガス事業者!$P$4)</f>
        <v/>
      </c>
      <c r="I49" s="561" t="str">
        <f>IF(B49="","",IF(COUNTIFS(B49,"*自ら生成*")&gt;0,"要記入",IF(Y49&lt;&gt;"都市ガス",VLOOKUP(B49,非_係数!$B$42:$D$55,2,FALSE),"")))</f>
        <v/>
      </c>
      <c r="J49" s="368"/>
      <c r="K49" s="507" t="str">
        <f t="shared" ref="K49:K72" si="60">AG49</f>
        <v/>
      </c>
      <c r="L49" s="190" t="str">
        <f t="shared" ref="L49:L72" si="61">AH49</f>
        <v/>
      </c>
      <c r="M49" s="368"/>
      <c r="N49" s="418"/>
      <c r="O49" s="368"/>
      <c r="P49" s="368"/>
      <c r="Q49" s="413"/>
      <c r="R49" s="443"/>
      <c r="S49" s="518" t="str">
        <f>IF(Q49="","",IF(R49="",Q49,Q49*R49))</f>
        <v/>
      </c>
      <c r="T49" s="542" t="str">
        <f t="shared" ref="T49:T72" si="62">IF(AL49="","",-1*AL49)</f>
        <v/>
      </c>
      <c r="U49" s="396" t="str">
        <f>IF(B49="","",VLOOKUP(B49,非_単位!$N$38:$O$53,2,FALSE))</f>
        <v/>
      </c>
      <c r="V49" s="540" t="str">
        <f t="shared" ref="V49:V72" si="63">IF(AM49="","",-1*AM49)</f>
        <v/>
      </c>
      <c r="W49" s="541" t="str">
        <f t="shared" ref="W49:W72" si="64">IF(AN49="","",-1*AN49)</f>
        <v/>
      </c>
      <c r="Y49" s="422" t="str">
        <f t="shared" si="52"/>
        <v/>
      </c>
      <c r="Z49" s="422" t="str">
        <f>IF(A49="","",IF(A49=非_燃料種類_選択リスト!$I$13,"外部供給_種類","外部供給以外_種類"))</f>
        <v/>
      </c>
      <c r="AA49" s="422" t="str">
        <f>IF(Y49&lt;&gt;"電気","",非_電気事業者!$S$4*1000)</f>
        <v/>
      </c>
      <c r="AB49" s="422" t="str">
        <f>IF(Y49&lt;&gt;"電気","",IF(ISERROR(VLOOKUP(C49&amp;E49,非_電気事業者!$R$9:$S$2000,2,FALSE)),"要記入",VLOOKUP(C49&amp;E49,非_電気事業者!$R$9:$S$2000,2,FALSE)*1000))</f>
        <v/>
      </c>
      <c r="AC49" s="422" t="str">
        <f>IF(Y49&lt;&gt;"熱","",非_熱供給事業者!$T$4)</f>
        <v/>
      </c>
      <c r="AD49" s="422" t="str">
        <f>IF(Y49&lt;&gt;"熱","",IF(ISERROR(VLOOKUP(C49&amp;E49,非_熱供給事業者!$S$8:$T$200,2,FALSE)),"要記入",VLOOKUP(C49&amp;E49,非_熱供給事業者!$S$8:$T$200,2,FALSE)))</f>
        <v/>
      </c>
      <c r="AE49" s="422" t="str">
        <f>IF(Y49&lt;&gt;"都市ガス","",非_都市ガス事業者!$AB$4)</f>
        <v/>
      </c>
      <c r="AF49" s="422" t="str">
        <f>IF(Y49&lt;&gt;"都市ガス","",IF(ISERROR(VLOOKUP(C49&amp;E49,非_都市ガス事業者!$AA$8:$AB$200,2,FALSE)),"要記入",VLOOKUP(C49&amp;E49,非_都市ガス事業者!$AA$8:$AB$200,2,FALSE)))</f>
        <v/>
      </c>
      <c r="AG49" s="422" t="str">
        <f t="shared" si="53"/>
        <v/>
      </c>
      <c r="AH49" s="422" t="str">
        <f t="shared" ref="AH49:AH72" si="65">IF(Y49="電気","t-CO2/千kWh",IF(Y49="熱","t-CO2/GJ",IF(Y49="都市ガス","t-CO2/千m3(SATP)","")))</f>
        <v/>
      </c>
      <c r="AI49" s="482" t="b">
        <f t="shared" si="12"/>
        <v>1</v>
      </c>
      <c r="AJ49" s="422" t="str">
        <f>IF(P49="","",VLOOKUP(P49,非_単位補正換算!$B$3:$C$16,2,FALSE))</f>
        <v/>
      </c>
      <c r="AK49" s="422" t="str">
        <f>IF(Y49="","",IF(Y49&lt;&gt;"都市ガス",1,IF(F49="","",SUMIFS(非_単位補正換算!$D$52:$D$63,非_単位補正換算!$B$52:$B$63,"都市ガス"&amp;F49,非_単位補正換算!$C$52:$C$63,電気・熱_都市ガス!P49))))</f>
        <v/>
      </c>
      <c r="AL49" s="479" t="str">
        <f t="shared" ref="AL49:AL72" si="66">IF(AND(P49&lt;&gt;"",S49&lt;&gt;"",AJ49&lt;&gt;"",AK49&lt;&gt;""),-1*S49/AJ49*AK49,"")</f>
        <v/>
      </c>
      <c r="AM49" s="422" t="str">
        <f t="shared" si="54"/>
        <v/>
      </c>
      <c r="AN49" s="422" t="str">
        <f t="shared" si="55"/>
        <v/>
      </c>
      <c r="AO49" s="422" t="str">
        <f>IF(B49="","",VLOOKUP(B49,非_まとめ表行番号!$F$3:$H$12,2,FALSE))</f>
        <v/>
      </c>
      <c r="AP49" s="485" t="b">
        <f t="shared" si="14"/>
        <v>1</v>
      </c>
      <c r="AQ49" s="582" t="str">
        <f>IF(Y49="","",IF(Y49&lt;&gt;"都市ガス",1,非_係数!$G$55))</f>
        <v/>
      </c>
      <c r="AR49" s="422" t="str">
        <f t="shared" ref="AR49:AR72" si="67">IF(AL49="","",AL49*AQ49)</f>
        <v/>
      </c>
      <c r="AS49" s="422" t="str">
        <f t="shared" si="56"/>
        <v/>
      </c>
      <c r="AT49" s="422" t="str">
        <f>IF(B49="","",IF(COUNTIFS(B49,"*自ら生成*")&gt;0,K49,VLOOKUP(B49,非_係数!$B$42:$K$55,9,FALSE)))</f>
        <v/>
      </c>
      <c r="AU49" s="422" t="str">
        <f t="shared" si="16"/>
        <v/>
      </c>
      <c r="AV49" s="422" t="str">
        <f>IF(B49="","",VLOOKUP(B49,非_まとめ表行番号!$F$3:$H$12,3,FALSE))</f>
        <v/>
      </c>
      <c r="AW49" s="422" t="str">
        <f t="shared" si="57"/>
        <v/>
      </c>
      <c r="AY49" s="479" t="str">
        <f>IF(AO49="","",VLOOKUP(AO49,非_まとめ表行番号!$U$3:$V$56,2,FALSE))</f>
        <v/>
      </c>
      <c r="AZ49" s="479" t="str">
        <f t="shared" ref="AZ49:BA72" si="68">IF(C49="","",C49)</f>
        <v/>
      </c>
      <c r="BA49" s="479" t="str">
        <f t="shared" si="58"/>
        <v/>
      </c>
      <c r="BB49" s="479" t="str">
        <f t="shared" si="18"/>
        <v/>
      </c>
      <c r="BC49" s="479" t="str">
        <f t="shared" si="19"/>
        <v/>
      </c>
      <c r="BD49" s="479" t="str">
        <f t="shared" si="59"/>
        <v/>
      </c>
      <c r="BE49" s="479" t="str">
        <f t="shared" si="59"/>
        <v/>
      </c>
      <c r="BF49" s="479" t="str">
        <f t="shared" si="21"/>
        <v/>
      </c>
      <c r="BG49" s="581" t="str">
        <f t="shared" ref="BG49:BG72" si="69">IF(AN49="","",IF(AN49&gt;0,1,-1))</f>
        <v/>
      </c>
    </row>
    <row r="50" spans="1:59" ht="18.75" customHeight="1">
      <c r="A50" s="460"/>
      <c r="B50" s="368"/>
      <c r="C50" s="368"/>
      <c r="D50" s="368"/>
      <c r="E50" s="368"/>
      <c r="F50" s="368"/>
      <c r="G50" s="558" t="str">
        <f>IF(Y50&lt;&gt;"都市ガス","",IF(ISERROR(VLOOKUP(C50,非_都市ガス事業者!$O$8:$P$200,2,FALSE)),"",VLOOKUP(C50,非_都市ガス事業者!$O$8:$P$200,2,FALSE)))</f>
        <v/>
      </c>
      <c r="H50" s="559" t="str">
        <f>IF(Y50&lt;&gt;"都市ガス","",非_都市ガス事業者!$P$4)</f>
        <v/>
      </c>
      <c r="I50" s="561" t="str">
        <f>IF(B50="","",IF(COUNTIFS(B50,"*自ら生成*")&gt;0,"要記入",IF(Y50&lt;&gt;"都市ガス",VLOOKUP(B50,非_係数!$B$42:$D$55,2,FALSE),"")))</f>
        <v/>
      </c>
      <c r="J50" s="368"/>
      <c r="K50" s="507" t="str">
        <f t="shared" si="60"/>
        <v/>
      </c>
      <c r="L50" s="190" t="str">
        <f t="shared" si="61"/>
        <v/>
      </c>
      <c r="M50" s="368"/>
      <c r="N50" s="418"/>
      <c r="O50" s="368"/>
      <c r="P50" s="368"/>
      <c r="Q50" s="413"/>
      <c r="R50" s="443"/>
      <c r="S50" s="540" t="str">
        <f t="shared" ref="S50:S72" si="70">IF(Q50="","",IF(R50="",Q50,Q50*R50))</f>
        <v/>
      </c>
      <c r="T50" s="542" t="str">
        <f t="shared" si="62"/>
        <v/>
      </c>
      <c r="U50" s="396" t="str">
        <f>IF(B50="","",VLOOKUP(B50,非_単位!$N$38:$O$53,2,FALSE))</f>
        <v/>
      </c>
      <c r="V50" s="540" t="str">
        <f t="shared" si="63"/>
        <v/>
      </c>
      <c r="W50" s="541" t="str">
        <f t="shared" si="64"/>
        <v/>
      </c>
      <c r="Y50" s="422" t="str">
        <f t="shared" si="52"/>
        <v/>
      </c>
      <c r="Z50" s="422" t="str">
        <f>IF(A50="","",IF(A50=非_燃料種類_選択リスト!$I$13,"外部供給_種類","外部供給以外_種類"))</f>
        <v/>
      </c>
      <c r="AA50" s="422" t="str">
        <f>IF(Y50&lt;&gt;"電気","",非_電気事業者!$S$4*1000)</f>
        <v/>
      </c>
      <c r="AB50" s="422" t="str">
        <f>IF(Y50&lt;&gt;"電気","",IF(ISERROR(VLOOKUP(C50&amp;E50,非_電気事業者!$R$9:$S$2000,2,FALSE)),"要記入",VLOOKUP(C50&amp;E50,非_電気事業者!$R$9:$S$2000,2,FALSE)*1000))</f>
        <v/>
      </c>
      <c r="AC50" s="422" t="str">
        <f>IF(Y50&lt;&gt;"熱","",非_熱供給事業者!$T$4)</f>
        <v/>
      </c>
      <c r="AD50" s="422" t="str">
        <f>IF(Y50&lt;&gt;"熱","",IF(ISERROR(VLOOKUP(C50&amp;E50,非_熱供給事業者!$S$8:$T$200,2,FALSE)),"要記入",VLOOKUP(C50&amp;E50,非_熱供給事業者!$S$8:$T$200,2,FALSE)))</f>
        <v/>
      </c>
      <c r="AE50" s="422" t="str">
        <f>IF(Y50&lt;&gt;"都市ガス","",非_都市ガス事業者!$AB$4)</f>
        <v/>
      </c>
      <c r="AF50" s="422" t="str">
        <f>IF(Y50&lt;&gt;"都市ガス","",IF(ISERROR(VLOOKUP(C50&amp;E50,非_都市ガス事業者!$AA$8:$AB$200,2,FALSE)),"要記入",VLOOKUP(C50&amp;E50,非_都市ガス事業者!$AA$8:$AB$200,2,FALSE)))</f>
        <v/>
      </c>
      <c r="AG50" s="422" t="str">
        <f t="shared" si="53"/>
        <v/>
      </c>
      <c r="AH50" s="422" t="str">
        <f t="shared" si="65"/>
        <v/>
      </c>
      <c r="AI50" s="482" t="b">
        <f t="shared" si="12"/>
        <v>1</v>
      </c>
      <c r="AJ50" s="422" t="str">
        <f>IF(P50="","",VLOOKUP(P50,非_単位補正換算!$B$3:$C$16,2,FALSE))</f>
        <v/>
      </c>
      <c r="AK50" s="422" t="str">
        <f>IF(Y50="","",IF(Y50&lt;&gt;"都市ガス",1,IF(F50="","",SUMIFS(非_単位補正換算!$D$52:$D$63,非_単位補正換算!$B$52:$B$63,"都市ガス"&amp;F50,非_単位補正換算!$C$52:$C$63,電気・熱_都市ガス!P50))))</f>
        <v/>
      </c>
      <c r="AL50" s="479" t="str">
        <f t="shared" si="66"/>
        <v/>
      </c>
      <c r="AM50" s="422" t="str">
        <f t="shared" si="54"/>
        <v/>
      </c>
      <c r="AN50" s="422" t="str">
        <f t="shared" si="55"/>
        <v/>
      </c>
      <c r="AO50" s="422" t="str">
        <f>IF(B50="","",VLOOKUP(B50,非_まとめ表行番号!$F$3:$H$12,2,FALSE))</f>
        <v/>
      </c>
      <c r="AP50" s="485" t="b">
        <f t="shared" si="14"/>
        <v>1</v>
      </c>
      <c r="AQ50" s="582" t="str">
        <f>IF(Y50="","",IF(Y50&lt;&gt;"都市ガス",1,非_係数!$G$55))</f>
        <v/>
      </c>
      <c r="AR50" s="422" t="str">
        <f t="shared" si="67"/>
        <v/>
      </c>
      <c r="AS50" s="422" t="str">
        <f t="shared" si="56"/>
        <v/>
      </c>
      <c r="AT50" s="422" t="str">
        <f>IF(B50="","",IF(COUNTIFS(B50,"*自ら生成*")&gt;0,K50,VLOOKUP(B50,非_係数!$B$42:$K$55,9,FALSE)))</f>
        <v/>
      </c>
      <c r="AU50" s="422" t="str">
        <f t="shared" si="16"/>
        <v/>
      </c>
      <c r="AV50" s="422" t="str">
        <f>IF(B50="","",VLOOKUP(B50,非_まとめ表行番号!$F$3:$H$12,3,FALSE))</f>
        <v/>
      </c>
      <c r="AW50" s="422" t="str">
        <f t="shared" si="57"/>
        <v/>
      </c>
      <c r="AY50" s="479" t="str">
        <f>IF(AO50="","",VLOOKUP(AO50,非_まとめ表行番号!$U$3:$V$56,2,FALSE))</f>
        <v/>
      </c>
      <c r="AZ50" s="479" t="str">
        <f t="shared" si="68"/>
        <v/>
      </c>
      <c r="BA50" s="479" t="str">
        <f t="shared" si="58"/>
        <v/>
      </c>
      <c r="BB50" s="479" t="str">
        <f t="shared" si="18"/>
        <v/>
      </c>
      <c r="BC50" s="479" t="str">
        <f t="shared" si="19"/>
        <v/>
      </c>
      <c r="BD50" s="479" t="str">
        <f t="shared" si="59"/>
        <v/>
      </c>
      <c r="BE50" s="479" t="str">
        <f t="shared" si="59"/>
        <v/>
      </c>
      <c r="BF50" s="479" t="str">
        <f t="shared" si="21"/>
        <v/>
      </c>
      <c r="BG50" s="581" t="str">
        <f t="shared" si="69"/>
        <v/>
      </c>
    </row>
    <row r="51" spans="1:59" ht="18.75" customHeight="1">
      <c r="A51" s="460"/>
      <c r="B51" s="368"/>
      <c r="C51" s="368"/>
      <c r="D51" s="368"/>
      <c r="E51" s="368"/>
      <c r="F51" s="368"/>
      <c r="G51" s="558" t="str">
        <f>IF(Y51&lt;&gt;"都市ガス","",IF(ISERROR(VLOOKUP(C51,非_都市ガス事業者!$O$8:$P$200,2,FALSE)),"",VLOOKUP(C51,非_都市ガス事業者!$O$8:$P$200,2,FALSE)))</f>
        <v/>
      </c>
      <c r="H51" s="559" t="str">
        <f>IF(Y51&lt;&gt;"都市ガス","",非_都市ガス事業者!$P$4)</f>
        <v/>
      </c>
      <c r="I51" s="561" t="str">
        <f>IF(B51="","",IF(COUNTIFS(B51,"*自ら生成*")&gt;0,"要記入",IF(Y51&lt;&gt;"都市ガス",VLOOKUP(B51,非_係数!$B$42:$D$55,2,FALSE),"")))</f>
        <v/>
      </c>
      <c r="J51" s="368"/>
      <c r="K51" s="507" t="str">
        <f t="shared" si="60"/>
        <v/>
      </c>
      <c r="L51" s="190" t="str">
        <f t="shared" si="61"/>
        <v/>
      </c>
      <c r="M51" s="368"/>
      <c r="N51" s="418"/>
      <c r="O51" s="368"/>
      <c r="P51" s="368"/>
      <c r="Q51" s="413"/>
      <c r="R51" s="443"/>
      <c r="S51" s="540" t="str">
        <f t="shared" si="70"/>
        <v/>
      </c>
      <c r="T51" s="542" t="str">
        <f t="shared" si="62"/>
        <v/>
      </c>
      <c r="U51" s="396" t="str">
        <f>IF(B51="","",VLOOKUP(B51,非_単位!$N$38:$O$53,2,FALSE))</f>
        <v/>
      </c>
      <c r="V51" s="540" t="str">
        <f t="shared" si="63"/>
        <v/>
      </c>
      <c r="W51" s="541" t="str">
        <f t="shared" si="64"/>
        <v/>
      </c>
      <c r="Y51" s="422" t="str">
        <f t="shared" si="52"/>
        <v/>
      </c>
      <c r="Z51" s="422" t="str">
        <f>IF(A51="","",IF(A51=非_燃料種類_選択リスト!$I$13,"外部供給_種類","外部供給以外_種類"))</f>
        <v/>
      </c>
      <c r="AA51" s="422" t="str">
        <f>IF(Y51&lt;&gt;"電気","",非_電気事業者!$S$4*1000)</f>
        <v/>
      </c>
      <c r="AB51" s="422" t="str">
        <f>IF(Y51&lt;&gt;"電気","",IF(ISERROR(VLOOKUP(C51&amp;E51,非_電気事業者!$R$9:$S$2000,2,FALSE)),"要記入",VLOOKUP(C51&amp;E51,非_電気事業者!$R$9:$S$2000,2,FALSE)*1000))</f>
        <v/>
      </c>
      <c r="AC51" s="422" t="str">
        <f>IF(Y51&lt;&gt;"熱","",非_熱供給事業者!$T$4)</f>
        <v/>
      </c>
      <c r="AD51" s="422" t="str">
        <f>IF(Y51&lt;&gt;"熱","",IF(ISERROR(VLOOKUP(C51&amp;E51,非_熱供給事業者!$S$8:$T$200,2,FALSE)),"要記入",VLOOKUP(C51&amp;E51,非_熱供給事業者!$S$8:$T$200,2,FALSE)))</f>
        <v/>
      </c>
      <c r="AE51" s="422" t="str">
        <f>IF(Y51&lt;&gt;"都市ガス","",非_都市ガス事業者!$AB$4)</f>
        <v/>
      </c>
      <c r="AF51" s="422" t="str">
        <f>IF(Y51&lt;&gt;"都市ガス","",IF(ISERROR(VLOOKUP(C51&amp;E51,非_都市ガス事業者!$AA$8:$AB$200,2,FALSE)),"要記入",VLOOKUP(C51&amp;E51,非_都市ガス事業者!$AA$8:$AB$200,2,FALSE)))</f>
        <v/>
      </c>
      <c r="AG51" s="422" t="str">
        <f t="shared" si="53"/>
        <v/>
      </c>
      <c r="AH51" s="422" t="str">
        <f t="shared" si="65"/>
        <v/>
      </c>
      <c r="AI51" s="482" t="b">
        <f t="shared" si="12"/>
        <v>1</v>
      </c>
      <c r="AJ51" s="422" t="str">
        <f>IF(P51="","",VLOOKUP(P51,非_単位補正換算!$B$3:$C$16,2,FALSE))</f>
        <v/>
      </c>
      <c r="AK51" s="422" t="str">
        <f>IF(Y51="","",IF(Y51&lt;&gt;"都市ガス",1,IF(F51="","",SUMIFS(非_単位補正換算!$D$52:$D$63,非_単位補正換算!$B$52:$B$63,"都市ガス"&amp;F51,非_単位補正換算!$C$52:$C$63,電気・熱_都市ガス!P51))))</f>
        <v/>
      </c>
      <c r="AL51" s="479" t="str">
        <f t="shared" si="66"/>
        <v/>
      </c>
      <c r="AM51" s="422" t="str">
        <f t="shared" si="54"/>
        <v/>
      </c>
      <c r="AN51" s="422" t="str">
        <f t="shared" si="55"/>
        <v/>
      </c>
      <c r="AO51" s="422" t="str">
        <f>IF(B51="","",VLOOKUP(B51,非_まとめ表行番号!$F$3:$H$12,2,FALSE))</f>
        <v/>
      </c>
      <c r="AP51" s="485" t="b">
        <f t="shared" si="14"/>
        <v>1</v>
      </c>
      <c r="AQ51" s="582" t="str">
        <f>IF(Y51="","",IF(Y51&lt;&gt;"都市ガス",1,非_係数!$G$55))</f>
        <v/>
      </c>
      <c r="AR51" s="422" t="str">
        <f t="shared" si="67"/>
        <v/>
      </c>
      <c r="AS51" s="422" t="str">
        <f t="shared" si="56"/>
        <v/>
      </c>
      <c r="AT51" s="422" t="str">
        <f>IF(B51="","",IF(COUNTIFS(B51,"*自ら生成*")&gt;0,K51,VLOOKUP(B51,非_係数!$B$42:$K$55,9,FALSE)))</f>
        <v/>
      </c>
      <c r="AU51" s="422" t="str">
        <f t="shared" si="16"/>
        <v/>
      </c>
      <c r="AV51" s="422" t="str">
        <f>IF(B51="","",VLOOKUP(B51,非_まとめ表行番号!$F$3:$H$12,3,FALSE))</f>
        <v/>
      </c>
      <c r="AW51" s="422" t="str">
        <f t="shared" si="57"/>
        <v/>
      </c>
      <c r="AY51" s="479" t="str">
        <f>IF(AO51="","",VLOOKUP(AO51,非_まとめ表行番号!$U$3:$V$56,2,FALSE))</f>
        <v/>
      </c>
      <c r="AZ51" s="479" t="str">
        <f t="shared" si="68"/>
        <v/>
      </c>
      <c r="BA51" s="479" t="str">
        <f t="shared" si="58"/>
        <v/>
      </c>
      <c r="BB51" s="479" t="str">
        <f t="shared" si="18"/>
        <v/>
      </c>
      <c r="BC51" s="479" t="str">
        <f t="shared" si="19"/>
        <v/>
      </c>
      <c r="BD51" s="479" t="str">
        <f t="shared" si="59"/>
        <v/>
      </c>
      <c r="BE51" s="479" t="str">
        <f t="shared" si="59"/>
        <v/>
      </c>
      <c r="BF51" s="479" t="str">
        <f t="shared" si="21"/>
        <v/>
      </c>
      <c r="BG51" s="581" t="str">
        <f t="shared" si="69"/>
        <v/>
      </c>
    </row>
    <row r="52" spans="1:59" ht="18.75" customHeight="1">
      <c r="A52" s="460"/>
      <c r="B52" s="368"/>
      <c r="C52" s="368"/>
      <c r="D52" s="368"/>
      <c r="E52" s="368"/>
      <c r="F52" s="368"/>
      <c r="G52" s="558" t="str">
        <f>IF(Y52&lt;&gt;"都市ガス","",IF(ISERROR(VLOOKUP(C52,非_都市ガス事業者!$O$8:$P$200,2,FALSE)),"",VLOOKUP(C52,非_都市ガス事業者!$O$8:$P$200,2,FALSE)))</f>
        <v/>
      </c>
      <c r="H52" s="559" t="str">
        <f>IF(Y52&lt;&gt;"都市ガス","",非_都市ガス事業者!$P$4)</f>
        <v/>
      </c>
      <c r="I52" s="561" t="str">
        <f>IF(B52="","",IF(COUNTIFS(B52,"*自ら生成*")&gt;0,"要記入",IF(Y52&lt;&gt;"都市ガス",VLOOKUP(B52,非_係数!$B$42:$D$55,2,FALSE),"")))</f>
        <v/>
      </c>
      <c r="J52" s="368"/>
      <c r="K52" s="507" t="str">
        <f t="shared" si="60"/>
        <v/>
      </c>
      <c r="L52" s="190" t="str">
        <f t="shared" si="61"/>
        <v/>
      </c>
      <c r="M52" s="368"/>
      <c r="N52" s="418"/>
      <c r="O52" s="368"/>
      <c r="P52" s="368"/>
      <c r="Q52" s="413"/>
      <c r="R52" s="443"/>
      <c r="S52" s="540" t="str">
        <f t="shared" si="70"/>
        <v/>
      </c>
      <c r="T52" s="542" t="str">
        <f t="shared" si="62"/>
        <v/>
      </c>
      <c r="U52" s="396" t="str">
        <f>IF(B52="","",VLOOKUP(B52,非_単位!$N$38:$O$53,2,FALSE))</f>
        <v/>
      </c>
      <c r="V52" s="540" t="str">
        <f t="shared" si="63"/>
        <v/>
      </c>
      <c r="W52" s="541" t="str">
        <f t="shared" si="64"/>
        <v/>
      </c>
      <c r="Y52" s="422" t="str">
        <f t="shared" si="52"/>
        <v/>
      </c>
      <c r="Z52" s="422" t="str">
        <f>IF(A52="","",IF(A52=非_燃料種類_選択リスト!$I$13,"外部供給_種類","外部供給以外_種類"))</f>
        <v/>
      </c>
      <c r="AA52" s="422" t="str">
        <f>IF(Y52&lt;&gt;"電気","",非_電気事業者!$S$4*1000)</f>
        <v/>
      </c>
      <c r="AB52" s="422" t="str">
        <f>IF(Y52&lt;&gt;"電気","",IF(ISERROR(VLOOKUP(C52&amp;E52,非_電気事業者!$R$9:$S$2000,2,FALSE)),"要記入",VLOOKUP(C52&amp;E52,非_電気事業者!$R$9:$S$2000,2,FALSE)*1000))</f>
        <v/>
      </c>
      <c r="AC52" s="422" t="str">
        <f>IF(Y52&lt;&gt;"熱","",非_熱供給事業者!$T$4)</f>
        <v/>
      </c>
      <c r="AD52" s="422" t="str">
        <f>IF(Y52&lt;&gt;"熱","",IF(ISERROR(VLOOKUP(C52&amp;E52,非_熱供給事業者!$S$8:$T$200,2,FALSE)),"要記入",VLOOKUP(C52&amp;E52,非_熱供給事業者!$S$8:$T$200,2,FALSE)))</f>
        <v/>
      </c>
      <c r="AE52" s="422" t="str">
        <f>IF(Y52&lt;&gt;"都市ガス","",非_都市ガス事業者!$AB$4)</f>
        <v/>
      </c>
      <c r="AF52" s="422" t="str">
        <f>IF(Y52&lt;&gt;"都市ガス","",IF(ISERROR(VLOOKUP(C52&amp;E52,非_都市ガス事業者!$AA$8:$AB$200,2,FALSE)),"要記入",VLOOKUP(C52&amp;E52,非_都市ガス事業者!$AA$8:$AB$200,2,FALSE)))</f>
        <v/>
      </c>
      <c r="AG52" s="422" t="str">
        <f t="shared" si="53"/>
        <v/>
      </c>
      <c r="AH52" s="422" t="str">
        <f t="shared" si="65"/>
        <v/>
      </c>
      <c r="AI52" s="482" t="b">
        <f t="shared" si="12"/>
        <v>1</v>
      </c>
      <c r="AJ52" s="422" t="str">
        <f>IF(P52="","",VLOOKUP(P52,非_単位補正換算!$B$3:$C$16,2,FALSE))</f>
        <v/>
      </c>
      <c r="AK52" s="422" t="str">
        <f>IF(Y52="","",IF(Y52&lt;&gt;"都市ガス",1,IF(F52="","",SUMIFS(非_単位補正換算!$D$52:$D$63,非_単位補正換算!$B$52:$B$63,"都市ガス"&amp;F52,非_単位補正換算!$C$52:$C$63,電気・熱_都市ガス!P52))))</f>
        <v/>
      </c>
      <c r="AL52" s="479" t="str">
        <f t="shared" si="66"/>
        <v/>
      </c>
      <c r="AM52" s="422" t="str">
        <f t="shared" si="54"/>
        <v/>
      </c>
      <c r="AN52" s="422" t="str">
        <f t="shared" si="55"/>
        <v/>
      </c>
      <c r="AO52" s="422" t="str">
        <f>IF(B52="","",VLOOKUP(B52,非_まとめ表行番号!$F$3:$H$12,2,FALSE))</f>
        <v/>
      </c>
      <c r="AP52" s="485" t="b">
        <f t="shared" si="14"/>
        <v>1</v>
      </c>
      <c r="AQ52" s="582" t="str">
        <f>IF(Y52="","",IF(Y52&lt;&gt;"都市ガス",1,非_係数!$G$55))</f>
        <v/>
      </c>
      <c r="AR52" s="422" t="str">
        <f t="shared" si="67"/>
        <v/>
      </c>
      <c r="AS52" s="422" t="str">
        <f t="shared" si="56"/>
        <v/>
      </c>
      <c r="AT52" s="422" t="str">
        <f>IF(B52="","",IF(COUNTIFS(B52,"*自ら生成*")&gt;0,K52,VLOOKUP(B52,非_係数!$B$42:$K$55,9,FALSE)))</f>
        <v/>
      </c>
      <c r="AU52" s="422" t="str">
        <f t="shared" si="16"/>
        <v/>
      </c>
      <c r="AV52" s="422" t="str">
        <f>IF(B52="","",VLOOKUP(B52,非_まとめ表行番号!$F$3:$H$12,3,FALSE))</f>
        <v/>
      </c>
      <c r="AW52" s="422" t="str">
        <f t="shared" si="57"/>
        <v/>
      </c>
      <c r="AY52" s="479" t="str">
        <f>IF(AO52="","",VLOOKUP(AO52,非_まとめ表行番号!$U$3:$V$56,2,FALSE))</f>
        <v/>
      </c>
      <c r="AZ52" s="479" t="str">
        <f t="shared" si="68"/>
        <v/>
      </c>
      <c r="BA52" s="479" t="str">
        <f t="shared" si="58"/>
        <v/>
      </c>
      <c r="BB52" s="479" t="str">
        <f t="shared" si="18"/>
        <v/>
      </c>
      <c r="BC52" s="479" t="str">
        <f t="shared" si="19"/>
        <v/>
      </c>
      <c r="BD52" s="479" t="str">
        <f t="shared" si="59"/>
        <v/>
      </c>
      <c r="BE52" s="479" t="str">
        <f t="shared" si="59"/>
        <v/>
      </c>
      <c r="BF52" s="479" t="str">
        <f t="shared" si="21"/>
        <v/>
      </c>
      <c r="BG52" s="581" t="str">
        <f t="shared" si="69"/>
        <v/>
      </c>
    </row>
    <row r="53" spans="1:59" ht="18.75" customHeight="1">
      <c r="A53" s="460"/>
      <c r="B53" s="368"/>
      <c r="C53" s="368"/>
      <c r="D53" s="368"/>
      <c r="E53" s="368"/>
      <c r="F53" s="368"/>
      <c r="G53" s="558" t="str">
        <f>IF(Y53&lt;&gt;"都市ガス","",IF(ISERROR(VLOOKUP(C53,非_都市ガス事業者!$O$8:$P$200,2,FALSE)),"",VLOOKUP(C53,非_都市ガス事業者!$O$8:$P$200,2,FALSE)))</f>
        <v/>
      </c>
      <c r="H53" s="559" t="str">
        <f>IF(Y53&lt;&gt;"都市ガス","",非_都市ガス事業者!$P$4)</f>
        <v/>
      </c>
      <c r="I53" s="561" t="str">
        <f>IF(B53="","",IF(COUNTIFS(B53,"*自ら生成*")&gt;0,"要記入",IF(Y53&lt;&gt;"都市ガス",VLOOKUP(B53,非_係数!$B$42:$D$55,2,FALSE),"")))</f>
        <v/>
      </c>
      <c r="J53" s="368"/>
      <c r="K53" s="507" t="str">
        <f t="shared" si="60"/>
        <v/>
      </c>
      <c r="L53" s="190" t="str">
        <f t="shared" si="61"/>
        <v/>
      </c>
      <c r="M53" s="368"/>
      <c r="N53" s="418"/>
      <c r="O53" s="368"/>
      <c r="P53" s="368"/>
      <c r="Q53" s="413"/>
      <c r="R53" s="443"/>
      <c r="S53" s="540" t="str">
        <f t="shared" si="70"/>
        <v/>
      </c>
      <c r="T53" s="542" t="str">
        <f t="shared" si="62"/>
        <v/>
      </c>
      <c r="U53" s="396" t="str">
        <f>IF(B53="","",VLOOKUP(B53,非_単位!$N$38:$O$53,2,FALSE))</f>
        <v/>
      </c>
      <c r="V53" s="540" t="str">
        <f t="shared" si="63"/>
        <v/>
      </c>
      <c r="W53" s="541" t="str">
        <f t="shared" si="64"/>
        <v/>
      </c>
      <c r="Y53" s="422" t="str">
        <f t="shared" si="52"/>
        <v/>
      </c>
      <c r="Z53" s="422" t="str">
        <f>IF(A53="","",IF(A53=非_燃料種類_選択リスト!$I$13,"外部供給_種類","外部供給以外_種類"))</f>
        <v/>
      </c>
      <c r="AA53" s="422" t="str">
        <f>IF(Y53&lt;&gt;"電気","",非_電気事業者!$S$4*1000)</f>
        <v/>
      </c>
      <c r="AB53" s="422" t="str">
        <f>IF(Y53&lt;&gt;"電気","",IF(ISERROR(VLOOKUP(C53&amp;E53,非_電気事業者!$R$9:$S$2000,2,FALSE)),"要記入",VLOOKUP(C53&amp;E53,非_電気事業者!$R$9:$S$2000,2,FALSE)*1000))</f>
        <v/>
      </c>
      <c r="AC53" s="422" t="str">
        <f>IF(Y53&lt;&gt;"熱","",非_熱供給事業者!$T$4)</f>
        <v/>
      </c>
      <c r="AD53" s="422" t="str">
        <f>IF(Y53&lt;&gt;"熱","",IF(ISERROR(VLOOKUP(C53&amp;E53,非_熱供給事業者!$S$8:$T$200,2,FALSE)),"要記入",VLOOKUP(C53&amp;E53,非_熱供給事業者!$S$8:$T$200,2,FALSE)))</f>
        <v/>
      </c>
      <c r="AE53" s="422" t="str">
        <f>IF(Y53&lt;&gt;"都市ガス","",非_都市ガス事業者!$AB$4)</f>
        <v/>
      </c>
      <c r="AF53" s="422" t="str">
        <f>IF(Y53&lt;&gt;"都市ガス","",IF(ISERROR(VLOOKUP(C53&amp;E53,非_都市ガス事業者!$AA$8:$AB$200,2,FALSE)),"要記入",VLOOKUP(C53&amp;E53,非_都市ガス事業者!$AA$8:$AB$200,2,FALSE)))</f>
        <v/>
      </c>
      <c r="AG53" s="422" t="str">
        <f t="shared" si="53"/>
        <v/>
      </c>
      <c r="AH53" s="422" t="str">
        <f t="shared" si="65"/>
        <v/>
      </c>
      <c r="AI53" s="482" t="b">
        <f t="shared" si="12"/>
        <v>1</v>
      </c>
      <c r="AJ53" s="422" t="str">
        <f>IF(P53="","",VLOOKUP(P53,非_単位補正換算!$B$3:$C$16,2,FALSE))</f>
        <v/>
      </c>
      <c r="AK53" s="422" t="str">
        <f>IF(Y53="","",IF(Y53&lt;&gt;"都市ガス",1,IF(F53="","",SUMIFS(非_単位補正換算!$D$52:$D$63,非_単位補正換算!$B$52:$B$63,"都市ガス"&amp;F53,非_単位補正換算!$C$52:$C$63,電気・熱_都市ガス!P53))))</f>
        <v/>
      </c>
      <c r="AL53" s="479" t="str">
        <f t="shared" si="66"/>
        <v/>
      </c>
      <c r="AM53" s="422" t="str">
        <f t="shared" si="54"/>
        <v/>
      </c>
      <c r="AN53" s="422" t="str">
        <f t="shared" si="55"/>
        <v/>
      </c>
      <c r="AO53" s="422" t="str">
        <f>IF(B53="","",VLOOKUP(B53,非_まとめ表行番号!$F$3:$H$12,2,FALSE))</f>
        <v/>
      </c>
      <c r="AP53" s="485" t="b">
        <f t="shared" si="14"/>
        <v>1</v>
      </c>
      <c r="AQ53" s="582" t="str">
        <f>IF(Y53="","",IF(Y53&lt;&gt;"都市ガス",1,非_係数!$G$55))</f>
        <v/>
      </c>
      <c r="AR53" s="422" t="str">
        <f t="shared" si="67"/>
        <v/>
      </c>
      <c r="AS53" s="422" t="str">
        <f t="shared" si="56"/>
        <v/>
      </c>
      <c r="AT53" s="422" t="str">
        <f>IF(B53="","",IF(COUNTIFS(B53,"*自ら生成*")&gt;0,K53,VLOOKUP(B53,非_係数!$B$42:$K$55,9,FALSE)))</f>
        <v/>
      </c>
      <c r="AU53" s="422" t="str">
        <f t="shared" si="16"/>
        <v/>
      </c>
      <c r="AV53" s="422" t="str">
        <f>IF(B53="","",VLOOKUP(B53,非_まとめ表行番号!$F$3:$H$12,3,FALSE))</f>
        <v/>
      </c>
      <c r="AW53" s="422" t="str">
        <f t="shared" si="57"/>
        <v/>
      </c>
      <c r="AY53" s="479" t="str">
        <f>IF(AO53="","",VLOOKUP(AO53,非_まとめ表行番号!$U$3:$V$56,2,FALSE))</f>
        <v/>
      </c>
      <c r="AZ53" s="479" t="str">
        <f t="shared" si="68"/>
        <v/>
      </c>
      <c r="BA53" s="479" t="str">
        <f t="shared" si="58"/>
        <v/>
      </c>
      <c r="BB53" s="479" t="str">
        <f t="shared" si="18"/>
        <v/>
      </c>
      <c r="BC53" s="479" t="str">
        <f t="shared" si="19"/>
        <v/>
      </c>
      <c r="BD53" s="479" t="str">
        <f t="shared" si="59"/>
        <v/>
      </c>
      <c r="BE53" s="479" t="str">
        <f t="shared" si="59"/>
        <v/>
      </c>
      <c r="BF53" s="479" t="str">
        <f t="shared" si="21"/>
        <v/>
      </c>
      <c r="BG53" s="581" t="str">
        <f t="shared" si="69"/>
        <v/>
      </c>
    </row>
    <row r="54" spans="1:59" ht="18.75" customHeight="1">
      <c r="A54" s="460"/>
      <c r="B54" s="368"/>
      <c r="C54" s="368"/>
      <c r="D54" s="368"/>
      <c r="E54" s="368"/>
      <c r="F54" s="368"/>
      <c r="G54" s="558" t="str">
        <f>IF(Y54&lt;&gt;"都市ガス","",IF(ISERROR(VLOOKUP(C54,非_都市ガス事業者!$O$8:$P$200,2,FALSE)),"",VLOOKUP(C54,非_都市ガス事業者!$O$8:$P$200,2,FALSE)))</f>
        <v/>
      </c>
      <c r="H54" s="559" t="str">
        <f>IF(Y54&lt;&gt;"都市ガス","",非_都市ガス事業者!$P$4)</f>
        <v/>
      </c>
      <c r="I54" s="561" t="str">
        <f>IF(B54="","",IF(COUNTIFS(B54,"*自ら生成*")&gt;0,"要記入",IF(Y54&lt;&gt;"都市ガス",VLOOKUP(B54,非_係数!$B$42:$D$55,2,FALSE),"")))</f>
        <v/>
      </c>
      <c r="J54" s="368"/>
      <c r="K54" s="507" t="str">
        <f t="shared" si="60"/>
        <v/>
      </c>
      <c r="L54" s="190" t="str">
        <f t="shared" si="61"/>
        <v/>
      </c>
      <c r="M54" s="368"/>
      <c r="N54" s="418"/>
      <c r="O54" s="368"/>
      <c r="P54" s="368"/>
      <c r="Q54" s="413"/>
      <c r="R54" s="443"/>
      <c r="S54" s="540" t="str">
        <f t="shared" si="70"/>
        <v/>
      </c>
      <c r="T54" s="542" t="str">
        <f t="shared" si="62"/>
        <v/>
      </c>
      <c r="U54" s="396" t="str">
        <f>IF(B54="","",VLOOKUP(B54,非_単位!$N$38:$O$53,2,FALSE))</f>
        <v/>
      </c>
      <c r="V54" s="540" t="str">
        <f t="shared" si="63"/>
        <v/>
      </c>
      <c r="W54" s="541" t="str">
        <f t="shared" si="64"/>
        <v/>
      </c>
      <c r="Y54" s="422" t="str">
        <f t="shared" si="52"/>
        <v/>
      </c>
      <c r="Z54" s="422" t="str">
        <f>IF(A54="","",IF(A54=非_燃料種類_選択リスト!$I$13,"外部供給_種類","外部供給以外_種類"))</f>
        <v/>
      </c>
      <c r="AA54" s="422" t="str">
        <f>IF(Y54&lt;&gt;"電気","",非_電気事業者!$S$4*1000)</f>
        <v/>
      </c>
      <c r="AB54" s="422" t="str">
        <f>IF(Y54&lt;&gt;"電気","",IF(ISERROR(VLOOKUP(C54&amp;E54,非_電気事業者!$R$9:$S$2000,2,FALSE)),"要記入",VLOOKUP(C54&amp;E54,非_電気事業者!$R$9:$S$2000,2,FALSE)*1000))</f>
        <v/>
      </c>
      <c r="AC54" s="422" t="str">
        <f>IF(Y54&lt;&gt;"熱","",非_熱供給事業者!$T$4)</f>
        <v/>
      </c>
      <c r="AD54" s="422" t="str">
        <f>IF(Y54&lt;&gt;"熱","",IF(ISERROR(VLOOKUP(C54&amp;E54,非_熱供給事業者!$S$8:$T$200,2,FALSE)),"要記入",VLOOKUP(C54&amp;E54,非_熱供給事業者!$S$8:$T$200,2,FALSE)))</f>
        <v/>
      </c>
      <c r="AE54" s="422" t="str">
        <f>IF(Y54&lt;&gt;"都市ガス","",非_都市ガス事業者!$AB$4)</f>
        <v/>
      </c>
      <c r="AF54" s="422" t="str">
        <f>IF(Y54&lt;&gt;"都市ガス","",IF(ISERROR(VLOOKUP(C54&amp;E54,非_都市ガス事業者!$AA$8:$AB$200,2,FALSE)),"要記入",VLOOKUP(C54&amp;E54,非_都市ガス事業者!$AA$8:$AB$200,2,FALSE)))</f>
        <v/>
      </c>
      <c r="AG54" s="422" t="str">
        <f t="shared" si="53"/>
        <v/>
      </c>
      <c r="AH54" s="422" t="str">
        <f t="shared" si="65"/>
        <v/>
      </c>
      <c r="AI54" s="482" t="b">
        <f t="shared" si="12"/>
        <v>1</v>
      </c>
      <c r="AJ54" s="422" t="str">
        <f>IF(P54="","",VLOOKUP(P54,非_単位補正換算!$B$3:$C$16,2,FALSE))</f>
        <v/>
      </c>
      <c r="AK54" s="422" t="str">
        <f>IF(Y54="","",IF(Y54&lt;&gt;"都市ガス",1,IF(F54="","",SUMIFS(非_単位補正換算!$D$52:$D$63,非_単位補正換算!$B$52:$B$63,"都市ガス"&amp;F54,非_単位補正換算!$C$52:$C$63,電気・熱_都市ガス!P54))))</f>
        <v/>
      </c>
      <c r="AL54" s="479" t="str">
        <f t="shared" si="66"/>
        <v/>
      </c>
      <c r="AM54" s="422" t="str">
        <f t="shared" si="54"/>
        <v/>
      </c>
      <c r="AN54" s="422" t="str">
        <f t="shared" si="55"/>
        <v/>
      </c>
      <c r="AO54" s="422" t="str">
        <f>IF(B54="","",VLOOKUP(B54,非_まとめ表行番号!$F$3:$H$12,2,FALSE))</f>
        <v/>
      </c>
      <c r="AP54" s="485" t="b">
        <f t="shared" si="14"/>
        <v>1</v>
      </c>
      <c r="AQ54" s="582" t="str">
        <f>IF(Y54="","",IF(Y54&lt;&gt;"都市ガス",1,非_係数!$G$55))</f>
        <v/>
      </c>
      <c r="AR54" s="422" t="str">
        <f t="shared" si="67"/>
        <v/>
      </c>
      <c r="AS54" s="422" t="str">
        <f t="shared" si="56"/>
        <v/>
      </c>
      <c r="AT54" s="422" t="str">
        <f>IF(B54="","",VLOOKUP(B54,非_係数!$B$42:$K$55,9,FALSE))</f>
        <v/>
      </c>
      <c r="AU54" s="422" t="str">
        <f t="shared" si="16"/>
        <v/>
      </c>
      <c r="AV54" s="422" t="str">
        <f>IF(B54="","",VLOOKUP(B54,非_まとめ表行番号!$F$3:$H$12,3,FALSE))</f>
        <v/>
      </c>
      <c r="AW54" s="422" t="str">
        <f t="shared" si="57"/>
        <v/>
      </c>
      <c r="AY54" s="479" t="str">
        <f>IF(AO54="","",VLOOKUP(AO54,非_まとめ表行番号!$U$3:$V$56,2,FALSE))</f>
        <v/>
      </c>
      <c r="AZ54" s="479" t="str">
        <f t="shared" si="68"/>
        <v/>
      </c>
      <c r="BA54" s="479" t="str">
        <f t="shared" si="58"/>
        <v/>
      </c>
      <c r="BB54" s="479" t="str">
        <f t="shared" si="18"/>
        <v/>
      </c>
      <c r="BC54" s="479" t="str">
        <f t="shared" si="19"/>
        <v/>
      </c>
      <c r="BD54" s="479" t="str">
        <f t="shared" si="59"/>
        <v/>
      </c>
      <c r="BE54" s="479" t="str">
        <f t="shared" si="59"/>
        <v/>
      </c>
      <c r="BF54" s="479" t="str">
        <f t="shared" si="21"/>
        <v/>
      </c>
      <c r="BG54" s="581" t="str">
        <f t="shared" si="69"/>
        <v/>
      </c>
    </row>
    <row r="55" spans="1:59" ht="18.75" customHeight="1">
      <c r="A55" s="460"/>
      <c r="B55" s="368"/>
      <c r="C55" s="368"/>
      <c r="D55" s="368"/>
      <c r="E55" s="368"/>
      <c r="F55" s="368"/>
      <c r="G55" s="558" t="str">
        <f>IF(Y55&lt;&gt;"都市ガス","",IF(ISERROR(VLOOKUP(C55,非_都市ガス事業者!$O$8:$P$200,2,FALSE)),"",VLOOKUP(C55,非_都市ガス事業者!$O$8:$P$200,2,FALSE)))</f>
        <v/>
      </c>
      <c r="H55" s="559" t="str">
        <f>IF(Y55&lt;&gt;"都市ガス","",非_都市ガス事業者!$P$4)</f>
        <v/>
      </c>
      <c r="I55" s="561" t="str">
        <f>IF(B55="","",IF(COUNTIFS(B55,"*自ら生成*")&gt;0,"要記入",IF(Y55&lt;&gt;"都市ガス",VLOOKUP(B55,非_係数!$B$42:$D$55,2,FALSE),"")))</f>
        <v/>
      </c>
      <c r="J55" s="368"/>
      <c r="K55" s="507" t="str">
        <f t="shared" si="60"/>
        <v/>
      </c>
      <c r="L55" s="190" t="str">
        <f t="shared" si="61"/>
        <v/>
      </c>
      <c r="M55" s="368"/>
      <c r="N55" s="418"/>
      <c r="O55" s="368"/>
      <c r="P55" s="368"/>
      <c r="Q55" s="413"/>
      <c r="R55" s="443"/>
      <c r="S55" s="540" t="str">
        <f t="shared" si="70"/>
        <v/>
      </c>
      <c r="T55" s="542" t="str">
        <f t="shared" si="62"/>
        <v/>
      </c>
      <c r="U55" s="396" t="str">
        <f>IF(B55="","",VLOOKUP(B55,非_単位!$N$38:$O$53,2,FALSE))</f>
        <v/>
      </c>
      <c r="V55" s="540" t="str">
        <f t="shared" si="63"/>
        <v/>
      </c>
      <c r="W55" s="541" t="str">
        <f t="shared" si="64"/>
        <v/>
      </c>
      <c r="Y55" s="422" t="str">
        <f t="shared" si="52"/>
        <v/>
      </c>
      <c r="Z55" s="422" t="str">
        <f>IF(A55="","",IF(A55=非_燃料種類_選択リスト!$I$13,"外部供給_種類","外部供給以外_種類"))</f>
        <v/>
      </c>
      <c r="AA55" s="422" t="str">
        <f>IF(Y55&lt;&gt;"電気","",非_電気事業者!$S$4*1000)</f>
        <v/>
      </c>
      <c r="AB55" s="422" t="str">
        <f>IF(Y55&lt;&gt;"電気","",IF(ISERROR(VLOOKUP(C55&amp;E55,非_電気事業者!$R$9:$S$2000,2,FALSE)),"要記入",VLOOKUP(C55&amp;E55,非_電気事業者!$R$9:$S$2000,2,FALSE)*1000))</f>
        <v/>
      </c>
      <c r="AC55" s="422" t="str">
        <f>IF(Y55&lt;&gt;"熱","",非_熱供給事業者!$T$4)</f>
        <v/>
      </c>
      <c r="AD55" s="422" t="str">
        <f>IF(Y55&lt;&gt;"熱","",IF(ISERROR(VLOOKUP(C55&amp;E55,非_熱供給事業者!$S$8:$T$200,2,FALSE)),"要記入",VLOOKUP(C55&amp;E55,非_熱供給事業者!$S$8:$T$200,2,FALSE)))</f>
        <v/>
      </c>
      <c r="AE55" s="422" t="str">
        <f>IF(Y55&lt;&gt;"都市ガス","",非_都市ガス事業者!$AB$4)</f>
        <v/>
      </c>
      <c r="AF55" s="422" t="str">
        <f>IF(Y55&lt;&gt;"都市ガス","",IF(ISERROR(VLOOKUP(C55&amp;E55,非_都市ガス事業者!$AA$8:$AB$200,2,FALSE)),"要記入",VLOOKUP(C55&amp;E55,非_都市ガス事業者!$AA$8:$AB$200,2,FALSE)))</f>
        <v/>
      </c>
      <c r="AG55" s="422" t="str">
        <f t="shared" si="53"/>
        <v/>
      </c>
      <c r="AH55" s="422" t="str">
        <f t="shared" si="65"/>
        <v/>
      </c>
      <c r="AI55" s="482" t="b">
        <f t="shared" si="12"/>
        <v>1</v>
      </c>
      <c r="AJ55" s="422" t="str">
        <f>IF(P55="","",VLOOKUP(P55,非_単位補正換算!$B$3:$C$16,2,FALSE))</f>
        <v/>
      </c>
      <c r="AK55" s="422" t="str">
        <f>IF(Y55="","",IF(Y55&lt;&gt;"都市ガス",1,IF(F55="","",SUMIFS(非_単位補正換算!$D$52:$D$63,非_単位補正換算!$B$52:$B$63,"都市ガス"&amp;F55,非_単位補正換算!$C$52:$C$63,電気・熱_都市ガス!P55))))</f>
        <v/>
      </c>
      <c r="AL55" s="479" t="str">
        <f t="shared" si="66"/>
        <v/>
      </c>
      <c r="AM55" s="422" t="str">
        <f t="shared" si="54"/>
        <v/>
      </c>
      <c r="AN55" s="422" t="str">
        <f t="shared" si="55"/>
        <v/>
      </c>
      <c r="AO55" s="422" t="str">
        <f>IF(B55="","",VLOOKUP(B55,非_まとめ表行番号!$F$3:$H$12,2,FALSE))</f>
        <v/>
      </c>
      <c r="AP55" s="485" t="b">
        <f t="shared" si="14"/>
        <v>1</v>
      </c>
      <c r="AQ55" s="582" t="str">
        <f>IF(Y55="","",IF(Y55&lt;&gt;"都市ガス",1,非_係数!$G$55))</f>
        <v/>
      </c>
      <c r="AR55" s="422" t="str">
        <f t="shared" si="67"/>
        <v/>
      </c>
      <c r="AS55" s="422" t="str">
        <f t="shared" si="56"/>
        <v/>
      </c>
      <c r="AT55" s="422" t="str">
        <f>IF(B55="","",VLOOKUP(B55,非_係数!$B$42:$K$55,9,FALSE))</f>
        <v/>
      </c>
      <c r="AU55" s="422" t="str">
        <f t="shared" si="16"/>
        <v/>
      </c>
      <c r="AV55" s="422" t="str">
        <f>IF(B55="","",VLOOKUP(B55,非_まとめ表行番号!$F$3:$H$12,3,FALSE))</f>
        <v/>
      </c>
      <c r="AW55" s="422" t="str">
        <f t="shared" si="57"/>
        <v/>
      </c>
      <c r="AY55" s="479" t="str">
        <f>IF(AO55="","",VLOOKUP(AO55,非_まとめ表行番号!$U$3:$V$56,2,FALSE))</f>
        <v/>
      </c>
      <c r="AZ55" s="479" t="str">
        <f t="shared" si="68"/>
        <v/>
      </c>
      <c r="BA55" s="479" t="str">
        <f t="shared" si="58"/>
        <v/>
      </c>
      <c r="BB55" s="479" t="str">
        <f t="shared" si="18"/>
        <v/>
      </c>
      <c r="BC55" s="479" t="str">
        <f t="shared" si="19"/>
        <v/>
      </c>
      <c r="BD55" s="479" t="str">
        <f t="shared" si="59"/>
        <v/>
      </c>
      <c r="BE55" s="479" t="str">
        <f t="shared" si="59"/>
        <v/>
      </c>
      <c r="BF55" s="479" t="str">
        <f t="shared" si="21"/>
        <v/>
      </c>
      <c r="BG55" s="581" t="str">
        <f t="shared" si="69"/>
        <v/>
      </c>
    </row>
    <row r="56" spans="1:59" ht="18.75" customHeight="1">
      <c r="A56" s="460"/>
      <c r="B56" s="368"/>
      <c r="C56" s="368"/>
      <c r="D56" s="368"/>
      <c r="E56" s="368"/>
      <c r="F56" s="368"/>
      <c r="G56" s="558" t="str">
        <f>IF(Y56&lt;&gt;"都市ガス","",IF(ISERROR(VLOOKUP(C56,非_都市ガス事業者!$O$8:$P$200,2,FALSE)),"",VLOOKUP(C56,非_都市ガス事業者!$O$8:$P$200,2,FALSE)))</f>
        <v/>
      </c>
      <c r="H56" s="559" t="str">
        <f>IF(Y56&lt;&gt;"都市ガス","",非_都市ガス事業者!$P$4)</f>
        <v/>
      </c>
      <c r="I56" s="561" t="str">
        <f>IF(B56="","",IF(COUNTIFS(B56,"*自ら生成*")&gt;0,"要記入",IF(Y56&lt;&gt;"都市ガス",VLOOKUP(B56,非_係数!$B$42:$D$55,2,FALSE),"")))</f>
        <v/>
      </c>
      <c r="J56" s="368"/>
      <c r="K56" s="507" t="str">
        <f t="shared" si="60"/>
        <v/>
      </c>
      <c r="L56" s="190" t="str">
        <f t="shared" si="61"/>
        <v/>
      </c>
      <c r="M56" s="368"/>
      <c r="N56" s="418"/>
      <c r="O56" s="368"/>
      <c r="P56" s="368"/>
      <c r="Q56" s="413"/>
      <c r="R56" s="443"/>
      <c r="S56" s="540" t="str">
        <f t="shared" si="70"/>
        <v/>
      </c>
      <c r="T56" s="542" t="str">
        <f t="shared" si="62"/>
        <v/>
      </c>
      <c r="U56" s="396" t="str">
        <f>IF(B56="","",VLOOKUP(B56,非_単位!$N$38:$O$53,2,FALSE))</f>
        <v/>
      </c>
      <c r="V56" s="540" t="str">
        <f t="shared" si="63"/>
        <v/>
      </c>
      <c r="W56" s="541" t="str">
        <f t="shared" si="64"/>
        <v/>
      </c>
      <c r="Y56" s="422" t="str">
        <f t="shared" si="52"/>
        <v/>
      </c>
      <c r="Z56" s="422" t="str">
        <f>IF(A56="","",IF(A56=非_燃料種類_選択リスト!$I$13,"外部供給_種類","外部供給以外_種類"))</f>
        <v/>
      </c>
      <c r="AA56" s="422" t="str">
        <f>IF(Y56&lt;&gt;"電気","",非_電気事業者!$S$4*1000)</f>
        <v/>
      </c>
      <c r="AB56" s="422" t="str">
        <f>IF(Y56&lt;&gt;"電気","",IF(ISERROR(VLOOKUP(C56&amp;E56,非_電気事業者!$R$9:$S$2000,2,FALSE)),"要記入",VLOOKUP(C56&amp;E56,非_電気事業者!$R$9:$S$2000,2,FALSE)*1000))</f>
        <v/>
      </c>
      <c r="AC56" s="422" t="str">
        <f>IF(Y56&lt;&gt;"熱","",非_熱供給事業者!$T$4)</f>
        <v/>
      </c>
      <c r="AD56" s="422" t="str">
        <f>IF(Y56&lt;&gt;"熱","",IF(ISERROR(VLOOKUP(C56&amp;E56,非_熱供給事業者!$S$8:$T$200,2,FALSE)),"要記入",VLOOKUP(C56&amp;E56,非_熱供給事業者!$S$8:$T$200,2,FALSE)))</f>
        <v/>
      </c>
      <c r="AE56" s="422" t="str">
        <f>IF(Y56&lt;&gt;"都市ガス","",非_都市ガス事業者!$AB$4)</f>
        <v/>
      </c>
      <c r="AF56" s="422" t="str">
        <f>IF(Y56&lt;&gt;"都市ガス","",IF(ISERROR(VLOOKUP(C56&amp;E56,非_都市ガス事業者!$AA$8:$AB$200,2,FALSE)),"要記入",VLOOKUP(C56&amp;E56,非_都市ガス事業者!$AA$8:$AB$200,2,FALSE)))</f>
        <v/>
      </c>
      <c r="AG56" s="422" t="str">
        <f t="shared" si="53"/>
        <v/>
      </c>
      <c r="AH56" s="422" t="str">
        <f t="shared" si="65"/>
        <v/>
      </c>
      <c r="AI56" s="482" t="b">
        <f t="shared" si="12"/>
        <v>1</v>
      </c>
      <c r="AJ56" s="422" t="str">
        <f>IF(P56="","",VLOOKUP(P56,非_単位補正換算!$B$3:$C$16,2,FALSE))</f>
        <v/>
      </c>
      <c r="AK56" s="422" t="str">
        <f>IF(Y56="","",IF(Y56&lt;&gt;"都市ガス",1,IF(F56="","",SUMIFS(非_単位補正換算!$D$52:$D$63,非_単位補正換算!$B$52:$B$63,"都市ガス"&amp;F56,非_単位補正換算!$C$52:$C$63,電気・熱_都市ガス!P56))))</f>
        <v/>
      </c>
      <c r="AL56" s="479" t="str">
        <f t="shared" si="66"/>
        <v/>
      </c>
      <c r="AM56" s="422" t="str">
        <f t="shared" si="54"/>
        <v/>
      </c>
      <c r="AN56" s="422" t="str">
        <f t="shared" si="55"/>
        <v/>
      </c>
      <c r="AO56" s="422" t="str">
        <f>IF(B56="","",VLOOKUP(B56,非_まとめ表行番号!$F$3:$H$12,2,FALSE))</f>
        <v/>
      </c>
      <c r="AP56" s="485" t="b">
        <f t="shared" si="14"/>
        <v>1</v>
      </c>
      <c r="AQ56" s="582" t="str">
        <f>IF(Y56="","",IF(Y56&lt;&gt;"都市ガス",1,非_係数!$G$55))</f>
        <v/>
      </c>
      <c r="AR56" s="422" t="str">
        <f t="shared" si="67"/>
        <v/>
      </c>
      <c r="AS56" s="422" t="str">
        <f t="shared" si="56"/>
        <v/>
      </c>
      <c r="AT56" s="422" t="str">
        <f>IF(B56="","",VLOOKUP(B56,非_係数!$B$42:$K$55,9,FALSE))</f>
        <v/>
      </c>
      <c r="AU56" s="422" t="str">
        <f t="shared" si="16"/>
        <v/>
      </c>
      <c r="AV56" s="422" t="str">
        <f>IF(B56="","",VLOOKUP(B56,非_まとめ表行番号!$F$3:$H$12,3,FALSE))</f>
        <v/>
      </c>
      <c r="AW56" s="422" t="str">
        <f t="shared" si="57"/>
        <v/>
      </c>
      <c r="AY56" s="479" t="str">
        <f>IF(AO56="","",VLOOKUP(AO56,非_まとめ表行番号!$U$3:$V$56,2,FALSE))</f>
        <v/>
      </c>
      <c r="AZ56" s="479" t="str">
        <f t="shared" si="68"/>
        <v/>
      </c>
      <c r="BA56" s="479" t="str">
        <f t="shared" si="58"/>
        <v/>
      </c>
      <c r="BB56" s="479" t="str">
        <f t="shared" si="18"/>
        <v/>
      </c>
      <c r="BC56" s="479" t="str">
        <f t="shared" si="19"/>
        <v/>
      </c>
      <c r="BD56" s="479" t="str">
        <f t="shared" si="59"/>
        <v/>
      </c>
      <c r="BE56" s="479" t="str">
        <f t="shared" si="59"/>
        <v/>
      </c>
      <c r="BF56" s="479" t="str">
        <f t="shared" si="21"/>
        <v/>
      </c>
      <c r="BG56" s="581" t="str">
        <f t="shared" si="69"/>
        <v/>
      </c>
    </row>
    <row r="57" spans="1:59" ht="18.75" customHeight="1">
      <c r="A57" s="460"/>
      <c r="B57" s="368"/>
      <c r="C57" s="368"/>
      <c r="D57" s="368"/>
      <c r="E57" s="368"/>
      <c r="F57" s="368"/>
      <c r="G57" s="558" t="str">
        <f>IF(Y57&lt;&gt;"都市ガス","",IF(ISERROR(VLOOKUP(C57,非_都市ガス事業者!$O$8:$P$200,2,FALSE)),"",VLOOKUP(C57,非_都市ガス事業者!$O$8:$P$200,2,FALSE)))</f>
        <v/>
      </c>
      <c r="H57" s="559" t="str">
        <f>IF(Y57&lt;&gt;"都市ガス","",非_都市ガス事業者!$P$4)</f>
        <v/>
      </c>
      <c r="I57" s="561" t="str">
        <f>IF(B57="","",IF(COUNTIFS(B57,"*自ら生成*")&gt;0,"要記入",IF(Y57&lt;&gt;"都市ガス",VLOOKUP(B57,非_係数!$B$42:$D$55,2,FALSE),"")))</f>
        <v/>
      </c>
      <c r="J57" s="368"/>
      <c r="K57" s="507" t="str">
        <f t="shared" si="60"/>
        <v/>
      </c>
      <c r="L57" s="190" t="str">
        <f t="shared" si="61"/>
        <v/>
      </c>
      <c r="M57" s="368"/>
      <c r="N57" s="418"/>
      <c r="O57" s="368"/>
      <c r="P57" s="368"/>
      <c r="Q57" s="413"/>
      <c r="R57" s="443"/>
      <c r="S57" s="540" t="str">
        <f t="shared" si="70"/>
        <v/>
      </c>
      <c r="T57" s="542" t="str">
        <f t="shared" si="62"/>
        <v/>
      </c>
      <c r="U57" s="396" t="str">
        <f>IF(B57="","",VLOOKUP(B57,非_単位!$N$38:$O$53,2,FALSE))</f>
        <v/>
      </c>
      <c r="V57" s="540" t="str">
        <f t="shared" si="63"/>
        <v/>
      </c>
      <c r="W57" s="541" t="str">
        <f t="shared" si="64"/>
        <v/>
      </c>
      <c r="Y57" s="422" t="str">
        <f t="shared" si="52"/>
        <v/>
      </c>
      <c r="Z57" s="422" t="str">
        <f>IF(A57="","",IF(A57=非_燃料種類_選択リスト!$I$13,"外部供給_種類","外部供給以外_種類"))</f>
        <v/>
      </c>
      <c r="AA57" s="422" t="str">
        <f>IF(Y57&lt;&gt;"電気","",非_電気事業者!$S$4*1000)</f>
        <v/>
      </c>
      <c r="AB57" s="422" t="str">
        <f>IF(Y57&lt;&gt;"電気","",IF(ISERROR(VLOOKUP(C57&amp;E57,非_電気事業者!$R$9:$S$2000,2,FALSE)),"要記入",VLOOKUP(C57&amp;E57,非_電気事業者!$R$9:$S$2000,2,FALSE)*1000))</f>
        <v/>
      </c>
      <c r="AC57" s="422" t="str">
        <f>IF(Y57&lt;&gt;"熱","",非_熱供給事業者!$T$4)</f>
        <v/>
      </c>
      <c r="AD57" s="422" t="str">
        <f>IF(Y57&lt;&gt;"熱","",IF(ISERROR(VLOOKUP(C57&amp;E57,非_熱供給事業者!$S$8:$T$200,2,FALSE)),"要記入",VLOOKUP(C57&amp;E57,非_熱供給事業者!$S$8:$T$200,2,FALSE)))</f>
        <v/>
      </c>
      <c r="AE57" s="422" t="str">
        <f>IF(Y57&lt;&gt;"都市ガス","",非_都市ガス事業者!$AB$4)</f>
        <v/>
      </c>
      <c r="AF57" s="422" t="str">
        <f>IF(Y57&lt;&gt;"都市ガス","",IF(ISERROR(VLOOKUP(C57&amp;E57,非_都市ガス事業者!$AA$8:$AB$200,2,FALSE)),"要記入",VLOOKUP(C57&amp;E57,非_都市ガス事業者!$AA$8:$AB$200,2,FALSE)))</f>
        <v/>
      </c>
      <c r="AG57" s="422" t="str">
        <f t="shared" si="53"/>
        <v/>
      </c>
      <c r="AH57" s="422" t="str">
        <f t="shared" si="65"/>
        <v/>
      </c>
      <c r="AI57" s="482" t="b">
        <f t="shared" si="12"/>
        <v>1</v>
      </c>
      <c r="AJ57" s="422" t="str">
        <f>IF(P57="","",VLOOKUP(P57,非_単位補正換算!$B$3:$C$16,2,FALSE))</f>
        <v/>
      </c>
      <c r="AK57" s="422" t="str">
        <f>IF(Y57="","",IF(Y57&lt;&gt;"都市ガス",1,IF(F57="","",SUMIFS(非_単位補正換算!$D$52:$D$63,非_単位補正換算!$B$52:$B$63,"都市ガス"&amp;F57,非_単位補正換算!$C$52:$C$63,電気・熱_都市ガス!P57))))</f>
        <v/>
      </c>
      <c r="AL57" s="479" t="str">
        <f t="shared" si="66"/>
        <v/>
      </c>
      <c r="AM57" s="422" t="str">
        <f t="shared" si="54"/>
        <v/>
      </c>
      <c r="AN57" s="422" t="str">
        <f t="shared" si="55"/>
        <v/>
      </c>
      <c r="AO57" s="422" t="str">
        <f>IF(B57="","",VLOOKUP(B57,非_まとめ表行番号!$F$3:$H$12,2,FALSE))</f>
        <v/>
      </c>
      <c r="AP57" s="485" t="b">
        <f t="shared" si="14"/>
        <v>1</v>
      </c>
      <c r="AQ57" s="582" t="str">
        <f>IF(Y57="","",IF(Y57&lt;&gt;"都市ガス",1,非_係数!$G$55))</f>
        <v/>
      </c>
      <c r="AR57" s="422" t="str">
        <f t="shared" si="67"/>
        <v/>
      </c>
      <c r="AS57" s="422" t="str">
        <f t="shared" si="56"/>
        <v/>
      </c>
      <c r="AT57" s="422" t="str">
        <f>IF(B57="","",VLOOKUP(B57,非_係数!$B$42:$K$55,9,FALSE))</f>
        <v/>
      </c>
      <c r="AU57" s="422" t="str">
        <f t="shared" si="16"/>
        <v/>
      </c>
      <c r="AV57" s="422" t="str">
        <f>IF(B57="","",VLOOKUP(B57,非_まとめ表行番号!$F$3:$H$12,3,FALSE))</f>
        <v/>
      </c>
      <c r="AW57" s="422" t="str">
        <f t="shared" si="57"/>
        <v/>
      </c>
      <c r="AY57" s="479" t="str">
        <f>IF(AO57="","",VLOOKUP(AO57,非_まとめ表行番号!$U$3:$V$56,2,FALSE))</f>
        <v/>
      </c>
      <c r="AZ57" s="479" t="str">
        <f t="shared" si="68"/>
        <v/>
      </c>
      <c r="BA57" s="479" t="str">
        <f t="shared" si="58"/>
        <v/>
      </c>
      <c r="BB57" s="479" t="str">
        <f t="shared" si="18"/>
        <v/>
      </c>
      <c r="BC57" s="479" t="str">
        <f t="shared" si="19"/>
        <v/>
      </c>
      <c r="BD57" s="479" t="str">
        <f t="shared" si="59"/>
        <v/>
      </c>
      <c r="BE57" s="479" t="str">
        <f t="shared" si="59"/>
        <v/>
      </c>
      <c r="BF57" s="479" t="str">
        <f t="shared" si="21"/>
        <v/>
      </c>
      <c r="BG57" s="581" t="str">
        <f t="shared" si="69"/>
        <v/>
      </c>
    </row>
    <row r="58" spans="1:59" ht="18.75" customHeight="1">
      <c r="A58" s="460"/>
      <c r="B58" s="368"/>
      <c r="C58" s="368"/>
      <c r="D58" s="368"/>
      <c r="E58" s="368"/>
      <c r="F58" s="368"/>
      <c r="G58" s="558" t="str">
        <f>IF(Y58&lt;&gt;"都市ガス","",IF(ISERROR(VLOOKUP(C58,非_都市ガス事業者!$O$8:$P$200,2,FALSE)),"",VLOOKUP(C58,非_都市ガス事業者!$O$8:$P$200,2,FALSE)))</f>
        <v/>
      </c>
      <c r="H58" s="559" t="str">
        <f>IF(Y58&lt;&gt;"都市ガス","",非_都市ガス事業者!$P$4)</f>
        <v/>
      </c>
      <c r="I58" s="561" t="str">
        <f>IF(B58="","",IF(COUNTIFS(B58,"*自ら生成*")&gt;0,"要記入",IF(Y58&lt;&gt;"都市ガス",VLOOKUP(B58,非_係数!$B$42:$D$55,2,FALSE),"")))</f>
        <v/>
      </c>
      <c r="J58" s="368"/>
      <c r="K58" s="507" t="str">
        <f t="shared" si="60"/>
        <v/>
      </c>
      <c r="L58" s="190" t="str">
        <f t="shared" si="61"/>
        <v/>
      </c>
      <c r="M58" s="368"/>
      <c r="N58" s="418"/>
      <c r="O58" s="368"/>
      <c r="P58" s="368"/>
      <c r="Q58" s="413"/>
      <c r="R58" s="443"/>
      <c r="S58" s="540" t="str">
        <f t="shared" si="70"/>
        <v/>
      </c>
      <c r="T58" s="542" t="str">
        <f t="shared" si="62"/>
        <v/>
      </c>
      <c r="U58" s="396" t="str">
        <f>IF(B58="","",VLOOKUP(B58,非_単位!$N$38:$O$53,2,FALSE))</f>
        <v/>
      </c>
      <c r="V58" s="540" t="str">
        <f t="shared" si="63"/>
        <v/>
      </c>
      <c r="W58" s="541" t="str">
        <f t="shared" si="64"/>
        <v/>
      </c>
      <c r="Y58" s="422" t="str">
        <f t="shared" si="52"/>
        <v/>
      </c>
      <c r="Z58" s="422" t="str">
        <f>IF(A58="","",IF(A58=非_燃料種類_選択リスト!$I$13,"外部供給_種類","外部供給以外_種類"))</f>
        <v/>
      </c>
      <c r="AA58" s="422" t="str">
        <f>IF(Y58&lt;&gt;"電気","",非_電気事業者!$S$4*1000)</f>
        <v/>
      </c>
      <c r="AB58" s="422" t="str">
        <f>IF(Y58&lt;&gt;"電気","",IF(ISERROR(VLOOKUP(C58&amp;E58,非_電気事業者!$R$9:$S$2000,2,FALSE)),"要記入",VLOOKUP(C58&amp;E58,非_電気事業者!$R$9:$S$2000,2,FALSE)*1000))</f>
        <v/>
      </c>
      <c r="AC58" s="422" t="str">
        <f>IF(Y58&lt;&gt;"熱","",非_熱供給事業者!$T$4)</f>
        <v/>
      </c>
      <c r="AD58" s="422" t="str">
        <f>IF(Y58&lt;&gt;"熱","",IF(ISERROR(VLOOKUP(C58&amp;E58,非_熱供給事業者!$S$8:$T$200,2,FALSE)),"要記入",VLOOKUP(C58&amp;E58,非_熱供給事業者!$S$8:$T$200,2,FALSE)))</f>
        <v/>
      </c>
      <c r="AE58" s="422" t="str">
        <f>IF(Y58&lt;&gt;"都市ガス","",非_都市ガス事業者!$AB$4)</f>
        <v/>
      </c>
      <c r="AF58" s="422" t="str">
        <f>IF(Y58&lt;&gt;"都市ガス","",IF(ISERROR(VLOOKUP(C58&amp;E58,非_都市ガス事業者!$AA$8:$AB$200,2,FALSE)),"要記入",VLOOKUP(C58&amp;E58,非_都市ガス事業者!$AA$8:$AB$200,2,FALSE)))</f>
        <v/>
      </c>
      <c r="AG58" s="422" t="str">
        <f t="shared" si="53"/>
        <v/>
      </c>
      <c r="AH58" s="422" t="str">
        <f t="shared" si="65"/>
        <v/>
      </c>
      <c r="AI58" s="482" t="b">
        <f t="shared" si="12"/>
        <v>1</v>
      </c>
      <c r="AJ58" s="422" t="str">
        <f>IF(P58="","",VLOOKUP(P58,非_単位補正換算!$B$3:$C$16,2,FALSE))</f>
        <v/>
      </c>
      <c r="AK58" s="422" t="str">
        <f>IF(Y58="","",IF(Y58&lt;&gt;"都市ガス",1,IF(F58="","",SUMIFS(非_単位補正換算!$D$52:$D$63,非_単位補正換算!$B$52:$B$63,"都市ガス"&amp;F58,非_単位補正換算!$C$52:$C$63,電気・熱_都市ガス!P58))))</f>
        <v/>
      </c>
      <c r="AL58" s="479" t="str">
        <f t="shared" si="66"/>
        <v/>
      </c>
      <c r="AM58" s="422" t="str">
        <f t="shared" si="54"/>
        <v/>
      </c>
      <c r="AN58" s="422" t="str">
        <f t="shared" si="55"/>
        <v/>
      </c>
      <c r="AO58" s="422" t="str">
        <f>IF(B58="","",VLOOKUP(B58,非_まとめ表行番号!$F$3:$H$12,2,FALSE))</f>
        <v/>
      </c>
      <c r="AP58" s="485" t="b">
        <f t="shared" si="14"/>
        <v>1</v>
      </c>
      <c r="AQ58" s="582" t="str">
        <f>IF(Y58="","",IF(Y58&lt;&gt;"都市ガス",1,非_係数!$G$55))</f>
        <v/>
      </c>
      <c r="AR58" s="422" t="str">
        <f t="shared" si="67"/>
        <v/>
      </c>
      <c r="AS58" s="422" t="str">
        <f t="shared" si="56"/>
        <v/>
      </c>
      <c r="AT58" s="422" t="str">
        <f>IF(B58="","",VLOOKUP(B58,非_係数!$B$42:$K$55,9,FALSE))</f>
        <v/>
      </c>
      <c r="AU58" s="422" t="str">
        <f t="shared" si="16"/>
        <v/>
      </c>
      <c r="AV58" s="422" t="str">
        <f>IF(B58="","",VLOOKUP(B58,非_まとめ表行番号!$F$3:$H$12,3,FALSE))</f>
        <v/>
      </c>
      <c r="AW58" s="422" t="str">
        <f t="shared" si="57"/>
        <v/>
      </c>
      <c r="AY58" s="479" t="str">
        <f>IF(AO58="","",VLOOKUP(AO58,非_まとめ表行番号!$U$3:$V$56,2,FALSE))</f>
        <v/>
      </c>
      <c r="AZ58" s="479" t="str">
        <f t="shared" si="68"/>
        <v/>
      </c>
      <c r="BA58" s="479" t="str">
        <f t="shared" si="58"/>
        <v/>
      </c>
      <c r="BB58" s="479" t="str">
        <f t="shared" si="18"/>
        <v/>
      </c>
      <c r="BC58" s="479" t="str">
        <f t="shared" si="19"/>
        <v/>
      </c>
      <c r="BD58" s="479" t="str">
        <f t="shared" si="59"/>
        <v/>
      </c>
      <c r="BE58" s="479" t="str">
        <f t="shared" si="59"/>
        <v/>
      </c>
      <c r="BF58" s="479" t="str">
        <f t="shared" si="21"/>
        <v/>
      </c>
      <c r="BG58" s="581" t="str">
        <f t="shared" si="69"/>
        <v/>
      </c>
    </row>
    <row r="59" spans="1:59" ht="18.75" customHeight="1">
      <c r="A59" s="460"/>
      <c r="B59" s="368"/>
      <c r="C59" s="368"/>
      <c r="D59" s="368"/>
      <c r="E59" s="368"/>
      <c r="F59" s="368"/>
      <c r="G59" s="558" t="str">
        <f>IF(Y59&lt;&gt;"都市ガス","",IF(ISERROR(VLOOKUP(C59,非_都市ガス事業者!$O$8:$P$200,2,FALSE)),"",VLOOKUP(C59,非_都市ガス事業者!$O$8:$P$200,2,FALSE)))</f>
        <v/>
      </c>
      <c r="H59" s="559" t="str">
        <f>IF(Y59&lt;&gt;"都市ガス","",非_都市ガス事業者!$P$4)</f>
        <v/>
      </c>
      <c r="I59" s="561" t="str">
        <f>IF(B59="","",IF(COUNTIFS(B59,"*自ら生成*")&gt;0,"要記入",IF(Y59&lt;&gt;"都市ガス",VLOOKUP(B59,非_係数!$B$42:$D$55,2,FALSE),"")))</f>
        <v/>
      </c>
      <c r="J59" s="368"/>
      <c r="K59" s="507" t="str">
        <f t="shared" si="60"/>
        <v/>
      </c>
      <c r="L59" s="190" t="str">
        <f t="shared" si="61"/>
        <v/>
      </c>
      <c r="M59" s="368"/>
      <c r="N59" s="418"/>
      <c r="O59" s="368"/>
      <c r="P59" s="368"/>
      <c r="Q59" s="413"/>
      <c r="R59" s="443"/>
      <c r="S59" s="540" t="str">
        <f t="shared" si="70"/>
        <v/>
      </c>
      <c r="T59" s="542" t="str">
        <f t="shared" si="62"/>
        <v/>
      </c>
      <c r="U59" s="396" t="str">
        <f>IF(B59="","",VLOOKUP(B59,非_単位!$N$38:$O$53,2,FALSE))</f>
        <v/>
      </c>
      <c r="V59" s="540" t="str">
        <f t="shared" si="63"/>
        <v/>
      </c>
      <c r="W59" s="541" t="str">
        <f t="shared" si="64"/>
        <v/>
      </c>
      <c r="Y59" s="422" t="str">
        <f t="shared" si="52"/>
        <v/>
      </c>
      <c r="Z59" s="422" t="str">
        <f>IF(A59="","",IF(A59=非_燃料種類_選択リスト!$I$13,"外部供給_種類","外部供給以外_種類"))</f>
        <v/>
      </c>
      <c r="AA59" s="422" t="str">
        <f>IF(Y59&lt;&gt;"電気","",非_電気事業者!$S$4*1000)</f>
        <v/>
      </c>
      <c r="AB59" s="422" t="str">
        <f>IF(Y59&lt;&gt;"電気","",IF(ISERROR(VLOOKUP(C59&amp;E59,非_電気事業者!$R$9:$S$2000,2,FALSE)),"要記入",VLOOKUP(C59&amp;E59,非_電気事業者!$R$9:$S$2000,2,FALSE)*1000))</f>
        <v/>
      </c>
      <c r="AC59" s="422" t="str">
        <f>IF(Y59&lt;&gt;"熱","",非_熱供給事業者!$T$4)</f>
        <v/>
      </c>
      <c r="AD59" s="422" t="str">
        <f>IF(Y59&lt;&gt;"熱","",IF(ISERROR(VLOOKUP(C59&amp;E59,非_熱供給事業者!$S$8:$T$200,2,FALSE)),"要記入",VLOOKUP(C59&amp;E59,非_熱供給事業者!$S$8:$T$200,2,FALSE)))</f>
        <v/>
      </c>
      <c r="AE59" s="422" t="str">
        <f>IF(Y59&lt;&gt;"都市ガス","",非_都市ガス事業者!$AB$4)</f>
        <v/>
      </c>
      <c r="AF59" s="422" t="str">
        <f>IF(Y59&lt;&gt;"都市ガス","",IF(ISERROR(VLOOKUP(C59&amp;E59,非_都市ガス事業者!$AA$8:$AB$200,2,FALSE)),"要記入",VLOOKUP(C59&amp;E59,非_都市ガス事業者!$AA$8:$AB$200,2,FALSE)))</f>
        <v/>
      </c>
      <c r="AG59" s="422" t="str">
        <f t="shared" si="53"/>
        <v/>
      </c>
      <c r="AH59" s="422" t="str">
        <f t="shared" si="65"/>
        <v/>
      </c>
      <c r="AI59" s="482" t="b">
        <f t="shared" si="12"/>
        <v>1</v>
      </c>
      <c r="AJ59" s="422" t="str">
        <f>IF(P59="","",VLOOKUP(P59,非_単位補正換算!$B$3:$C$16,2,FALSE))</f>
        <v/>
      </c>
      <c r="AK59" s="422" t="str">
        <f>IF(Y59="","",IF(Y59&lt;&gt;"都市ガス",1,IF(F59="","",SUMIFS(非_単位補正換算!$D$52:$D$63,非_単位補正換算!$B$52:$B$63,"都市ガス"&amp;F59,非_単位補正換算!$C$52:$C$63,電気・熱_都市ガス!P59))))</f>
        <v/>
      </c>
      <c r="AL59" s="479" t="str">
        <f t="shared" si="66"/>
        <v/>
      </c>
      <c r="AM59" s="422" t="str">
        <f t="shared" si="54"/>
        <v/>
      </c>
      <c r="AN59" s="422" t="str">
        <f t="shared" si="55"/>
        <v/>
      </c>
      <c r="AO59" s="422" t="str">
        <f>IF(B59="","",VLOOKUP(B59,非_まとめ表行番号!$F$3:$H$12,2,FALSE))</f>
        <v/>
      </c>
      <c r="AP59" s="485" t="b">
        <f t="shared" si="14"/>
        <v>1</v>
      </c>
      <c r="AQ59" s="582" t="str">
        <f>IF(Y59="","",IF(Y59&lt;&gt;"都市ガス",1,非_係数!$G$55))</f>
        <v/>
      </c>
      <c r="AR59" s="422" t="str">
        <f t="shared" si="67"/>
        <v/>
      </c>
      <c r="AS59" s="422" t="str">
        <f t="shared" si="56"/>
        <v/>
      </c>
      <c r="AT59" s="422" t="str">
        <f>IF(B59="","",VLOOKUP(B59,非_係数!$B$42:$K$55,9,FALSE))</f>
        <v/>
      </c>
      <c r="AU59" s="422" t="str">
        <f t="shared" si="16"/>
        <v/>
      </c>
      <c r="AV59" s="422" t="str">
        <f>IF(B59="","",VLOOKUP(B59,非_まとめ表行番号!$F$3:$H$12,3,FALSE))</f>
        <v/>
      </c>
      <c r="AW59" s="422" t="str">
        <f t="shared" si="57"/>
        <v/>
      </c>
      <c r="AY59" s="479" t="str">
        <f>IF(AO59="","",VLOOKUP(AO59,非_まとめ表行番号!$U$3:$V$56,2,FALSE))</f>
        <v/>
      </c>
      <c r="AZ59" s="479" t="str">
        <f t="shared" si="68"/>
        <v/>
      </c>
      <c r="BA59" s="479" t="str">
        <f t="shared" si="58"/>
        <v/>
      </c>
      <c r="BB59" s="479" t="str">
        <f t="shared" si="18"/>
        <v/>
      </c>
      <c r="BC59" s="479" t="str">
        <f t="shared" si="19"/>
        <v/>
      </c>
      <c r="BD59" s="479" t="str">
        <f t="shared" si="59"/>
        <v/>
      </c>
      <c r="BE59" s="479" t="str">
        <f t="shared" si="59"/>
        <v/>
      </c>
      <c r="BF59" s="479" t="str">
        <f t="shared" si="21"/>
        <v/>
      </c>
      <c r="BG59" s="581" t="str">
        <f t="shared" si="69"/>
        <v/>
      </c>
    </row>
    <row r="60" spans="1:59" ht="18.75" customHeight="1">
      <c r="A60" s="460"/>
      <c r="B60" s="368"/>
      <c r="C60" s="368"/>
      <c r="D60" s="368"/>
      <c r="E60" s="368"/>
      <c r="F60" s="368"/>
      <c r="G60" s="558" t="str">
        <f>IF(Y60&lt;&gt;"都市ガス","",IF(ISERROR(VLOOKUP(C60,非_都市ガス事業者!$O$8:$P$200,2,FALSE)),"",VLOOKUP(C60,非_都市ガス事業者!$O$8:$P$200,2,FALSE)))</f>
        <v/>
      </c>
      <c r="H60" s="559" t="str">
        <f>IF(Y60&lt;&gt;"都市ガス","",非_都市ガス事業者!$P$4)</f>
        <v/>
      </c>
      <c r="I60" s="561" t="str">
        <f>IF(B60="","",IF(COUNTIFS(B60,"*自ら生成*")&gt;0,"要記入",IF(Y60&lt;&gt;"都市ガス",VLOOKUP(B60,非_係数!$B$42:$D$55,2,FALSE),"")))</f>
        <v/>
      </c>
      <c r="J60" s="368"/>
      <c r="K60" s="507" t="str">
        <f t="shared" ref="K60:K64" si="71">AG60</f>
        <v/>
      </c>
      <c r="L60" s="190" t="str">
        <f t="shared" ref="L60:L64" si="72">AH60</f>
        <v/>
      </c>
      <c r="M60" s="368"/>
      <c r="N60" s="418"/>
      <c r="O60" s="368"/>
      <c r="P60" s="368"/>
      <c r="Q60" s="413"/>
      <c r="R60" s="443"/>
      <c r="S60" s="540" t="str">
        <f t="shared" si="70"/>
        <v/>
      </c>
      <c r="T60" s="542" t="str">
        <f t="shared" ref="T60:T64" si="73">IF(AL60="","",-1*AL60)</f>
        <v/>
      </c>
      <c r="U60" s="396" t="str">
        <f>IF(B60="","",VLOOKUP(B60,非_単位!$N$38:$O$53,2,FALSE))</f>
        <v/>
      </c>
      <c r="V60" s="540" t="str">
        <f t="shared" ref="V60:V64" si="74">IF(AM60="","",-1*AM60)</f>
        <v/>
      </c>
      <c r="W60" s="541" t="str">
        <f t="shared" ref="W60:W64" si="75">IF(AN60="","",-1*AN60)</f>
        <v/>
      </c>
      <c r="Y60" s="422" t="str">
        <f t="shared" si="52"/>
        <v/>
      </c>
      <c r="Z60" s="422" t="str">
        <f>IF(A60="","",IF(A60=非_燃料種類_選択リスト!$I$13,"外部供給_種類","外部供給以外_種類"))</f>
        <v/>
      </c>
      <c r="AA60" s="422" t="str">
        <f>IF(Y60&lt;&gt;"電気","",非_電気事業者!$S$4*1000)</f>
        <v/>
      </c>
      <c r="AB60" s="422" t="str">
        <f>IF(Y60&lt;&gt;"電気","",IF(ISERROR(VLOOKUP(C60&amp;E60,非_電気事業者!$R$9:$S$2000,2,FALSE)),"要記入",VLOOKUP(C60&amp;E60,非_電気事業者!$R$9:$S$2000,2,FALSE)*1000))</f>
        <v/>
      </c>
      <c r="AC60" s="422" t="str">
        <f>IF(Y60&lt;&gt;"熱","",非_熱供給事業者!$T$4)</f>
        <v/>
      </c>
      <c r="AD60" s="422" t="str">
        <f>IF(Y60&lt;&gt;"熱","",IF(ISERROR(VLOOKUP(C60&amp;E60,非_熱供給事業者!$S$8:$T$200,2,FALSE)),"要記入",VLOOKUP(C60&amp;E60,非_熱供給事業者!$S$8:$T$200,2,FALSE)))</f>
        <v/>
      </c>
      <c r="AE60" s="422" t="str">
        <f>IF(Y60&lt;&gt;"都市ガス","",非_都市ガス事業者!$AB$4)</f>
        <v/>
      </c>
      <c r="AF60" s="422" t="str">
        <f>IF(Y60&lt;&gt;"都市ガス","",IF(ISERROR(VLOOKUP(C60&amp;E60,非_都市ガス事業者!$AA$8:$AB$200,2,FALSE)),"要記入",VLOOKUP(C60&amp;E60,非_都市ガス事業者!$AA$8:$AB$200,2,FALSE)))</f>
        <v/>
      </c>
      <c r="AG60" s="422" t="str">
        <f t="shared" si="53"/>
        <v/>
      </c>
      <c r="AH60" s="422" t="str">
        <f t="shared" si="65"/>
        <v/>
      </c>
      <c r="AI60" s="482" t="b">
        <f t="shared" si="12"/>
        <v>1</v>
      </c>
      <c r="AJ60" s="422" t="str">
        <f>IF(P60="","",VLOOKUP(P60,非_単位補正換算!$B$3:$C$16,2,FALSE))</f>
        <v/>
      </c>
      <c r="AK60" s="422" t="str">
        <f>IF(Y60="","",IF(Y60&lt;&gt;"都市ガス",1,IF(F60="","",SUMIFS(非_単位補正換算!$D$52:$D$63,非_単位補正換算!$B$52:$B$63,"都市ガス"&amp;F60,非_単位補正換算!$C$52:$C$63,電気・熱_都市ガス!P60))))</f>
        <v/>
      </c>
      <c r="AL60" s="479" t="str">
        <f t="shared" si="66"/>
        <v/>
      </c>
      <c r="AM60" s="422" t="str">
        <f t="shared" si="54"/>
        <v/>
      </c>
      <c r="AN60" s="422" t="str">
        <f t="shared" si="55"/>
        <v/>
      </c>
      <c r="AO60" s="422" t="str">
        <f>IF(B60="","",VLOOKUP(B60,非_まとめ表行番号!$F$3:$H$12,2,FALSE))</f>
        <v/>
      </c>
      <c r="AP60" s="485" t="b">
        <f t="shared" si="14"/>
        <v>1</v>
      </c>
      <c r="AQ60" s="582" t="str">
        <f>IF(Y60="","",IF(Y60&lt;&gt;"都市ガス",1,非_係数!$G$55))</f>
        <v/>
      </c>
      <c r="AR60" s="422" t="str">
        <f t="shared" si="67"/>
        <v/>
      </c>
      <c r="AS60" s="422" t="str">
        <f t="shared" si="56"/>
        <v/>
      </c>
      <c r="AT60" s="422" t="str">
        <f>IF(B60="","",VLOOKUP(B60,非_係数!$B$42:$K$55,9,FALSE))</f>
        <v/>
      </c>
      <c r="AU60" s="422" t="str">
        <f t="shared" si="16"/>
        <v/>
      </c>
      <c r="AV60" s="422" t="str">
        <f>IF(B60="","",VLOOKUP(B60,非_まとめ表行番号!$F$3:$H$12,3,FALSE))</f>
        <v/>
      </c>
      <c r="AW60" s="422" t="str">
        <f t="shared" si="57"/>
        <v/>
      </c>
      <c r="AY60" s="479" t="str">
        <f>IF(AO60="","",VLOOKUP(AO60,非_まとめ表行番号!$U$3:$V$56,2,FALSE))</f>
        <v/>
      </c>
      <c r="AZ60" s="479" t="str">
        <f t="shared" si="68"/>
        <v/>
      </c>
      <c r="BA60" s="479" t="str">
        <f t="shared" si="58"/>
        <v/>
      </c>
      <c r="BB60" s="479" t="str">
        <f t="shared" si="18"/>
        <v/>
      </c>
      <c r="BC60" s="479" t="str">
        <f t="shared" si="19"/>
        <v/>
      </c>
      <c r="BD60" s="479" t="str">
        <f t="shared" si="59"/>
        <v/>
      </c>
      <c r="BE60" s="479" t="str">
        <f t="shared" si="59"/>
        <v/>
      </c>
      <c r="BF60" s="479" t="str">
        <f t="shared" si="21"/>
        <v/>
      </c>
      <c r="BG60" s="581" t="str">
        <f t="shared" si="69"/>
        <v/>
      </c>
    </row>
    <row r="61" spans="1:59" ht="18.75" customHeight="1">
      <c r="A61" s="460"/>
      <c r="B61" s="368"/>
      <c r="C61" s="368"/>
      <c r="D61" s="368"/>
      <c r="E61" s="368"/>
      <c r="F61" s="368"/>
      <c r="G61" s="558" t="str">
        <f>IF(Y61&lt;&gt;"都市ガス","",IF(ISERROR(VLOOKUP(C61,非_都市ガス事業者!$O$8:$P$200,2,FALSE)),"",VLOOKUP(C61,非_都市ガス事業者!$O$8:$P$200,2,FALSE)))</f>
        <v/>
      </c>
      <c r="H61" s="559" t="str">
        <f>IF(Y61&lt;&gt;"都市ガス","",非_都市ガス事業者!$P$4)</f>
        <v/>
      </c>
      <c r="I61" s="561" t="str">
        <f>IF(B61="","",IF(COUNTIFS(B61,"*自ら生成*")&gt;0,"要記入",IF(Y61&lt;&gt;"都市ガス",VLOOKUP(B61,非_係数!$B$42:$D$55,2,FALSE),"")))</f>
        <v/>
      </c>
      <c r="J61" s="368"/>
      <c r="K61" s="507" t="str">
        <f t="shared" si="71"/>
        <v/>
      </c>
      <c r="L61" s="190" t="str">
        <f t="shared" si="72"/>
        <v/>
      </c>
      <c r="M61" s="368"/>
      <c r="N61" s="418"/>
      <c r="O61" s="368"/>
      <c r="P61" s="368"/>
      <c r="Q61" s="413"/>
      <c r="R61" s="443"/>
      <c r="S61" s="540" t="str">
        <f t="shared" si="70"/>
        <v/>
      </c>
      <c r="T61" s="542" t="str">
        <f t="shared" si="73"/>
        <v/>
      </c>
      <c r="U61" s="396" t="str">
        <f>IF(B61="","",VLOOKUP(B61,非_単位!$N$38:$O$53,2,FALSE))</f>
        <v/>
      </c>
      <c r="V61" s="540" t="str">
        <f t="shared" si="74"/>
        <v/>
      </c>
      <c r="W61" s="541" t="str">
        <f t="shared" si="75"/>
        <v/>
      </c>
      <c r="Y61" s="422" t="str">
        <f t="shared" si="52"/>
        <v/>
      </c>
      <c r="Z61" s="422" t="str">
        <f>IF(A61="","",IF(A61=非_燃料種類_選択リスト!$I$13,"外部供給_種類","外部供給以外_種類"))</f>
        <v/>
      </c>
      <c r="AA61" s="422" t="str">
        <f>IF(Y61&lt;&gt;"電気","",非_電気事業者!$S$4*1000)</f>
        <v/>
      </c>
      <c r="AB61" s="422" t="str">
        <f>IF(Y61&lt;&gt;"電気","",IF(ISERROR(VLOOKUP(C61&amp;E61,非_電気事業者!$R$9:$S$2000,2,FALSE)),"要記入",VLOOKUP(C61&amp;E61,非_電気事業者!$R$9:$S$2000,2,FALSE)*1000))</f>
        <v/>
      </c>
      <c r="AC61" s="422" t="str">
        <f>IF(Y61&lt;&gt;"熱","",非_熱供給事業者!$T$4)</f>
        <v/>
      </c>
      <c r="AD61" s="422" t="str">
        <f>IF(Y61&lt;&gt;"熱","",IF(ISERROR(VLOOKUP(C61&amp;E61,非_熱供給事業者!$S$8:$T$200,2,FALSE)),"要記入",VLOOKUP(C61&amp;E61,非_熱供給事業者!$S$8:$T$200,2,FALSE)))</f>
        <v/>
      </c>
      <c r="AE61" s="422" t="str">
        <f>IF(Y61&lt;&gt;"都市ガス","",非_都市ガス事業者!$AB$4)</f>
        <v/>
      </c>
      <c r="AF61" s="422" t="str">
        <f>IF(Y61&lt;&gt;"都市ガス","",IF(ISERROR(VLOOKUP(C61&amp;E61,非_都市ガス事業者!$AA$8:$AB$200,2,FALSE)),"要記入",VLOOKUP(C61&amp;E61,非_都市ガス事業者!$AA$8:$AB$200,2,FALSE)))</f>
        <v/>
      </c>
      <c r="AG61" s="422" t="str">
        <f t="shared" si="53"/>
        <v/>
      </c>
      <c r="AH61" s="422" t="str">
        <f t="shared" si="65"/>
        <v/>
      </c>
      <c r="AI61" s="482" t="b">
        <f t="shared" si="12"/>
        <v>1</v>
      </c>
      <c r="AJ61" s="422" t="str">
        <f>IF(P61="","",VLOOKUP(P61,非_単位補正換算!$B$3:$C$16,2,FALSE))</f>
        <v/>
      </c>
      <c r="AK61" s="422" t="str">
        <f>IF(Y61="","",IF(Y61&lt;&gt;"都市ガス",1,IF(F61="","",SUMIFS(非_単位補正換算!$D$52:$D$63,非_単位補正換算!$B$52:$B$63,"都市ガス"&amp;F61,非_単位補正換算!$C$52:$C$63,電気・熱_都市ガス!P61))))</f>
        <v/>
      </c>
      <c r="AL61" s="479" t="str">
        <f t="shared" si="66"/>
        <v/>
      </c>
      <c r="AM61" s="422" t="str">
        <f t="shared" si="54"/>
        <v/>
      </c>
      <c r="AN61" s="422" t="str">
        <f t="shared" si="55"/>
        <v/>
      </c>
      <c r="AO61" s="422" t="str">
        <f>IF(B61="","",VLOOKUP(B61,非_まとめ表行番号!$F$3:$H$12,2,FALSE))</f>
        <v/>
      </c>
      <c r="AP61" s="485" t="b">
        <f t="shared" si="14"/>
        <v>1</v>
      </c>
      <c r="AQ61" s="582" t="str">
        <f>IF(Y61="","",IF(Y61&lt;&gt;"都市ガス",1,非_係数!$G$55))</f>
        <v/>
      </c>
      <c r="AR61" s="422" t="str">
        <f t="shared" si="67"/>
        <v/>
      </c>
      <c r="AS61" s="422" t="str">
        <f t="shared" si="56"/>
        <v/>
      </c>
      <c r="AT61" s="422" t="str">
        <f>IF(B61="","",VLOOKUP(B61,非_係数!$B$42:$K$55,9,FALSE))</f>
        <v/>
      </c>
      <c r="AU61" s="422" t="str">
        <f t="shared" si="16"/>
        <v/>
      </c>
      <c r="AV61" s="422" t="str">
        <f>IF(B61="","",VLOOKUP(B61,非_まとめ表行番号!$F$3:$H$12,3,FALSE))</f>
        <v/>
      </c>
      <c r="AW61" s="422" t="str">
        <f t="shared" si="57"/>
        <v/>
      </c>
      <c r="AY61" s="479" t="str">
        <f>IF(AO61="","",VLOOKUP(AO61,非_まとめ表行番号!$U$3:$V$56,2,FALSE))</f>
        <v/>
      </c>
      <c r="AZ61" s="479" t="str">
        <f t="shared" si="68"/>
        <v/>
      </c>
      <c r="BA61" s="479" t="str">
        <f t="shared" si="58"/>
        <v/>
      </c>
      <c r="BB61" s="479" t="str">
        <f t="shared" si="18"/>
        <v/>
      </c>
      <c r="BC61" s="479" t="str">
        <f t="shared" si="19"/>
        <v/>
      </c>
      <c r="BD61" s="479" t="str">
        <f t="shared" si="59"/>
        <v/>
      </c>
      <c r="BE61" s="479" t="str">
        <f t="shared" si="59"/>
        <v/>
      </c>
      <c r="BF61" s="479" t="str">
        <f t="shared" si="21"/>
        <v/>
      </c>
      <c r="BG61" s="581" t="str">
        <f t="shared" si="69"/>
        <v/>
      </c>
    </row>
    <row r="62" spans="1:59" ht="18.75" customHeight="1">
      <c r="A62" s="460"/>
      <c r="B62" s="368"/>
      <c r="C62" s="368"/>
      <c r="D62" s="368"/>
      <c r="E62" s="368"/>
      <c r="F62" s="368"/>
      <c r="G62" s="558" t="str">
        <f>IF(Y62&lt;&gt;"都市ガス","",IF(ISERROR(VLOOKUP(C62,非_都市ガス事業者!$O$8:$P$200,2,FALSE)),"",VLOOKUP(C62,非_都市ガス事業者!$O$8:$P$200,2,FALSE)))</f>
        <v/>
      </c>
      <c r="H62" s="559" t="str">
        <f>IF(Y62&lt;&gt;"都市ガス","",非_都市ガス事業者!$P$4)</f>
        <v/>
      </c>
      <c r="I62" s="561" t="str">
        <f>IF(B62="","",IF(COUNTIFS(B62,"*自ら生成*")&gt;0,"要記入",IF(Y62&lt;&gt;"都市ガス",VLOOKUP(B62,非_係数!$B$42:$D$55,2,FALSE),"")))</f>
        <v/>
      </c>
      <c r="J62" s="368"/>
      <c r="K62" s="507" t="str">
        <f t="shared" si="71"/>
        <v/>
      </c>
      <c r="L62" s="190" t="str">
        <f t="shared" si="72"/>
        <v/>
      </c>
      <c r="M62" s="368"/>
      <c r="N62" s="418"/>
      <c r="O62" s="368"/>
      <c r="P62" s="368"/>
      <c r="Q62" s="413"/>
      <c r="R62" s="443"/>
      <c r="S62" s="540" t="str">
        <f t="shared" si="70"/>
        <v/>
      </c>
      <c r="T62" s="542" t="str">
        <f t="shared" si="73"/>
        <v/>
      </c>
      <c r="U62" s="396" t="str">
        <f>IF(B62="","",VLOOKUP(B62,非_単位!$N$38:$O$53,2,FALSE))</f>
        <v/>
      </c>
      <c r="V62" s="540" t="str">
        <f t="shared" si="74"/>
        <v/>
      </c>
      <c r="W62" s="541" t="str">
        <f t="shared" si="75"/>
        <v/>
      </c>
      <c r="Y62" s="422" t="str">
        <f t="shared" si="52"/>
        <v/>
      </c>
      <c r="Z62" s="422" t="str">
        <f>IF(A62="","",IF(A62=非_燃料種類_選択リスト!$I$13,"外部供給_種類","外部供給以外_種類"))</f>
        <v/>
      </c>
      <c r="AA62" s="422" t="str">
        <f>IF(Y62&lt;&gt;"電気","",非_電気事業者!$S$4*1000)</f>
        <v/>
      </c>
      <c r="AB62" s="422" t="str">
        <f>IF(Y62&lt;&gt;"電気","",IF(ISERROR(VLOOKUP(C62&amp;E62,非_電気事業者!$R$9:$S$2000,2,FALSE)),"要記入",VLOOKUP(C62&amp;E62,非_電気事業者!$R$9:$S$2000,2,FALSE)*1000))</f>
        <v/>
      </c>
      <c r="AC62" s="422" t="str">
        <f>IF(Y62&lt;&gt;"熱","",非_熱供給事業者!$T$4)</f>
        <v/>
      </c>
      <c r="AD62" s="422" t="str">
        <f>IF(Y62&lt;&gt;"熱","",IF(ISERROR(VLOOKUP(C62&amp;E62,非_熱供給事業者!$S$8:$T$200,2,FALSE)),"要記入",VLOOKUP(C62&amp;E62,非_熱供給事業者!$S$8:$T$200,2,FALSE)))</f>
        <v/>
      </c>
      <c r="AE62" s="422" t="str">
        <f>IF(Y62&lt;&gt;"都市ガス","",非_都市ガス事業者!$AB$4)</f>
        <v/>
      </c>
      <c r="AF62" s="422" t="str">
        <f>IF(Y62&lt;&gt;"都市ガス","",IF(ISERROR(VLOOKUP(C62&amp;E62,非_都市ガス事業者!$AA$8:$AB$200,2,FALSE)),"要記入",VLOOKUP(C62&amp;E62,非_都市ガス事業者!$AA$8:$AB$200,2,FALSE)))</f>
        <v/>
      </c>
      <c r="AG62" s="422" t="str">
        <f t="shared" si="53"/>
        <v/>
      </c>
      <c r="AH62" s="422" t="str">
        <f t="shared" si="65"/>
        <v/>
      </c>
      <c r="AI62" s="482" t="b">
        <f t="shared" si="12"/>
        <v>1</v>
      </c>
      <c r="AJ62" s="422" t="str">
        <f>IF(P62="","",VLOOKUP(P62,非_単位補正換算!$B$3:$C$16,2,FALSE))</f>
        <v/>
      </c>
      <c r="AK62" s="422" t="str">
        <f>IF(Y62="","",IF(Y62&lt;&gt;"都市ガス",1,IF(F62="","",SUMIFS(非_単位補正換算!$D$52:$D$63,非_単位補正換算!$B$52:$B$63,"都市ガス"&amp;F62,非_単位補正換算!$C$52:$C$63,電気・熱_都市ガス!P62))))</f>
        <v/>
      </c>
      <c r="AL62" s="479" t="str">
        <f t="shared" si="66"/>
        <v/>
      </c>
      <c r="AM62" s="422" t="str">
        <f t="shared" si="54"/>
        <v/>
      </c>
      <c r="AN62" s="422" t="str">
        <f t="shared" si="55"/>
        <v/>
      </c>
      <c r="AO62" s="422" t="str">
        <f>IF(B62="","",VLOOKUP(B62,非_まとめ表行番号!$F$3:$H$12,2,FALSE))</f>
        <v/>
      </c>
      <c r="AP62" s="485" t="b">
        <f t="shared" si="14"/>
        <v>1</v>
      </c>
      <c r="AQ62" s="582" t="str">
        <f>IF(Y62="","",IF(Y62&lt;&gt;"都市ガス",1,非_係数!$G$55))</f>
        <v/>
      </c>
      <c r="AR62" s="422" t="str">
        <f t="shared" si="67"/>
        <v/>
      </c>
      <c r="AS62" s="422" t="str">
        <f t="shared" si="56"/>
        <v/>
      </c>
      <c r="AT62" s="422" t="str">
        <f>IF(B62="","",VLOOKUP(B62,非_係数!$B$42:$K$55,9,FALSE))</f>
        <v/>
      </c>
      <c r="AU62" s="422" t="str">
        <f t="shared" si="16"/>
        <v/>
      </c>
      <c r="AV62" s="422" t="str">
        <f>IF(B62="","",VLOOKUP(B62,非_まとめ表行番号!$F$3:$H$12,3,FALSE))</f>
        <v/>
      </c>
      <c r="AW62" s="422" t="str">
        <f t="shared" si="57"/>
        <v/>
      </c>
      <c r="AY62" s="479" t="str">
        <f>IF(AO62="","",VLOOKUP(AO62,非_まとめ表行番号!$U$3:$V$56,2,FALSE))</f>
        <v/>
      </c>
      <c r="AZ62" s="479" t="str">
        <f t="shared" si="68"/>
        <v/>
      </c>
      <c r="BA62" s="479" t="str">
        <f t="shared" si="58"/>
        <v/>
      </c>
      <c r="BB62" s="479" t="str">
        <f t="shared" si="18"/>
        <v/>
      </c>
      <c r="BC62" s="479" t="str">
        <f t="shared" si="19"/>
        <v/>
      </c>
      <c r="BD62" s="479" t="str">
        <f t="shared" si="59"/>
        <v/>
      </c>
      <c r="BE62" s="479" t="str">
        <f t="shared" si="59"/>
        <v/>
      </c>
      <c r="BF62" s="479" t="str">
        <f t="shared" si="21"/>
        <v/>
      </c>
      <c r="BG62" s="581" t="str">
        <f t="shared" si="69"/>
        <v/>
      </c>
    </row>
    <row r="63" spans="1:59" ht="18.75" customHeight="1">
      <c r="A63" s="460"/>
      <c r="B63" s="368"/>
      <c r="C63" s="368"/>
      <c r="D63" s="368"/>
      <c r="E63" s="368"/>
      <c r="F63" s="368"/>
      <c r="G63" s="558" t="str">
        <f>IF(Y63&lt;&gt;"都市ガス","",IF(ISERROR(VLOOKUP(C63,非_都市ガス事業者!$O$8:$P$200,2,FALSE)),"",VLOOKUP(C63,非_都市ガス事業者!$O$8:$P$200,2,FALSE)))</f>
        <v/>
      </c>
      <c r="H63" s="559" t="str">
        <f>IF(Y63&lt;&gt;"都市ガス","",非_都市ガス事業者!$P$4)</f>
        <v/>
      </c>
      <c r="I63" s="561" t="str">
        <f>IF(B63="","",IF(COUNTIFS(B63,"*自ら生成*")&gt;0,"要記入",IF(Y63&lt;&gt;"都市ガス",VLOOKUP(B63,非_係数!$B$42:$D$55,2,FALSE),"")))</f>
        <v/>
      </c>
      <c r="J63" s="368"/>
      <c r="K63" s="507" t="str">
        <f t="shared" si="71"/>
        <v/>
      </c>
      <c r="L63" s="190" t="str">
        <f t="shared" si="72"/>
        <v/>
      </c>
      <c r="M63" s="368"/>
      <c r="N63" s="418"/>
      <c r="O63" s="368"/>
      <c r="P63" s="368"/>
      <c r="Q63" s="413"/>
      <c r="R63" s="443"/>
      <c r="S63" s="540" t="str">
        <f t="shared" si="70"/>
        <v/>
      </c>
      <c r="T63" s="542" t="str">
        <f t="shared" si="73"/>
        <v/>
      </c>
      <c r="U63" s="396" t="str">
        <f>IF(B63="","",VLOOKUP(B63,非_単位!$N$38:$O$53,2,FALSE))</f>
        <v/>
      </c>
      <c r="V63" s="540" t="str">
        <f t="shared" si="74"/>
        <v/>
      </c>
      <c r="W63" s="541" t="str">
        <f t="shared" si="75"/>
        <v/>
      </c>
      <c r="Y63" s="422" t="str">
        <f t="shared" si="52"/>
        <v/>
      </c>
      <c r="Z63" s="422" t="str">
        <f>IF(A63="","",IF(A63=非_燃料種類_選択リスト!$I$13,"外部供給_種類","外部供給以外_種類"))</f>
        <v/>
      </c>
      <c r="AA63" s="422" t="str">
        <f>IF(Y63&lt;&gt;"電気","",非_電気事業者!$S$4*1000)</f>
        <v/>
      </c>
      <c r="AB63" s="422" t="str">
        <f>IF(Y63&lt;&gt;"電気","",IF(ISERROR(VLOOKUP(C63&amp;E63,非_電気事業者!$R$9:$S$2000,2,FALSE)),"要記入",VLOOKUP(C63&amp;E63,非_電気事業者!$R$9:$S$2000,2,FALSE)*1000))</f>
        <v/>
      </c>
      <c r="AC63" s="422" t="str">
        <f>IF(Y63&lt;&gt;"熱","",非_熱供給事業者!$T$4)</f>
        <v/>
      </c>
      <c r="AD63" s="422" t="str">
        <f>IF(Y63&lt;&gt;"熱","",IF(ISERROR(VLOOKUP(C63&amp;E63,非_熱供給事業者!$S$8:$T$200,2,FALSE)),"要記入",VLOOKUP(C63&amp;E63,非_熱供給事業者!$S$8:$T$200,2,FALSE)))</f>
        <v/>
      </c>
      <c r="AE63" s="422" t="str">
        <f>IF(Y63&lt;&gt;"都市ガス","",非_都市ガス事業者!$AB$4)</f>
        <v/>
      </c>
      <c r="AF63" s="422" t="str">
        <f>IF(Y63&lt;&gt;"都市ガス","",IF(ISERROR(VLOOKUP(C63&amp;E63,非_都市ガス事業者!$AA$8:$AB$200,2,FALSE)),"要記入",VLOOKUP(C63&amp;E63,非_都市ガス事業者!$AA$8:$AB$200,2,FALSE)))</f>
        <v/>
      </c>
      <c r="AG63" s="422" t="str">
        <f t="shared" si="53"/>
        <v/>
      </c>
      <c r="AH63" s="422" t="str">
        <f t="shared" si="65"/>
        <v/>
      </c>
      <c r="AI63" s="482" t="b">
        <f t="shared" si="12"/>
        <v>1</v>
      </c>
      <c r="AJ63" s="422" t="str">
        <f>IF(P63="","",VLOOKUP(P63,非_単位補正換算!$B$3:$C$16,2,FALSE))</f>
        <v/>
      </c>
      <c r="AK63" s="422" t="str">
        <f>IF(Y63="","",IF(Y63&lt;&gt;"都市ガス",1,IF(F63="","",SUMIFS(非_単位補正換算!$D$52:$D$63,非_単位補正換算!$B$52:$B$63,"都市ガス"&amp;F63,非_単位補正換算!$C$52:$C$63,電気・熱_都市ガス!P63))))</f>
        <v/>
      </c>
      <c r="AL63" s="479" t="str">
        <f t="shared" si="66"/>
        <v/>
      </c>
      <c r="AM63" s="422" t="str">
        <f t="shared" si="54"/>
        <v/>
      </c>
      <c r="AN63" s="422" t="str">
        <f t="shared" si="55"/>
        <v/>
      </c>
      <c r="AO63" s="422" t="str">
        <f>IF(B63="","",VLOOKUP(B63,非_まとめ表行番号!$F$3:$H$12,2,FALSE))</f>
        <v/>
      </c>
      <c r="AP63" s="485" t="b">
        <f t="shared" si="14"/>
        <v>1</v>
      </c>
      <c r="AQ63" s="582" t="str">
        <f>IF(Y63="","",IF(Y63&lt;&gt;"都市ガス",1,非_係数!$G$55))</f>
        <v/>
      </c>
      <c r="AR63" s="422" t="str">
        <f t="shared" si="67"/>
        <v/>
      </c>
      <c r="AS63" s="422" t="str">
        <f t="shared" si="56"/>
        <v/>
      </c>
      <c r="AT63" s="422" t="str">
        <f>IF(B63="","",VLOOKUP(B63,非_係数!$B$42:$K$55,9,FALSE))</f>
        <v/>
      </c>
      <c r="AU63" s="422" t="str">
        <f t="shared" si="16"/>
        <v/>
      </c>
      <c r="AV63" s="422" t="str">
        <f>IF(B63="","",VLOOKUP(B63,非_まとめ表行番号!$F$3:$H$12,3,FALSE))</f>
        <v/>
      </c>
      <c r="AW63" s="422" t="str">
        <f t="shared" si="57"/>
        <v/>
      </c>
      <c r="AY63" s="479" t="str">
        <f>IF(AO63="","",VLOOKUP(AO63,非_まとめ表行番号!$U$3:$V$56,2,FALSE))</f>
        <v/>
      </c>
      <c r="AZ63" s="479" t="str">
        <f t="shared" si="68"/>
        <v/>
      </c>
      <c r="BA63" s="479" t="str">
        <f t="shared" si="58"/>
        <v/>
      </c>
      <c r="BB63" s="479" t="str">
        <f t="shared" si="18"/>
        <v/>
      </c>
      <c r="BC63" s="479" t="str">
        <f t="shared" si="19"/>
        <v/>
      </c>
      <c r="BD63" s="479" t="str">
        <f t="shared" si="59"/>
        <v/>
      </c>
      <c r="BE63" s="479" t="str">
        <f t="shared" si="59"/>
        <v/>
      </c>
      <c r="BF63" s="479" t="str">
        <f t="shared" si="21"/>
        <v/>
      </c>
      <c r="BG63" s="581" t="str">
        <f t="shared" si="69"/>
        <v/>
      </c>
    </row>
    <row r="64" spans="1:59" ht="18.75" customHeight="1">
      <c r="A64" s="460"/>
      <c r="B64" s="368"/>
      <c r="C64" s="368"/>
      <c r="D64" s="368"/>
      <c r="E64" s="368"/>
      <c r="F64" s="368"/>
      <c r="G64" s="558" t="str">
        <f>IF(Y64&lt;&gt;"都市ガス","",IF(ISERROR(VLOOKUP(C64,非_都市ガス事業者!$O$8:$P$200,2,FALSE)),"",VLOOKUP(C64,非_都市ガス事業者!$O$8:$P$200,2,FALSE)))</f>
        <v/>
      </c>
      <c r="H64" s="559" t="str">
        <f>IF(Y64&lt;&gt;"都市ガス","",非_都市ガス事業者!$P$4)</f>
        <v/>
      </c>
      <c r="I64" s="561" t="str">
        <f>IF(B64="","",IF(COUNTIFS(B64,"*自ら生成*")&gt;0,"要記入",IF(Y64&lt;&gt;"都市ガス",VLOOKUP(B64,非_係数!$B$42:$D$55,2,FALSE),"")))</f>
        <v/>
      </c>
      <c r="J64" s="368"/>
      <c r="K64" s="507" t="str">
        <f t="shared" si="71"/>
        <v/>
      </c>
      <c r="L64" s="190" t="str">
        <f t="shared" si="72"/>
        <v/>
      </c>
      <c r="M64" s="368"/>
      <c r="N64" s="418"/>
      <c r="O64" s="368"/>
      <c r="P64" s="368"/>
      <c r="Q64" s="413"/>
      <c r="R64" s="443"/>
      <c r="S64" s="540" t="str">
        <f t="shared" si="70"/>
        <v/>
      </c>
      <c r="T64" s="542" t="str">
        <f t="shared" si="73"/>
        <v/>
      </c>
      <c r="U64" s="396" t="str">
        <f>IF(B64="","",VLOOKUP(B64,非_単位!$N$38:$O$53,2,FALSE))</f>
        <v/>
      </c>
      <c r="V64" s="540" t="str">
        <f t="shared" si="74"/>
        <v/>
      </c>
      <c r="W64" s="541" t="str">
        <f t="shared" si="75"/>
        <v/>
      </c>
      <c r="Y64" s="422" t="str">
        <f t="shared" si="52"/>
        <v/>
      </c>
      <c r="Z64" s="422" t="str">
        <f>IF(A64="","",IF(A64=非_燃料種類_選択リスト!$I$13,"外部供給_種類","外部供給以外_種類"))</f>
        <v/>
      </c>
      <c r="AA64" s="422" t="str">
        <f>IF(Y64&lt;&gt;"電気","",非_電気事業者!$S$4*1000)</f>
        <v/>
      </c>
      <c r="AB64" s="422" t="str">
        <f>IF(Y64&lt;&gt;"電気","",IF(ISERROR(VLOOKUP(C64&amp;E64,非_電気事業者!$R$9:$S$2000,2,FALSE)),"要記入",VLOOKUP(C64&amp;E64,非_電気事業者!$R$9:$S$2000,2,FALSE)*1000))</f>
        <v/>
      </c>
      <c r="AC64" s="422" t="str">
        <f>IF(Y64&lt;&gt;"熱","",非_熱供給事業者!$T$4)</f>
        <v/>
      </c>
      <c r="AD64" s="422" t="str">
        <f>IF(Y64&lt;&gt;"熱","",IF(ISERROR(VLOOKUP(C64&amp;E64,非_熱供給事業者!$S$8:$T$200,2,FALSE)),"要記入",VLOOKUP(C64&amp;E64,非_熱供給事業者!$S$8:$T$200,2,FALSE)))</f>
        <v/>
      </c>
      <c r="AE64" s="422" t="str">
        <f>IF(Y64&lt;&gt;"都市ガス","",非_都市ガス事業者!$AB$4)</f>
        <v/>
      </c>
      <c r="AF64" s="422" t="str">
        <f>IF(Y64&lt;&gt;"都市ガス","",IF(ISERROR(VLOOKUP(C64&amp;E64,非_都市ガス事業者!$AA$8:$AB$200,2,FALSE)),"要記入",VLOOKUP(C64&amp;E64,非_都市ガス事業者!$AA$8:$AB$200,2,FALSE)))</f>
        <v/>
      </c>
      <c r="AG64" s="422" t="str">
        <f t="shared" si="53"/>
        <v/>
      </c>
      <c r="AH64" s="422" t="str">
        <f t="shared" si="65"/>
        <v/>
      </c>
      <c r="AI64" s="482" t="b">
        <f t="shared" si="12"/>
        <v>1</v>
      </c>
      <c r="AJ64" s="422" t="str">
        <f>IF(P64="","",VLOOKUP(P64,非_単位補正換算!$B$3:$C$16,2,FALSE))</f>
        <v/>
      </c>
      <c r="AK64" s="422" t="str">
        <f>IF(Y64="","",IF(Y64&lt;&gt;"都市ガス",1,IF(F64="","",SUMIFS(非_単位補正換算!$D$52:$D$63,非_単位補正換算!$B$52:$B$63,"都市ガス"&amp;F64,非_単位補正換算!$C$52:$C$63,電気・熱_都市ガス!P64))))</f>
        <v/>
      </c>
      <c r="AL64" s="479" t="str">
        <f t="shared" si="66"/>
        <v/>
      </c>
      <c r="AM64" s="422" t="str">
        <f t="shared" si="54"/>
        <v/>
      </c>
      <c r="AN64" s="422" t="str">
        <f t="shared" si="55"/>
        <v/>
      </c>
      <c r="AO64" s="422" t="str">
        <f>IF(B64="","",VLOOKUP(B64,非_まとめ表行番号!$F$3:$H$12,2,FALSE))</f>
        <v/>
      </c>
      <c r="AP64" s="485" t="b">
        <f t="shared" si="14"/>
        <v>1</v>
      </c>
      <c r="AQ64" s="582" t="str">
        <f>IF(Y64="","",IF(Y64&lt;&gt;"都市ガス",1,非_係数!$G$55))</f>
        <v/>
      </c>
      <c r="AR64" s="422" t="str">
        <f t="shared" si="67"/>
        <v/>
      </c>
      <c r="AS64" s="422" t="str">
        <f t="shared" si="56"/>
        <v/>
      </c>
      <c r="AT64" s="422" t="str">
        <f>IF(B64="","",VLOOKUP(B64,非_係数!$B$42:$K$55,9,FALSE))</f>
        <v/>
      </c>
      <c r="AU64" s="422" t="str">
        <f t="shared" si="16"/>
        <v/>
      </c>
      <c r="AV64" s="422" t="str">
        <f>IF(B64="","",VLOOKUP(B64,非_まとめ表行番号!$F$3:$H$12,3,FALSE))</f>
        <v/>
      </c>
      <c r="AW64" s="422" t="str">
        <f t="shared" si="57"/>
        <v/>
      </c>
      <c r="AY64" s="479" t="str">
        <f>IF(AO64="","",VLOOKUP(AO64,非_まとめ表行番号!$U$3:$V$56,2,FALSE))</f>
        <v/>
      </c>
      <c r="AZ64" s="479" t="str">
        <f t="shared" si="68"/>
        <v/>
      </c>
      <c r="BA64" s="479" t="str">
        <f t="shared" si="58"/>
        <v/>
      </c>
      <c r="BB64" s="479" t="str">
        <f t="shared" si="18"/>
        <v/>
      </c>
      <c r="BC64" s="479" t="str">
        <f t="shared" si="19"/>
        <v/>
      </c>
      <c r="BD64" s="479" t="str">
        <f t="shared" ref="BD64:BE72" si="76">IF(J64="","",J64)</f>
        <v/>
      </c>
      <c r="BE64" s="479" t="str">
        <f t="shared" si="76"/>
        <v/>
      </c>
      <c r="BF64" s="479" t="str">
        <f t="shared" si="21"/>
        <v/>
      </c>
      <c r="BG64" s="581" t="str">
        <f t="shared" si="69"/>
        <v/>
      </c>
    </row>
    <row r="65" spans="1:59" ht="18.75" customHeight="1">
      <c r="A65" s="460"/>
      <c r="B65" s="368"/>
      <c r="C65" s="368"/>
      <c r="D65" s="368"/>
      <c r="E65" s="368"/>
      <c r="F65" s="368"/>
      <c r="G65" s="558" t="str">
        <f>IF(Y65&lt;&gt;"都市ガス","",IF(ISERROR(VLOOKUP(C65,非_都市ガス事業者!$O$8:$P$200,2,FALSE)),"",VLOOKUP(C65,非_都市ガス事業者!$O$8:$P$200,2,FALSE)))</f>
        <v/>
      </c>
      <c r="H65" s="559" t="str">
        <f>IF(Y65&lt;&gt;"都市ガス","",非_都市ガス事業者!$P$4)</f>
        <v/>
      </c>
      <c r="I65" s="561" t="str">
        <f>IF(B65="","",IF(COUNTIFS(B65,"*自ら生成*")&gt;0,"要記入",IF(Y65&lt;&gt;"都市ガス",VLOOKUP(B65,非_係数!$B$42:$D$55,2,FALSE),"")))</f>
        <v/>
      </c>
      <c r="J65" s="368"/>
      <c r="K65" s="507" t="str">
        <f t="shared" si="60"/>
        <v/>
      </c>
      <c r="L65" s="190" t="str">
        <f t="shared" si="61"/>
        <v/>
      </c>
      <c r="M65" s="368"/>
      <c r="N65" s="418"/>
      <c r="O65" s="368"/>
      <c r="P65" s="368"/>
      <c r="Q65" s="413"/>
      <c r="R65" s="443"/>
      <c r="S65" s="540" t="str">
        <f t="shared" si="70"/>
        <v/>
      </c>
      <c r="T65" s="542" t="str">
        <f t="shared" si="62"/>
        <v/>
      </c>
      <c r="U65" s="396" t="str">
        <f>IF(B65="","",VLOOKUP(B65,非_単位!$N$38:$O$53,2,FALSE))</f>
        <v/>
      </c>
      <c r="V65" s="540" t="str">
        <f t="shared" si="63"/>
        <v/>
      </c>
      <c r="W65" s="541" t="str">
        <f t="shared" si="64"/>
        <v/>
      </c>
      <c r="Y65" s="422" t="str">
        <f t="shared" si="52"/>
        <v/>
      </c>
      <c r="Z65" s="422" t="str">
        <f>IF(A65="","",IF(A65=非_燃料種類_選択リスト!$I$13,"外部供給_種類","外部供給以外_種類"))</f>
        <v/>
      </c>
      <c r="AA65" s="422" t="str">
        <f>IF(Y65&lt;&gt;"電気","",非_電気事業者!$S$4*1000)</f>
        <v/>
      </c>
      <c r="AB65" s="422" t="str">
        <f>IF(Y65&lt;&gt;"電気","",IF(ISERROR(VLOOKUP(C65&amp;E65,非_電気事業者!$R$9:$S$2000,2,FALSE)),"要記入",VLOOKUP(C65&amp;E65,非_電気事業者!$R$9:$S$2000,2,FALSE)*1000))</f>
        <v/>
      </c>
      <c r="AC65" s="422" t="str">
        <f>IF(Y65&lt;&gt;"熱","",非_熱供給事業者!$T$4)</f>
        <v/>
      </c>
      <c r="AD65" s="422" t="str">
        <f>IF(Y65&lt;&gt;"熱","",IF(ISERROR(VLOOKUP(C65&amp;E65,非_熱供給事業者!$S$8:$T$200,2,FALSE)),"要記入",VLOOKUP(C65&amp;E65,非_熱供給事業者!$S$8:$T$200,2,FALSE)))</f>
        <v/>
      </c>
      <c r="AE65" s="422" t="str">
        <f>IF(Y65&lt;&gt;"都市ガス","",非_都市ガス事業者!$AB$4)</f>
        <v/>
      </c>
      <c r="AF65" s="422" t="str">
        <f>IF(Y65&lt;&gt;"都市ガス","",IF(ISERROR(VLOOKUP(C65&amp;E65,非_都市ガス事業者!$AA$8:$AB$200,2,FALSE)),"要記入",VLOOKUP(C65&amp;E65,非_都市ガス事業者!$AA$8:$AB$200,2,FALSE)))</f>
        <v/>
      </c>
      <c r="AG65" s="422" t="str">
        <f t="shared" si="53"/>
        <v/>
      </c>
      <c r="AH65" s="422" t="str">
        <f t="shared" si="65"/>
        <v/>
      </c>
      <c r="AI65" s="482" t="b">
        <f t="shared" si="12"/>
        <v>1</v>
      </c>
      <c r="AJ65" s="422" t="str">
        <f>IF(P65="","",VLOOKUP(P65,非_単位補正換算!$B$3:$C$16,2,FALSE))</f>
        <v/>
      </c>
      <c r="AK65" s="422" t="str">
        <f>IF(Y65="","",IF(Y65&lt;&gt;"都市ガス",1,IF(F65="","",SUMIFS(非_単位補正換算!$D$52:$D$63,非_単位補正換算!$B$52:$B$63,"都市ガス"&amp;F65,非_単位補正換算!$C$52:$C$63,電気・熱_都市ガス!P65))))</f>
        <v/>
      </c>
      <c r="AL65" s="479" t="str">
        <f t="shared" si="66"/>
        <v/>
      </c>
      <c r="AM65" s="422" t="str">
        <f t="shared" si="54"/>
        <v/>
      </c>
      <c r="AN65" s="422" t="str">
        <f t="shared" si="55"/>
        <v/>
      </c>
      <c r="AO65" s="422" t="str">
        <f>IF(B65="","",VLOOKUP(B65,非_まとめ表行番号!$F$3:$H$12,2,FALSE))</f>
        <v/>
      </c>
      <c r="AP65" s="485" t="b">
        <f t="shared" si="14"/>
        <v>1</v>
      </c>
      <c r="AQ65" s="582" t="str">
        <f>IF(Y65="","",IF(Y65&lt;&gt;"都市ガス",1,非_係数!$G$55))</f>
        <v/>
      </c>
      <c r="AR65" s="422" t="str">
        <f t="shared" si="67"/>
        <v/>
      </c>
      <c r="AS65" s="422" t="str">
        <f t="shared" si="56"/>
        <v/>
      </c>
      <c r="AT65" s="422" t="str">
        <f>IF(B65="","",VLOOKUP(B65,非_係数!$B$42:$K$55,9,FALSE))</f>
        <v/>
      </c>
      <c r="AU65" s="422" t="str">
        <f t="shared" si="16"/>
        <v/>
      </c>
      <c r="AV65" s="422" t="str">
        <f>IF(B65="","",VLOOKUP(B65,非_まとめ表行番号!$F$3:$H$12,3,FALSE))</f>
        <v/>
      </c>
      <c r="AW65" s="422" t="str">
        <f t="shared" si="57"/>
        <v/>
      </c>
      <c r="AY65" s="479" t="str">
        <f>IF(AO65="","",VLOOKUP(AO65,非_まとめ表行番号!$U$3:$V$56,2,FALSE))</f>
        <v/>
      </c>
      <c r="AZ65" s="479" t="str">
        <f t="shared" si="68"/>
        <v/>
      </c>
      <c r="BA65" s="479" t="str">
        <f t="shared" si="58"/>
        <v/>
      </c>
      <c r="BB65" s="479" t="str">
        <f t="shared" si="18"/>
        <v/>
      </c>
      <c r="BC65" s="479" t="str">
        <f t="shared" si="19"/>
        <v/>
      </c>
      <c r="BD65" s="479" t="str">
        <f t="shared" si="76"/>
        <v/>
      </c>
      <c r="BE65" s="479" t="str">
        <f t="shared" si="76"/>
        <v/>
      </c>
      <c r="BF65" s="479" t="str">
        <f t="shared" si="21"/>
        <v/>
      </c>
      <c r="BG65" s="581" t="str">
        <f t="shared" si="69"/>
        <v/>
      </c>
    </row>
    <row r="66" spans="1:59" ht="18.75" customHeight="1">
      <c r="A66" s="460"/>
      <c r="B66" s="368"/>
      <c r="C66" s="368"/>
      <c r="D66" s="368"/>
      <c r="E66" s="368"/>
      <c r="F66" s="368"/>
      <c r="G66" s="558" t="str">
        <f>IF(Y66&lt;&gt;"都市ガス","",IF(ISERROR(VLOOKUP(C66,非_都市ガス事業者!$O$8:$P$200,2,FALSE)),"",VLOOKUP(C66,非_都市ガス事業者!$O$8:$P$200,2,FALSE)))</f>
        <v/>
      </c>
      <c r="H66" s="559" t="str">
        <f>IF(Y66&lt;&gt;"都市ガス","",非_都市ガス事業者!$P$4)</f>
        <v/>
      </c>
      <c r="I66" s="561" t="str">
        <f>IF(B66="","",IF(COUNTIFS(B66,"*自ら生成*")&gt;0,"要記入",IF(Y66&lt;&gt;"都市ガス",VLOOKUP(B66,非_係数!$B$42:$D$55,2,FALSE),"")))</f>
        <v/>
      </c>
      <c r="J66" s="368"/>
      <c r="K66" s="507" t="str">
        <f t="shared" si="60"/>
        <v/>
      </c>
      <c r="L66" s="190" t="str">
        <f t="shared" si="61"/>
        <v/>
      </c>
      <c r="M66" s="368"/>
      <c r="N66" s="418"/>
      <c r="O66" s="368"/>
      <c r="P66" s="368"/>
      <c r="Q66" s="475"/>
      <c r="R66" s="443"/>
      <c r="S66" s="540" t="str">
        <f t="shared" si="70"/>
        <v/>
      </c>
      <c r="T66" s="542" t="str">
        <f t="shared" si="62"/>
        <v/>
      </c>
      <c r="U66" s="396" t="str">
        <f>IF(B66="","",VLOOKUP(B66,非_単位!$N$38:$O$53,2,FALSE))</f>
        <v/>
      </c>
      <c r="V66" s="540" t="str">
        <f t="shared" si="63"/>
        <v/>
      </c>
      <c r="W66" s="541" t="str">
        <f t="shared" si="64"/>
        <v/>
      </c>
      <c r="Y66" s="422" t="str">
        <f t="shared" si="52"/>
        <v/>
      </c>
      <c r="Z66" s="422" t="str">
        <f>IF(A66="","",IF(A66=非_燃料種類_選択リスト!$I$13,"外部供給_種類","外部供給以外_種類"))</f>
        <v/>
      </c>
      <c r="AA66" s="422" t="str">
        <f>IF(Y66&lt;&gt;"電気","",非_電気事業者!$S$4*1000)</f>
        <v/>
      </c>
      <c r="AB66" s="422" t="str">
        <f>IF(Y66&lt;&gt;"電気","",IF(ISERROR(VLOOKUP(C66&amp;E66,非_電気事業者!$R$9:$S$2000,2,FALSE)),"要記入",VLOOKUP(C66&amp;E66,非_電気事業者!$R$9:$S$2000,2,FALSE)*1000))</f>
        <v/>
      </c>
      <c r="AC66" s="422" t="str">
        <f>IF(Y66&lt;&gt;"熱","",非_熱供給事業者!$T$4)</f>
        <v/>
      </c>
      <c r="AD66" s="422" t="str">
        <f>IF(Y66&lt;&gt;"熱","",IF(ISERROR(VLOOKUP(C66&amp;E66,非_熱供給事業者!$S$8:$T$200,2,FALSE)),"要記入",VLOOKUP(C66&amp;E66,非_熱供給事業者!$S$8:$T$200,2,FALSE)))</f>
        <v/>
      </c>
      <c r="AE66" s="422" t="str">
        <f>IF(Y66&lt;&gt;"都市ガス","",非_都市ガス事業者!$AB$4)</f>
        <v/>
      </c>
      <c r="AF66" s="422" t="str">
        <f>IF(Y66&lt;&gt;"都市ガス","",IF(ISERROR(VLOOKUP(C66&amp;E66,非_都市ガス事業者!$AA$8:$AB$200,2,FALSE)),"要記入",VLOOKUP(C66&amp;E66,非_都市ガス事業者!$AA$8:$AB$200,2,FALSE)))</f>
        <v/>
      </c>
      <c r="AG66" s="422" t="str">
        <f t="shared" si="53"/>
        <v/>
      </c>
      <c r="AH66" s="422" t="str">
        <f t="shared" si="65"/>
        <v/>
      </c>
      <c r="AI66" s="482" t="b">
        <f t="shared" si="12"/>
        <v>1</v>
      </c>
      <c r="AJ66" s="422" t="str">
        <f>IF(P66="","",VLOOKUP(P66,非_単位補正換算!$B$3:$C$16,2,FALSE))</f>
        <v/>
      </c>
      <c r="AK66" s="422" t="str">
        <f>IF(Y66="","",IF(Y66&lt;&gt;"都市ガス",1,IF(F66="","",SUMIFS(非_単位補正換算!$D$52:$D$63,非_単位補正換算!$B$52:$B$63,"都市ガス"&amp;F66,非_単位補正換算!$C$52:$C$63,電気・熱_都市ガス!P66))))</f>
        <v/>
      </c>
      <c r="AL66" s="479" t="str">
        <f t="shared" si="66"/>
        <v/>
      </c>
      <c r="AM66" s="422" t="str">
        <f t="shared" si="54"/>
        <v/>
      </c>
      <c r="AN66" s="422" t="str">
        <f t="shared" si="55"/>
        <v/>
      </c>
      <c r="AO66" s="422" t="str">
        <f>IF(B66="","",VLOOKUP(B66,非_まとめ表行番号!$F$3:$H$12,2,FALSE))</f>
        <v/>
      </c>
      <c r="AP66" s="485" t="b">
        <f t="shared" si="14"/>
        <v>1</v>
      </c>
      <c r="AQ66" s="582" t="str">
        <f>IF(Y66="","",IF(Y66&lt;&gt;"都市ガス",1,非_係数!$G$55))</f>
        <v/>
      </c>
      <c r="AR66" s="422" t="str">
        <f t="shared" si="67"/>
        <v/>
      </c>
      <c r="AS66" s="422" t="str">
        <f t="shared" si="56"/>
        <v/>
      </c>
      <c r="AT66" s="422" t="str">
        <f>IF(B66="","",VLOOKUP(B66,非_係数!$B$42:$K$55,9,FALSE))</f>
        <v/>
      </c>
      <c r="AU66" s="422" t="str">
        <f t="shared" si="16"/>
        <v/>
      </c>
      <c r="AV66" s="422" t="str">
        <f>IF(B66="","",VLOOKUP(B66,非_まとめ表行番号!$F$3:$H$12,3,FALSE))</f>
        <v/>
      </c>
      <c r="AW66" s="422" t="str">
        <f t="shared" si="57"/>
        <v/>
      </c>
      <c r="AY66" s="479" t="str">
        <f>IF(AO66="","",VLOOKUP(AO66,非_まとめ表行番号!$U$3:$V$56,2,FALSE))</f>
        <v/>
      </c>
      <c r="AZ66" s="479" t="str">
        <f t="shared" si="68"/>
        <v/>
      </c>
      <c r="BA66" s="479" t="str">
        <f t="shared" si="58"/>
        <v/>
      </c>
      <c r="BB66" s="479" t="str">
        <f t="shared" si="18"/>
        <v/>
      </c>
      <c r="BC66" s="479" t="str">
        <f t="shared" si="19"/>
        <v/>
      </c>
      <c r="BD66" s="479" t="str">
        <f t="shared" si="76"/>
        <v/>
      </c>
      <c r="BE66" s="479" t="str">
        <f t="shared" si="76"/>
        <v/>
      </c>
      <c r="BF66" s="479" t="str">
        <f t="shared" si="21"/>
        <v/>
      </c>
      <c r="BG66" s="581" t="str">
        <f t="shared" si="69"/>
        <v/>
      </c>
    </row>
    <row r="67" spans="1:59" ht="18.75" customHeight="1">
      <c r="A67" s="460"/>
      <c r="B67" s="368"/>
      <c r="C67" s="368"/>
      <c r="D67" s="368"/>
      <c r="E67" s="368"/>
      <c r="F67" s="368"/>
      <c r="G67" s="558" t="str">
        <f>IF(Y67&lt;&gt;"都市ガス","",IF(ISERROR(VLOOKUP(C67,非_都市ガス事業者!$O$8:$P$200,2,FALSE)),"",VLOOKUP(C67,非_都市ガス事業者!$O$8:$P$200,2,FALSE)))</f>
        <v/>
      </c>
      <c r="H67" s="559" t="str">
        <f>IF(Y67&lt;&gt;"都市ガス","",非_都市ガス事業者!$P$4)</f>
        <v/>
      </c>
      <c r="I67" s="561" t="str">
        <f>IF(B67="","",IF(COUNTIFS(B67,"*自ら生成*")&gt;0,"要記入",IF(Y67&lt;&gt;"都市ガス",VLOOKUP(B67,非_係数!$B$42:$D$55,2,FALSE),"")))</f>
        <v/>
      </c>
      <c r="J67" s="368"/>
      <c r="K67" s="507" t="str">
        <f t="shared" si="60"/>
        <v/>
      </c>
      <c r="L67" s="190" t="str">
        <f t="shared" si="61"/>
        <v/>
      </c>
      <c r="M67" s="368"/>
      <c r="N67" s="418"/>
      <c r="O67" s="368"/>
      <c r="P67" s="368"/>
      <c r="Q67" s="475"/>
      <c r="R67" s="443"/>
      <c r="S67" s="540" t="str">
        <f t="shared" si="70"/>
        <v/>
      </c>
      <c r="T67" s="542" t="str">
        <f t="shared" si="62"/>
        <v/>
      </c>
      <c r="U67" s="396" t="str">
        <f>IF(B67="","",VLOOKUP(B67,非_単位!$N$38:$O$53,2,FALSE))</f>
        <v/>
      </c>
      <c r="V67" s="540" t="str">
        <f t="shared" si="63"/>
        <v/>
      </c>
      <c r="W67" s="541" t="str">
        <f t="shared" si="64"/>
        <v/>
      </c>
      <c r="Y67" s="422" t="str">
        <f t="shared" si="52"/>
        <v/>
      </c>
      <c r="Z67" s="422" t="str">
        <f>IF(A67="","",IF(A67=非_燃料種類_選択リスト!$I$13,"外部供給_種類","外部供給以外_種類"))</f>
        <v/>
      </c>
      <c r="AA67" s="422" t="str">
        <f>IF(Y67&lt;&gt;"電気","",非_電気事業者!$S$4*1000)</f>
        <v/>
      </c>
      <c r="AB67" s="422" t="str">
        <f>IF(Y67&lt;&gt;"電気","",IF(ISERROR(VLOOKUP(C67&amp;E67,非_電気事業者!$R$9:$S$2000,2,FALSE)),"要記入",VLOOKUP(C67&amp;E67,非_電気事業者!$R$9:$S$2000,2,FALSE)*1000))</f>
        <v/>
      </c>
      <c r="AC67" s="422" t="str">
        <f>IF(Y67&lt;&gt;"熱","",非_熱供給事業者!$T$4)</f>
        <v/>
      </c>
      <c r="AD67" s="422" t="str">
        <f>IF(Y67&lt;&gt;"熱","",IF(ISERROR(VLOOKUP(C67&amp;E67,非_熱供給事業者!$S$8:$T$200,2,FALSE)),"要記入",VLOOKUP(C67&amp;E67,非_熱供給事業者!$S$8:$T$200,2,FALSE)))</f>
        <v/>
      </c>
      <c r="AE67" s="422" t="str">
        <f>IF(Y67&lt;&gt;"都市ガス","",非_都市ガス事業者!$AB$4)</f>
        <v/>
      </c>
      <c r="AF67" s="422" t="str">
        <f>IF(Y67&lt;&gt;"都市ガス","",IF(ISERROR(VLOOKUP(C67&amp;E67,非_都市ガス事業者!$AA$8:$AB$200,2,FALSE)),"要記入",VLOOKUP(C67&amp;E67,非_都市ガス事業者!$AA$8:$AB$200,2,FALSE)))</f>
        <v/>
      </c>
      <c r="AG67" s="422" t="str">
        <f t="shared" si="53"/>
        <v/>
      </c>
      <c r="AH67" s="422" t="str">
        <f t="shared" si="65"/>
        <v/>
      </c>
      <c r="AI67" s="482" t="b">
        <f t="shared" si="12"/>
        <v>1</v>
      </c>
      <c r="AJ67" s="422" t="str">
        <f>IF(P67="","",VLOOKUP(P67,非_単位補正換算!$B$3:$C$16,2,FALSE))</f>
        <v/>
      </c>
      <c r="AK67" s="422" t="str">
        <f>IF(Y67="","",IF(Y67&lt;&gt;"都市ガス",1,IF(F67="","",SUMIFS(非_単位補正換算!$D$52:$D$63,非_単位補正換算!$B$52:$B$63,"都市ガス"&amp;F67,非_単位補正換算!$C$52:$C$63,電気・熱_都市ガス!P67))))</f>
        <v/>
      </c>
      <c r="AL67" s="479" t="str">
        <f t="shared" si="66"/>
        <v/>
      </c>
      <c r="AM67" s="422" t="str">
        <f t="shared" si="54"/>
        <v/>
      </c>
      <c r="AN67" s="422" t="str">
        <f t="shared" si="55"/>
        <v/>
      </c>
      <c r="AO67" s="422" t="str">
        <f>IF(B67="","",VLOOKUP(B67,非_まとめ表行番号!$F$3:$H$12,2,FALSE))</f>
        <v/>
      </c>
      <c r="AP67" s="485" t="b">
        <f t="shared" si="14"/>
        <v>1</v>
      </c>
      <c r="AQ67" s="582" t="str">
        <f>IF(Y67="","",IF(Y67&lt;&gt;"都市ガス",1,非_係数!$G$55))</f>
        <v/>
      </c>
      <c r="AR67" s="422" t="str">
        <f t="shared" si="67"/>
        <v/>
      </c>
      <c r="AS67" s="422" t="str">
        <f t="shared" si="56"/>
        <v/>
      </c>
      <c r="AT67" s="422" t="str">
        <f>IF(B67="","",VLOOKUP(B67,非_係数!$B$42:$K$55,9,FALSE))</f>
        <v/>
      </c>
      <c r="AU67" s="422" t="str">
        <f t="shared" si="16"/>
        <v/>
      </c>
      <c r="AV67" s="422" t="str">
        <f>IF(B67="","",VLOOKUP(B67,非_まとめ表行番号!$F$3:$H$12,3,FALSE))</f>
        <v/>
      </c>
      <c r="AW67" s="422" t="str">
        <f t="shared" si="57"/>
        <v/>
      </c>
      <c r="AY67" s="479" t="str">
        <f>IF(AO67="","",VLOOKUP(AO67,非_まとめ表行番号!$U$3:$V$56,2,FALSE))</f>
        <v/>
      </c>
      <c r="AZ67" s="479" t="str">
        <f t="shared" si="68"/>
        <v/>
      </c>
      <c r="BA67" s="479" t="str">
        <f t="shared" si="58"/>
        <v/>
      </c>
      <c r="BB67" s="479" t="str">
        <f t="shared" si="18"/>
        <v/>
      </c>
      <c r="BC67" s="479" t="str">
        <f t="shared" si="19"/>
        <v/>
      </c>
      <c r="BD67" s="479" t="str">
        <f t="shared" si="76"/>
        <v/>
      </c>
      <c r="BE67" s="479" t="str">
        <f t="shared" si="76"/>
        <v/>
      </c>
      <c r="BF67" s="479" t="str">
        <f t="shared" si="21"/>
        <v/>
      </c>
      <c r="BG67" s="581" t="str">
        <f t="shared" si="69"/>
        <v/>
      </c>
    </row>
    <row r="68" spans="1:59" ht="18.75" customHeight="1">
      <c r="A68" s="460"/>
      <c r="B68" s="368"/>
      <c r="C68" s="368"/>
      <c r="D68" s="368"/>
      <c r="E68" s="368"/>
      <c r="F68" s="368"/>
      <c r="G68" s="558" t="str">
        <f>IF(Y68&lt;&gt;"都市ガス","",IF(ISERROR(VLOOKUP(C68,非_都市ガス事業者!$O$8:$P$200,2,FALSE)),"",VLOOKUP(C68,非_都市ガス事業者!$O$8:$P$200,2,FALSE)))</f>
        <v/>
      </c>
      <c r="H68" s="559" t="str">
        <f>IF(Y68&lt;&gt;"都市ガス","",非_都市ガス事業者!$P$4)</f>
        <v/>
      </c>
      <c r="I68" s="561" t="str">
        <f>IF(B68="","",IF(COUNTIFS(B68,"*自ら生成*")&gt;0,"要記入",IF(Y68&lt;&gt;"都市ガス",VLOOKUP(B68,非_係数!$B$42:$D$55,2,FALSE),"")))</f>
        <v/>
      </c>
      <c r="J68" s="368"/>
      <c r="K68" s="507" t="str">
        <f t="shared" ref="K68:K70" si="77">AG68</f>
        <v/>
      </c>
      <c r="L68" s="190" t="str">
        <f t="shared" ref="L68:L70" si="78">AH68</f>
        <v/>
      </c>
      <c r="M68" s="368"/>
      <c r="N68" s="418"/>
      <c r="O68" s="368"/>
      <c r="P68" s="368"/>
      <c r="Q68" s="475"/>
      <c r="R68" s="443"/>
      <c r="S68" s="540" t="str">
        <f t="shared" si="70"/>
        <v/>
      </c>
      <c r="T68" s="542" t="str">
        <f t="shared" ref="T68:T70" si="79">IF(AL68="","",-1*AL68)</f>
        <v/>
      </c>
      <c r="U68" s="396" t="str">
        <f>IF(B68="","",VLOOKUP(B68,非_単位!$N$38:$O$53,2,FALSE))</f>
        <v/>
      </c>
      <c r="V68" s="540" t="str">
        <f t="shared" ref="V68:V70" si="80">IF(AM68="","",-1*AM68)</f>
        <v/>
      </c>
      <c r="W68" s="541" t="str">
        <f t="shared" ref="W68:W70" si="81">IF(AN68="","",-1*AN68)</f>
        <v/>
      </c>
      <c r="Y68" s="422" t="str">
        <f t="shared" si="52"/>
        <v/>
      </c>
      <c r="Z68" s="422" t="str">
        <f>IF(A68="","",IF(A68=非_燃料種類_選択リスト!$I$13,"外部供給_種類","外部供給以外_種類"))</f>
        <v/>
      </c>
      <c r="AA68" s="422" t="str">
        <f>IF(Y68&lt;&gt;"電気","",非_電気事業者!$S$4*1000)</f>
        <v/>
      </c>
      <c r="AB68" s="422" t="str">
        <f>IF(Y68&lt;&gt;"電気","",IF(ISERROR(VLOOKUP(C68&amp;E68,非_電気事業者!$R$9:$S$2000,2,FALSE)),"要記入",VLOOKUP(C68&amp;E68,非_電気事業者!$R$9:$S$2000,2,FALSE)*1000))</f>
        <v/>
      </c>
      <c r="AC68" s="422" t="str">
        <f>IF(Y68&lt;&gt;"熱","",非_熱供給事業者!$T$4)</f>
        <v/>
      </c>
      <c r="AD68" s="422" t="str">
        <f>IF(Y68&lt;&gt;"熱","",IF(ISERROR(VLOOKUP(C68&amp;E68,非_熱供給事業者!$S$8:$T$200,2,FALSE)),"要記入",VLOOKUP(C68&amp;E68,非_熱供給事業者!$S$8:$T$200,2,FALSE)))</f>
        <v/>
      </c>
      <c r="AE68" s="422" t="str">
        <f>IF(Y68&lt;&gt;"都市ガス","",非_都市ガス事業者!$AB$4)</f>
        <v/>
      </c>
      <c r="AF68" s="422" t="str">
        <f>IF(Y68&lt;&gt;"都市ガス","",IF(ISERROR(VLOOKUP(C68&amp;E68,非_都市ガス事業者!$AA$8:$AB$200,2,FALSE)),"要記入",VLOOKUP(C68&amp;E68,非_都市ガス事業者!$AA$8:$AB$200,2,FALSE)))</f>
        <v/>
      </c>
      <c r="AG68" s="422" t="str">
        <f t="shared" si="53"/>
        <v/>
      </c>
      <c r="AH68" s="422" t="str">
        <f t="shared" ref="AH68:AH70" si="82">IF(Y68="電気","t-CO2/千kWh",IF(Y68="熱","t-CO2/GJ",IF(Y68="都市ガス","t-CO2/千m3(SATP)","")))</f>
        <v/>
      </c>
      <c r="AI68" s="482" t="b">
        <f t="shared" si="12"/>
        <v>1</v>
      </c>
      <c r="AJ68" s="422" t="str">
        <f>IF(P68="","",VLOOKUP(P68,非_単位補正換算!$B$3:$C$16,2,FALSE))</f>
        <v/>
      </c>
      <c r="AK68" s="422" t="str">
        <f>IF(Y68="","",IF(Y68&lt;&gt;"都市ガス",1,IF(F68="","",SUMIFS(非_単位補正換算!$D$52:$D$63,非_単位補正換算!$B$52:$B$63,"都市ガス"&amp;F68,非_単位補正換算!$C$52:$C$63,電気・熱_都市ガス!P68))))</f>
        <v/>
      </c>
      <c r="AL68" s="479" t="str">
        <f t="shared" si="66"/>
        <v/>
      </c>
      <c r="AM68" s="422" t="str">
        <f t="shared" si="54"/>
        <v/>
      </c>
      <c r="AN68" s="422" t="str">
        <f t="shared" si="55"/>
        <v/>
      </c>
      <c r="AO68" s="422" t="str">
        <f>IF(B68="","",VLOOKUP(B68,非_まとめ表行番号!$F$3:$H$12,2,FALSE))</f>
        <v/>
      </c>
      <c r="AP68" s="485" t="b">
        <f t="shared" si="14"/>
        <v>1</v>
      </c>
      <c r="AQ68" s="582" t="str">
        <f>IF(Y68="","",IF(Y68&lt;&gt;"都市ガス",1,非_係数!$G$55))</f>
        <v/>
      </c>
      <c r="AR68" s="422" t="str">
        <f t="shared" ref="AR68:AR70" si="83">IF(AL68="","",AL68*AQ68)</f>
        <v/>
      </c>
      <c r="AS68" s="422" t="str">
        <f t="shared" si="56"/>
        <v/>
      </c>
      <c r="AT68" s="422" t="str">
        <f>IF(B68="","",VLOOKUP(B68,非_係数!$B$42:$K$55,9,FALSE))</f>
        <v/>
      </c>
      <c r="AU68" s="422" t="str">
        <f t="shared" ref="AU68:AU70" si="84">IF(AND(AR68&lt;&gt;"",AT68&lt;&gt;""),IF(Y68&lt;&gt;"都市ガス",AR68*AT68,AS68*AT68*44/12),"")</f>
        <v/>
      </c>
      <c r="AV68" s="422" t="str">
        <f>IF(B68="","",VLOOKUP(B68,非_まとめ表行番号!$F$3:$H$12,3,FALSE))</f>
        <v/>
      </c>
      <c r="AW68" s="422" t="str">
        <f t="shared" si="57"/>
        <v/>
      </c>
      <c r="AY68" s="479" t="str">
        <f>IF(AO68="","",VLOOKUP(AO68,非_まとめ表行番号!$U$3:$V$56,2,FALSE))</f>
        <v/>
      </c>
      <c r="AZ68" s="479" t="str">
        <f t="shared" si="68"/>
        <v/>
      </c>
      <c r="BA68" s="479" t="str">
        <f t="shared" si="58"/>
        <v/>
      </c>
      <c r="BB68" s="479" t="str">
        <f t="shared" si="18"/>
        <v/>
      </c>
      <c r="BC68" s="479" t="str">
        <f t="shared" si="19"/>
        <v/>
      </c>
      <c r="BD68" s="479" t="str">
        <f t="shared" si="76"/>
        <v/>
      </c>
      <c r="BE68" s="479" t="str">
        <f t="shared" si="76"/>
        <v/>
      </c>
      <c r="BF68" s="479" t="str">
        <f t="shared" si="21"/>
        <v/>
      </c>
      <c r="BG68" s="581" t="str">
        <f t="shared" si="69"/>
        <v/>
      </c>
    </row>
    <row r="69" spans="1:59" ht="18.75" customHeight="1">
      <c r="A69" s="460"/>
      <c r="B69" s="368"/>
      <c r="C69" s="368"/>
      <c r="D69" s="368"/>
      <c r="E69" s="368"/>
      <c r="F69" s="368"/>
      <c r="G69" s="558" t="str">
        <f>IF(Y69&lt;&gt;"都市ガス","",IF(ISERROR(VLOOKUP(C69,非_都市ガス事業者!$O$8:$P$200,2,FALSE)),"",VLOOKUP(C69,非_都市ガス事業者!$O$8:$P$200,2,FALSE)))</f>
        <v/>
      </c>
      <c r="H69" s="559" t="str">
        <f>IF(Y69&lt;&gt;"都市ガス","",非_都市ガス事業者!$P$4)</f>
        <v/>
      </c>
      <c r="I69" s="561" t="str">
        <f>IF(B69="","",IF(COUNTIFS(B69,"*自ら生成*")&gt;0,"要記入",IF(Y69&lt;&gt;"都市ガス",VLOOKUP(B69,非_係数!$B$42:$D$55,2,FALSE),"")))</f>
        <v/>
      </c>
      <c r="J69" s="368"/>
      <c r="K69" s="507" t="str">
        <f t="shared" si="77"/>
        <v/>
      </c>
      <c r="L69" s="190" t="str">
        <f t="shared" si="78"/>
        <v/>
      </c>
      <c r="M69" s="368"/>
      <c r="N69" s="418"/>
      <c r="O69" s="368"/>
      <c r="P69" s="368"/>
      <c r="Q69" s="475"/>
      <c r="R69" s="443"/>
      <c r="S69" s="540" t="str">
        <f t="shared" si="70"/>
        <v/>
      </c>
      <c r="T69" s="542" t="str">
        <f t="shared" si="79"/>
        <v/>
      </c>
      <c r="U69" s="396" t="str">
        <f>IF(B69="","",VLOOKUP(B69,非_単位!$N$38:$O$53,2,FALSE))</f>
        <v/>
      </c>
      <c r="V69" s="540" t="str">
        <f t="shared" si="80"/>
        <v/>
      </c>
      <c r="W69" s="541" t="str">
        <f t="shared" si="81"/>
        <v/>
      </c>
      <c r="Y69" s="422" t="str">
        <f t="shared" si="52"/>
        <v/>
      </c>
      <c r="Z69" s="422" t="str">
        <f>IF(A69="","",IF(A69=非_燃料種類_選択リスト!$I$13,"外部供給_種類","外部供給以外_種類"))</f>
        <v/>
      </c>
      <c r="AA69" s="422" t="str">
        <f>IF(Y69&lt;&gt;"電気","",非_電気事業者!$S$4*1000)</f>
        <v/>
      </c>
      <c r="AB69" s="422" t="str">
        <f>IF(Y69&lt;&gt;"電気","",IF(ISERROR(VLOOKUP(C69&amp;E69,非_電気事業者!$R$9:$S$2000,2,FALSE)),"要記入",VLOOKUP(C69&amp;E69,非_電気事業者!$R$9:$S$2000,2,FALSE)*1000))</f>
        <v/>
      </c>
      <c r="AC69" s="422" t="str">
        <f>IF(Y69&lt;&gt;"熱","",非_熱供給事業者!$T$4)</f>
        <v/>
      </c>
      <c r="AD69" s="422" t="str">
        <f>IF(Y69&lt;&gt;"熱","",IF(ISERROR(VLOOKUP(C69&amp;E69,非_熱供給事業者!$S$8:$T$200,2,FALSE)),"要記入",VLOOKUP(C69&amp;E69,非_熱供給事業者!$S$8:$T$200,2,FALSE)))</f>
        <v/>
      </c>
      <c r="AE69" s="422" t="str">
        <f>IF(Y69&lt;&gt;"都市ガス","",非_都市ガス事業者!$AB$4)</f>
        <v/>
      </c>
      <c r="AF69" s="422" t="str">
        <f>IF(Y69&lt;&gt;"都市ガス","",IF(ISERROR(VLOOKUP(C69&amp;E69,非_都市ガス事業者!$AA$8:$AB$200,2,FALSE)),"要記入",VLOOKUP(C69&amp;E69,非_都市ガス事業者!$AA$8:$AB$200,2,FALSE)))</f>
        <v/>
      </c>
      <c r="AG69" s="422" t="str">
        <f t="shared" si="53"/>
        <v/>
      </c>
      <c r="AH69" s="422" t="str">
        <f t="shared" si="82"/>
        <v/>
      </c>
      <c r="AI69" s="482" t="b">
        <f t="shared" si="12"/>
        <v>1</v>
      </c>
      <c r="AJ69" s="422" t="str">
        <f>IF(P69="","",VLOOKUP(P69,非_単位補正換算!$B$3:$C$16,2,FALSE))</f>
        <v/>
      </c>
      <c r="AK69" s="422" t="str">
        <f>IF(Y69="","",IF(Y69&lt;&gt;"都市ガス",1,IF(F69="","",SUMIFS(非_単位補正換算!$D$52:$D$63,非_単位補正換算!$B$52:$B$63,"都市ガス"&amp;F69,非_単位補正換算!$C$52:$C$63,電気・熱_都市ガス!P69))))</f>
        <v/>
      </c>
      <c r="AL69" s="479" t="str">
        <f t="shared" si="66"/>
        <v/>
      </c>
      <c r="AM69" s="422" t="str">
        <f t="shared" si="54"/>
        <v/>
      </c>
      <c r="AN69" s="422" t="str">
        <f t="shared" si="55"/>
        <v/>
      </c>
      <c r="AO69" s="422" t="str">
        <f>IF(B69="","",VLOOKUP(B69,非_まとめ表行番号!$F$3:$H$12,2,FALSE))</f>
        <v/>
      </c>
      <c r="AP69" s="485" t="b">
        <f t="shared" si="14"/>
        <v>1</v>
      </c>
      <c r="AQ69" s="582" t="str">
        <f>IF(Y69="","",IF(Y69&lt;&gt;"都市ガス",1,非_係数!$G$55))</f>
        <v/>
      </c>
      <c r="AR69" s="422" t="str">
        <f t="shared" si="83"/>
        <v/>
      </c>
      <c r="AS69" s="422" t="str">
        <f t="shared" si="56"/>
        <v/>
      </c>
      <c r="AT69" s="422" t="str">
        <f>IF(B69="","",VLOOKUP(B69,非_係数!$B$42:$K$55,9,FALSE))</f>
        <v/>
      </c>
      <c r="AU69" s="422" t="str">
        <f t="shared" si="84"/>
        <v/>
      </c>
      <c r="AV69" s="422" t="str">
        <f>IF(B69="","",VLOOKUP(B69,非_まとめ表行番号!$F$3:$H$12,3,FALSE))</f>
        <v/>
      </c>
      <c r="AW69" s="422" t="str">
        <f t="shared" si="57"/>
        <v/>
      </c>
      <c r="AY69" s="479" t="str">
        <f>IF(AO69="","",VLOOKUP(AO69,非_まとめ表行番号!$U$3:$V$56,2,FALSE))</f>
        <v/>
      </c>
      <c r="AZ69" s="479" t="str">
        <f t="shared" si="68"/>
        <v/>
      </c>
      <c r="BA69" s="479" t="str">
        <f t="shared" si="58"/>
        <v/>
      </c>
      <c r="BB69" s="479" t="str">
        <f t="shared" si="18"/>
        <v/>
      </c>
      <c r="BC69" s="479" t="str">
        <f t="shared" si="19"/>
        <v/>
      </c>
      <c r="BD69" s="479" t="str">
        <f t="shared" si="76"/>
        <v/>
      </c>
      <c r="BE69" s="479" t="str">
        <f t="shared" si="76"/>
        <v/>
      </c>
      <c r="BF69" s="479" t="str">
        <f t="shared" si="21"/>
        <v/>
      </c>
      <c r="BG69" s="581" t="str">
        <f t="shared" si="69"/>
        <v/>
      </c>
    </row>
    <row r="70" spans="1:59" ht="18.75" customHeight="1">
      <c r="A70" s="460"/>
      <c r="B70" s="368"/>
      <c r="C70" s="368"/>
      <c r="D70" s="368"/>
      <c r="E70" s="368"/>
      <c r="F70" s="368"/>
      <c r="G70" s="558" t="str">
        <f>IF(Y70&lt;&gt;"都市ガス","",IF(ISERROR(VLOOKUP(C70,非_都市ガス事業者!$O$8:$P$200,2,FALSE)),"",VLOOKUP(C70,非_都市ガス事業者!$O$8:$P$200,2,FALSE)))</f>
        <v/>
      </c>
      <c r="H70" s="559" t="str">
        <f>IF(Y70&lt;&gt;"都市ガス","",非_都市ガス事業者!$P$4)</f>
        <v/>
      </c>
      <c r="I70" s="561" t="str">
        <f>IF(B70="","",IF(COUNTIFS(B70,"*自ら生成*")&gt;0,"要記入",IF(Y70&lt;&gt;"都市ガス",VLOOKUP(B70,非_係数!$B$42:$D$55,2,FALSE),"")))</f>
        <v/>
      </c>
      <c r="J70" s="368"/>
      <c r="K70" s="507" t="str">
        <f t="shared" si="77"/>
        <v/>
      </c>
      <c r="L70" s="190" t="str">
        <f t="shared" si="78"/>
        <v/>
      </c>
      <c r="M70" s="368"/>
      <c r="N70" s="418"/>
      <c r="O70" s="368"/>
      <c r="P70" s="368"/>
      <c r="Q70" s="475"/>
      <c r="R70" s="443"/>
      <c r="S70" s="540" t="str">
        <f t="shared" si="70"/>
        <v/>
      </c>
      <c r="T70" s="542" t="str">
        <f t="shared" si="79"/>
        <v/>
      </c>
      <c r="U70" s="396" t="str">
        <f>IF(B70="","",VLOOKUP(B70,非_単位!$N$38:$O$53,2,FALSE))</f>
        <v/>
      </c>
      <c r="V70" s="540" t="str">
        <f t="shared" si="80"/>
        <v/>
      </c>
      <c r="W70" s="541" t="str">
        <f t="shared" si="81"/>
        <v/>
      </c>
      <c r="Y70" s="422" t="str">
        <f t="shared" si="52"/>
        <v/>
      </c>
      <c r="Z70" s="422" t="str">
        <f>IF(A70="","",IF(A70=非_燃料種類_選択リスト!$I$13,"外部供給_種類","外部供給以外_種類"))</f>
        <v/>
      </c>
      <c r="AA70" s="422" t="str">
        <f>IF(Y70&lt;&gt;"電気","",非_電気事業者!$S$4*1000)</f>
        <v/>
      </c>
      <c r="AB70" s="422" t="str">
        <f>IF(Y70&lt;&gt;"電気","",IF(ISERROR(VLOOKUP(C70&amp;E70,非_電気事業者!$R$9:$S$2000,2,FALSE)),"要記入",VLOOKUP(C70&amp;E70,非_電気事業者!$R$9:$S$2000,2,FALSE)*1000))</f>
        <v/>
      </c>
      <c r="AC70" s="422" t="str">
        <f>IF(Y70&lt;&gt;"熱","",非_熱供給事業者!$T$4)</f>
        <v/>
      </c>
      <c r="AD70" s="422" t="str">
        <f>IF(Y70&lt;&gt;"熱","",IF(ISERROR(VLOOKUP(C70&amp;E70,非_熱供給事業者!$S$8:$T$200,2,FALSE)),"要記入",VLOOKUP(C70&amp;E70,非_熱供給事業者!$S$8:$T$200,2,FALSE)))</f>
        <v/>
      </c>
      <c r="AE70" s="422" t="str">
        <f>IF(Y70&lt;&gt;"都市ガス","",非_都市ガス事業者!$AB$4)</f>
        <v/>
      </c>
      <c r="AF70" s="422" t="str">
        <f>IF(Y70&lt;&gt;"都市ガス","",IF(ISERROR(VLOOKUP(C70&amp;E70,非_都市ガス事業者!$AA$8:$AB$200,2,FALSE)),"要記入",VLOOKUP(C70&amp;E70,非_都市ガス事業者!$AA$8:$AB$200,2,FALSE)))</f>
        <v/>
      </c>
      <c r="AG70" s="422" t="str">
        <f t="shared" si="53"/>
        <v/>
      </c>
      <c r="AH70" s="422" t="str">
        <f t="shared" si="82"/>
        <v/>
      </c>
      <c r="AI70" s="482" t="b">
        <f t="shared" si="12"/>
        <v>1</v>
      </c>
      <c r="AJ70" s="422" t="str">
        <f>IF(P70="","",VLOOKUP(P70,非_単位補正換算!$B$3:$C$16,2,FALSE))</f>
        <v/>
      </c>
      <c r="AK70" s="422" t="str">
        <f>IF(Y70="","",IF(Y70&lt;&gt;"都市ガス",1,IF(F70="","",SUMIFS(非_単位補正換算!$D$52:$D$63,非_単位補正換算!$B$52:$B$63,"都市ガス"&amp;F70,非_単位補正換算!$C$52:$C$63,電気・熱_都市ガス!P70))))</f>
        <v/>
      </c>
      <c r="AL70" s="479" t="str">
        <f t="shared" si="66"/>
        <v/>
      </c>
      <c r="AM70" s="422" t="str">
        <f t="shared" si="54"/>
        <v/>
      </c>
      <c r="AN70" s="422" t="str">
        <f t="shared" si="55"/>
        <v/>
      </c>
      <c r="AO70" s="422" t="str">
        <f>IF(B70="","",VLOOKUP(B70,非_まとめ表行番号!$F$3:$H$12,2,FALSE))</f>
        <v/>
      </c>
      <c r="AP70" s="485" t="b">
        <f t="shared" si="14"/>
        <v>1</v>
      </c>
      <c r="AQ70" s="582" t="str">
        <f>IF(Y70="","",IF(Y70&lt;&gt;"都市ガス",1,非_係数!$G$55))</f>
        <v/>
      </c>
      <c r="AR70" s="422" t="str">
        <f t="shared" si="83"/>
        <v/>
      </c>
      <c r="AS70" s="422" t="str">
        <f t="shared" si="56"/>
        <v/>
      </c>
      <c r="AT70" s="422" t="str">
        <f>IF(B70="","",VLOOKUP(B70,非_係数!$B$42:$K$55,9,FALSE))</f>
        <v/>
      </c>
      <c r="AU70" s="422" t="str">
        <f t="shared" si="84"/>
        <v/>
      </c>
      <c r="AV70" s="422" t="str">
        <f>IF(B70="","",VLOOKUP(B70,非_まとめ表行番号!$F$3:$H$12,3,FALSE))</f>
        <v/>
      </c>
      <c r="AW70" s="422" t="str">
        <f t="shared" si="57"/>
        <v/>
      </c>
      <c r="AY70" s="479" t="str">
        <f>IF(AO70="","",VLOOKUP(AO70,非_まとめ表行番号!$U$3:$V$56,2,FALSE))</f>
        <v/>
      </c>
      <c r="AZ70" s="479" t="str">
        <f t="shared" si="68"/>
        <v/>
      </c>
      <c r="BA70" s="479" t="str">
        <f t="shared" si="58"/>
        <v/>
      </c>
      <c r="BB70" s="479" t="str">
        <f t="shared" si="18"/>
        <v/>
      </c>
      <c r="BC70" s="479" t="str">
        <f t="shared" si="19"/>
        <v/>
      </c>
      <c r="BD70" s="479" t="str">
        <f t="shared" si="76"/>
        <v/>
      </c>
      <c r="BE70" s="479" t="str">
        <f t="shared" si="76"/>
        <v/>
      </c>
      <c r="BF70" s="479" t="str">
        <f t="shared" si="21"/>
        <v/>
      </c>
      <c r="BG70" s="581" t="str">
        <f t="shared" si="69"/>
        <v/>
      </c>
    </row>
    <row r="71" spans="1:59" ht="18.75" customHeight="1">
      <c r="A71" s="460"/>
      <c r="B71" s="368"/>
      <c r="C71" s="368"/>
      <c r="D71" s="368"/>
      <c r="E71" s="368"/>
      <c r="F71" s="368"/>
      <c r="G71" s="558" t="str">
        <f>IF(Y71&lt;&gt;"都市ガス","",IF(ISERROR(VLOOKUP(C71,非_都市ガス事業者!$O$8:$P$200,2,FALSE)),"",VLOOKUP(C71,非_都市ガス事業者!$O$8:$P$200,2,FALSE)))</f>
        <v/>
      </c>
      <c r="H71" s="559" t="str">
        <f>IF(Y71&lt;&gt;"都市ガス","",非_都市ガス事業者!$P$4)</f>
        <v/>
      </c>
      <c r="I71" s="561" t="str">
        <f>IF(B71="","",IF(COUNTIFS(B71,"*自ら生成*")&gt;0,"要記入",IF(Y71&lt;&gt;"都市ガス",VLOOKUP(B71,非_係数!$B$42:$D$55,2,FALSE),"")))</f>
        <v/>
      </c>
      <c r="J71" s="368"/>
      <c r="K71" s="507" t="str">
        <f t="shared" si="60"/>
        <v/>
      </c>
      <c r="L71" s="190" t="str">
        <f t="shared" si="61"/>
        <v/>
      </c>
      <c r="M71" s="368"/>
      <c r="N71" s="418"/>
      <c r="O71" s="368"/>
      <c r="P71" s="368"/>
      <c r="Q71" s="475"/>
      <c r="R71" s="443"/>
      <c r="S71" s="540" t="str">
        <f t="shared" si="70"/>
        <v/>
      </c>
      <c r="T71" s="542" t="str">
        <f t="shared" si="62"/>
        <v/>
      </c>
      <c r="U71" s="396" t="str">
        <f>IF(B71="","",VLOOKUP(B71,非_単位!$N$38:$O$53,2,FALSE))</f>
        <v/>
      </c>
      <c r="V71" s="540" t="str">
        <f t="shared" si="63"/>
        <v/>
      </c>
      <c r="W71" s="541" t="str">
        <f t="shared" si="64"/>
        <v/>
      </c>
      <c r="Y71" s="422" t="str">
        <f t="shared" si="52"/>
        <v/>
      </c>
      <c r="Z71" s="422" t="str">
        <f>IF(A71="","",IF(A71=非_燃料種類_選択リスト!$I$13,"外部供給_種類","外部供給以外_種類"))</f>
        <v/>
      </c>
      <c r="AA71" s="422" t="str">
        <f>IF(Y71&lt;&gt;"電気","",非_電気事業者!$S$4*1000)</f>
        <v/>
      </c>
      <c r="AB71" s="422" t="str">
        <f>IF(Y71&lt;&gt;"電気","",IF(ISERROR(VLOOKUP(C71&amp;E71,非_電気事業者!$R$9:$S$2000,2,FALSE)),"要記入",VLOOKUP(C71&amp;E71,非_電気事業者!$R$9:$S$2000,2,FALSE)*1000))</f>
        <v/>
      </c>
      <c r="AC71" s="422" t="str">
        <f>IF(Y71&lt;&gt;"熱","",非_熱供給事業者!$T$4)</f>
        <v/>
      </c>
      <c r="AD71" s="422" t="str">
        <f>IF(Y71&lt;&gt;"熱","",IF(ISERROR(VLOOKUP(C71&amp;E71,非_熱供給事業者!$S$8:$T$200,2,FALSE)),"要記入",VLOOKUP(C71&amp;E71,非_熱供給事業者!$S$8:$T$200,2,FALSE)))</f>
        <v/>
      </c>
      <c r="AE71" s="422" t="str">
        <f>IF(Y71&lt;&gt;"都市ガス","",非_都市ガス事業者!$AB$4)</f>
        <v/>
      </c>
      <c r="AF71" s="422" t="str">
        <f>IF(Y71&lt;&gt;"都市ガス","",IF(ISERROR(VLOOKUP(C71&amp;E71,非_都市ガス事業者!$AA$8:$AB$200,2,FALSE)),"要記入",VLOOKUP(C71&amp;E71,非_都市ガス事業者!$AA$8:$AB$200,2,FALSE)))</f>
        <v/>
      </c>
      <c r="AG71" s="422" t="str">
        <f t="shared" si="53"/>
        <v/>
      </c>
      <c r="AH71" s="422" t="str">
        <f t="shared" si="65"/>
        <v/>
      </c>
      <c r="AI71" s="482" t="b">
        <f t="shared" si="12"/>
        <v>1</v>
      </c>
      <c r="AJ71" s="422" t="str">
        <f>IF(P71="","",VLOOKUP(P71,非_単位補正換算!$B$3:$C$16,2,FALSE))</f>
        <v/>
      </c>
      <c r="AK71" s="422" t="str">
        <f>IF(Y71="","",IF(Y71&lt;&gt;"都市ガス",1,IF(F71="","",SUMIFS(非_単位補正換算!$D$52:$D$63,非_単位補正換算!$B$52:$B$63,"都市ガス"&amp;F71,非_単位補正換算!$C$52:$C$63,電気・熱_都市ガス!P71))))</f>
        <v/>
      </c>
      <c r="AL71" s="479" t="str">
        <f t="shared" si="66"/>
        <v/>
      </c>
      <c r="AM71" s="422" t="str">
        <f t="shared" si="54"/>
        <v/>
      </c>
      <c r="AN71" s="422" t="str">
        <f t="shared" si="55"/>
        <v/>
      </c>
      <c r="AO71" s="422" t="str">
        <f>IF(B71="","",VLOOKUP(B71,非_まとめ表行番号!$F$3:$H$12,2,FALSE))</f>
        <v/>
      </c>
      <c r="AP71" s="485" t="b">
        <f t="shared" si="14"/>
        <v>1</v>
      </c>
      <c r="AQ71" s="582" t="str">
        <f>IF(Y71="","",IF(Y71&lt;&gt;"都市ガス",1,非_係数!$G$55))</f>
        <v/>
      </c>
      <c r="AR71" s="422" t="str">
        <f t="shared" si="67"/>
        <v/>
      </c>
      <c r="AS71" s="422" t="str">
        <f t="shared" si="56"/>
        <v/>
      </c>
      <c r="AT71" s="422" t="str">
        <f>IF(B71="","",VLOOKUP(B71,非_係数!$B$42:$K$55,9,FALSE))</f>
        <v/>
      </c>
      <c r="AU71" s="422" t="str">
        <f t="shared" si="16"/>
        <v/>
      </c>
      <c r="AV71" s="422" t="str">
        <f>IF(B71="","",VLOOKUP(B71,非_まとめ表行番号!$F$3:$H$12,3,FALSE))</f>
        <v/>
      </c>
      <c r="AW71" s="422" t="str">
        <f t="shared" si="57"/>
        <v/>
      </c>
      <c r="AY71" s="479" t="str">
        <f>IF(AO71="","",VLOOKUP(AO71,非_まとめ表行番号!$U$3:$V$56,2,FALSE))</f>
        <v/>
      </c>
      <c r="AZ71" s="479" t="str">
        <f t="shared" si="68"/>
        <v/>
      </c>
      <c r="BA71" s="479" t="str">
        <f t="shared" si="58"/>
        <v/>
      </c>
      <c r="BB71" s="479" t="str">
        <f t="shared" si="18"/>
        <v/>
      </c>
      <c r="BC71" s="479" t="str">
        <f t="shared" si="19"/>
        <v/>
      </c>
      <c r="BD71" s="479" t="str">
        <f t="shared" si="76"/>
        <v/>
      </c>
      <c r="BE71" s="479" t="str">
        <f t="shared" si="76"/>
        <v/>
      </c>
      <c r="BF71" s="479" t="str">
        <f t="shared" si="21"/>
        <v/>
      </c>
      <c r="BG71" s="581" t="str">
        <f t="shared" si="69"/>
        <v/>
      </c>
    </row>
    <row r="72" spans="1:59" ht="18.75" customHeight="1" thickBot="1">
      <c r="A72" s="473"/>
      <c r="B72" s="373"/>
      <c r="C72" s="373"/>
      <c r="D72" s="373"/>
      <c r="E72" s="373"/>
      <c r="F72" s="373"/>
      <c r="G72" s="562" t="str">
        <f>IF(Y72&lt;&gt;"都市ガス","",IF(ISERROR(VLOOKUP(C72,非_都市ガス事業者!$O$8:$P$200,2,FALSE)),"",VLOOKUP(C72,非_都市ガス事業者!$O$8:$P$200,2,FALSE)))</f>
        <v/>
      </c>
      <c r="H72" s="563" t="str">
        <f>IF(Y72&lt;&gt;"都市ガス","",非_都市ガス事業者!$P$4)</f>
        <v/>
      </c>
      <c r="I72" s="564" t="str">
        <f>IF(B72="","",IF(COUNTIFS(B72,"*自ら生成*")&gt;0,"要記入",IF(Y72&lt;&gt;"都市ガス",VLOOKUP(B72,非_係数!$B$42:$D$55,2,FALSE),"")))</f>
        <v/>
      </c>
      <c r="J72" s="373"/>
      <c r="K72" s="506" t="str">
        <f t="shared" si="60"/>
        <v/>
      </c>
      <c r="L72" s="405" t="str">
        <f t="shared" si="61"/>
        <v/>
      </c>
      <c r="M72" s="373"/>
      <c r="N72" s="419"/>
      <c r="O72" s="373"/>
      <c r="P72" s="411"/>
      <c r="Q72" s="476"/>
      <c r="R72" s="444"/>
      <c r="S72" s="543" t="str">
        <f t="shared" si="70"/>
        <v/>
      </c>
      <c r="T72" s="544" t="str">
        <f t="shared" si="62"/>
        <v/>
      </c>
      <c r="U72" s="406" t="str">
        <f>IF(B72="","",VLOOKUP(B72,非_単位!$N$38:$O$53,2,FALSE))</f>
        <v/>
      </c>
      <c r="V72" s="543" t="str">
        <f t="shared" si="63"/>
        <v/>
      </c>
      <c r="W72" s="545" t="str">
        <f t="shared" si="64"/>
        <v/>
      </c>
      <c r="Y72" s="422" t="str">
        <f t="shared" si="52"/>
        <v/>
      </c>
      <c r="Z72" s="422" t="str">
        <f>IF(A72="","",IF(A72=非_燃料種類_選択リスト!$I$13,"外部供給_種類","外部供給以外_種類"))</f>
        <v/>
      </c>
      <c r="AA72" s="422" t="str">
        <f>IF(Y72&lt;&gt;"電気","",非_電気事業者!$S$4*1000)</f>
        <v/>
      </c>
      <c r="AB72" s="422" t="str">
        <f>IF(Y72&lt;&gt;"電気","",IF(ISERROR(VLOOKUP(C72&amp;E72,非_電気事業者!$R$9:$S$2000,2,FALSE)),"要記入",VLOOKUP(C72&amp;E72,非_電気事業者!$R$9:$S$2000,2,FALSE)*1000))</f>
        <v/>
      </c>
      <c r="AC72" s="422" t="str">
        <f>IF(Y72&lt;&gt;"熱","",非_熱供給事業者!$T$4)</f>
        <v/>
      </c>
      <c r="AD72" s="422" t="str">
        <f>IF(Y72&lt;&gt;"熱","",IF(ISERROR(VLOOKUP(C72&amp;E72,非_熱供給事業者!$S$8:$T$200,2,FALSE)),"要記入",VLOOKUP(C72&amp;E72,非_熱供給事業者!$S$8:$T$200,2,FALSE)))</f>
        <v/>
      </c>
      <c r="AE72" s="422" t="str">
        <f>IF(Y72&lt;&gt;"都市ガス","",非_都市ガス事業者!$AB$4)</f>
        <v/>
      </c>
      <c r="AF72" s="422" t="str">
        <f>IF(Y72&lt;&gt;"都市ガス","",IF(ISERROR(VLOOKUP(C72&amp;E72,非_都市ガス事業者!$AA$8:$AB$200,2,FALSE)),"要記入",VLOOKUP(C72&amp;E72,非_都市ガス事業者!$AA$8:$AB$200,2,FALSE)))</f>
        <v/>
      </c>
      <c r="AG72" s="422" t="str">
        <f t="shared" si="53"/>
        <v/>
      </c>
      <c r="AH72" s="422" t="str">
        <f t="shared" si="65"/>
        <v/>
      </c>
      <c r="AI72" s="482" t="b">
        <f t="shared" ref="AI72" si="85">_xlfn.ISFORMULA(K72)</f>
        <v>1</v>
      </c>
      <c r="AJ72" s="422" t="str">
        <f>IF(P72="","",VLOOKUP(P72,非_単位補正換算!$B$3:$C$16,2,FALSE))</f>
        <v/>
      </c>
      <c r="AK72" s="422" t="str">
        <f>IF(Y72="","",IF(Y72&lt;&gt;"都市ガス",1,IF(F72="","",SUMIFS(非_単位補正換算!$D$52:$D$63,非_単位補正換算!$B$52:$B$63,"都市ガス"&amp;F72,非_単位補正換算!$C$52:$C$63,電気・熱_都市ガス!P72))))</f>
        <v/>
      </c>
      <c r="AL72" s="479" t="str">
        <f t="shared" si="66"/>
        <v/>
      </c>
      <c r="AM72" s="422" t="str">
        <f t="shared" si="54"/>
        <v/>
      </c>
      <c r="AN72" s="422" t="str">
        <f t="shared" si="55"/>
        <v/>
      </c>
      <c r="AO72" s="422" t="str">
        <f>IF(B72="","",VLOOKUP(B72,非_まとめ表行番号!$F$3:$H$12,2,FALSE))</f>
        <v/>
      </c>
      <c r="AP72" s="485" t="b">
        <f t="shared" ref="AP72" si="86">_xlfn.ISFORMULA(H72)</f>
        <v>1</v>
      </c>
      <c r="AQ72" s="582" t="str">
        <f>IF(Y72="","",IF(Y72&lt;&gt;"都市ガス",1,非_係数!$G$55))</f>
        <v/>
      </c>
      <c r="AR72" s="422" t="str">
        <f t="shared" si="67"/>
        <v/>
      </c>
      <c r="AS72" s="422" t="str">
        <f t="shared" si="56"/>
        <v/>
      </c>
      <c r="AT72" s="422" t="str">
        <f>IF(B72="","",VLOOKUP(B72,非_係数!$B$42:$K$55,9,FALSE))</f>
        <v/>
      </c>
      <c r="AU72" s="422" t="str">
        <f t="shared" si="16"/>
        <v/>
      </c>
      <c r="AV72" s="422" t="str">
        <f>IF(B72="","",VLOOKUP(B72,非_まとめ表行番号!$F$3:$H$12,3,FALSE))</f>
        <v/>
      </c>
      <c r="AW72" s="422" t="str">
        <f t="shared" si="57"/>
        <v/>
      </c>
      <c r="AY72" s="479" t="str">
        <f>IF(AO72="","",VLOOKUP(AO72,非_まとめ表行番号!$U$3:$V$56,2,FALSE))</f>
        <v/>
      </c>
      <c r="AZ72" s="479" t="str">
        <f t="shared" si="68"/>
        <v/>
      </c>
      <c r="BA72" s="479" t="str">
        <f t="shared" si="68"/>
        <v/>
      </c>
      <c r="BB72" s="479" t="str">
        <f t="shared" ref="BB72" si="87">IF(G72&lt;&gt;"",G72,IF(I72&lt;&gt;"",I72,""))</f>
        <v/>
      </c>
      <c r="BC72" s="479" t="str">
        <f t="shared" ref="BC72" si="88">IF(H72="","",H72)</f>
        <v/>
      </c>
      <c r="BD72" s="479" t="str">
        <f t="shared" si="76"/>
        <v/>
      </c>
      <c r="BE72" s="479" t="str">
        <f t="shared" si="76"/>
        <v/>
      </c>
      <c r="BF72" s="479" t="str">
        <f t="shared" ref="BF72" si="89">IF(T72="","",T72)</f>
        <v/>
      </c>
      <c r="BG72" s="581" t="str">
        <f t="shared" si="69"/>
        <v/>
      </c>
    </row>
  </sheetData>
  <sheetProtection algorithmName="SHA-512" hashValue="lvAPXfthdGYLgkgyWoD84Eu376AAkFWKauUhTSjWC37DlfK5ZQ+lNDSWqvClrXmelEadGnhcj+sBJqWVmOufuA==" saltValue="nbjQawzf2NMj0HZj5FoKYQ==" spinCount="100000" sheet="1" objects="1" scenarios="1"/>
  <mergeCells count="50">
    <mergeCell ref="R1:S1"/>
    <mergeCell ref="V2:W2"/>
    <mergeCell ref="V4:V5"/>
    <mergeCell ref="V1:W1"/>
    <mergeCell ref="AO4:AO5"/>
    <mergeCell ref="AH4:AH5"/>
    <mergeCell ref="W4:W5"/>
    <mergeCell ref="T4:U5"/>
    <mergeCell ref="AG4:AG5"/>
    <mergeCell ref="AA4:AB4"/>
    <mergeCell ref="Z4:Z5"/>
    <mergeCell ref="P4:P5"/>
    <mergeCell ref="S4:S5"/>
    <mergeCell ref="Q4:Q5"/>
    <mergeCell ref="AX4:AX5"/>
    <mergeCell ref="AP4:AP5"/>
    <mergeCell ref="R4:R5"/>
    <mergeCell ref="AV4:AV5"/>
    <mergeCell ref="AQ4:AQ5"/>
    <mergeCell ref="AR4:AR5"/>
    <mergeCell ref="AS4:AS5"/>
    <mergeCell ref="AT4:AT5"/>
    <mergeCell ref="AU4:AU5"/>
    <mergeCell ref="Y4:Y5"/>
    <mergeCell ref="AI4:AI5"/>
    <mergeCell ref="AC4:AD4"/>
    <mergeCell ref="AE4:AF4"/>
    <mergeCell ref="A4:A5"/>
    <mergeCell ref="B4:B5"/>
    <mergeCell ref="N4:O4"/>
    <mergeCell ref="M4:M5"/>
    <mergeCell ref="C4:E4"/>
    <mergeCell ref="F4:H4"/>
    <mergeCell ref="J4:L4"/>
    <mergeCell ref="K5:L5"/>
    <mergeCell ref="AW4:AW5"/>
    <mergeCell ref="AJ4:AJ5"/>
    <mergeCell ref="AK4:AK5"/>
    <mergeCell ref="AL4:AL5"/>
    <mergeCell ref="AM4:AM5"/>
    <mergeCell ref="AN4:AN5"/>
    <mergeCell ref="BG4:BG5"/>
    <mergeCell ref="AY4:AY5"/>
    <mergeCell ref="AZ4:AZ5"/>
    <mergeCell ref="BA4:BA5"/>
    <mergeCell ref="BB4:BB5"/>
    <mergeCell ref="BC4:BC5"/>
    <mergeCell ref="BD4:BD5"/>
    <mergeCell ref="BE4:BE5"/>
    <mergeCell ref="BF4:BF5"/>
  </mergeCells>
  <phoneticPr fontId="5"/>
  <conditionalFormatting sqref="C48:E72">
    <cfRule type="expression" dxfId="29" priority="10">
      <formula>COUNTIFS($B48,"*自ら生成した*")&gt;0</formula>
    </cfRule>
  </conditionalFormatting>
  <conditionalFormatting sqref="F7:H46 F48:H72">
    <cfRule type="expression" dxfId="28" priority="14">
      <formula>$Y7&lt;&gt;"都市ガス"</formula>
    </cfRule>
  </conditionalFormatting>
  <conditionalFormatting sqref="I7:I46">
    <cfRule type="expression" dxfId="27" priority="12">
      <formula>OR($Y7="電気",$Y7="熱")</formula>
    </cfRule>
  </conditionalFormatting>
  <conditionalFormatting sqref="K7:K46 K48:K72">
    <cfRule type="expression" dxfId="26" priority="4">
      <formula>$AI7=FALSE</formula>
    </cfRule>
    <cfRule type="cellIs" dxfId="25" priority="7" operator="equal">
      <formula>"要記入"</formula>
    </cfRule>
  </conditionalFormatting>
  <conditionalFormatting sqref="N7:O46 N48:O72">
    <cfRule type="expression" dxfId="24" priority="9">
      <formula>$M7&lt;&gt;"計量器の実測値"</formula>
    </cfRule>
  </conditionalFormatting>
  <conditionalFormatting sqref="I48:I72">
    <cfRule type="expression" dxfId="23" priority="1">
      <formula>_xlfn.ISFORMULA(I48)=FALSE</formula>
    </cfRule>
    <cfRule type="cellIs" dxfId="22" priority="112" operator="equal">
      <formula>"要記入"</formula>
    </cfRule>
    <cfRule type="expression" dxfId="21" priority="113">
      <formula>COUNTIFS($B48,"*自ら生成した*")&gt;0</formula>
    </cfRule>
    <cfRule type="expression" dxfId="20" priority="114">
      <formula>AND(OR($Y48="電気", $Y48="熱"),COUNTIFS($B48,"*自ら生成した*")=0)</formula>
    </cfRule>
  </conditionalFormatting>
  <conditionalFormatting sqref="R7:R46 R48:R72">
    <cfRule type="expression" dxfId="19" priority="3">
      <formula>OR($O7="有",$O7="")</formula>
    </cfRule>
  </conditionalFormatting>
  <conditionalFormatting sqref="H7:H46 H48:H72">
    <cfRule type="expression" dxfId="18" priority="2">
      <formula>$AP7=FALSE</formula>
    </cfRule>
  </conditionalFormatting>
  <dataValidations count="17">
    <dataValidation type="list" allowBlank="1" showInputMessage="1" showErrorMessage="1" sqref="B7:B46 B48:B72" xr:uid="{FD1B8ED9-A070-4C16-8666-816874173922}">
      <formula1>INDIRECT(Z7)</formula1>
    </dataValidation>
    <dataValidation type="list" allowBlank="1" showInputMessage="1" showErrorMessage="1" sqref="D7:D46 D48:D72" xr:uid="{8C47254B-A4B3-4281-9BBE-980805CDB746}">
      <formula1>電気熱ガス_契約メニュー有無_選択</formula1>
    </dataValidation>
    <dataValidation type="list" allowBlank="1" showInputMessage="1" showErrorMessage="1" sqref="F7:F46 F48:F72" xr:uid="{D912E5C3-0EC0-4E36-A7A1-A40486C5AF8C}">
      <formula1>都市ガス_メーター種_選択</formula1>
    </dataValidation>
    <dataValidation type="list" allowBlank="1" showInputMessage="1" showErrorMessage="1" sqref="O48" xr:uid="{00142A07-FC34-4E43-80E5-207905F73A9C}">
      <formula1>INDIRECT("計量器_検定有無_選択")</formula1>
    </dataValidation>
    <dataValidation type="list" allowBlank="1" showInputMessage="1" showErrorMessage="1" sqref="M7:M46 M48:M72" xr:uid="{F5A8D9C3-12BD-4AEF-ACEB-8DA9CAEC761B}">
      <formula1>使用量把握方法_選択</formula1>
    </dataValidation>
    <dataValidation type="list" allowBlank="1" showInputMessage="1" showErrorMessage="1" sqref="E7:E46 E48:E72" xr:uid="{0F74CC73-8410-411C-9334-8FE866FE5A5B}">
      <formula1>IF(Y7="都市ガス",INDIRECT("都市ガス_メニュー_選択"),IF(Y7="電気",INDIRECT("電気_メニュー_選択"),IF(Y7="熱",INDIRECT("熱_メニュー_選択"))))</formula1>
    </dataValidation>
    <dataValidation type="list" allowBlank="1" showInputMessage="1" showErrorMessage="1" sqref="O7:O46 O49:O72" xr:uid="{281D60C4-8A4B-4BAC-B2F6-2F282780A369}">
      <formula1>計量器_検定有無_選択</formula1>
    </dataValidation>
    <dataValidation type="decimal" operator="greaterThanOrEqual" allowBlank="1" showInputMessage="1" showErrorMessage="1" sqref="K7:K46 K48:K72" xr:uid="{8B4EE6EA-08C0-45E8-9597-BBC2D4BFF636}">
      <formula1>0</formula1>
    </dataValidation>
    <dataValidation type="list" allowBlank="1" showInputMessage="1" showErrorMessage="1" sqref="P7:P46 P48:P72" xr:uid="{44D2CF58-FC09-4375-B993-CD704BDC35DE}">
      <formula1>INDIRECT(SUBSTITUTE(B7,"、","_")&amp;"_単位")</formula1>
    </dataValidation>
    <dataValidation type="list" imeMode="disabled" allowBlank="1" showInputMessage="1" showErrorMessage="1" sqref="R7:R46 R48:R72" xr:uid="{0BB372D0-3C13-4777-AAE9-868EABC3FE57}">
      <formula1>INDIRECT(AW7)</formula1>
    </dataValidation>
    <dataValidation imeMode="disabled" allowBlank="1" showInputMessage="1" showErrorMessage="1" sqref="Q7:Q46 Q48:Q65" xr:uid="{153BF2C9-4246-4B06-90F3-7CBDF8BD33B8}"/>
    <dataValidation type="list" allowBlank="1" showInputMessage="1" showErrorMessage="1" sqref="A7:A46" xr:uid="{7E33D380-7BDE-4220-8C79-853E8406812B}">
      <formula1>電気熱ガス_排出活動①</formula1>
    </dataValidation>
    <dataValidation type="list" allowBlank="1" showInputMessage="1" showErrorMessage="1" sqref="J7:J46" xr:uid="{FDC32275-F49D-4055-9B0D-19E884EC8F5B}">
      <formula1>INDIRECT(IF(B7="","",IF(B7="都市ガス","都市ガス_係数根拠_選択","電気熱_係数根拠_選択")))</formula1>
    </dataValidation>
    <dataValidation type="list" allowBlank="1" showInputMessage="1" showErrorMessage="1" sqref="J48:J72" xr:uid="{ED51F72E-30EF-46C0-AD2C-C9C3D29D2B39}">
      <formula1>INDIRECT(IF(B48="","",IF(B48="都市ガス","都市ガス_係数根拠_選択",IF(COUNTIF(B48,"*自ら生成*")&gt;0,"自己電気熱_係数根拠_選択","電気熱_係数根拠_選択"))))</formula1>
    </dataValidation>
    <dataValidation type="list" allowBlank="1" showInputMessage="1" showErrorMessage="1" sqref="A48:A72" xr:uid="{23F56E2F-33C1-4034-A927-5BD3150B3625}">
      <formula1>電気熱ガス_排出活動②</formula1>
    </dataValidation>
    <dataValidation type="list" imeMode="disabled" allowBlank="1" showInputMessage="1" showErrorMessage="1" sqref="Q66:Q72" xr:uid="{D2ED666D-1DE4-4174-995E-D958E0A407FD}">
      <formula1>INDIRECT(AX66)</formula1>
    </dataValidation>
    <dataValidation type="list" allowBlank="1" showInputMessage="1" showErrorMessage="1" sqref="C48:C72 C7:C46" xr:uid="{E3D74BD3-E3F8-4284-BCF9-1FF890235960}">
      <formula1>IF(Y7="都市ガス",都市ガス_供給事業者_選択,  IF(Y7="電気",電気_供給事業者_選択,  IF(Y7="熱",熱_供給事業者_選択,選択肢なし)))</formula1>
    </dataValidation>
  </dataValidations>
  <pageMargins left="0.59055118110236227" right="0.39370078740157483" top="0.59055118110236227" bottom="0.59055118110236227" header="0.31496062992125984" footer="0.31496062992125984"/>
  <pageSetup paperSize="9" scale="3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BG64"/>
  <sheetViews>
    <sheetView showGridLines="0" zoomScale="70" zoomScaleNormal="70" zoomScaleSheetLayoutView="70" workbookViewId="0">
      <pane ySplit="6" topLeftCell="A7" activePane="bottomLeft" state="frozen"/>
      <selection pane="bottomLeft"/>
    </sheetView>
  </sheetViews>
  <sheetFormatPr defaultColWidth="9" defaultRowHeight="18" outlineLevelCol="1"/>
  <cols>
    <col min="1" max="1" width="46.625" style="85" customWidth="1"/>
    <col min="2" max="2" width="32.5" style="85" customWidth="1"/>
    <col min="3" max="3" width="16.5" style="85" customWidth="1"/>
    <col min="4" max="4" width="19.125" style="85" customWidth="1"/>
    <col min="5" max="5" width="15.5" style="85" customWidth="1"/>
    <col min="6" max="6" width="13" style="85" customWidth="1"/>
    <col min="7" max="7" width="16.5" style="85" customWidth="1"/>
    <col min="8" max="8" width="14.25" style="85" customWidth="1"/>
    <col min="9" max="9" width="15.5" style="85" customWidth="1"/>
    <col min="10" max="11" width="10.625" style="85" customWidth="1"/>
    <col min="12" max="12" width="5.375" style="85" customWidth="1"/>
    <col min="13" max="13" width="10.625" style="85" customWidth="1"/>
    <col min="14" max="14" width="19.75" style="85" customWidth="1"/>
    <col min="15" max="15" width="9" style="85"/>
    <col min="16" max="16" width="20.625" style="85" customWidth="1"/>
    <col min="17" max="17" width="12" style="85" hidden="1" customWidth="1" outlineLevel="1"/>
    <col min="18" max="18" width="5.5" style="85" hidden="1" customWidth="1" outlineLevel="1"/>
    <col min="19" max="19" width="9" style="85" collapsed="1"/>
    <col min="20" max="20" width="13.75" style="429" customWidth="1"/>
    <col min="21" max="21" width="9" style="85"/>
    <col min="22" max="26" width="14" style="85" hidden="1" customWidth="1" outlineLevel="1"/>
    <col min="27" max="27" width="20.25" style="85" hidden="1" customWidth="1" outlineLevel="1"/>
    <col min="28" max="28" width="14" style="85" hidden="1" customWidth="1" outlineLevel="1"/>
    <col min="29" max="29" width="16.875" style="85" hidden="1" customWidth="1" outlineLevel="1"/>
    <col min="30" max="30" width="15.75" style="85" hidden="1" customWidth="1" outlineLevel="1"/>
    <col min="31" max="31" width="23.5" style="85" hidden="1" customWidth="1" outlineLevel="1"/>
    <col min="32" max="33" width="9" style="85" hidden="1" customWidth="1" outlineLevel="1"/>
    <col min="34" max="34" width="14.75" style="85" hidden="1" customWidth="1" outlineLevel="1"/>
    <col min="35" max="36" width="9" style="85" hidden="1" customWidth="1" outlineLevel="1"/>
    <col min="37" max="37" width="11.625" style="85" hidden="1" customWidth="1" outlineLevel="1"/>
    <col min="38" max="40" width="9" style="85" hidden="1" customWidth="1" outlineLevel="1"/>
    <col min="41" max="41" width="16.75" style="85" hidden="1" customWidth="1" outlineLevel="1"/>
    <col min="42" max="43" width="21.5" style="85" hidden="1" customWidth="1" outlineLevel="1"/>
    <col min="44" max="47" width="9" style="85" hidden="1" customWidth="1" outlineLevel="1"/>
    <col min="48" max="48" width="11.375" style="85" hidden="1" customWidth="1" outlineLevel="1"/>
    <col min="49" max="49" width="39.875" style="85" hidden="1" customWidth="1" outlineLevel="1"/>
    <col min="50" max="50" width="31.375" style="85" hidden="1" customWidth="1" outlineLevel="1"/>
    <col min="51" max="51" width="23.625" style="85" hidden="1" customWidth="1" outlineLevel="1"/>
    <col min="52" max="52" width="11.375" style="85" hidden="1" customWidth="1" outlineLevel="1"/>
    <col min="53" max="53" width="23.875" style="85" hidden="1" customWidth="1" outlineLevel="1"/>
    <col min="54" max="54" width="12.375" style="85" hidden="1" customWidth="1" outlineLevel="1"/>
    <col min="55" max="55" width="18.875" style="85" hidden="1" customWidth="1" outlineLevel="1"/>
    <col min="56" max="56" width="0" style="85" hidden="1" customWidth="1" outlineLevel="1"/>
    <col min="57" max="57" width="15.25" style="85" hidden="1" customWidth="1" outlineLevel="1"/>
    <col min="58" max="58" width="18.625" style="85" hidden="1" customWidth="1" outlineLevel="1"/>
    <col min="59" max="59" width="9" style="85" collapsed="1"/>
    <col min="60" max="16384" width="9" style="85"/>
  </cols>
  <sheetData>
    <row r="1" spans="1:58" ht="18.75" customHeight="1">
      <c r="A1" s="455" t="s">
        <v>972</v>
      </c>
      <c r="B1" s="455"/>
      <c r="C1" s="458"/>
      <c r="D1" s="458"/>
      <c r="E1" s="458"/>
      <c r="F1" s="52"/>
      <c r="G1" s="52"/>
      <c r="H1" s="52"/>
      <c r="I1" s="52"/>
      <c r="J1" s="52"/>
      <c r="K1" s="52"/>
      <c r="L1" s="52"/>
      <c r="M1" s="52"/>
      <c r="N1" s="2"/>
      <c r="O1" s="2"/>
      <c r="P1" s="477" t="s">
        <v>0</v>
      </c>
      <c r="Q1" s="305" t="s">
        <v>806</v>
      </c>
      <c r="R1" s="305" t="s">
        <v>806</v>
      </c>
      <c r="S1" s="699" t="str">
        <f>IF(事業所概要_算定体制!D13="","",事業所概要_算定体制!D13)</f>
        <v/>
      </c>
      <c r="T1" s="700"/>
    </row>
    <row r="2" spans="1:58" ht="18.75" customHeight="1">
      <c r="A2" s="455" t="s">
        <v>949</v>
      </c>
      <c r="B2" s="455"/>
      <c r="C2" s="455"/>
      <c r="D2" s="455"/>
      <c r="E2" s="455"/>
      <c r="F2" s="52"/>
      <c r="G2" s="52"/>
      <c r="H2" s="52"/>
      <c r="I2" s="52"/>
      <c r="J2" s="52"/>
      <c r="K2" s="52"/>
      <c r="L2" s="52"/>
      <c r="M2" s="52"/>
      <c r="N2" s="2"/>
      <c r="O2" s="2"/>
      <c r="P2" s="2"/>
      <c r="Q2" s="306"/>
      <c r="R2" s="306"/>
      <c r="S2" s="697" t="str">
        <f>CONCATENATE(事業所概要_算定体制!$B$3,事業所概要_算定体制!$C$3,"年度")</f>
        <v>令和７年度</v>
      </c>
      <c r="T2" s="697"/>
    </row>
    <row r="3" spans="1:58" ht="18.75" thickBot="1">
      <c r="A3" s="3"/>
      <c r="B3" s="3"/>
      <c r="C3" s="52"/>
      <c r="D3" s="52"/>
      <c r="E3" s="52"/>
      <c r="F3" s="52"/>
      <c r="G3" s="52"/>
      <c r="H3" s="52"/>
      <c r="I3" s="52"/>
      <c r="J3" s="52"/>
      <c r="K3" s="52"/>
      <c r="L3" s="52"/>
      <c r="M3" s="52"/>
      <c r="N3" s="458"/>
      <c r="O3" s="458"/>
      <c r="P3" s="52"/>
      <c r="Q3" s="103"/>
      <c r="R3" s="103"/>
      <c r="S3" s="52"/>
      <c r="T3" s="385"/>
    </row>
    <row r="4" spans="1:58" ht="17.25" customHeight="1">
      <c r="A4" s="711" t="s">
        <v>70</v>
      </c>
      <c r="B4" s="665" t="s">
        <v>832</v>
      </c>
      <c r="C4" s="715" t="s">
        <v>221</v>
      </c>
      <c r="D4" s="717"/>
      <c r="E4" s="718"/>
      <c r="F4" s="715" t="s">
        <v>223</v>
      </c>
      <c r="G4" s="655" t="s">
        <v>838</v>
      </c>
      <c r="H4" s="655" t="s">
        <v>213</v>
      </c>
      <c r="I4" s="656"/>
      <c r="J4" s="661" t="s">
        <v>207</v>
      </c>
      <c r="K4" s="655" t="s">
        <v>204</v>
      </c>
      <c r="L4" s="656"/>
      <c r="M4" s="661" t="s">
        <v>208</v>
      </c>
      <c r="N4" s="721" t="s">
        <v>850</v>
      </c>
      <c r="O4" s="665" t="s">
        <v>969</v>
      </c>
      <c r="P4" s="721" t="s">
        <v>950</v>
      </c>
      <c r="Q4" s="723" t="s">
        <v>777</v>
      </c>
      <c r="R4" s="724"/>
      <c r="S4" s="661" t="s">
        <v>219</v>
      </c>
      <c r="T4" s="707" t="s">
        <v>220</v>
      </c>
      <c r="V4" s="694" t="s">
        <v>601</v>
      </c>
      <c r="W4" s="653" t="s">
        <v>579</v>
      </c>
      <c r="X4" s="653" t="s">
        <v>833</v>
      </c>
      <c r="Y4" s="653" t="s">
        <v>834</v>
      </c>
      <c r="Z4" s="719" t="s">
        <v>862</v>
      </c>
      <c r="AA4" s="653" t="s">
        <v>843</v>
      </c>
      <c r="AB4" s="653" t="s">
        <v>847</v>
      </c>
      <c r="AC4" s="694" t="s">
        <v>877</v>
      </c>
      <c r="AD4" s="653" t="s">
        <v>865</v>
      </c>
      <c r="AE4" s="654" t="s">
        <v>837</v>
      </c>
      <c r="AF4" s="422" t="s">
        <v>848</v>
      </c>
      <c r="AG4" s="654" t="s">
        <v>571</v>
      </c>
      <c r="AH4" s="653" t="s">
        <v>851</v>
      </c>
      <c r="AI4" s="677" t="s">
        <v>219</v>
      </c>
      <c r="AJ4" s="709" t="s">
        <v>853</v>
      </c>
      <c r="AK4" s="677" t="s">
        <v>852</v>
      </c>
      <c r="AL4" s="653" t="s">
        <v>967</v>
      </c>
      <c r="AM4" s="428"/>
    </row>
    <row r="5" spans="1:58" ht="36.75" customHeight="1" thickBot="1">
      <c r="A5" s="712"/>
      <c r="B5" s="674"/>
      <c r="C5" s="440" t="s">
        <v>221</v>
      </c>
      <c r="D5" s="440" t="s">
        <v>222</v>
      </c>
      <c r="E5" s="302" t="s">
        <v>918</v>
      </c>
      <c r="F5" s="716"/>
      <c r="G5" s="713"/>
      <c r="H5" s="439" t="s">
        <v>214</v>
      </c>
      <c r="I5" s="440" t="s">
        <v>216</v>
      </c>
      <c r="J5" s="714"/>
      <c r="K5" s="440" t="s">
        <v>205</v>
      </c>
      <c r="L5" s="440" t="s">
        <v>206</v>
      </c>
      <c r="M5" s="714"/>
      <c r="N5" s="722"/>
      <c r="O5" s="666"/>
      <c r="P5" s="722"/>
      <c r="Q5" s="725"/>
      <c r="R5" s="726"/>
      <c r="S5" s="667"/>
      <c r="T5" s="708"/>
      <c r="V5" s="695"/>
      <c r="W5" s="654"/>
      <c r="X5" s="654"/>
      <c r="Y5" s="654"/>
      <c r="Z5" s="720"/>
      <c r="AA5" s="654"/>
      <c r="AB5" s="654"/>
      <c r="AC5" s="695"/>
      <c r="AD5" s="654"/>
      <c r="AE5" s="654"/>
      <c r="AF5" s="422" t="s">
        <v>849</v>
      </c>
      <c r="AG5" s="654"/>
      <c r="AH5" s="654"/>
      <c r="AI5" s="678"/>
      <c r="AJ5" s="710"/>
      <c r="AK5" s="678"/>
      <c r="AL5" s="654"/>
      <c r="AM5" s="483" t="s">
        <v>886</v>
      </c>
      <c r="AN5" s="422" t="s">
        <v>887</v>
      </c>
      <c r="AO5" s="422" t="s">
        <v>888</v>
      </c>
      <c r="AP5" s="422" t="s">
        <v>889</v>
      </c>
      <c r="AQ5" s="426" t="s">
        <v>917</v>
      </c>
      <c r="AR5" s="426" t="s">
        <v>904</v>
      </c>
      <c r="AS5" s="426" t="s">
        <v>905</v>
      </c>
      <c r="AT5" s="426" t="s">
        <v>933</v>
      </c>
      <c r="AV5" s="479" t="s">
        <v>955</v>
      </c>
      <c r="AW5" s="479" t="s">
        <v>964</v>
      </c>
      <c r="AX5" s="479" t="s">
        <v>965</v>
      </c>
      <c r="AY5" s="479" t="s">
        <v>958</v>
      </c>
      <c r="AZ5" s="479" t="s">
        <v>960</v>
      </c>
      <c r="BA5" s="479" t="s">
        <v>961</v>
      </c>
      <c r="BB5" s="479" t="s">
        <v>962</v>
      </c>
      <c r="BC5" s="479" t="s">
        <v>963</v>
      </c>
      <c r="BE5" s="584" t="s">
        <v>2022</v>
      </c>
      <c r="BF5" s="584" t="s">
        <v>2023</v>
      </c>
    </row>
    <row r="6" spans="1:58" ht="17.25" customHeight="1" thickTop="1" thickBot="1">
      <c r="A6" s="299" t="s">
        <v>855</v>
      </c>
      <c r="B6" s="300"/>
      <c r="C6" s="300"/>
      <c r="D6" s="300"/>
      <c r="E6" s="300"/>
      <c r="F6" s="300"/>
      <c r="G6" s="300"/>
      <c r="H6" s="300"/>
      <c r="I6" s="300"/>
      <c r="J6" s="300"/>
      <c r="K6" s="300"/>
      <c r="L6" s="300"/>
      <c r="M6" s="300"/>
      <c r="N6" s="300"/>
      <c r="O6" s="300"/>
      <c r="P6" s="300"/>
      <c r="Q6" s="307"/>
      <c r="R6" s="307"/>
      <c r="S6" s="57"/>
      <c r="T6" s="386"/>
    </row>
    <row r="7" spans="1:58" ht="18.75" customHeight="1" thickTop="1">
      <c r="A7" s="460"/>
      <c r="B7" s="368"/>
      <c r="C7" s="368"/>
      <c r="D7" s="369"/>
      <c r="E7" s="369"/>
      <c r="F7" s="368"/>
      <c r="G7" s="547" t="str">
        <f>AE7</f>
        <v/>
      </c>
      <c r="H7" s="368"/>
      <c r="I7" s="417" t="str">
        <f t="shared" ref="I7:I29" si="0">IF(H7="","",IF(H7="目標設定ガスの算定対象外",0,IF(H7="国代替値",AF7,"要記入")))</f>
        <v/>
      </c>
      <c r="J7" s="368"/>
      <c r="K7" s="417"/>
      <c r="L7" s="368"/>
      <c r="M7" s="368"/>
      <c r="N7" s="414"/>
      <c r="O7" s="445"/>
      <c r="P7" s="548" t="str">
        <f>IF(N7="","",IF(O7="",N7,O7*N7))</f>
        <v/>
      </c>
      <c r="Q7" s="549" t="str">
        <f>AH7</f>
        <v/>
      </c>
      <c r="R7" s="550" t="str">
        <f>IF(B7="","",VLOOKUP(B7,非_単位!$N$38:$O$53,2,FALSE))</f>
        <v/>
      </c>
      <c r="S7" s="551" t="str">
        <f>AI7</f>
        <v/>
      </c>
      <c r="T7" s="539" t="str">
        <f>AK7</f>
        <v/>
      </c>
      <c r="V7" s="422" t="str">
        <f t="shared" ref="V7:V29" si="1">IF(A7="","",IF(A7="電気の使用_一般送配電事業者の電線路以外","電気",IF(A7="熱の使用","熱","")))</f>
        <v/>
      </c>
      <c r="W7" s="422" t="str">
        <f>IF(V7="電気","再エネ_事業所内_電気_種類",IF(V7="熱","再エネ_事業所内_熱_種類",""))</f>
        <v/>
      </c>
      <c r="X7" s="422" t="str">
        <f t="shared" ref="X7:X29" si="2">IF(B7="","","再エネ_種類_選択")</f>
        <v/>
      </c>
      <c r="Y7" s="422" t="str">
        <f t="shared" ref="Y7:Y29" si="3">IF(C7="バイオマス","バイオマス_種類_選択","")</f>
        <v/>
      </c>
      <c r="Z7" s="422" t="str">
        <f>IF(C7="バイオマス","バイオマス燃料_持続可能性_選択","")</f>
        <v/>
      </c>
      <c r="AA7" s="422" t="str">
        <f t="shared" ref="AA7:AA29" si="4">IF(B7="","",IF(AND(Z7&lt;&gt;"",E7="無"),"環境価値_バイオマス持続可能性無_選択","環境価値_選択"))</f>
        <v/>
      </c>
      <c r="AB7" s="422" t="str">
        <f t="shared" ref="AB7:AB29" si="5">IF(B7="","",IF(F7="","",IF(E7="無","再エネ_係数根拠_持続可能性無",IF(F7="有","再エネ_係数根拠_環境価値有","再エネ_係数根拠_環境価値無"))))</f>
        <v/>
      </c>
      <c r="AC7" s="422" t="str">
        <f>IF(V7="","","自家消費")</f>
        <v/>
      </c>
      <c r="AD7" s="422" t="str">
        <f t="shared" ref="AD7:AD29" si="6">IF(V7&lt;&gt;"熱","",IF(OR(C7="太陽光",C7="地熱",C7="温泉熱",C7="雪氷熱"),"対象",""))</f>
        <v/>
      </c>
      <c r="AE7" s="422" t="str">
        <f>IF(B7="","",IF(AD7="対象","熱量計読取",VLOOKUP(B7,非_係数!$B$42:$D$55,2,FALSE)))</f>
        <v/>
      </c>
      <c r="AF7" s="422" t="str">
        <f>IF(V7="電気",非_電気事業者!$S$4*1000,IF(V7="熱",非_熱供給事業者!$T$4,""))</f>
        <v/>
      </c>
      <c r="AG7" s="422" t="str">
        <f>IF(M7="","",VLOOKUP(M7,非_単位補正換算!$B$3:$C$16,2,FALSE))</f>
        <v/>
      </c>
      <c r="AH7" s="422" t="str">
        <f t="shared" ref="AH7:AH29" si="7">IF(M7="","",IF(P7="","",P7/AG7))</f>
        <v/>
      </c>
      <c r="AI7" s="422" t="str">
        <f t="shared" ref="AI7:AI29" si="8">IF(AH7="","",IF(AD7="対象",AH7,IF(G7="","",AH7*G7)))</f>
        <v/>
      </c>
      <c r="AJ7" s="422">
        <v>1</v>
      </c>
      <c r="AK7" s="422" t="str">
        <f>IF(AH7="","",IF(ISNUMBER(I7),AH7*I7*1,""))</f>
        <v/>
      </c>
      <c r="AL7" s="482" t="b">
        <f>_xlfn.ISFORMULA(I7)</f>
        <v>1</v>
      </c>
      <c r="AM7" s="422" t="str">
        <f>V7</f>
        <v/>
      </c>
      <c r="AN7" s="422" t="str">
        <f>IF(F7="","",F7)</f>
        <v/>
      </c>
      <c r="AO7" s="422" t="str">
        <f t="shared" ref="AO7:AO38" si="9">AC7&amp;IF(B7="電気_仮想電力購入契約","_仮想電力購入契約","")</f>
        <v/>
      </c>
      <c r="AP7" s="422" t="str">
        <f t="shared" ref="AP7:AP29" si="10">IF(E7="","",E7)</f>
        <v/>
      </c>
      <c r="AQ7" s="422" t="str">
        <f t="shared" ref="AQ7:AQ29" si="11">IF(C7="","",IF(LEFT(C7,2)="任意","任意","義務"))</f>
        <v/>
      </c>
      <c r="AR7" s="422" t="str">
        <f>IF(AQ7&lt;&gt;"義務","",SUMIFS(非_まとめ表行番号!$N$3:$N$20,非_まとめ表行番号!$J$3:$J$20,AM7,非_まとめ表行番号!$K$3:$K$20,AN7,非_まとめ表行番号!$L$3:$L$20,AO7,非_まとめ表行番号!$M$3:$M$20,AP7))</f>
        <v/>
      </c>
      <c r="AS7" s="422" t="str">
        <f>IF(AQ7&lt;&gt;"義務","",SUMIFS(非_まとめ表行番号!$O$3:$O$20,非_まとめ表行番号!$J$3:$J$20,AM7,非_まとめ表行番号!$K$3:$K$20,AN7,非_まとめ表行番号!$L$3:$L$20,AO7,非_まとめ表行番号!$M$3:$M$20,AP7))</f>
        <v/>
      </c>
      <c r="AT7" s="422" t="str">
        <f t="shared" ref="AT7:AT29" si="12">IF(L7="無","乗率_排出量","")</f>
        <v/>
      </c>
      <c r="AV7" s="479" t="str">
        <f>IF(AR7="","",VLOOKUP(AR7,非_まとめ表行番号!$U$3:$V$56,2,FALSE))</f>
        <v/>
      </c>
      <c r="AW7" s="479" t="str">
        <f>IF(C7="","",VLOOKUP(C7,非_燃料種類_選択リスト!$X$2:$Y$14,2,FALSE))</f>
        <v/>
      </c>
      <c r="AX7" s="479" t="str">
        <f>IF(D7="","",VLOOKUP(D7,非_燃料種類_選択リスト!$X$18:$Y$24,2,FALSE))</f>
        <v/>
      </c>
      <c r="AY7" s="485" t="str">
        <f>IF(AV7=46,0,IF(G7="","",IF(G7="熱量計読取",1,G7)))</f>
        <v/>
      </c>
      <c r="AZ7" s="479" t="str">
        <f>IF(H7="","",H7)</f>
        <v/>
      </c>
      <c r="BA7" s="479" t="str">
        <f>IF(I7="","",I7)</f>
        <v/>
      </c>
      <c r="BB7" s="479" t="str">
        <f>IF(Q7="","",Q7)</f>
        <v/>
      </c>
      <c r="BC7" s="479" t="str">
        <f>IF(AK7="","",IF(AK7&gt;=0,1,IF(AK7&lt;0,-1,"")))</f>
        <v/>
      </c>
      <c r="BE7" s="584" t="str">
        <f>IF(AND(A7="",B7=""),"",IF(AN7="有",0,VLOOKUP(B7,非_係数!$B$42:$J$55,9,FALSE)))</f>
        <v/>
      </c>
      <c r="BF7" s="584" t="str">
        <f>IF(AH7="","",IF(ISNUMBER(BE7),AH7*BE7,""))</f>
        <v/>
      </c>
    </row>
    <row r="8" spans="1:58" ht="18.75" customHeight="1">
      <c r="A8" s="460"/>
      <c r="B8" s="368"/>
      <c r="C8" s="368"/>
      <c r="D8" s="369"/>
      <c r="E8" s="369"/>
      <c r="F8" s="368"/>
      <c r="G8" s="547" t="str">
        <f t="shared" ref="G8:G29" si="13">AE8</f>
        <v/>
      </c>
      <c r="H8" s="368"/>
      <c r="I8" s="417" t="str">
        <f>IF(H8="","",IF(H8="目標設定ガスの算定対象外",0,IF(H8="国代替値",AF8,"要記入")))</f>
        <v/>
      </c>
      <c r="J8" s="368"/>
      <c r="K8" s="418"/>
      <c r="L8" s="368"/>
      <c r="M8" s="368"/>
      <c r="N8" s="415"/>
      <c r="O8" s="445"/>
      <c r="P8" s="548" t="str">
        <f t="shared" ref="P8:P29" si="14">IF(N8="","",IF(O8="",N8,O8*N8))</f>
        <v/>
      </c>
      <c r="Q8" s="549" t="str">
        <f t="shared" ref="Q8:Q9" si="15">AH8</f>
        <v/>
      </c>
      <c r="R8" s="550" t="str">
        <f>IF(B8="","",VLOOKUP(B8,非_単位!$N$38:$O$53,2,FALSE))</f>
        <v/>
      </c>
      <c r="S8" s="551" t="str">
        <f t="shared" ref="S8:S9" si="16">AI8</f>
        <v/>
      </c>
      <c r="T8" s="539" t="str">
        <f t="shared" ref="T8:T9" si="17">AK8</f>
        <v/>
      </c>
      <c r="V8" s="422" t="str">
        <f t="shared" si="1"/>
        <v/>
      </c>
      <c r="W8" s="422" t="str">
        <f>IF(V8="電気","再エネ_事業所内_電気_種類",IF(V8="熱","再エネ_事業所内_熱_種類",""))</f>
        <v/>
      </c>
      <c r="X8" s="422" t="str">
        <f t="shared" si="2"/>
        <v/>
      </c>
      <c r="Y8" s="422" t="str">
        <f t="shared" si="3"/>
        <v/>
      </c>
      <c r="Z8" s="422" t="str">
        <f t="shared" ref="Z8:Z29" si="18">IF(C8="バイオマス","バイオマス燃料_持続可能性_選択","")</f>
        <v/>
      </c>
      <c r="AA8" s="422" t="str">
        <f t="shared" si="4"/>
        <v/>
      </c>
      <c r="AB8" s="422" t="str">
        <f t="shared" si="5"/>
        <v/>
      </c>
      <c r="AC8" s="422" t="str">
        <f t="shared" ref="AC8:AC29" si="19">IF(V8="","","自家消費")</f>
        <v/>
      </c>
      <c r="AD8" s="422" t="str">
        <f t="shared" si="6"/>
        <v/>
      </c>
      <c r="AE8" s="422" t="str">
        <f>IF(B8="","",IF(AD8="対象","熱量計読取",VLOOKUP(B8,非_係数!$B$42:$D$55,2,FALSE)))</f>
        <v/>
      </c>
      <c r="AF8" s="422" t="str">
        <f>IF(V8="電気",非_電気事業者!$S$4*1000,IF(V8="熱",非_熱供給事業者!$T$4,""))</f>
        <v/>
      </c>
      <c r="AG8" s="422" t="str">
        <f>IF(M8="","",VLOOKUP(M8,非_単位補正換算!$B$3:$C$16,2,FALSE))</f>
        <v/>
      </c>
      <c r="AH8" s="422" t="str">
        <f t="shared" si="7"/>
        <v/>
      </c>
      <c r="AI8" s="422" t="str">
        <f t="shared" si="8"/>
        <v/>
      </c>
      <c r="AJ8" s="422">
        <v>1</v>
      </c>
      <c r="AK8" s="422" t="str">
        <f t="shared" ref="AK8:AK29" si="20">IF(AH8="","",IF(ISNUMBER(I8),AH8*I8*1,""))</f>
        <v/>
      </c>
      <c r="AL8" s="482" t="b">
        <f t="shared" ref="AL8:AL64" si="21">_xlfn.ISFORMULA(I8)</f>
        <v>1</v>
      </c>
      <c r="AM8" s="422" t="str">
        <f t="shared" ref="AM8:AM29" si="22">V8</f>
        <v/>
      </c>
      <c r="AN8" s="422" t="str">
        <f t="shared" ref="AN8:AN29" si="23">IF(F8="","",F8)</f>
        <v/>
      </c>
      <c r="AO8" s="422" t="str">
        <f t="shared" si="9"/>
        <v/>
      </c>
      <c r="AP8" s="422" t="str">
        <f t="shared" si="10"/>
        <v/>
      </c>
      <c r="AQ8" s="422" t="str">
        <f t="shared" si="11"/>
        <v/>
      </c>
      <c r="AR8" s="422" t="str">
        <f>IF(AQ8&lt;&gt;"義務","",SUMIFS(非_まとめ表行番号!$N$3:$N$20,非_まとめ表行番号!$J$3:$J$20,AM8,非_まとめ表行番号!$K$3:$K$20,AN8,非_まとめ表行番号!$L$3:$L$20,AO8,非_まとめ表行番号!$M$3:$M$20,AP8))</f>
        <v/>
      </c>
      <c r="AS8" s="422" t="str">
        <f>IF(AQ8&lt;&gt;"義務","",SUMIFS(非_まとめ表行番号!$O$3:$O$20,非_まとめ表行番号!$J$3:$J$20,AM8,非_まとめ表行番号!$K$3:$K$20,AN8,非_まとめ表行番号!$L$3:$L$20,AO8,非_まとめ表行番号!$M$3:$M$20,AP8))</f>
        <v/>
      </c>
      <c r="AT8" s="422" t="str">
        <f t="shared" si="12"/>
        <v/>
      </c>
      <c r="AV8" s="479" t="str">
        <f>IF(AR8="","",VLOOKUP(AR8,非_まとめ表行番号!$U$3:$V$56,2,FALSE))</f>
        <v/>
      </c>
      <c r="AW8" s="479" t="str">
        <f>IF(C8="","",VLOOKUP(C8,非_燃料種類_選択リスト!$X$2:$Y$14,2,FALSE))</f>
        <v/>
      </c>
      <c r="AX8" s="479" t="str">
        <f>IF(D8="","",VLOOKUP(D8,非_燃料種類_選択リスト!$X$18:$Y$24,2,FALSE))</f>
        <v/>
      </c>
      <c r="AY8" s="485" t="str">
        <f t="shared" ref="AY8:AY29" si="24">IF(AV8=46,0,IF(G8="","",IF(G8="熱量計読取",1,G8)))</f>
        <v/>
      </c>
      <c r="AZ8" s="479" t="str">
        <f t="shared" ref="AZ8:BA29" si="25">IF(H8="","",H8)</f>
        <v/>
      </c>
      <c r="BA8" s="479" t="str">
        <f t="shared" si="25"/>
        <v/>
      </c>
      <c r="BB8" s="479" t="str">
        <f t="shared" ref="BB8:BB29" si="26">IF(Q8="","",Q8)</f>
        <v/>
      </c>
      <c r="BC8" s="479" t="str">
        <f t="shared" ref="BC8:BC29" si="27">IF(AK8="","",IF(AK8&gt;=0,1,IF(AK8&lt;0,-1,"")))</f>
        <v/>
      </c>
      <c r="BE8" s="584" t="str">
        <f>IF(AND(A8="",B8=""),"",IF(AN8="有",0,VLOOKUP(B8,非_係数!$B$42:$J$55,9,FALSE)))</f>
        <v/>
      </c>
      <c r="BF8" s="584" t="str">
        <f t="shared" ref="BF8:BF29" si="28">IF(AH8="","",IF(ISNUMBER(BE8),AH8*BE8,""))</f>
        <v/>
      </c>
    </row>
    <row r="9" spans="1:58" ht="18.75" customHeight="1">
      <c r="A9" s="460"/>
      <c r="B9" s="368"/>
      <c r="C9" s="368"/>
      <c r="D9" s="369"/>
      <c r="E9" s="369"/>
      <c r="F9" s="368"/>
      <c r="G9" s="547" t="str">
        <f t="shared" si="13"/>
        <v/>
      </c>
      <c r="H9" s="368"/>
      <c r="I9" s="417" t="str">
        <f t="shared" si="0"/>
        <v/>
      </c>
      <c r="J9" s="368"/>
      <c r="K9" s="418"/>
      <c r="L9" s="368"/>
      <c r="M9" s="368"/>
      <c r="N9" s="415"/>
      <c r="O9" s="445"/>
      <c r="P9" s="548" t="str">
        <f t="shared" si="14"/>
        <v/>
      </c>
      <c r="Q9" s="549" t="str">
        <f t="shared" si="15"/>
        <v/>
      </c>
      <c r="R9" s="550" t="str">
        <f>IF(B9="","",VLOOKUP(B9,非_単位!$N$38:$O$53,2,FALSE))</f>
        <v/>
      </c>
      <c r="S9" s="551" t="str">
        <f t="shared" si="16"/>
        <v/>
      </c>
      <c r="T9" s="539" t="str">
        <f t="shared" si="17"/>
        <v/>
      </c>
      <c r="V9" s="422" t="str">
        <f t="shared" si="1"/>
        <v/>
      </c>
      <c r="W9" s="422" t="str">
        <f t="shared" ref="W9:W29" si="29">IF(V9="電気","再エネ_事業所内_電気_種類",IF(V9="熱","再エネ_事業所内_熱_種類",""))</f>
        <v/>
      </c>
      <c r="X9" s="422" t="str">
        <f t="shared" si="2"/>
        <v/>
      </c>
      <c r="Y9" s="422" t="str">
        <f t="shared" si="3"/>
        <v/>
      </c>
      <c r="Z9" s="422" t="str">
        <f t="shared" si="18"/>
        <v/>
      </c>
      <c r="AA9" s="422" t="str">
        <f t="shared" si="4"/>
        <v/>
      </c>
      <c r="AB9" s="422" t="str">
        <f t="shared" si="5"/>
        <v/>
      </c>
      <c r="AC9" s="422" t="str">
        <f t="shared" si="19"/>
        <v/>
      </c>
      <c r="AD9" s="422" t="str">
        <f t="shared" si="6"/>
        <v/>
      </c>
      <c r="AE9" s="422" t="str">
        <f>IF(B9="","",IF(AD9="対象","熱量計読取",VLOOKUP(B9,非_係数!$B$42:$D$55,2,FALSE)))</f>
        <v/>
      </c>
      <c r="AF9" s="422" t="str">
        <f>IF(V9="電気",非_電気事業者!$S$4*1000,IF(V9="熱",非_熱供給事業者!$T$4,""))</f>
        <v/>
      </c>
      <c r="AG9" s="422" t="str">
        <f>IF(M9="","",VLOOKUP(M9,非_単位補正換算!$B$3:$C$16,2,FALSE))</f>
        <v/>
      </c>
      <c r="AH9" s="422" t="str">
        <f t="shared" si="7"/>
        <v/>
      </c>
      <c r="AI9" s="422" t="str">
        <f t="shared" si="8"/>
        <v/>
      </c>
      <c r="AJ9" s="422">
        <v>1</v>
      </c>
      <c r="AK9" s="422" t="str">
        <f t="shared" si="20"/>
        <v/>
      </c>
      <c r="AL9" s="482" t="b">
        <f t="shared" si="21"/>
        <v>1</v>
      </c>
      <c r="AM9" s="422" t="str">
        <f t="shared" si="22"/>
        <v/>
      </c>
      <c r="AN9" s="422" t="str">
        <f t="shared" si="23"/>
        <v/>
      </c>
      <c r="AO9" s="422" t="str">
        <f t="shared" si="9"/>
        <v/>
      </c>
      <c r="AP9" s="422" t="str">
        <f t="shared" si="10"/>
        <v/>
      </c>
      <c r="AQ9" s="422" t="str">
        <f t="shared" si="11"/>
        <v/>
      </c>
      <c r="AR9" s="422" t="str">
        <f>IF(AQ9&lt;&gt;"義務","",SUMIFS(非_まとめ表行番号!$N$3:$N$20,非_まとめ表行番号!$J$3:$J$20,AM9,非_まとめ表行番号!$K$3:$K$20,AN9,非_まとめ表行番号!$L$3:$L$20,AO9,非_まとめ表行番号!$M$3:$M$20,AP9))</f>
        <v/>
      </c>
      <c r="AS9" s="422" t="str">
        <f>IF(AQ9&lt;&gt;"義務","",SUMIFS(非_まとめ表行番号!$O$3:$O$20,非_まとめ表行番号!$J$3:$J$20,AM9,非_まとめ表行番号!$K$3:$K$20,AN9,非_まとめ表行番号!$L$3:$L$20,AO9,非_まとめ表行番号!$M$3:$M$20,AP9))</f>
        <v/>
      </c>
      <c r="AT9" s="422" t="str">
        <f t="shared" si="12"/>
        <v/>
      </c>
      <c r="AV9" s="479" t="str">
        <f>IF(AR9="","",VLOOKUP(AR9,非_まとめ表行番号!$U$3:$V$56,2,FALSE))</f>
        <v/>
      </c>
      <c r="AW9" s="479" t="str">
        <f>IF(C9="","",VLOOKUP(C9,非_燃料種類_選択リスト!$X$2:$Y$14,2,FALSE))</f>
        <v/>
      </c>
      <c r="AX9" s="479" t="str">
        <f>IF(D9="","",VLOOKUP(D9,非_燃料種類_選択リスト!$X$18:$Y$24,2,FALSE))</f>
        <v/>
      </c>
      <c r="AY9" s="485" t="str">
        <f t="shared" si="24"/>
        <v/>
      </c>
      <c r="AZ9" s="479" t="str">
        <f t="shared" si="25"/>
        <v/>
      </c>
      <c r="BA9" s="479" t="str">
        <f t="shared" si="25"/>
        <v/>
      </c>
      <c r="BB9" s="479" t="str">
        <f t="shared" si="26"/>
        <v/>
      </c>
      <c r="BC9" s="479" t="str">
        <f t="shared" si="27"/>
        <v/>
      </c>
      <c r="BE9" s="584" t="str">
        <f>IF(AND(A9="",B9=""),"",IF(AN9="有",0,VLOOKUP(B9,非_係数!$B$42:$J$55,9,FALSE)))</f>
        <v/>
      </c>
      <c r="BF9" s="584" t="str">
        <f t="shared" si="28"/>
        <v/>
      </c>
    </row>
    <row r="10" spans="1:58" ht="18.75" customHeight="1">
      <c r="A10" s="460"/>
      <c r="B10" s="368"/>
      <c r="C10" s="368"/>
      <c r="D10" s="369"/>
      <c r="E10" s="369"/>
      <c r="F10" s="368"/>
      <c r="G10" s="547" t="str">
        <f t="shared" si="13"/>
        <v/>
      </c>
      <c r="H10" s="368"/>
      <c r="I10" s="417" t="str">
        <f t="shared" si="0"/>
        <v/>
      </c>
      <c r="J10" s="368"/>
      <c r="K10" s="418"/>
      <c r="L10" s="368"/>
      <c r="M10" s="368"/>
      <c r="N10" s="415"/>
      <c r="O10" s="445"/>
      <c r="P10" s="548" t="str">
        <f t="shared" si="14"/>
        <v/>
      </c>
      <c r="Q10" s="549" t="str">
        <f t="shared" ref="Q10:Q11" si="30">AH10</f>
        <v/>
      </c>
      <c r="R10" s="550" t="str">
        <f>IF(B10="","",VLOOKUP(B10,非_単位!$N$38:$O$53,2,FALSE))</f>
        <v/>
      </c>
      <c r="S10" s="551" t="str">
        <f t="shared" ref="S10:S11" si="31">AI10</f>
        <v/>
      </c>
      <c r="T10" s="539" t="str">
        <f t="shared" ref="T10:T11" si="32">AK10</f>
        <v/>
      </c>
      <c r="V10" s="422" t="str">
        <f t="shared" si="1"/>
        <v/>
      </c>
      <c r="W10" s="422" t="str">
        <f t="shared" si="29"/>
        <v/>
      </c>
      <c r="X10" s="422" t="str">
        <f t="shared" si="2"/>
        <v/>
      </c>
      <c r="Y10" s="422" t="str">
        <f t="shared" si="3"/>
        <v/>
      </c>
      <c r="Z10" s="422" t="str">
        <f t="shared" si="18"/>
        <v/>
      </c>
      <c r="AA10" s="422" t="str">
        <f t="shared" si="4"/>
        <v/>
      </c>
      <c r="AB10" s="422" t="str">
        <f t="shared" si="5"/>
        <v/>
      </c>
      <c r="AC10" s="422" t="str">
        <f t="shared" si="19"/>
        <v/>
      </c>
      <c r="AD10" s="422" t="str">
        <f t="shared" si="6"/>
        <v/>
      </c>
      <c r="AE10" s="422" t="str">
        <f>IF(B10="","",IF(AD10="対象","熱量計読取",VLOOKUP(B10,非_係数!$B$42:$D$55,2,FALSE)))</f>
        <v/>
      </c>
      <c r="AF10" s="422" t="str">
        <f>IF(V10="電気",非_電気事業者!$S$4*1000,IF(V10="熱",非_熱供給事業者!$T$4,""))</f>
        <v/>
      </c>
      <c r="AG10" s="422" t="str">
        <f>IF(M10="","",VLOOKUP(M10,非_単位補正換算!$B$3:$C$16,2,FALSE))</f>
        <v/>
      </c>
      <c r="AH10" s="422" t="str">
        <f t="shared" si="7"/>
        <v/>
      </c>
      <c r="AI10" s="422" t="str">
        <f t="shared" si="8"/>
        <v/>
      </c>
      <c r="AJ10" s="422">
        <v>1</v>
      </c>
      <c r="AK10" s="422" t="str">
        <f t="shared" si="20"/>
        <v/>
      </c>
      <c r="AL10" s="482" t="b">
        <f t="shared" si="21"/>
        <v>1</v>
      </c>
      <c r="AM10" s="422" t="str">
        <f t="shared" si="22"/>
        <v/>
      </c>
      <c r="AN10" s="422" t="str">
        <f t="shared" si="23"/>
        <v/>
      </c>
      <c r="AO10" s="422" t="str">
        <f t="shared" si="9"/>
        <v/>
      </c>
      <c r="AP10" s="422" t="str">
        <f t="shared" si="10"/>
        <v/>
      </c>
      <c r="AQ10" s="422" t="str">
        <f t="shared" si="11"/>
        <v/>
      </c>
      <c r="AR10" s="422" t="str">
        <f>IF(AQ10&lt;&gt;"義務","",SUMIFS(非_まとめ表行番号!$N$3:$N$20,非_まとめ表行番号!$J$3:$J$20,AM10,非_まとめ表行番号!$K$3:$K$20,AN10,非_まとめ表行番号!$L$3:$L$20,AO10,非_まとめ表行番号!$M$3:$M$20,AP10))</f>
        <v/>
      </c>
      <c r="AS10" s="422" t="str">
        <f>IF(AQ10&lt;&gt;"義務","",SUMIFS(非_まとめ表行番号!$O$3:$O$20,非_まとめ表行番号!$J$3:$J$20,AM10,非_まとめ表行番号!$K$3:$K$20,AN10,非_まとめ表行番号!$L$3:$L$20,AO10,非_まとめ表行番号!$M$3:$M$20,AP10))</f>
        <v/>
      </c>
      <c r="AT10" s="422" t="str">
        <f t="shared" si="12"/>
        <v/>
      </c>
      <c r="AV10" s="479" t="str">
        <f>IF(AR10="","",VLOOKUP(AR10,非_まとめ表行番号!$U$3:$V$56,2,FALSE))</f>
        <v/>
      </c>
      <c r="AW10" s="479" t="str">
        <f>IF(C10="","",VLOOKUP(C10,非_燃料種類_選択リスト!$X$2:$Y$14,2,FALSE))</f>
        <v/>
      </c>
      <c r="AX10" s="479" t="str">
        <f>IF(D10="","",VLOOKUP(D10,非_燃料種類_選択リスト!$X$18:$Y$24,2,FALSE))</f>
        <v/>
      </c>
      <c r="AY10" s="485" t="str">
        <f t="shared" si="24"/>
        <v/>
      </c>
      <c r="AZ10" s="479" t="str">
        <f t="shared" si="25"/>
        <v/>
      </c>
      <c r="BA10" s="479" t="str">
        <f t="shared" si="25"/>
        <v/>
      </c>
      <c r="BB10" s="479" t="str">
        <f t="shared" si="26"/>
        <v/>
      </c>
      <c r="BC10" s="479" t="str">
        <f t="shared" si="27"/>
        <v/>
      </c>
      <c r="BE10" s="584" t="str">
        <f>IF(AND(A10="",B10=""),"",IF(AN10="有",0,VLOOKUP(B10,非_係数!$B$42:$J$55,9,FALSE)))</f>
        <v/>
      </c>
      <c r="BF10" s="584" t="str">
        <f t="shared" si="28"/>
        <v/>
      </c>
    </row>
    <row r="11" spans="1:58" ht="18.75" customHeight="1">
      <c r="A11" s="460"/>
      <c r="B11" s="368"/>
      <c r="C11" s="368"/>
      <c r="D11" s="369"/>
      <c r="E11" s="369"/>
      <c r="F11" s="368"/>
      <c r="G11" s="547" t="str">
        <f t="shared" si="13"/>
        <v/>
      </c>
      <c r="H11" s="368"/>
      <c r="I11" s="417" t="str">
        <f t="shared" si="0"/>
        <v/>
      </c>
      <c r="J11" s="368"/>
      <c r="K11" s="418"/>
      <c r="L11" s="368"/>
      <c r="M11" s="368"/>
      <c r="N11" s="415"/>
      <c r="O11" s="445"/>
      <c r="P11" s="548" t="str">
        <f t="shared" si="14"/>
        <v/>
      </c>
      <c r="Q11" s="549" t="str">
        <f t="shared" si="30"/>
        <v/>
      </c>
      <c r="R11" s="550" t="str">
        <f>IF(B11="","",VLOOKUP(B11,非_単位!$N$38:$O$53,2,FALSE))</f>
        <v/>
      </c>
      <c r="S11" s="551" t="str">
        <f t="shared" si="31"/>
        <v/>
      </c>
      <c r="T11" s="539" t="str">
        <f t="shared" si="32"/>
        <v/>
      </c>
      <c r="V11" s="422" t="str">
        <f t="shared" si="1"/>
        <v/>
      </c>
      <c r="W11" s="422" t="str">
        <f t="shared" si="29"/>
        <v/>
      </c>
      <c r="X11" s="422" t="str">
        <f t="shared" si="2"/>
        <v/>
      </c>
      <c r="Y11" s="422" t="str">
        <f t="shared" si="3"/>
        <v/>
      </c>
      <c r="Z11" s="422" t="str">
        <f t="shared" si="18"/>
        <v/>
      </c>
      <c r="AA11" s="422" t="str">
        <f t="shared" si="4"/>
        <v/>
      </c>
      <c r="AB11" s="422" t="str">
        <f t="shared" si="5"/>
        <v/>
      </c>
      <c r="AC11" s="422" t="str">
        <f t="shared" si="19"/>
        <v/>
      </c>
      <c r="AD11" s="422" t="str">
        <f t="shared" si="6"/>
        <v/>
      </c>
      <c r="AE11" s="422" t="str">
        <f>IF(B11="","",IF(AD11="対象","熱量計読取",VLOOKUP(B11,非_係数!$B$42:$D$55,2,FALSE)))</f>
        <v/>
      </c>
      <c r="AF11" s="422" t="str">
        <f>IF(V11="電気",非_電気事業者!$S$4*1000,IF(V11="熱",非_熱供給事業者!$T$4,""))</f>
        <v/>
      </c>
      <c r="AG11" s="422" t="str">
        <f>IF(M11="","",VLOOKUP(M11,非_単位補正換算!$B$3:$C$16,2,FALSE))</f>
        <v/>
      </c>
      <c r="AH11" s="422" t="str">
        <f t="shared" si="7"/>
        <v/>
      </c>
      <c r="AI11" s="422" t="str">
        <f t="shared" si="8"/>
        <v/>
      </c>
      <c r="AJ11" s="422">
        <v>1</v>
      </c>
      <c r="AK11" s="422" t="str">
        <f t="shared" si="20"/>
        <v/>
      </c>
      <c r="AL11" s="482" t="b">
        <f t="shared" si="21"/>
        <v>1</v>
      </c>
      <c r="AM11" s="422" t="str">
        <f t="shared" si="22"/>
        <v/>
      </c>
      <c r="AN11" s="422" t="str">
        <f t="shared" si="23"/>
        <v/>
      </c>
      <c r="AO11" s="422" t="str">
        <f t="shared" si="9"/>
        <v/>
      </c>
      <c r="AP11" s="422" t="str">
        <f t="shared" si="10"/>
        <v/>
      </c>
      <c r="AQ11" s="422" t="str">
        <f t="shared" si="11"/>
        <v/>
      </c>
      <c r="AR11" s="422" t="str">
        <f>IF(AQ11&lt;&gt;"義務","",SUMIFS(非_まとめ表行番号!$N$3:$N$20,非_まとめ表行番号!$J$3:$J$20,AM11,非_まとめ表行番号!$K$3:$K$20,AN11,非_まとめ表行番号!$L$3:$L$20,AO11,非_まとめ表行番号!$M$3:$M$20,AP11))</f>
        <v/>
      </c>
      <c r="AS11" s="422" t="str">
        <f>IF(AQ11&lt;&gt;"義務","",SUMIFS(非_まとめ表行番号!$O$3:$O$20,非_まとめ表行番号!$J$3:$J$20,AM11,非_まとめ表行番号!$K$3:$K$20,AN11,非_まとめ表行番号!$L$3:$L$20,AO11,非_まとめ表行番号!$M$3:$M$20,AP11))</f>
        <v/>
      </c>
      <c r="AT11" s="422" t="str">
        <f t="shared" si="12"/>
        <v/>
      </c>
      <c r="AV11" s="479" t="str">
        <f>IF(AR11="","",VLOOKUP(AR11,非_まとめ表行番号!$U$3:$V$56,2,FALSE))</f>
        <v/>
      </c>
      <c r="AW11" s="479" t="str">
        <f>IF(C11="","",VLOOKUP(C11,非_燃料種類_選択リスト!$X$2:$Y$14,2,FALSE))</f>
        <v/>
      </c>
      <c r="AX11" s="479" t="str">
        <f>IF(D11="","",VLOOKUP(D11,非_燃料種類_選択リスト!$X$18:$Y$24,2,FALSE))</f>
        <v/>
      </c>
      <c r="AY11" s="485" t="str">
        <f t="shared" si="24"/>
        <v/>
      </c>
      <c r="AZ11" s="479" t="str">
        <f t="shared" si="25"/>
        <v/>
      </c>
      <c r="BA11" s="479" t="str">
        <f t="shared" si="25"/>
        <v/>
      </c>
      <c r="BB11" s="479" t="str">
        <f t="shared" si="26"/>
        <v/>
      </c>
      <c r="BC11" s="479" t="str">
        <f t="shared" si="27"/>
        <v/>
      </c>
      <c r="BE11" s="584" t="str">
        <f>IF(AND(A11="",B11=""),"",IF(AN11="有",0,VLOOKUP(B11,非_係数!$B$42:$J$55,9,FALSE)))</f>
        <v/>
      </c>
      <c r="BF11" s="584" t="str">
        <f t="shared" si="28"/>
        <v/>
      </c>
    </row>
    <row r="12" spans="1:58" ht="18.75" customHeight="1">
      <c r="A12" s="460"/>
      <c r="B12" s="368"/>
      <c r="C12" s="368"/>
      <c r="D12" s="369"/>
      <c r="E12" s="369"/>
      <c r="F12" s="368"/>
      <c r="G12" s="547" t="str">
        <f t="shared" si="13"/>
        <v/>
      </c>
      <c r="H12" s="368"/>
      <c r="I12" s="417" t="str">
        <f t="shared" si="0"/>
        <v/>
      </c>
      <c r="J12" s="368"/>
      <c r="K12" s="418"/>
      <c r="L12" s="368"/>
      <c r="M12" s="368"/>
      <c r="N12" s="415"/>
      <c r="O12" s="445"/>
      <c r="P12" s="548" t="str">
        <f t="shared" si="14"/>
        <v/>
      </c>
      <c r="Q12" s="549" t="str">
        <f t="shared" ref="Q12:Q29" si="33">AH12</f>
        <v/>
      </c>
      <c r="R12" s="550" t="str">
        <f>IF(B12="","",VLOOKUP(B12,非_単位!$N$38:$O$53,2,FALSE))</f>
        <v/>
      </c>
      <c r="S12" s="551" t="str">
        <f t="shared" ref="S12:S29" si="34">AI12</f>
        <v/>
      </c>
      <c r="T12" s="539" t="str">
        <f t="shared" ref="T12:T29" si="35">AK12</f>
        <v/>
      </c>
      <c r="V12" s="422" t="str">
        <f t="shared" si="1"/>
        <v/>
      </c>
      <c r="W12" s="422" t="str">
        <f t="shared" si="29"/>
        <v/>
      </c>
      <c r="X12" s="422" t="str">
        <f t="shared" si="2"/>
        <v/>
      </c>
      <c r="Y12" s="422" t="str">
        <f t="shared" si="3"/>
        <v/>
      </c>
      <c r="Z12" s="422" t="str">
        <f t="shared" si="18"/>
        <v/>
      </c>
      <c r="AA12" s="422" t="str">
        <f t="shared" si="4"/>
        <v/>
      </c>
      <c r="AB12" s="422" t="str">
        <f t="shared" si="5"/>
        <v/>
      </c>
      <c r="AC12" s="422" t="str">
        <f t="shared" si="19"/>
        <v/>
      </c>
      <c r="AD12" s="422" t="str">
        <f t="shared" si="6"/>
        <v/>
      </c>
      <c r="AE12" s="422" t="str">
        <f>IF(B12="","",IF(AD12="対象","熱量計読取",VLOOKUP(B12,非_係数!$B$42:$D$55,2,FALSE)))</f>
        <v/>
      </c>
      <c r="AF12" s="422" t="str">
        <f>IF(V12="電気",非_電気事業者!$S$4*1000,IF(V12="熱",非_熱供給事業者!$T$4,""))</f>
        <v/>
      </c>
      <c r="AG12" s="422" t="str">
        <f>IF(M12="","",VLOOKUP(M12,非_単位補正換算!$B$3:$C$16,2,FALSE))</f>
        <v/>
      </c>
      <c r="AH12" s="422" t="str">
        <f t="shared" si="7"/>
        <v/>
      </c>
      <c r="AI12" s="422" t="str">
        <f t="shared" si="8"/>
        <v/>
      </c>
      <c r="AJ12" s="422">
        <v>1</v>
      </c>
      <c r="AK12" s="422" t="str">
        <f t="shared" si="20"/>
        <v/>
      </c>
      <c r="AL12" s="482" t="b">
        <f t="shared" si="21"/>
        <v>1</v>
      </c>
      <c r="AM12" s="422" t="str">
        <f t="shared" si="22"/>
        <v/>
      </c>
      <c r="AN12" s="422" t="str">
        <f t="shared" si="23"/>
        <v/>
      </c>
      <c r="AO12" s="422" t="str">
        <f t="shared" si="9"/>
        <v/>
      </c>
      <c r="AP12" s="422" t="str">
        <f t="shared" si="10"/>
        <v/>
      </c>
      <c r="AQ12" s="422" t="str">
        <f t="shared" si="11"/>
        <v/>
      </c>
      <c r="AR12" s="422" t="str">
        <f>IF(AQ12&lt;&gt;"義務","",SUMIFS(非_まとめ表行番号!$N$3:$N$20,非_まとめ表行番号!$J$3:$J$20,AM12,非_まとめ表行番号!$K$3:$K$20,AN12,非_まとめ表行番号!$L$3:$L$20,AO12,非_まとめ表行番号!$M$3:$M$20,AP12))</f>
        <v/>
      </c>
      <c r="AS12" s="422" t="str">
        <f>IF(AQ12&lt;&gt;"義務","",SUMIFS(非_まとめ表行番号!$O$3:$O$20,非_まとめ表行番号!$J$3:$J$20,AM12,非_まとめ表行番号!$K$3:$K$20,AN12,非_まとめ表行番号!$L$3:$L$20,AO12,非_まとめ表行番号!$M$3:$M$20,AP12))</f>
        <v/>
      </c>
      <c r="AT12" s="422" t="str">
        <f t="shared" si="12"/>
        <v/>
      </c>
      <c r="AV12" s="479" t="str">
        <f>IF(AR12="","",VLOOKUP(AR12,非_まとめ表行番号!$U$3:$V$56,2,FALSE))</f>
        <v/>
      </c>
      <c r="AW12" s="479" t="str">
        <f>IF(C12="","",VLOOKUP(C12,非_燃料種類_選択リスト!$X$2:$Y$14,2,FALSE))</f>
        <v/>
      </c>
      <c r="AX12" s="479" t="str">
        <f>IF(D12="","",VLOOKUP(D12,非_燃料種類_選択リスト!$X$18:$Y$24,2,FALSE))</f>
        <v/>
      </c>
      <c r="AY12" s="485" t="str">
        <f t="shared" si="24"/>
        <v/>
      </c>
      <c r="AZ12" s="479" t="str">
        <f t="shared" si="25"/>
        <v/>
      </c>
      <c r="BA12" s="479" t="str">
        <f t="shared" si="25"/>
        <v/>
      </c>
      <c r="BB12" s="479" t="str">
        <f t="shared" si="26"/>
        <v/>
      </c>
      <c r="BC12" s="479" t="str">
        <f t="shared" si="27"/>
        <v/>
      </c>
      <c r="BE12" s="584" t="str">
        <f>IF(AND(A12="",B12=""),"",IF(AN12="有",0,VLOOKUP(B12,非_係数!$B$42:$J$55,9,FALSE)))</f>
        <v/>
      </c>
      <c r="BF12" s="584" t="str">
        <f t="shared" si="28"/>
        <v/>
      </c>
    </row>
    <row r="13" spans="1:58" ht="18.75" customHeight="1">
      <c r="A13" s="460"/>
      <c r="B13" s="368"/>
      <c r="C13" s="368"/>
      <c r="D13" s="369"/>
      <c r="E13" s="369"/>
      <c r="F13" s="368"/>
      <c r="G13" s="547" t="str">
        <f t="shared" si="13"/>
        <v/>
      </c>
      <c r="H13" s="368"/>
      <c r="I13" s="417" t="str">
        <f t="shared" si="0"/>
        <v/>
      </c>
      <c r="J13" s="368"/>
      <c r="K13" s="418"/>
      <c r="L13" s="368"/>
      <c r="M13" s="368"/>
      <c r="N13" s="415"/>
      <c r="O13" s="445"/>
      <c r="P13" s="548" t="str">
        <f t="shared" si="14"/>
        <v/>
      </c>
      <c r="Q13" s="549" t="str">
        <f t="shared" si="33"/>
        <v/>
      </c>
      <c r="R13" s="550" t="str">
        <f>IF(B13="","",VLOOKUP(B13,非_単位!$N$38:$O$53,2,FALSE))</f>
        <v/>
      </c>
      <c r="S13" s="551" t="str">
        <f t="shared" si="34"/>
        <v/>
      </c>
      <c r="T13" s="539" t="str">
        <f t="shared" si="35"/>
        <v/>
      </c>
      <c r="V13" s="422" t="str">
        <f t="shared" si="1"/>
        <v/>
      </c>
      <c r="W13" s="422" t="str">
        <f t="shared" si="29"/>
        <v/>
      </c>
      <c r="X13" s="422" t="str">
        <f t="shared" si="2"/>
        <v/>
      </c>
      <c r="Y13" s="422" t="str">
        <f t="shared" si="3"/>
        <v/>
      </c>
      <c r="Z13" s="422" t="str">
        <f t="shared" si="18"/>
        <v/>
      </c>
      <c r="AA13" s="422" t="str">
        <f t="shared" si="4"/>
        <v/>
      </c>
      <c r="AB13" s="422" t="str">
        <f t="shared" si="5"/>
        <v/>
      </c>
      <c r="AC13" s="422" t="str">
        <f t="shared" si="19"/>
        <v/>
      </c>
      <c r="AD13" s="422" t="str">
        <f t="shared" si="6"/>
        <v/>
      </c>
      <c r="AE13" s="422" t="str">
        <f>IF(B13="","",IF(AD13="対象","熱量計読取",VLOOKUP(B13,非_係数!$B$42:$D$55,2,FALSE)))</f>
        <v/>
      </c>
      <c r="AF13" s="422" t="str">
        <f>IF(V13="電気",非_電気事業者!$S$4*1000,IF(V13="熱",非_熱供給事業者!$T$4,""))</f>
        <v/>
      </c>
      <c r="AG13" s="422" t="str">
        <f>IF(M13="","",VLOOKUP(M13,非_単位補正換算!$B$3:$C$16,2,FALSE))</f>
        <v/>
      </c>
      <c r="AH13" s="422" t="str">
        <f t="shared" si="7"/>
        <v/>
      </c>
      <c r="AI13" s="422" t="str">
        <f t="shared" si="8"/>
        <v/>
      </c>
      <c r="AJ13" s="422">
        <v>1</v>
      </c>
      <c r="AK13" s="422" t="str">
        <f t="shared" si="20"/>
        <v/>
      </c>
      <c r="AL13" s="482" t="b">
        <f t="shared" si="21"/>
        <v>1</v>
      </c>
      <c r="AM13" s="422" t="str">
        <f t="shared" si="22"/>
        <v/>
      </c>
      <c r="AN13" s="422" t="str">
        <f t="shared" si="23"/>
        <v/>
      </c>
      <c r="AO13" s="422" t="str">
        <f t="shared" si="9"/>
        <v/>
      </c>
      <c r="AP13" s="422" t="str">
        <f t="shared" si="10"/>
        <v/>
      </c>
      <c r="AQ13" s="422" t="str">
        <f t="shared" si="11"/>
        <v/>
      </c>
      <c r="AR13" s="422" t="str">
        <f>IF(AQ13&lt;&gt;"義務","",SUMIFS(非_まとめ表行番号!$N$3:$N$20,非_まとめ表行番号!$J$3:$J$20,AM13,非_まとめ表行番号!$K$3:$K$20,AN13,非_まとめ表行番号!$L$3:$L$20,AO13,非_まとめ表行番号!$M$3:$M$20,AP13))</f>
        <v/>
      </c>
      <c r="AS13" s="422" t="str">
        <f>IF(AQ13&lt;&gt;"義務","",SUMIFS(非_まとめ表行番号!$O$3:$O$20,非_まとめ表行番号!$J$3:$J$20,AM13,非_まとめ表行番号!$K$3:$K$20,AN13,非_まとめ表行番号!$L$3:$L$20,AO13,非_まとめ表行番号!$M$3:$M$20,AP13))</f>
        <v/>
      </c>
      <c r="AT13" s="422" t="str">
        <f t="shared" si="12"/>
        <v/>
      </c>
      <c r="AV13" s="479" t="str">
        <f>IF(AR13="","",VLOOKUP(AR13,非_まとめ表行番号!$U$3:$V$56,2,FALSE))</f>
        <v/>
      </c>
      <c r="AW13" s="479" t="str">
        <f>IF(C13="","",VLOOKUP(C13,非_燃料種類_選択リスト!$X$2:$Y$14,2,FALSE))</f>
        <v/>
      </c>
      <c r="AX13" s="479" t="str">
        <f>IF(D13="","",VLOOKUP(D13,非_燃料種類_選択リスト!$X$18:$Y$24,2,FALSE))</f>
        <v/>
      </c>
      <c r="AY13" s="485" t="str">
        <f t="shared" si="24"/>
        <v/>
      </c>
      <c r="AZ13" s="479" t="str">
        <f t="shared" si="25"/>
        <v/>
      </c>
      <c r="BA13" s="479" t="str">
        <f t="shared" si="25"/>
        <v/>
      </c>
      <c r="BB13" s="479" t="str">
        <f t="shared" si="26"/>
        <v/>
      </c>
      <c r="BC13" s="479" t="str">
        <f t="shared" si="27"/>
        <v/>
      </c>
      <c r="BE13" s="584" t="str">
        <f>IF(AND(A13="",B13=""),"",IF(AN13="有",0,VLOOKUP(B13,非_係数!$B$42:$J$55,9,FALSE)))</f>
        <v/>
      </c>
      <c r="BF13" s="584" t="str">
        <f t="shared" si="28"/>
        <v/>
      </c>
    </row>
    <row r="14" spans="1:58" ht="18.75" customHeight="1">
      <c r="A14" s="460"/>
      <c r="B14" s="368"/>
      <c r="C14" s="368"/>
      <c r="D14" s="369"/>
      <c r="E14" s="369"/>
      <c r="F14" s="368"/>
      <c r="G14" s="547" t="str">
        <f t="shared" ref="G14:G18" si="36">AE14</f>
        <v/>
      </c>
      <c r="H14" s="368"/>
      <c r="I14" s="417" t="str">
        <f t="shared" si="0"/>
        <v/>
      </c>
      <c r="J14" s="368"/>
      <c r="K14" s="418"/>
      <c r="L14" s="368"/>
      <c r="M14" s="368"/>
      <c r="N14" s="415"/>
      <c r="O14" s="445"/>
      <c r="P14" s="548" t="str">
        <f t="shared" si="14"/>
        <v/>
      </c>
      <c r="Q14" s="549" t="str">
        <f t="shared" ref="Q14:Q18" si="37">AH14</f>
        <v/>
      </c>
      <c r="R14" s="550" t="str">
        <f>IF(B14="","",VLOOKUP(B14,非_単位!$N$38:$O$53,2,FALSE))</f>
        <v/>
      </c>
      <c r="S14" s="551" t="str">
        <f t="shared" ref="S14:S18" si="38">AI14</f>
        <v/>
      </c>
      <c r="T14" s="539" t="str">
        <f t="shared" ref="T14:T18" si="39">AK14</f>
        <v/>
      </c>
      <c r="V14" s="422" t="str">
        <f t="shared" si="1"/>
        <v/>
      </c>
      <c r="W14" s="422" t="str">
        <f t="shared" ref="W14:W18" si="40">IF(V14="電気","再エネ_事業所内_電気_種類",IF(V14="熱","再エネ_事業所内_熱_種類",""))</f>
        <v/>
      </c>
      <c r="X14" s="422" t="str">
        <f t="shared" si="2"/>
        <v/>
      </c>
      <c r="Y14" s="422" t="str">
        <f t="shared" si="3"/>
        <v/>
      </c>
      <c r="Z14" s="422" t="str">
        <f t="shared" si="18"/>
        <v/>
      </c>
      <c r="AA14" s="422" t="str">
        <f t="shared" si="4"/>
        <v/>
      </c>
      <c r="AB14" s="422" t="str">
        <f t="shared" si="5"/>
        <v/>
      </c>
      <c r="AC14" s="422" t="str">
        <f t="shared" ref="AC14:AC18" si="41">IF(V14="","","自家消費")</f>
        <v/>
      </c>
      <c r="AD14" s="422" t="str">
        <f t="shared" si="6"/>
        <v/>
      </c>
      <c r="AE14" s="422" t="str">
        <f>IF(B14="","",IF(AD14="対象","熱量計読取",VLOOKUP(B14,非_係数!$B$42:$D$55,2,FALSE)))</f>
        <v/>
      </c>
      <c r="AF14" s="422" t="str">
        <f>IF(V14="電気",非_電気事業者!$S$4*1000,IF(V14="熱",非_熱供給事業者!$T$4,""))</f>
        <v/>
      </c>
      <c r="AG14" s="422" t="str">
        <f>IF(M14="","",VLOOKUP(M14,非_単位補正換算!$B$3:$C$16,2,FALSE))</f>
        <v/>
      </c>
      <c r="AH14" s="422" t="str">
        <f t="shared" si="7"/>
        <v/>
      </c>
      <c r="AI14" s="422" t="str">
        <f t="shared" si="8"/>
        <v/>
      </c>
      <c r="AJ14" s="422">
        <v>1</v>
      </c>
      <c r="AK14" s="422" t="str">
        <f t="shared" si="20"/>
        <v/>
      </c>
      <c r="AL14" s="482" t="b">
        <f t="shared" si="21"/>
        <v>1</v>
      </c>
      <c r="AM14" s="422" t="str">
        <f t="shared" ref="AM14:AM18" si="42">V14</f>
        <v/>
      </c>
      <c r="AN14" s="422" t="str">
        <f t="shared" si="23"/>
        <v/>
      </c>
      <c r="AO14" s="422" t="str">
        <f t="shared" si="9"/>
        <v/>
      </c>
      <c r="AP14" s="422" t="str">
        <f t="shared" si="10"/>
        <v/>
      </c>
      <c r="AQ14" s="422" t="str">
        <f t="shared" si="11"/>
        <v/>
      </c>
      <c r="AR14" s="422" t="str">
        <f>IF(AQ14&lt;&gt;"義務","",SUMIFS(非_まとめ表行番号!$N$3:$N$20,非_まとめ表行番号!$J$3:$J$20,AM14,非_まとめ表行番号!$K$3:$K$20,AN14,非_まとめ表行番号!$L$3:$L$20,AO14,非_まとめ表行番号!$M$3:$M$20,AP14))</f>
        <v/>
      </c>
      <c r="AS14" s="422" t="str">
        <f>IF(AQ14&lt;&gt;"義務","",SUMIFS(非_まとめ表行番号!$O$3:$O$20,非_まとめ表行番号!$J$3:$J$20,AM14,非_まとめ表行番号!$K$3:$K$20,AN14,非_まとめ表行番号!$L$3:$L$20,AO14,非_まとめ表行番号!$M$3:$M$20,AP14))</f>
        <v/>
      </c>
      <c r="AT14" s="422" t="str">
        <f t="shared" si="12"/>
        <v/>
      </c>
      <c r="AV14" s="479" t="str">
        <f>IF(AR14="","",VLOOKUP(AR14,非_まとめ表行番号!$U$3:$V$56,2,FALSE))</f>
        <v/>
      </c>
      <c r="AW14" s="479" t="str">
        <f>IF(C14="","",VLOOKUP(C14,非_燃料種類_選択リスト!$X$2:$Y$14,2,FALSE))</f>
        <v/>
      </c>
      <c r="AX14" s="479" t="str">
        <f>IF(D14="","",VLOOKUP(D14,非_燃料種類_選択リスト!$X$18:$Y$24,2,FALSE))</f>
        <v/>
      </c>
      <c r="AY14" s="485" t="str">
        <f t="shared" si="24"/>
        <v/>
      </c>
      <c r="AZ14" s="479" t="str">
        <f t="shared" si="25"/>
        <v/>
      </c>
      <c r="BA14" s="479" t="str">
        <f t="shared" si="25"/>
        <v/>
      </c>
      <c r="BB14" s="479" t="str">
        <f t="shared" si="26"/>
        <v/>
      </c>
      <c r="BC14" s="479" t="str">
        <f t="shared" si="27"/>
        <v/>
      </c>
      <c r="BE14" s="584" t="str">
        <f>IF(AND(A14="",B14=""),"",IF(AN14="有",0,VLOOKUP(B14,非_係数!$B$42:$J$55,9,FALSE)))</f>
        <v/>
      </c>
      <c r="BF14" s="584" t="str">
        <f t="shared" si="28"/>
        <v/>
      </c>
    </row>
    <row r="15" spans="1:58" ht="18.75" customHeight="1">
      <c r="A15" s="460"/>
      <c r="B15" s="368"/>
      <c r="C15" s="368"/>
      <c r="D15" s="369"/>
      <c r="E15" s="369"/>
      <c r="F15" s="368"/>
      <c r="G15" s="547" t="str">
        <f t="shared" si="36"/>
        <v/>
      </c>
      <c r="H15" s="368"/>
      <c r="I15" s="417" t="str">
        <f t="shared" si="0"/>
        <v/>
      </c>
      <c r="J15" s="368"/>
      <c r="K15" s="418"/>
      <c r="L15" s="368"/>
      <c r="M15" s="368"/>
      <c r="N15" s="415"/>
      <c r="O15" s="445"/>
      <c r="P15" s="548" t="str">
        <f t="shared" si="14"/>
        <v/>
      </c>
      <c r="Q15" s="549" t="str">
        <f t="shared" si="37"/>
        <v/>
      </c>
      <c r="R15" s="550" t="str">
        <f>IF(B15="","",VLOOKUP(B15,非_単位!$N$38:$O$53,2,FALSE))</f>
        <v/>
      </c>
      <c r="S15" s="551" t="str">
        <f t="shared" si="38"/>
        <v/>
      </c>
      <c r="T15" s="539" t="str">
        <f t="shared" si="39"/>
        <v/>
      </c>
      <c r="V15" s="422" t="str">
        <f t="shared" si="1"/>
        <v/>
      </c>
      <c r="W15" s="422" t="str">
        <f t="shared" si="40"/>
        <v/>
      </c>
      <c r="X15" s="422" t="str">
        <f t="shared" si="2"/>
        <v/>
      </c>
      <c r="Y15" s="422" t="str">
        <f t="shared" si="3"/>
        <v/>
      </c>
      <c r="Z15" s="422" t="str">
        <f t="shared" si="18"/>
        <v/>
      </c>
      <c r="AA15" s="422" t="str">
        <f t="shared" si="4"/>
        <v/>
      </c>
      <c r="AB15" s="422" t="str">
        <f t="shared" si="5"/>
        <v/>
      </c>
      <c r="AC15" s="422" t="str">
        <f t="shared" si="41"/>
        <v/>
      </c>
      <c r="AD15" s="422" t="str">
        <f t="shared" si="6"/>
        <v/>
      </c>
      <c r="AE15" s="422" t="str">
        <f>IF(B15="","",IF(AD15="対象","熱量計読取",VLOOKUP(B15,非_係数!$B$42:$D$55,2,FALSE)))</f>
        <v/>
      </c>
      <c r="AF15" s="422" t="str">
        <f>IF(V15="電気",非_電気事業者!$S$4*1000,IF(V15="熱",非_熱供給事業者!$T$4,""))</f>
        <v/>
      </c>
      <c r="AG15" s="422" t="str">
        <f>IF(M15="","",VLOOKUP(M15,非_単位補正換算!$B$3:$C$16,2,FALSE))</f>
        <v/>
      </c>
      <c r="AH15" s="422" t="str">
        <f t="shared" si="7"/>
        <v/>
      </c>
      <c r="AI15" s="422" t="str">
        <f t="shared" si="8"/>
        <v/>
      </c>
      <c r="AJ15" s="422">
        <v>1</v>
      </c>
      <c r="AK15" s="422" t="str">
        <f t="shared" si="20"/>
        <v/>
      </c>
      <c r="AL15" s="482" t="b">
        <f t="shared" si="21"/>
        <v>1</v>
      </c>
      <c r="AM15" s="422" t="str">
        <f t="shared" si="42"/>
        <v/>
      </c>
      <c r="AN15" s="422" t="str">
        <f t="shared" si="23"/>
        <v/>
      </c>
      <c r="AO15" s="422" t="str">
        <f t="shared" si="9"/>
        <v/>
      </c>
      <c r="AP15" s="422" t="str">
        <f t="shared" si="10"/>
        <v/>
      </c>
      <c r="AQ15" s="422" t="str">
        <f t="shared" si="11"/>
        <v/>
      </c>
      <c r="AR15" s="422" t="str">
        <f>IF(AQ15&lt;&gt;"義務","",SUMIFS(非_まとめ表行番号!$N$3:$N$20,非_まとめ表行番号!$J$3:$J$20,AM15,非_まとめ表行番号!$K$3:$K$20,AN15,非_まとめ表行番号!$L$3:$L$20,AO15,非_まとめ表行番号!$M$3:$M$20,AP15))</f>
        <v/>
      </c>
      <c r="AS15" s="422" t="str">
        <f>IF(AQ15&lt;&gt;"義務","",SUMIFS(非_まとめ表行番号!$O$3:$O$20,非_まとめ表行番号!$J$3:$J$20,AM15,非_まとめ表行番号!$K$3:$K$20,AN15,非_まとめ表行番号!$L$3:$L$20,AO15,非_まとめ表行番号!$M$3:$M$20,AP15))</f>
        <v/>
      </c>
      <c r="AT15" s="422" t="str">
        <f t="shared" si="12"/>
        <v/>
      </c>
      <c r="AV15" s="479" t="str">
        <f>IF(AR15="","",VLOOKUP(AR15,非_まとめ表行番号!$U$3:$V$56,2,FALSE))</f>
        <v/>
      </c>
      <c r="AW15" s="479" t="str">
        <f>IF(C15="","",VLOOKUP(C15,非_燃料種類_選択リスト!$X$2:$Y$14,2,FALSE))</f>
        <v/>
      </c>
      <c r="AX15" s="479" t="str">
        <f>IF(D15="","",VLOOKUP(D15,非_燃料種類_選択リスト!$X$18:$Y$24,2,FALSE))</f>
        <v/>
      </c>
      <c r="AY15" s="485" t="str">
        <f t="shared" si="24"/>
        <v/>
      </c>
      <c r="AZ15" s="479" t="str">
        <f t="shared" si="25"/>
        <v/>
      </c>
      <c r="BA15" s="479" t="str">
        <f t="shared" si="25"/>
        <v/>
      </c>
      <c r="BB15" s="479" t="str">
        <f t="shared" si="26"/>
        <v/>
      </c>
      <c r="BC15" s="479" t="str">
        <f t="shared" si="27"/>
        <v/>
      </c>
      <c r="BE15" s="584" t="str">
        <f>IF(AND(A15="",B15=""),"",IF(AN15="有",0,VLOOKUP(B15,非_係数!$B$42:$J$55,9,FALSE)))</f>
        <v/>
      </c>
      <c r="BF15" s="584" t="str">
        <f t="shared" si="28"/>
        <v/>
      </c>
    </row>
    <row r="16" spans="1:58" ht="18.75" customHeight="1">
      <c r="A16" s="460"/>
      <c r="B16" s="368"/>
      <c r="C16" s="368"/>
      <c r="D16" s="369"/>
      <c r="E16" s="369"/>
      <c r="F16" s="368"/>
      <c r="G16" s="547" t="str">
        <f t="shared" si="36"/>
        <v/>
      </c>
      <c r="H16" s="368"/>
      <c r="I16" s="417" t="str">
        <f t="shared" si="0"/>
        <v/>
      </c>
      <c r="J16" s="368"/>
      <c r="K16" s="418"/>
      <c r="L16" s="368"/>
      <c r="M16" s="368"/>
      <c r="N16" s="415"/>
      <c r="O16" s="445"/>
      <c r="P16" s="548" t="str">
        <f t="shared" si="14"/>
        <v/>
      </c>
      <c r="Q16" s="549" t="str">
        <f t="shared" si="37"/>
        <v/>
      </c>
      <c r="R16" s="550" t="str">
        <f>IF(B16="","",VLOOKUP(B16,非_単位!$N$38:$O$53,2,FALSE))</f>
        <v/>
      </c>
      <c r="S16" s="551" t="str">
        <f t="shared" si="38"/>
        <v/>
      </c>
      <c r="T16" s="539" t="str">
        <f t="shared" si="39"/>
        <v/>
      </c>
      <c r="V16" s="422" t="str">
        <f t="shared" si="1"/>
        <v/>
      </c>
      <c r="W16" s="422" t="str">
        <f t="shared" si="40"/>
        <v/>
      </c>
      <c r="X16" s="422" t="str">
        <f t="shared" si="2"/>
        <v/>
      </c>
      <c r="Y16" s="422" t="str">
        <f t="shared" si="3"/>
        <v/>
      </c>
      <c r="Z16" s="422" t="str">
        <f t="shared" si="18"/>
        <v/>
      </c>
      <c r="AA16" s="422" t="str">
        <f t="shared" si="4"/>
        <v/>
      </c>
      <c r="AB16" s="422" t="str">
        <f t="shared" si="5"/>
        <v/>
      </c>
      <c r="AC16" s="422" t="str">
        <f t="shared" si="41"/>
        <v/>
      </c>
      <c r="AD16" s="422" t="str">
        <f t="shared" si="6"/>
        <v/>
      </c>
      <c r="AE16" s="422" t="str">
        <f>IF(B16="","",IF(AD16="対象","熱量計読取",VLOOKUP(B16,非_係数!$B$42:$D$55,2,FALSE)))</f>
        <v/>
      </c>
      <c r="AF16" s="422" t="str">
        <f>IF(V16="電気",非_電気事業者!$S$4*1000,IF(V16="熱",非_熱供給事業者!$T$4,""))</f>
        <v/>
      </c>
      <c r="AG16" s="422" t="str">
        <f>IF(M16="","",VLOOKUP(M16,非_単位補正換算!$B$3:$C$16,2,FALSE))</f>
        <v/>
      </c>
      <c r="AH16" s="422" t="str">
        <f t="shared" si="7"/>
        <v/>
      </c>
      <c r="AI16" s="422" t="str">
        <f t="shared" si="8"/>
        <v/>
      </c>
      <c r="AJ16" s="422">
        <v>1</v>
      </c>
      <c r="AK16" s="422" t="str">
        <f t="shared" si="20"/>
        <v/>
      </c>
      <c r="AL16" s="482" t="b">
        <f t="shared" si="21"/>
        <v>1</v>
      </c>
      <c r="AM16" s="422" t="str">
        <f t="shared" si="42"/>
        <v/>
      </c>
      <c r="AN16" s="422" t="str">
        <f t="shared" si="23"/>
        <v/>
      </c>
      <c r="AO16" s="422" t="str">
        <f t="shared" si="9"/>
        <v/>
      </c>
      <c r="AP16" s="422" t="str">
        <f t="shared" si="10"/>
        <v/>
      </c>
      <c r="AQ16" s="422" t="str">
        <f t="shared" si="11"/>
        <v/>
      </c>
      <c r="AR16" s="422" t="str">
        <f>IF(AQ16&lt;&gt;"義務","",SUMIFS(非_まとめ表行番号!$N$3:$N$20,非_まとめ表行番号!$J$3:$J$20,AM16,非_まとめ表行番号!$K$3:$K$20,AN16,非_まとめ表行番号!$L$3:$L$20,AO16,非_まとめ表行番号!$M$3:$M$20,AP16))</f>
        <v/>
      </c>
      <c r="AS16" s="422" t="str">
        <f>IF(AQ16&lt;&gt;"義務","",SUMIFS(非_まとめ表行番号!$O$3:$O$20,非_まとめ表行番号!$J$3:$J$20,AM16,非_まとめ表行番号!$K$3:$K$20,AN16,非_まとめ表行番号!$L$3:$L$20,AO16,非_まとめ表行番号!$M$3:$M$20,AP16))</f>
        <v/>
      </c>
      <c r="AT16" s="422" t="str">
        <f t="shared" si="12"/>
        <v/>
      </c>
      <c r="AV16" s="479" t="str">
        <f>IF(AR16="","",VLOOKUP(AR16,非_まとめ表行番号!$U$3:$V$56,2,FALSE))</f>
        <v/>
      </c>
      <c r="AW16" s="479" t="str">
        <f>IF(C16="","",VLOOKUP(C16,非_燃料種類_選択リスト!$X$2:$Y$14,2,FALSE))</f>
        <v/>
      </c>
      <c r="AX16" s="479" t="str">
        <f>IF(D16="","",VLOOKUP(D16,非_燃料種類_選択リスト!$X$18:$Y$24,2,FALSE))</f>
        <v/>
      </c>
      <c r="AY16" s="485" t="str">
        <f t="shared" si="24"/>
        <v/>
      </c>
      <c r="AZ16" s="479" t="str">
        <f t="shared" si="25"/>
        <v/>
      </c>
      <c r="BA16" s="479" t="str">
        <f t="shared" si="25"/>
        <v/>
      </c>
      <c r="BB16" s="479" t="str">
        <f t="shared" si="26"/>
        <v/>
      </c>
      <c r="BC16" s="479" t="str">
        <f t="shared" si="27"/>
        <v/>
      </c>
      <c r="BE16" s="584" t="str">
        <f>IF(AND(A16="",B16=""),"",IF(AN16="有",0,VLOOKUP(B16,非_係数!$B$42:$J$55,9,FALSE)))</f>
        <v/>
      </c>
      <c r="BF16" s="584" t="str">
        <f t="shared" si="28"/>
        <v/>
      </c>
    </row>
    <row r="17" spans="1:58" ht="18.75" customHeight="1">
      <c r="A17" s="460"/>
      <c r="B17" s="368"/>
      <c r="C17" s="368"/>
      <c r="D17" s="369"/>
      <c r="E17" s="369"/>
      <c r="F17" s="368"/>
      <c r="G17" s="547" t="str">
        <f t="shared" si="36"/>
        <v/>
      </c>
      <c r="H17" s="368"/>
      <c r="I17" s="417" t="str">
        <f t="shared" si="0"/>
        <v/>
      </c>
      <c r="J17" s="368"/>
      <c r="K17" s="418"/>
      <c r="L17" s="368"/>
      <c r="M17" s="368"/>
      <c r="N17" s="415"/>
      <c r="O17" s="445"/>
      <c r="P17" s="548" t="str">
        <f t="shared" si="14"/>
        <v/>
      </c>
      <c r="Q17" s="549" t="str">
        <f t="shared" si="37"/>
        <v/>
      </c>
      <c r="R17" s="550" t="str">
        <f>IF(B17="","",VLOOKUP(B17,非_単位!$N$38:$O$53,2,FALSE))</f>
        <v/>
      </c>
      <c r="S17" s="551" t="str">
        <f t="shared" si="38"/>
        <v/>
      </c>
      <c r="T17" s="539" t="str">
        <f t="shared" si="39"/>
        <v/>
      </c>
      <c r="V17" s="422" t="str">
        <f t="shared" si="1"/>
        <v/>
      </c>
      <c r="W17" s="422" t="str">
        <f t="shared" si="40"/>
        <v/>
      </c>
      <c r="X17" s="422" t="str">
        <f t="shared" si="2"/>
        <v/>
      </c>
      <c r="Y17" s="422" t="str">
        <f t="shared" si="3"/>
        <v/>
      </c>
      <c r="Z17" s="422" t="str">
        <f t="shared" si="18"/>
        <v/>
      </c>
      <c r="AA17" s="422" t="str">
        <f t="shared" si="4"/>
        <v/>
      </c>
      <c r="AB17" s="422" t="str">
        <f t="shared" si="5"/>
        <v/>
      </c>
      <c r="AC17" s="422" t="str">
        <f t="shared" si="41"/>
        <v/>
      </c>
      <c r="AD17" s="422" t="str">
        <f t="shared" si="6"/>
        <v/>
      </c>
      <c r="AE17" s="422" t="str">
        <f>IF(B17="","",IF(AD17="対象","熱量計読取",VLOOKUP(B17,非_係数!$B$42:$D$55,2,FALSE)))</f>
        <v/>
      </c>
      <c r="AF17" s="422" t="str">
        <f>IF(V17="電気",非_電気事業者!$S$4*1000,IF(V17="熱",非_熱供給事業者!$T$4,""))</f>
        <v/>
      </c>
      <c r="AG17" s="422" t="str">
        <f>IF(M17="","",VLOOKUP(M17,非_単位補正換算!$B$3:$C$16,2,FALSE))</f>
        <v/>
      </c>
      <c r="AH17" s="422" t="str">
        <f t="shared" si="7"/>
        <v/>
      </c>
      <c r="AI17" s="422" t="str">
        <f t="shared" si="8"/>
        <v/>
      </c>
      <c r="AJ17" s="422">
        <v>1</v>
      </c>
      <c r="AK17" s="422" t="str">
        <f t="shared" si="20"/>
        <v/>
      </c>
      <c r="AL17" s="482" t="b">
        <f t="shared" si="21"/>
        <v>1</v>
      </c>
      <c r="AM17" s="422" t="str">
        <f t="shared" si="42"/>
        <v/>
      </c>
      <c r="AN17" s="422" t="str">
        <f t="shared" si="23"/>
        <v/>
      </c>
      <c r="AO17" s="422" t="str">
        <f t="shared" si="9"/>
        <v/>
      </c>
      <c r="AP17" s="422" t="str">
        <f t="shared" si="10"/>
        <v/>
      </c>
      <c r="AQ17" s="422" t="str">
        <f t="shared" si="11"/>
        <v/>
      </c>
      <c r="AR17" s="422" t="str">
        <f>IF(AQ17&lt;&gt;"義務","",SUMIFS(非_まとめ表行番号!$N$3:$N$20,非_まとめ表行番号!$J$3:$J$20,AM17,非_まとめ表行番号!$K$3:$K$20,AN17,非_まとめ表行番号!$L$3:$L$20,AO17,非_まとめ表行番号!$M$3:$M$20,AP17))</f>
        <v/>
      </c>
      <c r="AS17" s="422" t="str">
        <f>IF(AQ17&lt;&gt;"義務","",SUMIFS(非_まとめ表行番号!$O$3:$O$20,非_まとめ表行番号!$J$3:$J$20,AM17,非_まとめ表行番号!$K$3:$K$20,AN17,非_まとめ表行番号!$L$3:$L$20,AO17,非_まとめ表行番号!$M$3:$M$20,AP17))</f>
        <v/>
      </c>
      <c r="AT17" s="422" t="str">
        <f t="shared" si="12"/>
        <v/>
      </c>
      <c r="AV17" s="479" t="str">
        <f>IF(AR17="","",VLOOKUP(AR17,非_まとめ表行番号!$U$3:$V$56,2,FALSE))</f>
        <v/>
      </c>
      <c r="AW17" s="479" t="str">
        <f>IF(C17="","",VLOOKUP(C17,非_燃料種類_選択リスト!$X$2:$Y$14,2,FALSE))</f>
        <v/>
      </c>
      <c r="AX17" s="479" t="str">
        <f>IF(D17="","",VLOOKUP(D17,非_燃料種類_選択リスト!$X$18:$Y$24,2,FALSE))</f>
        <v/>
      </c>
      <c r="AY17" s="485" t="str">
        <f t="shared" si="24"/>
        <v/>
      </c>
      <c r="AZ17" s="479" t="str">
        <f t="shared" si="25"/>
        <v/>
      </c>
      <c r="BA17" s="479" t="str">
        <f t="shared" si="25"/>
        <v/>
      </c>
      <c r="BB17" s="479" t="str">
        <f t="shared" si="26"/>
        <v/>
      </c>
      <c r="BC17" s="479" t="str">
        <f t="shared" si="27"/>
        <v/>
      </c>
      <c r="BE17" s="584" t="str">
        <f>IF(AND(A17="",B17=""),"",IF(AN17="有",0,VLOOKUP(B17,非_係数!$B$42:$J$55,9,FALSE)))</f>
        <v/>
      </c>
      <c r="BF17" s="584" t="str">
        <f t="shared" si="28"/>
        <v/>
      </c>
    </row>
    <row r="18" spans="1:58" ht="18.75" customHeight="1">
      <c r="A18" s="460"/>
      <c r="B18" s="368"/>
      <c r="C18" s="368"/>
      <c r="D18" s="369"/>
      <c r="E18" s="369"/>
      <c r="F18" s="368"/>
      <c r="G18" s="547" t="str">
        <f t="shared" si="36"/>
        <v/>
      </c>
      <c r="H18" s="368"/>
      <c r="I18" s="417" t="str">
        <f t="shared" si="0"/>
        <v/>
      </c>
      <c r="J18" s="368"/>
      <c r="K18" s="418"/>
      <c r="L18" s="368"/>
      <c r="M18" s="368"/>
      <c r="N18" s="415"/>
      <c r="O18" s="445"/>
      <c r="P18" s="548" t="str">
        <f t="shared" si="14"/>
        <v/>
      </c>
      <c r="Q18" s="549" t="str">
        <f t="shared" si="37"/>
        <v/>
      </c>
      <c r="R18" s="550" t="str">
        <f>IF(B18="","",VLOOKUP(B18,非_単位!$N$38:$O$53,2,FALSE))</f>
        <v/>
      </c>
      <c r="S18" s="551" t="str">
        <f t="shared" si="38"/>
        <v/>
      </c>
      <c r="T18" s="539" t="str">
        <f t="shared" si="39"/>
        <v/>
      </c>
      <c r="V18" s="422" t="str">
        <f t="shared" si="1"/>
        <v/>
      </c>
      <c r="W18" s="422" t="str">
        <f t="shared" si="40"/>
        <v/>
      </c>
      <c r="X18" s="422" t="str">
        <f t="shared" si="2"/>
        <v/>
      </c>
      <c r="Y18" s="422" t="str">
        <f t="shared" si="3"/>
        <v/>
      </c>
      <c r="Z18" s="422" t="str">
        <f t="shared" si="18"/>
        <v/>
      </c>
      <c r="AA18" s="422" t="str">
        <f t="shared" si="4"/>
        <v/>
      </c>
      <c r="AB18" s="422" t="str">
        <f t="shared" si="5"/>
        <v/>
      </c>
      <c r="AC18" s="422" t="str">
        <f t="shared" si="41"/>
        <v/>
      </c>
      <c r="AD18" s="422" t="str">
        <f t="shared" si="6"/>
        <v/>
      </c>
      <c r="AE18" s="422" t="str">
        <f>IF(B18="","",IF(AD18="対象","熱量計読取",VLOOKUP(B18,非_係数!$B$42:$D$55,2,FALSE)))</f>
        <v/>
      </c>
      <c r="AF18" s="422" t="str">
        <f>IF(V18="電気",非_電気事業者!$S$4*1000,IF(V18="熱",非_熱供給事業者!$T$4,""))</f>
        <v/>
      </c>
      <c r="AG18" s="422" t="str">
        <f>IF(M18="","",VLOOKUP(M18,非_単位補正換算!$B$3:$C$16,2,FALSE))</f>
        <v/>
      </c>
      <c r="AH18" s="422" t="str">
        <f t="shared" si="7"/>
        <v/>
      </c>
      <c r="AI18" s="422" t="str">
        <f t="shared" si="8"/>
        <v/>
      </c>
      <c r="AJ18" s="422">
        <v>1</v>
      </c>
      <c r="AK18" s="422" t="str">
        <f t="shared" si="20"/>
        <v/>
      </c>
      <c r="AL18" s="482" t="b">
        <f t="shared" si="21"/>
        <v>1</v>
      </c>
      <c r="AM18" s="422" t="str">
        <f t="shared" si="42"/>
        <v/>
      </c>
      <c r="AN18" s="422" t="str">
        <f t="shared" si="23"/>
        <v/>
      </c>
      <c r="AO18" s="422" t="str">
        <f t="shared" si="9"/>
        <v/>
      </c>
      <c r="AP18" s="422" t="str">
        <f t="shared" si="10"/>
        <v/>
      </c>
      <c r="AQ18" s="422" t="str">
        <f t="shared" si="11"/>
        <v/>
      </c>
      <c r="AR18" s="422" t="str">
        <f>IF(AQ18&lt;&gt;"義務","",SUMIFS(非_まとめ表行番号!$N$3:$N$20,非_まとめ表行番号!$J$3:$J$20,AM18,非_まとめ表行番号!$K$3:$K$20,AN18,非_まとめ表行番号!$L$3:$L$20,AO18,非_まとめ表行番号!$M$3:$M$20,AP18))</f>
        <v/>
      </c>
      <c r="AS18" s="422" t="str">
        <f>IF(AQ18&lt;&gt;"義務","",SUMIFS(非_まとめ表行番号!$O$3:$O$20,非_まとめ表行番号!$J$3:$J$20,AM18,非_まとめ表行番号!$K$3:$K$20,AN18,非_まとめ表行番号!$L$3:$L$20,AO18,非_まとめ表行番号!$M$3:$M$20,AP18))</f>
        <v/>
      </c>
      <c r="AT18" s="422" t="str">
        <f t="shared" si="12"/>
        <v/>
      </c>
      <c r="AV18" s="479" t="str">
        <f>IF(AR18="","",VLOOKUP(AR18,非_まとめ表行番号!$U$3:$V$56,2,FALSE))</f>
        <v/>
      </c>
      <c r="AW18" s="479" t="str">
        <f>IF(C18="","",VLOOKUP(C18,非_燃料種類_選択リスト!$X$2:$Y$14,2,FALSE))</f>
        <v/>
      </c>
      <c r="AX18" s="479" t="str">
        <f>IF(D18="","",VLOOKUP(D18,非_燃料種類_選択リスト!$X$18:$Y$24,2,FALSE))</f>
        <v/>
      </c>
      <c r="AY18" s="485" t="str">
        <f t="shared" si="24"/>
        <v/>
      </c>
      <c r="AZ18" s="479" t="str">
        <f t="shared" si="25"/>
        <v/>
      </c>
      <c r="BA18" s="479" t="str">
        <f t="shared" si="25"/>
        <v/>
      </c>
      <c r="BB18" s="479" t="str">
        <f t="shared" si="26"/>
        <v/>
      </c>
      <c r="BC18" s="479" t="str">
        <f t="shared" si="27"/>
        <v/>
      </c>
      <c r="BE18" s="584" t="str">
        <f>IF(AND(A18="",B18=""),"",IF(AN18="有",0,VLOOKUP(B18,非_係数!$B$42:$J$55,9,FALSE)))</f>
        <v/>
      </c>
      <c r="BF18" s="584" t="str">
        <f t="shared" si="28"/>
        <v/>
      </c>
    </row>
    <row r="19" spans="1:58" ht="18.75" customHeight="1">
      <c r="A19" s="460"/>
      <c r="B19" s="368"/>
      <c r="C19" s="368"/>
      <c r="D19" s="369"/>
      <c r="E19" s="369"/>
      <c r="F19" s="368"/>
      <c r="G19" s="547" t="str">
        <f t="shared" si="13"/>
        <v/>
      </c>
      <c r="H19" s="368"/>
      <c r="I19" s="417" t="str">
        <f t="shared" si="0"/>
        <v/>
      </c>
      <c r="J19" s="368"/>
      <c r="K19" s="418"/>
      <c r="L19" s="368"/>
      <c r="M19" s="368"/>
      <c r="N19" s="415"/>
      <c r="O19" s="445"/>
      <c r="P19" s="548" t="str">
        <f t="shared" si="14"/>
        <v/>
      </c>
      <c r="Q19" s="549" t="str">
        <f t="shared" si="33"/>
        <v/>
      </c>
      <c r="R19" s="550" t="str">
        <f>IF(B19="","",VLOOKUP(B19,非_単位!$N$38:$O$53,2,FALSE))</f>
        <v/>
      </c>
      <c r="S19" s="551" t="str">
        <f t="shared" si="34"/>
        <v/>
      </c>
      <c r="T19" s="539" t="str">
        <f t="shared" si="35"/>
        <v/>
      </c>
      <c r="V19" s="422" t="str">
        <f t="shared" si="1"/>
        <v/>
      </c>
      <c r="W19" s="422" t="str">
        <f t="shared" si="29"/>
        <v/>
      </c>
      <c r="X19" s="422" t="str">
        <f t="shared" si="2"/>
        <v/>
      </c>
      <c r="Y19" s="422" t="str">
        <f t="shared" si="3"/>
        <v/>
      </c>
      <c r="Z19" s="422" t="str">
        <f t="shared" si="18"/>
        <v/>
      </c>
      <c r="AA19" s="422" t="str">
        <f t="shared" si="4"/>
        <v/>
      </c>
      <c r="AB19" s="422" t="str">
        <f t="shared" si="5"/>
        <v/>
      </c>
      <c r="AC19" s="422" t="str">
        <f t="shared" si="19"/>
        <v/>
      </c>
      <c r="AD19" s="422" t="str">
        <f t="shared" si="6"/>
        <v/>
      </c>
      <c r="AE19" s="422" t="str">
        <f>IF(B19="","",IF(AD19="対象","熱量計読取",VLOOKUP(B19,非_係数!$B$42:$D$55,2,FALSE)))</f>
        <v/>
      </c>
      <c r="AF19" s="422" t="str">
        <f>IF(V19="電気",非_電気事業者!$S$4*1000,IF(V19="熱",非_熱供給事業者!$T$4,""))</f>
        <v/>
      </c>
      <c r="AG19" s="422" t="str">
        <f>IF(M19="","",VLOOKUP(M19,非_単位補正換算!$B$3:$C$16,2,FALSE))</f>
        <v/>
      </c>
      <c r="AH19" s="422" t="str">
        <f t="shared" si="7"/>
        <v/>
      </c>
      <c r="AI19" s="422" t="str">
        <f t="shared" si="8"/>
        <v/>
      </c>
      <c r="AJ19" s="422">
        <v>1</v>
      </c>
      <c r="AK19" s="422" t="str">
        <f t="shared" si="20"/>
        <v/>
      </c>
      <c r="AL19" s="482" t="b">
        <f t="shared" si="21"/>
        <v>1</v>
      </c>
      <c r="AM19" s="422" t="str">
        <f t="shared" si="22"/>
        <v/>
      </c>
      <c r="AN19" s="422" t="str">
        <f t="shared" si="23"/>
        <v/>
      </c>
      <c r="AO19" s="422" t="str">
        <f t="shared" si="9"/>
        <v/>
      </c>
      <c r="AP19" s="422" t="str">
        <f t="shared" si="10"/>
        <v/>
      </c>
      <c r="AQ19" s="422" t="str">
        <f t="shared" si="11"/>
        <v/>
      </c>
      <c r="AR19" s="422" t="str">
        <f>IF(AQ19&lt;&gt;"義務","",SUMIFS(非_まとめ表行番号!$N$3:$N$20,非_まとめ表行番号!$J$3:$J$20,AM19,非_まとめ表行番号!$K$3:$K$20,AN19,非_まとめ表行番号!$L$3:$L$20,AO19,非_まとめ表行番号!$M$3:$M$20,AP19))</f>
        <v/>
      </c>
      <c r="AS19" s="422" t="str">
        <f>IF(AQ19&lt;&gt;"義務","",SUMIFS(非_まとめ表行番号!$O$3:$O$20,非_まとめ表行番号!$J$3:$J$20,AM19,非_まとめ表行番号!$K$3:$K$20,AN19,非_まとめ表行番号!$L$3:$L$20,AO19,非_まとめ表行番号!$M$3:$M$20,AP19))</f>
        <v/>
      </c>
      <c r="AT19" s="422" t="str">
        <f t="shared" si="12"/>
        <v/>
      </c>
      <c r="AV19" s="479" t="str">
        <f>IF(AR19="","",VLOOKUP(AR19,非_まとめ表行番号!$U$3:$V$56,2,FALSE))</f>
        <v/>
      </c>
      <c r="AW19" s="479" t="str">
        <f>IF(C19="","",VLOOKUP(C19,非_燃料種類_選択リスト!$X$2:$Y$14,2,FALSE))</f>
        <v/>
      </c>
      <c r="AX19" s="479" t="str">
        <f>IF(D19="","",VLOOKUP(D19,非_燃料種類_選択リスト!$X$18:$Y$24,2,FALSE))</f>
        <v/>
      </c>
      <c r="AY19" s="485" t="str">
        <f t="shared" si="24"/>
        <v/>
      </c>
      <c r="AZ19" s="479" t="str">
        <f t="shared" si="25"/>
        <v/>
      </c>
      <c r="BA19" s="479" t="str">
        <f t="shared" si="25"/>
        <v/>
      </c>
      <c r="BB19" s="479" t="str">
        <f t="shared" si="26"/>
        <v/>
      </c>
      <c r="BC19" s="479" t="str">
        <f t="shared" si="27"/>
        <v/>
      </c>
      <c r="BE19" s="584" t="str">
        <f>IF(AND(A19="",B19=""),"",IF(AN19="有",0,VLOOKUP(B19,非_係数!$B$42:$J$55,9,FALSE)))</f>
        <v/>
      </c>
      <c r="BF19" s="584" t="str">
        <f t="shared" si="28"/>
        <v/>
      </c>
    </row>
    <row r="20" spans="1:58" ht="18.75" customHeight="1">
      <c r="A20" s="460"/>
      <c r="B20" s="368"/>
      <c r="C20" s="368"/>
      <c r="D20" s="369"/>
      <c r="E20" s="369"/>
      <c r="F20" s="368"/>
      <c r="G20" s="547" t="str">
        <f t="shared" si="13"/>
        <v/>
      </c>
      <c r="H20" s="368"/>
      <c r="I20" s="417" t="str">
        <f t="shared" si="0"/>
        <v/>
      </c>
      <c r="J20" s="368"/>
      <c r="K20" s="418"/>
      <c r="L20" s="368"/>
      <c r="M20" s="368"/>
      <c r="N20" s="415"/>
      <c r="O20" s="445"/>
      <c r="P20" s="548" t="str">
        <f t="shared" si="14"/>
        <v/>
      </c>
      <c r="Q20" s="549" t="str">
        <f t="shared" si="33"/>
        <v/>
      </c>
      <c r="R20" s="550" t="str">
        <f>IF(B20="","",VLOOKUP(B20,非_単位!$N$38:$O$53,2,FALSE))</f>
        <v/>
      </c>
      <c r="S20" s="551" t="str">
        <f t="shared" si="34"/>
        <v/>
      </c>
      <c r="T20" s="539" t="str">
        <f t="shared" si="35"/>
        <v/>
      </c>
      <c r="V20" s="422" t="str">
        <f t="shared" si="1"/>
        <v/>
      </c>
      <c r="W20" s="422" t="str">
        <f t="shared" si="29"/>
        <v/>
      </c>
      <c r="X20" s="422" t="str">
        <f t="shared" si="2"/>
        <v/>
      </c>
      <c r="Y20" s="422" t="str">
        <f t="shared" si="3"/>
        <v/>
      </c>
      <c r="Z20" s="422" t="str">
        <f t="shared" si="18"/>
        <v/>
      </c>
      <c r="AA20" s="422" t="str">
        <f t="shared" si="4"/>
        <v/>
      </c>
      <c r="AB20" s="422" t="str">
        <f t="shared" si="5"/>
        <v/>
      </c>
      <c r="AC20" s="422" t="str">
        <f t="shared" si="19"/>
        <v/>
      </c>
      <c r="AD20" s="422" t="str">
        <f t="shared" si="6"/>
        <v/>
      </c>
      <c r="AE20" s="422" t="str">
        <f>IF(B20="","",IF(AD20="対象","熱量計読取",VLOOKUP(B20,非_係数!$B$42:$D$55,2,FALSE)))</f>
        <v/>
      </c>
      <c r="AF20" s="422" t="str">
        <f>IF(V20="電気",非_電気事業者!$S$4*1000,IF(V20="熱",非_熱供給事業者!$T$4,""))</f>
        <v/>
      </c>
      <c r="AG20" s="422" t="str">
        <f>IF(M20="","",VLOOKUP(M20,非_単位補正換算!$B$3:$C$16,2,FALSE))</f>
        <v/>
      </c>
      <c r="AH20" s="422" t="str">
        <f t="shared" si="7"/>
        <v/>
      </c>
      <c r="AI20" s="422" t="str">
        <f t="shared" si="8"/>
        <v/>
      </c>
      <c r="AJ20" s="422">
        <v>1</v>
      </c>
      <c r="AK20" s="422" t="str">
        <f t="shared" si="20"/>
        <v/>
      </c>
      <c r="AL20" s="482" t="b">
        <f t="shared" si="21"/>
        <v>1</v>
      </c>
      <c r="AM20" s="422" t="str">
        <f t="shared" si="22"/>
        <v/>
      </c>
      <c r="AN20" s="422" t="str">
        <f t="shared" si="23"/>
        <v/>
      </c>
      <c r="AO20" s="422" t="str">
        <f t="shared" si="9"/>
        <v/>
      </c>
      <c r="AP20" s="422" t="str">
        <f t="shared" si="10"/>
        <v/>
      </c>
      <c r="AQ20" s="422" t="str">
        <f t="shared" si="11"/>
        <v/>
      </c>
      <c r="AR20" s="422" t="str">
        <f>IF(AQ20&lt;&gt;"義務","",SUMIFS(非_まとめ表行番号!$N$3:$N$20,非_まとめ表行番号!$J$3:$J$20,AM20,非_まとめ表行番号!$K$3:$K$20,AN20,非_まとめ表行番号!$L$3:$L$20,AO20,非_まとめ表行番号!$M$3:$M$20,AP20))</f>
        <v/>
      </c>
      <c r="AS20" s="422" t="str">
        <f>IF(AQ20&lt;&gt;"義務","",SUMIFS(非_まとめ表行番号!$O$3:$O$20,非_まとめ表行番号!$J$3:$J$20,AM20,非_まとめ表行番号!$K$3:$K$20,AN20,非_まとめ表行番号!$L$3:$L$20,AO20,非_まとめ表行番号!$M$3:$M$20,AP20))</f>
        <v/>
      </c>
      <c r="AT20" s="422" t="str">
        <f t="shared" si="12"/>
        <v/>
      </c>
      <c r="AV20" s="479" t="str">
        <f>IF(AR20="","",VLOOKUP(AR20,非_まとめ表行番号!$U$3:$V$56,2,FALSE))</f>
        <v/>
      </c>
      <c r="AW20" s="479" t="str">
        <f>IF(C20="","",VLOOKUP(C20,非_燃料種類_選択リスト!$X$2:$Y$14,2,FALSE))</f>
        <v/>
      </c>
      <c r="AX20" s="479" t="str">
        <f>IF(D20="","",VLOOKUP(D20,非_燃料種類_選択リスト!$X$18:$Y$24,2,FALSE))</f>
        <v/>
      </c>
      <c r="AY20" s="485" t="str">
        <f t="shared" si="24"/>
        <v/>
      </c>
      <c r="AZ20" s="479" t="str">
        <f t="shared" si="25"/>
        <v/>
      </c>
      <c r="BA20" s="479" t="str">
        <f t="shared" si="25"/>
        <v/>
      </c>
      <c r="BB20" s="479" t="str">
        <f t="shared" si="26"/>
        <v/>
      </c>
      <c r="BC20" s="479" t="str">
        <f t="shared" si="27"/>
        <v/>
      </c>
      <c r="BE20" s="584" t="str">
        <f>IF(AND(A20="",B20=""),"",IF(AN20="有",0,VLOOKUP(B20,非_係数!$B$42:$J$55,9,FALSE)))</f>
        <v/>
      </c>
      <c r="BF20" s="584" t="str">
        <f t="shared" si="28"/>
        <v/>
      </c>
    </row>
    <row r="21" spans="1:58" ht="18.75" customHeight="1">
      <c r="A21" s="460"/>
      <c r="B21" s="368"/>
      <c r="C21" s="368"/>
      <c r="D21" s="369"/>
      <c r="E21" s="369"/>
      <c r="F21" s="368"/>
      <c r="G21" s="547" t="str">
        <f t="shared" si="13"/>
        <v/>
      </c>
      <c r="H21" s="368"/>
      <c r="I21" s="417" t="str">
        <f t="shared" si="0"/>
        <v/>
      </c>
      <c r="J21" s="368"/>
      <c r="K21" s="418"/>
      <c r="L21" s="368"/>
      <c r="M21" s="368"/>
      <c r="N21" s="415"/>
      <c r="O21" s="445"/>
      <c r="P21" s="548" t="str">
        <f t="shared" si="14"/>
        <v/>
      </c>
      <c r="Q21" s="549" t="str">
        <f t="shared" si="33"/>
        <v/>
      </c>
      <c r="R21" s="550" t="str">
        <f>IF(B21="","",VLOOKUP(B21,非_単位!$N$38:$O$53,2,FALSE))</f>
        <v/>
      </c>
      <c r="S21" s="551" t="str">
        <f t="shared" si="34"/>
        <v/>
      </c>
      <c r="T21" s="539" t="str">
        <f t="shared" si="35"/>
        <v/>
      </c>
      <c r="V21" s="422" t="str">
        <f t="shared" si="1"/>
        <v/>
      </c>
      <c r="W21" s="422" t="str">
        <f t="shared" si="29"/>
        <v/>
      </c>
      <c r="X21" s="422" t="str">
        <f t="shared" si="2"/>
        <v/>
      </c>
      <c r="Y21" s="422" t="str">
        <f t="shared" si="3"/>
        <v/>
      </c>
      <c r="Z21" s="422" t="str">
        <f t="shared" si="18"/>
        <v/>
      </c>
      <c r="AA21" s="422" t="str">
        <f t="shared" si="4"/>
        <v/>
      </c>
      <c r="AB21" s="422" t="str">
        <f t="shared" si="5"/>
        <v/>
      </c>
      <c r="AC21" s="422" t="str">
        <f t="shared" si="19"/>
        <v/>
      </c>
      <c r="AD21" s="422" t="str">
        <f t="shared" si="6"/>
        <v/>
      </c>
      <c r="AE21" s="422" t="str">
        <f>IF(B21="","",IF(AD21="対象","熱量計読取",VLOOKUP(B21,非_係数!$B$42:$D$55,2,FALSE)))</f>
        <v/>
      </c>
      <c r="AF21" s="422" t="str">
        <f>IF(V21="電気",非_電気事業者!$S$4*1000,IF(V21="熱",非_熱供給事業者!$T$4,""))</f>
        <v/>
      </c>
      <c r="AG21" s="422" t="str">
        <f>IF(M21="","",VLOOKUP(M21,非_単位補正換算!$B$3:$C$16,2,FALSE))</f>
        <v/>
      </c>
      <c r="AH21" s="422" t="str">
        <f t="shared" si="7"/>
        <v/>
      </c>
      <c r="AI21" s="422" t="str">
        <f t="shared" si="8"/>
        <v/>
      </c>
      <c r="AJ21" s="422">
        <v>1</v>
      </c>
      <c r="AK21" s="422" t="str">
        <f t="shared" si="20"/>
        <v/>
      </c>
      <c r="AL21" s="482" t="b">
        <f t="shared" si="21"/>
        <v>1</v>
      </c>
      <c r="AM21" s="422" t="str">
        <f t="shared" si="22"/>
        <v/>
      </c>
      <c r="AN21" s="422" t="str">
        <f t="shared" si="23"/>
        <v/>
      </c>
      <c r="AO21" s="422" t="str">
        <f t="shared" si="9"/>
        <v/>
      </c>
      <c r="AP21" s="422" t="str">
        <f t="shared" si="10"/>
        <v/>
      </c>
      <c r="AQ21" s="422" t="str">
        <f t="shared" si="11"/>
        <v/>
      </c>
      <c r="AR21" s="422" t="str">
        <f>IF(AQ21&lt;&gt;"義務","",SUMIFS(非_まとめ表行番号!$N$3:$N$20,非_まとめ表行番号!$J$3:$J$20,AM21,非_まとめ表行番号!$K$3:$K$20,AN21,非_まとめ表行番号!$L$3:$L$20,AO21,非_まとめ表行番号!$M$3:$M$20,AP21))</f>
        <v/>
      </c>
      <c r="AS21" s="422" t="str">
        <f>IF(AQ21&lt;&gt;"義務","",SUMIFS(非_まとめ表行番号!$O$3:$O$20,非_まとめ表行番号!$J$3:$J$20,AM21,非_まとめ表行番号!$K$3:$K$20,AN21,非_まとめ表行番号!$L$3:$L$20,AO21,非_まとめ表行番号!$M$3:$M$20,AP21))</f>
        <v/>
      </c>
      <c r="AT21" s="422" t="str">
        <f t="shared" si="12"/>
        <v/>
      </c>
      <c r="AV21" s="479" t="str">
        <f>IF(AR21="","",VLOOKUP(AR21,非_まとめ表行番号!$U$3:$V$56,2,FALSE))</f>
        <v/>
      </c>
      <c r="AW21" s="479" t="str">
        <f>IF(C21="","",VLOOKUP(C21,非_燃料種類_選択リスト!$X$2:$Y$14,2,FALSE))</f>
        <v/>
      </c>
      <c r="AX21" s="479" t="str">
        <f>IF(D21="","",VLOOKUP(D21,非_燃料種類_選択リスト!$X$18:$Y$24,2,FALSE))</f>
        <v/>
      </c>
      <c r="AY21" s="485" t="str">
        <f t="shared" si="24"/>
        <v/>
      </c>
      <c r="AZ21" s="479" t="str">
        <f t="shared" si="25"/>
        <v/>
      </c>
      <c r="BA21" s="479" t="str">
        <f t="shared" si="25"/>
        <v/>
      </c>
      <c r="BB21" s="479" t="str">
        <f t="shared" si="26"/>
        <v/>
      </c>
      <c r="BC21" s="479" t="str">
        <f t="shared" si="27"/>
        <v/>
      </c>
      <c r="BE21" s="584" t="str">
        <f>IF(AND(A21="",B21=""),"",IF(AN21="有",0,VLOOKUP(B21,非_係数!$B$42:$J$55,9,FALSE)))</f>
        <v/>
      </c>
      <c r="BF21" s="584" t="str">
        <f t="shared" si="28"/>
        <v/>
      </c>
    </row>
    <row r="22" spans="1:58" ht="18.75" customHeight="1">
      <c r="A22" s="460"/>
      <c r="B22" s="368"/>
      <c r="C22" s="368"/>
      <c r="D22" s="369"/>
      <c r="E22" s="369"/>
      <c r="F22" s="368"/>
      <c r="G22" s="547" t="str">
        <f t="shared" ref="G22" si="43">AE22</f>
        <v/>
      </c>
      <c r="H22" s="368"/>
      <c r="I22" s="417" t="str">
        <f t="shared" si="0"/>
        <v/>
      </c>
      <c r="J22" s="368"/>
      <c r="K22" s="418"/>
      <c r="L22" s="368"/>
      <c r="M22" s="368"/>
      <c r="N22" s="415"/>
      <c r="O22" s="445"/>
      <c r="P22" s="548" t="str">
        <f t="shared" si="14"/>
        <v/>
      </c>
      <c r="Q22" s="549" t="str">
        <f t="shared" ref="Q22" si="44">AH22</f>
        <v/>
      </c>
      <c r="R22" s="550" t="str">
        <f>IF(B22="","",VLOOKUP(B22,非_単位!$N$38:$O$53,2,FALSE))</f>
        <v/>
      </c>
      <c r="S22" s="551" t="str">
        <f t="shared" ref="S22" si="45">AI22</f>
        <v/>
      </c>
      <c r="T22" s="539" t="str">
        <f t="shared" ref="T22" si="46">AK22</f>
        <v/>
      </c>
      <c r="V22" s="422" t="str">
        <f t="shared" si="1"/>
        <v/>
      </c>
      <c r="W22" s="422" t="str">
        <f t="shared" ref="W22" si="47">IF(V22="電気","再エネ_事業所内_電気_種類",IF(V22="熱","再エネ_事業所内_熱_種類",""))</f>
        <v/>
      </c>
      <c r="X22" s="422" t="str">
        <f t="shared" si="2"/>
        <v/>
      </c>
      <c r="Y22" s="422" t="str">
        <f t="shared" si="3"/>
        <v/>
      </c>
      <c r="Z22" s="422" t="str">
        <f t="shared" si="18"/>
        <v/>
      </c>
      <c r="AA22" s="422" t="str">
        <f t="shared" si="4"/>
        <v/>
      </c>
      <c r="AB22" s="422" t="str">
        <f t="shared" si="5"/>
        <v/>
      </c>
      <c r="AC22" s="422" t="str">
        <f t="shared" ref="AC22" si="48">IF(V22="","","自家消費")</f>
        <v/>
      </c>
      <c r="AD22" s="422" t="str">
        <f t="shared" si="6"/>
        <v/>
      </c>
      <c r="AE22" s="422" t="str">
        <f>IF(B22="","",IF(AD22="対象","熱量計読取",VLOOKUP(B22,非_係数!$B$42:$D$55,2,FALSE)))</f>
        <v/>
      </c>
      <c r="AF22" s="422" t="str">
        <f>IF(V22="電気",非_電気事業者!$S$4*1000,IF(V22="熱",非_熱供給事業者!$T$4,""))</f>
        <v/>
      </c>
      <c r="AG22" s="422" t="str">
        <f>IF(M22="","",VLOOKUP(M22,非_単位補正換算!$B$3:$C$16,2,FALSE))</f>
        <v/>
      </c>
      <c r="AH22" s="422" t="str">
        <f t="shared" si="7"/>
        <v/>
      </c>
      <c r="AI22" s="422" t="str">
        <f t="shared" si="8"/>
        <v/>
      </c>
      <c r="AJ22" s="422">
        <v>1</v>
      </c>
      <c r="AK22" s="422" t="str">
        <f t="shared" si="20"/>
        <v/>
      </c>
      <c r="AL22" s="482" t="b">
        <f t="shared" si="21"/>
        <v>1</v>
      </c>
      <c r="AM22" s="422" t="str">
        <f t="shared" ref="AM22" si="49">V22</f>
        <v/>
      </c>
      <c r="AN22" s="422" t="str">
        <f t="shared" si="23"/>
        <v/>
      </c>
      <c r="AO22" s="422" t="str">
        <f t="shared" si="9"/>
        <v/>
      </c>
      <c r="AP22" s="422" t="str">
        <f t="shared" si="10"/>
        <v/>
      </c>
      <c r="AQ22" s="422" t="str">
        <f t="shared" si="11"/>
        <v/>
      </c>
      <c r="AR22" s="422" t="str">
        <f>IF(AQ22&lt;&gt;"義務","",SUMIFS(非_まとめ表行番号!$N$3:$N$20,非_まとめ表行番号!$J$3:$J$20,AM22,非_まとめ表行番号!$K$3:$K$20,AN22,非_まとめ表行番号!$L$3:$L$20,AO22,非_まとめ表行番号!$M$3:$M$20,AP22))</f>
        <v/>
      </c>
      <c r="AS22" s="422" t="str">
        <f>IF(AQ22&lt;&gt;"義務","",SUMIFS(非_まとめ表行番号!$O$3:$O$20,非_まとめ表行番号!$J$3:$J$20,AM22,非_まとめ表行番号!$K$3:$K$20,AN22,非_まとめ表行番号!$L$3:$L$20,AO22,非_まとめ表行番号!$M$3:$M$20,AP22))</f>
        <v/>
      </c>
      <c r="AT22" s="422" t="str">
        <f t="shared" si="12"/>
        <v/>
      </c>
      <c r="AV22" s="479" t="str">
        <f>IF(AR22="","",VLOOKUP(AR22,非_まとめ表行番号!$U$3:$V$56,2,FALSE))</f>
        <v/>
      </c>
      <c r="AW22" s="479" t="str">
        <f>IF(C22="","",VLOOKUP(C22,非_燃料種類_選択リスト!$X$2:$Y$14,2,FALSE))</f>
        <v/>
      </c>
      <c r="AX22" s="479" t="str">
        <f>IF(D22="","",VLOOKUP(D22,非_燃料種類_選択リスト!$X$18:$Y$24,2,FALSE))</f>
        <v/>
      </c>
      <c r="AY22" s="485" t="str">
        <f t="shared" si="24"/>
        <v/>
      </c>
      <c r="AZ22" s="479" t="str">
        <f t="shared" si="25"/>
        <v/>
      </c>
      <c r="BA22" s="479" t="str">
        <f t="shared" si="25"/>
        <v/>
      </c>
      <c r="BB22" s="479" t="str">
        <f t="shared" si="26"/>
        <v/>
      </c>
      <c r="BC22" s="479" t="str">
        <f t="shared" si="27"/>
        <v/>
      </c>
      <c r="BE22" s="584" t="str">
        <f>IF(AND(A22="",B22=""),"",IF(AN22="有",0,VLOOKUP(B22,非_係数!$B$42:$J$55,9,FALSE)))</f>
        <v/>
      </c>
      <c r="BF22" s="584" t="str">
        <f t="shared" si="28"/>
        <v/>
      </c>
    </row>
    <row r="23" spans="1:58" ht="18.75" customHeight="1">
      <c r="A23" s="460"/>
      <c r="B23" s="368"/>
      <c r="C23" s="368"/>
      <c r="D23" s="369"/>
      <c r="E23" s="369"/>
      <c r="F23" s="368"/>
      <c r="G23" s="547" t="str">
        <f t="shared" ref="G23:G26" si="50">AE23</f>
        <v/>
      </c>
      <c r="H23" s="368"/>
      <c r="I23" s="417" t="str">
        <f t="shared" si="0"/>
        <v/>
      </c>
      <c r="J23" s="368"/>
      <c r="K23" s="418"/>
      <c r="L23" s="368"/>
      <c r="M23" s="368"/>
      <c r="N23" s="415"/>
      <c r="O23" s="445"/>
      <c r="P23" s="548" t="str">
        <f t="shared" si="14"/>
        <v/>
      </c>
      <c r="Q23" s="549" t="str">
        <f t="shared" ref="Q23:Q26" si="51">AH23</f>
        <v/>
      </c>
      <c r="R23" s="550" t="str">
        <f>IF(B23="","",VLOOKUP(B23,非_単位!$N$38:$O$53,2,FALSE))</f>
        <v/>
      </c>
      <c r="S23" s="551" t="str">
        <f t="shared" ref="S23:S26" si="52">AI23</f>
        <v/>
      </c>
      <c r="T23" s="539" t="str">
        <f t="shared" ref="T23:T26" si="53">AK23</f>
        <v/>
      </c>
      <c r="V23" s="422" t="str">
        <f t="shared" si="1"/>
        <v/>
      </c>
      <c r="W23" s="422" t="str">
        <f t="shared" ref="W23:W26" si="54">IF(V23="電気","再エネ_事業所内_電気_種類",IF(V23="熱","再エネ_事業所内_熱_種類",""))</f>
        <v/>
      </c>
      <c r="X23" s="422" t="str">
        <f t="shared" si="2"/>
        <v/>
      </c>
      <c r="Y23" s="422" t="str">
        <f t="shared" si="3"/>
        <v/>
      </c>
      <c r="Z23" s="422" t="str">
        <f t="shared" si="18"/>
        <v/>
      </c>
      <c r="AA23" s="422" t="str">
        <f t="shared" si="4"/>
        <v/>
      </c>
      <c r="AB23" s="422" t="str">
        <f t="shared" si="5"/>
        <v/>
      </c>
      <c r="AC23" s="422" t="str">
        <f t="shared" ref="AC23:AC26" si="55">IF(V23="","","自家消費")</f>
        <v/>
      </c>
      <c r="AD23" s="422" t="str">
        <f t="shared" si="6"/>
        <v/>
      </c>
      <c r="AE23" s="422" t="str">
        <f>IF(B23="","",IF(AD23="対象","熱量計読取",VLOOKUP(B23,非_係数!$B$42:$D$55,2,FALSE)))</f>
        <v/>
      </c>
      <c r="AF23" s="422" t="str">
        <f>IF(V23="電気",非_電気事業者!$S$4*1000,IF(V23="熱",非_熱供給事業者!$T$4,""))</f>
        <v/>
      </c>
      <c r="AG23" s="422" t="str">
        <f>IF(M23="","",VLOOKUP(M23,非_単位補正換算!$B$3:$C$16,2,FALSE))</f>
        <v/>
      </c>
      <c r="AH23" s="422" t="str">
        <f t="shared" si="7"/>
        <v/>
      </c>
      <c r="AI23" s="422" t="str">
        <f t="shared" si="8"/>
        <v/>
      </c>
      <c r="AJ23" s="422">
        <v>1</v>
      </c>
      <c r="AK23" s="422" t="str">
        <f t="shared" si="20"/>
        <v/>
      </c>
      <c r="AL23" s="482" t="b">
        <f t="shared" si="21"/>
        <v>1</v>
      </c>
      <c r="AM23" s="422" t="str">
        <f t="shared" ref="AM23:AM26" si="56">V23</f>
        <v/>
      </c>
      <c r="AN23" s="422" t="str">
        <f t="shared" si="23"/>
        <v/>
      </c>
      <c r="AO23" s="422" t="str">
        <f t="shared" si="9"/>
        <v/>
      </c>
      <c r="AP23" s="422" t="str">
        <f t="shared" si="10"/>
        <v/>
      </c>
      <c r="AQ23" s="422" t="str">
        <f t="shared" si="11"/>
        <v/>
      </c>
      <c r="AR23" s="422" t="str">
        <f>IF(AQ23&lt;&gt;"義務","",SUMIFS(非_まとめ表行番号!$N$3:$N$20,非_まとめ表行番号!$J$3:$J$20,AM23,非_まとめ表行番号!$K$3:$K$20,AN23,非_まとめ表行番号!$L$3:$L$20,AO23,非_まとめ表行番号!$M$3:$M$20,AP23))</f>
        <v/>
      </c>
      <c r="AS23" s="422" t="str">
        <f>IF(AQ23&lt;&gt;"義務","",SUMIFS(非_まとめ表行番号!$O$3:$O$20,非_まとめ表行番号!$J$3:$J$20,AM23,非_まとめ表行番号!$K$3:$K$20,AN23,非_まとめ表行番号!$L$3:$L$20,AO23,非_まとめ表行番号!$M$3:$M$20,AP23))</f>
        <v/>
      </c>
      <c r="AT23" s="422" t="str">
        <f t="shared" si="12"/>
        <v/>
      </c>
      <c r="AV23" s="479" t="str">
        <f>IF(AR23="","",VLOOKUP(AR23,非_まとめ表行番号!$U$3:$V$56,2,FALSE))</f>
        <v/>
      </c>
      <c r="AW23" s="479" t="str">
        <f>IF(C23="","",VLOOKUP(C23,非_燃料種類_選択リスト!$X$2:$Y$14,2,FALSE))</f>
        <v/>
      </c>
      <c r="AX23" s="479" t="str">
        <f>IF(D23="","",VLOOKUP(D23,非_燃料種類_選択リスト!$X$18:$Y$24,2,FALSE))</f>
        <v/>
      </c>
      <c r="AY23" s="485" t="str">
        <f t="shared" si="24"/>
        <v/>
      </c>
      <c r="AZ23" s="479" t="str">
        <f t="shared" si="25"/>
        <v/>
      </c>
      <c r="BA23" s="479" t="str">
        <f t="shared" si="25"/>
        <v/>
      </c>
      <c r="BB23" s="479" t="str">
        <f t="shared" si="26"/>
        <v/>
      </c>
      <c r="BC23" s="479" t="str">
        <f t="shared" si="27"/>
        <v/>
      </c>
      <c r="BE23" s="584" t="str">
        <f>IF(AND(A23="",B23=""),"",IF(AN23="有",0,VLOOKUP(B23,非_係数!$B$42:$J$55,9,FALSE)))</f>
        <v/>
      </c>
      <c r="BF23" s="584" t="str">
        <f t="shared" si="28"/>
        <v/>
      </c>
    </row>
    <row r="24" spans="1:58" ht="18.75" customHeight="1">
      <c r="A24" s="460"/>
      <c r="B24" s="368"/>
      <c r="C24" s="368"/>
      <c r="D24" s="369"/>
      <c r="E24" s="369"/>
      <c r="F24" s="368"/>
      <c r="G24" s="547" t="str">
        <f t="shared" si="50"/>
        <v/>
      </c>
      <c r="H24" s="368"/>
      <c r="I24" s="417" t="str">
        <f t="shared" si="0"/>
        <v/>
      </c>
      <c r="J24" s="368"/>
      <c r="K24" s="418"/>
      <c r="L24" s="368"/>
      <c r="M24" s="368"/>
      <c r="N24" s="415"/>
      <c r="O24" s="445"/>
      <c r="P24" s="548" t="str">
        <f t="shared" si="14"/>
        <v/>
      </c>
      <c r="Q24" s="549" t="str">
        <f t="shared" si="51"/>
        <v/>
      </c>
      <c r="R24" s="550" t="str">
        <f>IF(B24="","",VLOOKUP(B24,非_単位!$N$38:$O$53,2,FALSE))</f>
        <v/>
      </c>
      <c r="S24" s="551" t="str">
        <f t="shared" si="52"/>
        <v/>
      </c>
      <c r="T24" s="539" t="str">
        <f t="shared" si="53"/>
        <v/>
      </c>
      <c r="V24" s="422" t="str">
        <f t="shared" si="1"/>
        <v/>
      </c>
      <c r="W24" s="422" t="str">
        <f t="shared" si="54"/>
        <v/>
      </c>
      <c r="X24" s="422" t="str">
        <f t="shared" si="2"/>
        <v/>
      </c>
      <c r="Y24" s="422" t="str">
        <f t="shared" si="3"/>
        <v/>
      </c>
      <c r="Z24" s="422" t="str">
        <f t="shared" si="18"/>
        <v/>
      </c>
      <c r="AA24" s="422" t="str">
        <f t="shared" si="4"/>
        <v/>
      </c>
      <c r="AB24" s="422" t="str">
        <f t="shared" si="5"/>
        <v/>
      </c>
      <c r="AC24" s="422" t="str">
        <f t="shared" si="55"/>
        <v/>
      </c>
      <c r="AD24" s="422" t="str">
        <f t="shared" si="6"/>
        <v/>
      </c>
      <c r="AE24" s="422" t="str">
        <f>IF(B24="","",IF(AD24="対象","熱量計読取",VLOOKUP(B24,非_係数!$B$42:$D$55,2,FALSE)))</f>
        <v/>
      </c>
      <c r="AF24" s="422" t="str">
        <f>IF(V24="電気",非_電気事業者!$S$4*1000,IF(V24="熱",非_熱供給事業者!$T$4,""))</f>
        <v/>
      </c>
      <c r="AG24" s="422" t="str">
        <f>IF(M24="","",VLOOKUP(M24,非_単位補正換算!$B$3:$C$16,2,FALSE))</f>
        <v/>
      </c>
      <c r="AH24" s="422" t="str">
        <f t="shared" si="7"/>
        <v/>
      </c>
      <c r="AI24" s="422" t="str">
        <f t="shared" si="8"/>
        <v/>
      </c>
      <c r="AJ24" s="422">
        <v>1</v>
      </c>
      <c r="AK24" s="422" t="str">
        <f t="shared" si="20"/>
        <v/>
      </c>
      <c r="AL24" s="482" t="b">
        <f t="shared" si="21"/>
        <v>1</v>
      </c>
      <c r="AM24" s="422" t="str">
        <f t="shared" si="56"/>
        <v/>
      </c>
      <c r="AN24" s="422" t="str">
        <f t="shared" si="23"/>
        <v/>
      </c>
      <c r="AO24" s="422" t="str">
        <f t="shared" si="9"/>
        <v/>
      </c>
      <c r="AP24" s="422" t="str">
        <f t="shared" si="10"/>
        <v/>
      </c>
      <c r="AQ24" s="422" t="str">
        <f t="shared" si="11"/>
        <v/>
      </c>
      <c r="AR24" s="422" t="str">
        <f>IF(AQ24&lt;&gt;"義務","",SUMIFS(非_まとめ表行番号!$N$3:$N$20,非_まとめ表行番号!$J$3:$J$20,AM24,非_まとめ表行番号!$K$3:$K$20,AN24,非_まとめ表行番号!$L$3:$L$20,AO24,非_まとめ表行番号!$M$3:$M$20,AP24))</f>
        <v/>
      </c>
      <c r="AS24" s="422" t="str">
        <f>IF(AQ24&lt;&gt;"義務","",SUMIFS(非_まとめ表行番号!$O$3:$O$20,非_まとめ表行番号!$J$3:$J$20,AM24,非_まとめ表行番号!$K$3:$K$20,AN24,非_まとめ表行番号!$L$3:$L$20,AO24,非_まとめ表行番号!$M$3:$M$20,AP24))</f>
        <v/>
      </c>
      <c r="AT24" s="422" t="str">
        <f t="shared" si="12"/>
        <v/>
      </c>
      <c r="AV24" s="479" t="str">
        <f>IF(AR24="","",VLOOKUP(AR24,非_まとめ表行番号!$U$3:$V$56,2,FALSE))</f>
        <v/>
      </c>
      <c r="AW24" s="479" t="str">
        <f>IF(C24="","",VLOOKUP(C24,非_燃料種類_選択リスト!$X$2:$Y$14,2,FALSE))</f>
        <v/>
      </c>
      <c r="AX24" s="479" t="str">
        <f>IF(D24="","",VLOOKUP(D24,非_燃料種類_選択リスト!$X$18:$Y$24,2,FALSE))</f>
        <v/>
      </c>
      <c r="AY24" s="485" t="str">
        <f t="shared" si="24"/>
        <v/>
      </c>
      <c r="AZ24" s="479" t="str">
        <f t="shared" si="25"/>
        <v/>
      </c>
      <c r="BA24" s="479" t="str">
        <f t="shared" si="25"/>
        <v/>
      </c>
      <c r="BB24" s="479" t="str">
        <f t="shared" si="26"/>
        <v/>
      </c>
      <c r="BC24" s="479" t="str">
        <f t="shared" si="27"/>
        <v/>
      </c>
      <c r="BE24" s="584" t="str">
        <f>IF(AND(A24="",B24=""),"",IF(AN24="有",0,VLOOKUP(B24,非_係数!$B$42:$J$55,9,FALSE)))</f>
        <v/>
      </c>
      <c r="BF24" s="584" t="str">
        <f t="shared" si="28"/>
        <v/>
      </c>
    </row>
    <row r="25" spans="1:58" ht="18.75" customHeight="1">
      <c r="A25" s="460"/>
      <c r="B25" s="368"/>
      <c r="C25" s="368"/>
      <c r="D25" s="369"/>
      <c r="E25" s="369"/>
      <c r="F25" s="368"/>
      <c r="G25" s="547" t="str">
        <f t="shared" si="50"/>
        <v/>
      </c>
      <c r="H25" s="368"/>
      <c r="I25" s="417" t="str">
        <f t="shared" si="0"/>
        <v/>
      </c>
      <c r="J25" s="368"/>
      <c r="K25" s="418"/>
      <c r="L25" s="368"/>
      <c r="M25" s="368"/>
      <c r="N25" s="415"/>
      <c r="O25" s="445"/>
      <c r="P25" s="548" t="str">
        <f t="shared" si="14"/>
        <v/>
      </c>
      <c r="Q25" s="549" t="str">
        <f t="shared" si="51"/>
        <v/>
      </c>
      <c r="R25" s="550" t="str">
        <f>IF(B25="","",VLOOKUP(B25,非_単位!$N$38:$O$53,2,FALSE))</f>
        <v/>
      </c>
      <c r="S25" s="551" t="str">
        <f t="shared" si="52"/>
        <v/>
      </c>
      <c r="T25" s="539" t="str">
        <f t="shared" si="53"/>
        <v/>
      </c>
      <c r="V25" s="422" t="str">
        <f t="shared" si="1"/>
        <v/>
      </c>
      <c r="W25" s="422" t="str">
        <f t="shared" si="54"/>
        <v/>
      </c>
      <c r="X25" s="422" t="str">
        <f t="shared" si="2"/>
        <v/>
      </c>
      <c r="Y25" s="422" t="str">
        <f t="shared" si="3"/>
        <v/>
      </c>
      <c r="Z25" s="422" t="str">
        <f t="shared" si="18"/>
        <v/>
      </c>
      <c r="AA25" s="422" t="str">
        <f t="shared" si="4"/>
        <v/>
      </c>
      <c r="AB25" s="422" t="str">
        <f t="shared" si="5"/>
        <v/>
      </c>
      <c r="AC25" s="422" t="str">
        <f t="shared" si="55"/>
        <v/>
      </c>
      <c r="AD25" s="422" t="str">
        <f t="shared" si="6"/>
        <v/>
      </c>
      <c r="AE25" s="422" t="str">
        <f>IF(B25="","",IF(AD25="対象","熱量計読取",VLOOKUP(B25,非_係数!$B$42:$D$55,2,FALSE)))</f>
        <v/>
      </c>
      <c r="AF25" s="422" t="str">
        <f>IF(V25="電気",非_電気事業者!$S$4*1000,IF(V25="熱",非_熱供給事業者!$T$4,""))</f>
        <v/>
      </c>
      <c r="AG25" s="422" t="str">
        <f>IF(M25="","",VLOOKUP(M25,非_単位補正換算!$B$3:$C$16,2,FALSE))</f>
        <v/>
      </c>
      <c r="AH25" s="422" t="str">
        <f t="shared" si="7"/>
        <v/>
      </c>
      <c r="AI25" s="422" t="str">
        <f t="shared" si="8"/>
        <v/>
      </c>
      <c r="AJ25" s="422">
        <v>1</v>
      </c>
      <c r="AK25" s="422" t="str">
        <f t="shared" si="20"/>
        <v/>
      </c>
      <c r="AL25" s="482" t="b">
        <f t="shared" si="21"/>
        <v>1</v>
      </c>
      <c r="AM25" s="422" t="str">
        <f t="shared" si="56"/>
        <v/>
      </c>
      <c r="AN25" s="422" t="str">
        <f t="shared" si="23"/>
        <v/>
      </c>
      <c r="AO25" s="422" t="str">
        <f t="shared" si="9"/>
        <v/>
      </c>
      <c r="AP25" s="422" t="str">
        <f t="shared" si="10"/>
        <v/>
      </c>
      <c r="AQ25" s="422" t="str">
        <f t="shared" si="11"/>
        <v/>
      </c>
      <c r="AR25" s="422" t="str">
        <f>IF(AQ25&lt;&gt;"義務","",SUMIFS(非_まとめ表行番号!$N$3:$N$20,非_まとめ表行番号!$J$3:$J$20,AM25,非_まとめ表行番号!$K$3:$K$20,AN25,非_まとめ表行番号!$L$3:$L$20,AO25,非_まとめ表行番号!$M$3:$M$20,AP25))</f>
        <v/>
      </c>
      <c r="AS25" s="422" t="str">
        <f>IF(AQ25&lt;&gt;"義務","",SUMIFS(非_まとめ表行番号!$O$3:$O$20,非_まとめ表行番号!$J$3:$J$20,AM25,非_まとめ表行番号!$K$3:$K$20,AN25,非_まとめ表行番号!$L$3:$L$20,AO25,非_まとめ表行番号!$M$3:$M$20,AP25))</f>
        <v/>
      </c>
      <c r="AT25" s="422" t="str">
        <f t="shared" si="12"/>
        <v/>
      </c>
      <c r="AV25" s="479" t="str">
        <f>IF(AR25="","",VLOOKUP(AR25,非_まとめ表行番号!$U$3:$V$56,2,FALSE))</f>
        <v/>
      </c>
      <c r="AW25" s="479" t="str">
        <f>IF(C25="","",VLOOKUP(C25,非_燃料種類_選択リスト!$X$2:$Y$14,2,FALSE))</f>
        <v/>
      </c>
      <c r="AX25" s="479" t="str">
        <f>IF(D25="","",VLOOKUP(D25,非_燃料種類_選択リスト!$X$18:$Y$24,2,FALSE))</f>
        <v/>
      </c>
      <c r="AY25" s="485" t="str">
        <f t="shared" si="24"/>
        <v/>
      </c>
      <c r="AZ25" s="479" t="str">
        <f t="shared" si="25"/>
        <v/>
      </c>
      <c r="BA25" s="479" t="str">
        <f t="shared" si="25"/>
        <v/>
      </c>
      <c r="BB25" s="479" t="str">
        <f t="shared" si="26"/>
        <v/>
      </c>
      <c r="BC25" s="479" t="str">
        <f t="shared" si="27"/>
        <v/>
      </c>
      <c r="BE25" s="584" t="str">
        <f>IF(AND(A25="",B25=""),"",IF(AN25="有",0,VLOOKUP(B25,非_係数!$B$42:$J$55,9,FALSE)))</f>
        <v/>
      </c>
      <c r="BF25" s="584" t="str">
        <f t="shared" si="28"/>
        <v/>
      </c>
    </row>
    <row r="26" spans="1:58" ht="18.75" customHeight="1">
      <c r="A26" s="460"/>
      <c r="B26" s="368"/>
      <c r="C26" s="368"/>
      <c r="D26" s="369"/>
      <c r="E26" s="369"/>
      <c r="F26" s="368"/>
      <c r="G26" s="547" t="str">
        <f t="shared" si="50"/>
        <v/>
      </c>
      <c r="H26" s="368"/>
      <c r="I26" s="417" t="str">
        <f t="shared" si="0"/>
        <v/>
      </c>
      <c r="J26" s="368"/>
      <c r="K26" s="418"/>
      <c r="L26" s="368"/>
      <c r="M26" s="368"/>
      <c r="N26" s="415"/>
      <c r="O26" s="445"/>
      <c r="P26" s="548" t="str">
        <f t="shared" si="14"/>
        <v/>
      </c>
      <c r="Q26" s="549" t="str">
        <f t="shared" si="51"/>
        <v/>
      </c>
      <c r="R26" s="550" t="str">
        <f>IF(B26="","",VLOOKUP(B26,非_単位!$N$38:$O$53,2,FALSE))</f>
        <v/>
      </c>
      <c r="S26" s="551" t="str">
        <f t="shared" si="52"/>
        <v/>
      </c>
      <c r="T26" s="539" t="str">
        <f t="shared" si="53"/>
        <v/>
      </c>
      <c r="V26" s="422" t="str">
        <f t="shared" si="1"/>
        <v/>
      </c>
      <c r="W26" s="422" t="str">
        <f t="shared" si="54"/>
        <v/>
      </c>
      <c r="X26" s="422" t="str">
        <f t="shared" si="2"/>
        <v/>
      </c>
      <c r="Y26" s="422" t="str">
        <f t="shared" si="3"/>
        <v/>
      </c>
      <c r="Z26" s="422" t="str">
        <f t="shared" si="18"/>
        <v/>
      </c>
      <c r="AA26" s="422" t="str">
        <f t="shared" si="4"/>
        <v/>
      </c>
      <c r="AB26" s="422" t="str">
        <f t="shared" si="5"/>
        <v/>
      </c>
      <c r="AC26" s="422" t="str">
        <f t="shared" si="55"/>
        <v/>
      </c>
      <c r="AD26" s="422" t="str">
        <f t="shared" si="6"/>
        <v/>
      </c>
      <c r="AE26" s="422" t="str">
        <f>IF(B26="","",IF(AD26="対象","熱量計読取",VLOOKUP(B26,非_係数!$B$42:$D$55,2,FALSE)))</f>
        <v/>
      </c>
      <c r="AF26" s="422" t="str">
        <f>IF(V26="電気",非_電気事業者!$S$4*1000,IF(V26="熱",非_熱供給事業者!$T$4,""))</f>
        <v/>
      </c>
      <c r="AG26" s="422" t="str">
        <f>IF(M26="","",VLOOKUP(M26,非_単位補正換算!$B$3:$C$16,2,FALSE))</f>
        <v/>
      </c>
      <c r="AH26" s="422" t="str">
        <f t="shared" si="7"/>
        <v/>
      </c>
      <c r="AI26" s="422" t="str">
        <f t="shared" si="8"/>
        <v/>
      </c>
      <c r="AJ26" s="422">
        <v>1</v>
      </c>
      <c r="AK26" s="422" t="str">
        <f t="shared" si="20"/>
        <v/>
      </c>
      <c r="AL26" s="482" t="b">
        <f t="shared" si="21"/>
        <v>1</v>
      </c>
      <c r="AM26" s="422" t="str">
        <f t="shared" si="56"/>
        <v/>
      </c>
      <c r="AN26" s="422" t="str">
        <f t="shared" si="23"/>
        <v/>
      </c>
      <c r="AO26" s="422" t="str">
        <f t="shared" si="9"/>
        <v/>
      </c>
      <c r="AP26" s="422" t="str">
        <f t="shared" si="10"/>
        <v/>
      </c>
      <c r="AQ26" s="422" t="str">
        <f t="shared" si="11"/>
        <v/>
      </c>
      <c r="AR26" s="422" t="str">
        <f>IF(AQ26&lt;&gt;"義務","",SUMIFS(非_まとめ表行番号!$N$3:$N$20,非_まとめ表行番号!$J$3:$J$20,AM26,非_まとめ表行番号!$K$3:$K$20,AN26,非_まとめ表行番号!$L$3:$L$20,AO26,非_まとめ表行番号!$M$3:$M$20,AP26))</f>
        <v/>
      </c>
      <c r="AS26" s="422" t="str">
        <f>IF(AQ26&lt;&gt;"義務","",SUMIFS(非_まとめ表行番号!$O$3:$O$20,非_まとめ表行番号!$J$3:$J$20,AM26,非_まとめ表行番号!$K$3:$K$20,AN26,非_まとめ表行番号!$L$3:$L$20,AO26,非_まとめ表行番号!$M$3:$M$20,AP26))</f>
        <v/>
      </c>
      <c r="AT26" s="422" t="str">
        <f t="shared" si="12"/>
        <v/>
      </c>
      <c r="AV26" s="479" t="str">
        <f>IF(AR26="","",VLOOKUP(AR26,非_まとめ表行番号!$U$3:$V$56,2,FALSE))</f>
        <v/>
      </c>
      <c r="AW26" s="479" t="str">
        <f>IF(C26="","",VLOOKUP(C26,非_燃料種類_選択リスト!$X$2:$Y$14,2,FALSE))</f>
        <v/>
      </c>
      <c r="AX26" s="479" t="str">
        <f>IF(D26="","",VLOOKUP(D26,非_燃料種類_選択リスト!$X$18:$Y$24,2,FALSE))</f>
        <v/>
      </c>
      <c r="AY26" s="485" t="str">
        <f t="shared" si="24"/>
        <v/>
      </c>
      <c r="AZ26" s="479" t="str">
        <f t="shared" si="25"/>
        <v/>
      </c>
      <c r="BA26" s="479" t="str">
        <f t="shared" si="25"/>
        <v/>
      </c>
      <c r="BB26" s="479" t="str">
        <f t="shared" si="26"/>
        <v/>
      </c>
      <c r="BC26" s="479" t="str">
        <f t="shared" si="27"/>
        <v/>
      </c>
      <c r="BE26" s="584" t="str">
        <f>IF(AND(A26="",B26=""),"",IF(AN26="有",0,VLOOKUP(B26,非_係数!$B$42:$J$55,9,FALSE)))</f>
        <v/>
      </c>
      <c r="BF26" s="584" t="str">
        <f t="shared" si="28"/>
        <v/>
      </c>
    </row>
    <row r="27" spans="1:58" ht="18.75" customHeight="1">
      <c r="A27" s="460"/>
      <c r="B27" s="368"/>
      <c r="C27" s="368"/>
      <c r="D27" s="369"/>
      <c r="E27" s="369"/>
      <c r="F27" s="368"/>
      <c r="G27" s="547" t="str">
        <f t="shared" si="13"/>
        <v/>
      </c>
      <c r="H27" s="368"/>
      <c r="I27" s="417" t="str">
        <f t="shared" si="0"/>
        <v/>
      </c>
      <c r="J27" s="368"/>
      <c r="K27" s="418"/>
      <c r="L27" s="368"/>
      <c r="M27" s="368"/>
      <c r="N27" s="415"/>
      <c r="O27" s="445"/>
      <c r="P27" s="548" t="str">
        <f t="shared" si="14"/>
        <v/>
      </c>
      <c r="Q27" s="549" t="str">
        <f t="shared" si="33"/>
        <v/>
      </c>
      <c r="R27" s="550" t="str">
        <f>IF(B27="","",VLOOKUP(B27,非_単位!$N$38:$O$53,2,FALSE))</f>
        <v/>
      </c>
      <c r="S27" s="551" t="str">
        <f t="shared" si="34"/>
        <v/>
      </c>
      <c r="T27" s="539" t="str">
        <f t="shared" si="35"/>
        <v/>
      </c>
      <c r="V27" s="422" t="str">
        <f t="shared" si="1"/>
        <v/>
      </c>
      <c r="W27" s="422" t="str">
        <f t="shared" si="29"/>
        <v/>
      </c>
      <c r="X27" s="422" t="str">
        <f t="shared" si="2"/>
        <v/>
      </c>
      <c r="Y27" s="422" t="str">
        <f t="shared" si="3"/>
        <v/>
      </c>
      <c r="Z27" s="422" t="str">
        <f t="shared" si="18"/>
        <v/>
      </c>
      <c r="AA27" s="422" t="str">
        <f t="shared" si="4"/>
        <v/>
      </c>
      <c r="AB27" s="422" t="str">
        <f t="shared" si="5"/>
        <v/>
      </c>
      <c r="AC27" s="422" t="str">
        <f t="shared" si="19"/>
        <v/>
      </c>
      <c r="AD27" s="422" t="str">
        <f t="shared" si="6"/>
        <v/>
      </c>
      <c r="AE27" s="422" t="str">
        <f>IF(B27="","",IF(AD27="対象","熱量計読取",VLOOKUP(B27,非_係数!$B$42:$D$55,2,FALSE)))</f>
        <v/>
      </c>
      <c r="AF27" s="422" t="str">
        <f>IF(V27="電気",非_電気事業者!$S$4*1000,IF(V27="熱",非_熱供給事業者!$T$4,""))</f>
        <v/>
      </c>
      <c r="AG27" s="422" t="str">
        <f>IF(M27="","",VLOOKUP(M27,非_単位補正換算!$B$3:$C$16,2,FALSE))</f>
        <v/>
      </c>
      <c r="AH27" s="422" t="str">
        <f t="shared" si="7"/>
        <v/>
      </c>
      <c r="AI27" s="422" t="str">
        <f t="shared" si="8"/>
        <v/>
      </c>
      <c r="AJ27" s="422">
        <v>1</v>
      </c>
      <c r="AK27" s="422" t="str">
        <f t="shared" si="20"/>
        <v/>
      </c>
      <c r="AL27" s="482" t="b">
        <f t="shared" si="21"/>
        <v>1</v>
      </c>
      <c r="AM27" s="422" t="str">
        <f t="shared" si="22"/>
        <v/>
      </c>
      <c r="AN27" s="422" t="str">
        <f t="shared" si="23"/>
        <v/>
      </c>
      <c r="AO27" s="422" t="str">
        <f t="shared" si="9"/>
        <v/>
      </c>
      <c r="AP27" s="422" t="str">
        <f t="shared" si="10"/>
        <v/>
      </c>
      <c r="AQ27" s="422" t="str">
        <f t="shared" si="11"/>
        <v/>
      </c>
      <c r="AR27" s="422" t="str">
        <f>IF(AQ27&lt;&gt;"義務","",SUMIFS(非_まとめ表行番号!$N$3:$N$20,非_まとめ表行番号!$J$3:$J$20,AM27,非_まとめ表行番号!$K$3:$K$20,AN27,非_まとめ表行番号!$L$3:$L$20,AO27,非_まとめ表行番号!$M$3:$M$20,AP27))</f>
        <v/>
      </c>
      <c r="AS27" s="422" t="str">
        <f>IF(AQ27&lt;&gt;"義務","",SUMIFS(非_まとめ表行番号!$O$3:$O$20,非_まとめ表行番号!$J$3:$J$20,AM27,非_まとめ表行番号!$K$3:$K$20,AN27,非_まとめ表行番号!$L$3:$L$20,AO27,非_まとめ表行番号!$M$3:$M$20,AP27))</f>
        <v/>
      </c>
      <c r="AT27" s="422" t="str">
        <f t="shared" si="12"/>
        <v/>
      </c>
      <c r="AV27" s="479" t="str">
        <f>IF(AR27="","",VLOOKUP(AR27,非_まとめ表行番号!$U$3:$V$56,2,FALSE))</f>
        <v/>
      </c>
      <c r="AW27" s="479" t="str">
        <f>IF(C27="","",VLOOKUP(C27,非_燃料種類_選択リスト!$X$2:$Y$14,2,FALSE))</f>
        <v/>
      </c>
      <c r="AX27" s="479" t="str">
        <f>IF(D27="","",VLOOKUP(D27,非_燃料種類_選択リスト!$X$18:$Y$24,2,FALSE))</f>
        <v/>
      </c>
      <c r="AY27" s="485" t="str">
        <f t="shared" si="24"/>
        <v/>
      </c>
      <c r="AZ27" s="479" t="str">
        <f t="shared" si="25"/>
        <v/>
      </c>
      <c r="BA27" s="479" t="str">
        <f t="shared" si="25"/>
        <v/>
      </c>
      <c r="BB27" s="479" t="str">
        <f t="shared" si="26"/>
        <v/>
      </c>
      <c r="BC27" s="479" t="str">
        <f t="shared" si="27"/>
        <v/>
      </c>
      <c r="BE27" s="584" t="str">
        <f>IF(AND(A27="",B27=""),"",IF(AN27="有",0,VLOOKUP(B27,非_係数!$B$42:$J$55,9,FALSE)))</f>
        <v/>
      </c>
      <c r="BF27" s="584" t="str">
        <f t="shared" si="28"/>
        <v/>
      </c>
    </row>
    <row r="28" spans="1:58" ht="18.75" customHeight="1">
      <c r="A28" s="460"/>
      <c r="B28" s="368"/>
      <c r="C28" s="368"/>
      <c r="D28" s="369"/>
      <c r="E28" s="369"/>
      <c r="F28" s="368"/>
      <c r="G28" s="547" t="str">
        <f t="shared" si="13"/>
        <v/>
      </c>
      <c r="H28" s="368"/>
      <c r="I28" s="417" t="str">
        <f t="shared" si="0"/>
        <v/>
      </c>
      <c r="J28" s="368"/>
      <c r="K28" s="418"/>
      <c r="L28" s="368"/>
      <c r="M28" s="368"/>
      <c r="N28" s="415"/>
      <c r="O28" s="445"/>
      <c r="P28" s="548" t="str">
        <f t="shared" si="14"/>
        <v/>
      </c>
      <c r="Q28" s="549" t="str">
        <f t="shared" si="33"/>
        <v/>
      </c>
      <c r="R28" s="550" t="str">
        <f>IF(B28="","",VLOOKUP(B28,非_単位!$N$38:$O$53,2,FALSE))</f>
        <v/>
      </c>
      <c r="S28" s="551" t="str">
        <f t="shared" si="34"/>
        <v/>
      </c>
      <c r="T28" s="539" t="str">
        <f t="shared" si="35"/>
        <v/>
      </c>
      <c r="V28" s="422" t="str">
        <f t="shared" si="1"/>
        <v/>
      </c>
      <c r="W28" s="422" t="str">
        <f t="shared" si="29"/>
        <v/>
      </c>
      <c r="X28" s="422" t="str">
        <f t="shared" si="2"/>
        <v/>
      </c>
      <c r="Y28" s="422" t="str">
        <f t="shared" si="3"/>
        <v/>
      </c>
      <c r="Z28" s="422" t="str">
        <f t="shared" si="18"/>
        <v/>
      </c>
      <c r="AA28" s="422" t="str">
        <f t="shared" si="4"/>
        <v/>
      </c>
      <c r="AB28" s="422" t="str">
        <f t="shared" si="5"/>
        <v/>
      </c>
      <c r="AC28" s="422" t="str">
        <f t="shared" si="19"/>
        <v/>
      </c>
      <c r="AD28" s="422" t="str">
        <f t="shared" si="6"/>
        <v/>
      </c>
      <c r="AE28" s="422" t="str">
        <f>IF(B28="","",IF(AD28="対象","熱量計読取",VLOOKUP(B28,非_係数!$B$42:$D$55,2,FALSE)))</f>
        <v/>
      </c>
      <c r="AF28" s="422" t="str">
        <f>IF(V28="電気",非_電気事業者!$S$4*1000,IF(V28="熱",非_熱供給事業者!$T$4,""))</f>
        <v/>
      </c>
      <c r="AG28" s="422" t="str">
        <f>IF(M28="","",VLOOKUP(M28,非_単位補正換算!$B$3:$C$16,2,FALSE))</f>
        <v/>
      </c>
      <c r="AH28" s="422" t="str">
        <f t="shared" si="7"/>
        <v/>
      </c>
      <c r="AI28" s="422" t="str">
        <f t="shared" si="8"/>
        <v/>
      </c>
      <c r="AJ28" s="422">
        <v>1</v>
      </c>
      <c r="AK28" s="422" t="str">
        <f t="shared" si="20"/>
        <v/>
      </c>
      <c r="AL28" s="482" t="b">
        <f t="shared" si="21"/>
        <v>1</v>
      </c>
      <c r="AM28" s="422" t="str">
        <f t="shared" si="22"/>
        <v/>
      </c>
      <c r="AN28" s="422" t="str">
        <f t="shared" si="23"/>
        <v/>
      </c>
      <c r="AO28" s="422" t="str">
        <f t="shared" si="9"/>
        <v/>
      </c>
      <c r="AP28" s="422" t="str">
        <f t="shared" si="10"/>
        <v/>
      </c>
      <c r="AQ28" s="422" t="str">
        <f t="shared" si="11"/>
        <v/>
      </c>
      <c r="AR28" s="422" t="str">
        <f>IF(AQ28&lt;&gt;"義務","",SUMIFS(非_まとめ表行番号!$N$3:$N$20,非_まとめ表行番号!$J$3:$J$20,AM28,非_まとめ表行番号!$K$3:$K$20,AN28,非_まとめ表行番号!$L$3:$L$20,AO28,非_まとめ表行番号!$M$3:$M$20,AP28))</f>
        <v/>
      </c>
      <c r="AS28" s="422" t="str">
        <f>IF(AQ28&lt;&gt;"義務","",SUMIFS(非_まとめ表行番号!$O$3:$O$20,非_まとめ表行番号!$J$3:$J$20,AM28,非_まとめ表行番号!$K$3:$K$20,AN28,非_まとめ表行番号!$L$3:$L$20,AO28,非_まとめ表行番号!$M$3:$M$20,AP28))</f>
        <v/>
      </c>
      <c r="AT28" s="422" t="str">
        <f t="shared" si="12"/>
        <v/>
      </c>
      <c r="AV28" s="479" t="str">
        <f>IF(AR28="","",VLOOKUP(AR28,非_まとめ表行番号!$U$3:$V$56,2,FALSE))</f>
        <v/>
      </c>
      <c r="AW28" s="479" t="str">
        <f>IF(C28="","",VLOOKUP(C28,非_燃料種類_選択リスト!$X$2:$Y$14,2,FALSE))</f>
        <v/>
      </c>
      <c r="AX28" s="479" t="str">
        <f>IF(D28="","",VLOOKUP(D28,非_燃料種類_選択リスト!$X$18:$Y$24,2,FALSE))</f>
        <v/>
      </c>
      <c r="AY28" s="485" t="str">
        <f t="shared" si="24"/>
        <v/>
      </c>
      <c r="AZ28" s="479" t="str">
        <f t="shared" si="25"/>
        <v/>
      </c>
      <c r="BA28" s="479" t="str">
        <f t="shared" si="25"/>
        <v/>
      </c>
      <c r="BB28" s="479" t="str">
        <f t="shared" si="26"/>
        <v/>
      </c>
      <c r="BC28" s="479" t="str">
        <f t="shared" si="27"/>
        <v/>
      </c>
      <c r="BE28" s="584" t="str">
        <f>IF(AND(A28="",B28=""),"",IF(AN28="有",0,VLOOKUP(B28,非_係数!$B$42:$J$55,9,FALSE)))</f>
        <v/>
      </c>
      <c r="BF28" s="584" t="str">
        <f t="shared" si="28"/>
        <v/>
      </c>
    </row>
    <row r="29" spans="1:58" ht="18.75" customHeight="1" thickBot="1">
      <c r="A29" s="460"/>
      <c r="B29" s="368"/>
      <c r="C29" s="368"/>
      <c r="D29" s="369"/>
      <c r="E29" s="369"/>
      <c r="F29" s="368"/>
      <c r="G29" s="547" t="str">
        <f t="shared" si="13"/>
        <v/>
      </c>
      <c r="H29" s="368"/>
      <c r="I29" s="417" t="str">
        <f t="shared" si="0"/>
        <v/>
      </c>
      <c r="J29" s="368"/>
      <c r="K29" s="418"/>
      <c r="L29" s="368"/>
      <c r="M29" s="368"/>
      <c r="N29" s="415"/>
      <c r="O29" s="445"/>
      <c r="P29" s="548" t="str">
        <f t="shared" si="14"/>
        <v/>
      </c>
      <c r="Q29" s="549" t="str">
        <f t="shared" si="33"/>
        <v/>
      </c>
      <c r="R29" s="550" t="str">
        <f>IF(B29="","",VLOOKUP(B29,非_単位!$N$38:$O$53,2,FALSE))</f>
        <v/>
      </c>
      <c r="S29" s="551" t="str">
        <f t="shared" si="34"/>
        <v/>
      </c>
      <c r="T29" s="539" t="str">
        <f t="shared" si="35"/>
        <v/>
      </c>
      <c r="V29" s="422" t="str">
        <f t="shared" si="1"/>
        <v/>
      </c>
      <c r="W29" s="422" t="str">
        <f t="shared" si="29"/>
        <v/>
      </c>
      <c r="X29" s="422" t="str">
        <f t="shared" si="2"/>
        <v/>
      </c>
      <c r="Y29" s="422" t="str">
        <f t="shared" si="3"/>
        <v/>
      </c>
      <c r="Z29" s="422" t="str">
        <f t="shared" si="18"/>
        <v/>
      </c>
      <c r="AA29" s="422" t="str">
        <f t="shared" si="4"/>
        <v/>
      </c>
      <c r="AB29" s="422" t="str">
        <f t="shared" si="5"/>
        <v/>
      </c>
      <c r="AC29" s="422" t="str">
        <f t="shared" si="19"/>
        <v/>
      </c>
      <c r="AD29" s="422" t="str">
        <f t="shared" si="6"/>
        <v/>
      </c>
      <c r="AE29" s="422" t="str">
        <f>IF(B29="","",IF(AD29="対象","熱量計読取",VLOOKUP(B29,非_係数!$B$42:$D$55,2,FALSE)))</f>
        <v/>
      </c>
      <c r="AF29" s="422" t="str">
        <f>IF(V29="電気",非_電気事業者!$S$4*1000,IF(V29="熱",非_熱供給事業者!$T$4,""))</f>
        <v/>
      </c>
      <c r="AG29" s="422" t="str">
        <f>IF(M29="","",VLOOKUP(M29,非_単位補正換算!$B$3:$C$16,2,FALSE))</f>
        <v/>
      </c>
      <c r="AH29" s="422" t="str">
        <f t="shared" si="7"/>
        <v/>
      </c>
      <c r="AI29" s="422" t="str">
        <f t="shared" si="8"/>
        <v/>
      </c>
      <c r="AJ29" s="422">
        <v>1</v>
      </c>
      <c r="AK29" s="422" t="str">
        <f t="shared" si="20"/>
        <v/>
      </c>
      <c r="AL29" s="482" t="b">
        <f t="shared" si="21"/>
        <v>1</v>
      </c>
      <c r="AM29" s="422" t="str">
        <f t="shared" si="22"/>
        <v/>
      </c>
      <c r="AN29" s="422" t="str">
        <f t="shared" si="23"/>
        <v/>
      </c>
      <c r="AO29" s="422" t="str">
        <f t="shared" si="9"/>
        <v/>
      </c>
      <c r="AP29" s="422" t="str">
        <f t="shared" si="10"/>
        <v/>
      </c>
      <c r="AQ29" s="422" t="str">
        <f t="shared" si="11"/>
        <v/>
      </c>
      <c r="AR29" s="422" t="str">
        <f>IF(AQ29&lt;&gt;"義務","",SUMIFS(非_まとめ表行番号!$N$3:$N$20,非_まとめ表行番号!$J$3:$J$20,AM29,非_まとめ表行番号!$K$3:$K$20,AN29,非_まとめ表行番号!$L$3:$L$20,AO29,非_まとめ表行番号!$M$3:$M$20,AP29))</f>
        <v/>
      </c>
      <c r="AS29" s="422" t="str">
        <f>IF(AQ29&lt;&gt;"義務","",SUMIFS(非_まとめ表行番号!$O$3:$O$20,非_まとめ表行番号!$J$3:$J$20,AM29,非_まとめ表行番号!$K$3:$K$20,AN29,非_まとめ表行番号!$L$3:$L$20,AO29,非_まとめ表行番号!$M$3:$M$20,AP29))</f>
        <v/>
      </c>
      <c r="AT29" s="422" t="str">
        <f t="shared" si="12"/>
        <v/>
      </c>
      <c r="AV29" s="479" t="str">
        <f>IF(AR29="","",VLOOKUP(AR29,非_まとめ表行番号!$U$3:$V$56,2,FALSE))</f>
        <v/>
      </c>
      <c r="AW29" s="479" t="str">
        <f>IF(C29="","",VLOOKUP(C29,非_燃料種類_選択リスト!$X$2:$Y$14,2,FALSE))</f>
        <v/>
      </c>
      <c r="AX29" s="479" t="str">
        <f>IF(D29="","",VLOOKUP(D29,非_燃料種類_選択リスト!$X$18:$Y$24,2,FALSE))</f>
        <v/>
      </c>
      <c r="AY29" s="485" t="str">
        <f t="shared" si="24"/>
        <v/>
      </c>
      <c r="AZ29" s="479" t="str">
        <f t="shared" si="25"/>
        <v/>
      </c>
      <c r="BA29" s="479" t="str">
        <f t="shared" si="25"/>
        <v/>
      </c>
      <c r="BB29" s="479" t="str">
        <f t="shared" si="26"/>
        <v/>
      </c>
      <c r="BC29" s="479" t="str">
        <f t="shared" si="27"/>
        <v/>
      </c>
      <c r="BE29" s="584" t="str">
        <f>IF(AND(A29="",B29=""),"",IF(AN29="有",0,VLOOKUP(B29,非_係数!$B$42:$J$55,9,FALSE)))</f>
        <v/>
      </c>
      <c r="BF29" s="584" t="str">
        <f t="shared" si="28"/>
        <v/>
      </c>
    </row>
    <row r="30" spans="1:58" ht="17.25" customHeight="1" thickTop="1" thickBot="1">
      <c r="A30" s="299" t="s">
        <v>854</v>
      </c>
      <c r="B30" s="300"/>
      <c r="C30" s="300"/>
      <c r="D30" s="300"/>
      <c r="E30" s="300"/>
      <c r="F30" s="300"/>
      <c r="G30" s="300"/>
      <c r="H30" s="300"/>
      <c r="I30" s="300"/>
      <c r="J30" s="300"/>
      <c r="K30" s="300"/>
      <c r="L30" s="300"/>
      <c r="M30" s="300"/>
      <c r="N30" s="300"/>
      <c r="O30" s="300"/>
      <c r="P30" s="300"/>
      <c r="Q30" s="307"/>
      <c r="R30" s="307"/>
      <c r="S30" s="57"/>
      <c r="T30" s="386"/>
      <c r="AO30" s="85" t="str">
        <f t="shared" si="9"/>
        <v/>
      </c>
    </row>
    <row r="31" spans="1:58" ht="18.75" customHeight="1" thickTop="1">
      <c r="A31" s="460"/>
      <c r="B31" s="368"/>
      <c r="C31" s="368"/>
      <c r="D31" s="369"/>
      <c r="E31" s="370"/>
      <c r="F31" s="368"/>
      <c r="G31" s="547" t="str">
        <f>AE31</f>
        <v/>
      </c>
      <c r="H31" s="368"/>
      <c r="I31" s="417" t="str">
        <f t="shared" ref="I31:I53" si="57">IF(H31="","",IF(H31="目標設定ガスの算定対象外",0,IF(H31="国代替値",AF31,"要記入")))</f>
        <v/>
      </c>
      <c r="J31" s="368"/>
      <c r="K31" s="417"/>
      <c r="L31" s="368"/>
      <c r="M31" s="368"/>
      <c r="N31" s="414"/>
      <c r="O31" s="445"/>
      <c r="P31" s="548" t="str">
        <f>IF(N31="","",IF(O31="",N31,O31*N31))</f>
        <v/>
      </c>
      <c r="Q31" s="549" t="str">
        <f>AH31</f>
        <v/>
      </c>
      <c r="R31" s="550" t="str">
        <f>IF(B31="","",VLOOKUP(B31,非_単位!$N$38:$O$53,2,FALSE))</f>
        <v/>
      </c>
      <c r="S31" s="551" t="str">
        <f>AI31</f>
        <v/>
      </c>
      <c r="T31" s="539" t="str">
        <f>AK31</f>
        <v/>
      </c>
      <c r="V31" s="422" t="str">
        <f t="shared" ref="V31:V53" si="58">IF(A31="","",IF(A31="電気の使用_一般送配電事業者の電線路を介して供給された買電","電気",IF(A31="熱の使用","熱","")))</f>
        <v/>
      </c>
      <c r="W31" s="422" t="str">
        <f>IF(V31="電気","再エネ_事業所外_電気_種類",IF(V31="熱","再エネ_事業所外_熱_種類",""))</f>
        <v/>
      </c>
      <c r="X31" s="422" t="str">
        <f t="shared" ref="X31:X53" si="59">IF(B31="","","再エネ_種類_選択")</f>
        <v/>
      </c>
      <c r="Y31" s="422" t="str">
        <f t="shared" ref="Y31:Y53" si="60">IF(C31="バイオマス","バイオマス_種類_選択","")</f>
        <v/>
      </c>
      <c r="Z31" s="422"/>
      <c r="AA31" s="422" t="str">
        <f>IF(B31="","",IF(B31="電気_仮想電力購入契約","環境価値_仮想電力購入契約_選択",IF(AND(Z31&lt;&gt;"",E31="無"),"環境価値_バイオマス持続可能性無_選択","環境価値_選択")))</f>
        <v/>
      </c>
      <c r="AB31" s="422" t="str">
        <f t="shared" ref="AB31:AB53" si="61">IF(B31="","",IF(B31="電気_仮想電力購入契約","再エネ_係数根拠_仮想電力購入契約",IF(F31="","",IF(F31="有","再エネ_係数根拠_環境価値有","再エネ_係数根拠_環境価値無"))))</f>
        <v/>
      </c>
      <c r="AC31" s="422" t="str">
        <f>IF(V31="","","自家消費以外")</f>
        <v/>
      </c>
      <c r="AD31" s="422"/>
      <c r="AE31" s="422" t="str">
        <f>IF(B31="","",IF(B31="電気_仮想電力購入契約","",VLOOKUP(B31,非_係数!$B$42:$D$55,2,FALSE)))</f>
        <v/>
      </c>
      <c r="AF31" s="422" t="str">
        <f>IF(V31="電気",非_電気事業者!$S$4*1000,IF(V31="熱",非_熱供給事業者!$T$4,""))</f>
        <v/>
      </c>
      <c r="AG31" s="422" t="str">
        <f>IF(M31="","",VLOOKUP(M31,非_単位補正換算!$B$3:$C$16,2,FALSE))</f>
        <v/>
      </c>
      <c r="AH31" s="422" t="str">
        <f t="shared" ref="AH31:AH53" si="62">IF(M31="","",IF(P31="","",P31/AG31))</f>
        <v/>
      </c>
      <c r="AI31" s="422" t="str">
        <f t="shared" ref="AI31:AI53" si="63">IF(AH31="","",IF(G31="","",AH31*G31))</f>
        <v/>
      </c>
      <c r="AJ31" s="422">
        <f t="shared" ref="AJ31:AJ53" si="64">IF(B31="電気_仮想電力購入契約",-1,1)</f>
        <v>1</v>
      </c>
      <c r="AK31" s="422" t="str">
        <f t="shared" ref="AK31:AK53" si="65">IF(AH31="","",IF(ISNUMBER(I31),AH31*I31*AJ31,""))</f>
        <v/>
      </c>
      <c r="AL31" s="482" t="b">
        <f t="shared" si="21"/>
        <v>1</v>
      </c>
      <c r="AM31" s="422" t="str">
        <f t="shared" ref="AM31:AM33" si="66">V31</f>
        <v/>
      </c>
      <c r="AN31" s="422" t="str">
        <f t="shared" ref="AN31:AN53" si="67">IF(F31="","",F31)</f>
        <v/>
      </c>
      <c r="AO31" s="422" t="str">
        <f>AC31&amp;IF(B31="電気_仮想電力購入契約","_仮想電力購入契約","")</f>
        <v/>
      </c>
      <c r="AP31" s="422" t="str">
        <f t="shared" ref="AP31:AP53" si="68">IF(E31="","",E31)</f>
        <v/>
      </c>
      <c r="AQ31" s="422" t="str">
        <f t="shared" ref="AQ31:AQ53" si="69">IF(C31="","",IF(LEFT(C31,2)="任意","任意","義務"))</f>
        <v/>
      </c>
      <c r="AR31" s="422" t="str">
        <f>IF(AQ31&lt;&gt;"義務","",SUMIFS(非_まとめ表行番号!$N$3:$N$20,非_まとめ表行番号!$J$3:$J$20,AM31,非_まとめ表行番号!$K$3:$K$20,AN31,非_まとめ表行番号!$L$3:$L$20,AO31,非_まとめ表行番号!$M$3:$M$20,AP31))</f>
        <v/>
      </c>
      <c r="AS31" s="422" t="str">
        <f>IF(AQ31&lt;&gt;"義務","",SUMIFS(非_まとめ表行番号!$O$3:$O$20,非_まとめ表行番号!$J$3:$J$20,AM31,非_まとめ表行番号!$K$3:$K$20,AN31,非_まとめ表行番号!$L$3:$L$20,AO31,非_まとめ表行番号!$M$3:$M$20,AP31))</f>
        <v/>
      </c>
      <c r="AT31" s="422" t="str">
        <f t="shared" ref="AT31:AT53" si="70">IF(L31="無",IF(B31="電気_仮想電力購入契約","乗率_除外する排出量","乗率_排出量"),"")</f>
        <v/>
      </c>
      <c r="AV31" s="479" t="str">
        <f>IF(AR31="","",VLOOKUP(AR31,非_まとめ表行番号!$U$3:$V$56,2,FALSE))</f>
        <v/>
      </c>
      <c r="AW31" s="479" t="str">
        <f>IF(C31="","",VLOOKUP(C31,非_燃料種類_選択リスト!$X$2:$Y$14,2,FALSE))</f>
        <v/>
      </c>
      <c r="AX31" s="479" t="str">
        <f>IF(D31="","",VLOOKUP(D31,非_燃料種類_選択リスト!$X$18:$Y$24,2,FALSE))</f>
        <v/>
      </c>
      <c r="AY31" s="485" t="str">
        <f>IF(AV31=46,0,IF(G31="","",IF(G31="熱量計読取",1,G31)))</f>
        <v/>
      </c>
      <c r="AZ31" s="479" t="str">
        <f t="shared" ref="AZ31:BA46" si="71">IF(H31="","",H31)</f>
        <v/>
      </c>
      <c r="BA31" s="479" t="str">
        <f t="shared" si="71"/>
        <v/>
      </c>
      <c r="BB31" s="479" t="str">
        <f t="shared" ref="BB31:BB53" si="72">IF(Q31="","",Q31)</f>
        <v/>
      </c>
      <c r="BC31" s="479" t="str">
        <f>IF(AK31="","",IF(AK31&gt;0,1,IF(AK31&lt;0,-1,IF(B31="電気_仮想電力購入契約",-1,1))))</f>
        <v/>
      </c>
      <c r="BE31" s="584" t="str">
        <f>IF(AND(A31="",B31=""),"",IF(AN31="有",0,VLOOKUP(B31,非_係数!$B$42:$J$55,9,FALSE)))</f>
        <v/>
      </c>
      <c r="BF31" s="584" t="str">
        <f t="shared" ref="BF31:BF64" si="73">IF(AH31="","",IF(ISNUMBER(BE31),AH31*BE31*1,""))</f>
        <v/>
      </c>
    </row>
    <row r="32" spans="1:58" ht="18.75" customHeight="1">
      <c r="A32" s="460"/>
      <c r="B32" s="368"/>
      <c r="C32" s="368"/>
      <c r="D32" s="369"/>
      <c r="E32" s="371"/>
      <c r="F32" s="368"/>
      <c r="G32" s="547" t="str">
        <f t="shared" ref="G32:G53" si="74">AE32</f>
        <v/>
      </c>
      <c r="H32" s="368"/>
      <c r="I32" s="417" t="str">
        <f t="shared" si="57"/>
        <v/>
      </c>
      <c r="J32" s="368"/>
      <c r="K32" s="418"/>
      <c r="L32" s="368"/>
      <c r="M32" s="368"/>
      <c r="N32" s="415"/>
      <c r="O32" s="445"/>
      <c r="P32" s="548" t="str">
        <f t="shared" ref="P32:P53" si="75">IF(N32="","",IF(O32="",N32,O32*N32))</f>
        <v/>
      </c>
      <c r="Q32" s="549" t="str">
        <f t="shared" ref="Q32:Q53" si="76">AH32</f>
        <v/>
      </c>
      <c r="R32" s="550" t="str">
        <f>IF(B32="","",VLOOKUP(B32,非_単位!$N$38:$O$53,2,FALSE))</f>
        <v/>
      </c>
      <c r="S32" s="551" t="str">
        <f t="shared" ref="S32:S53" si="77">AI32</f>
        <v/>
      </c>
      <c r="T32" s="539" t="str">
        <f t="shared" ref="T32:T53" si="78">AK32</f>
        <v/>
      </c>
      <c r="V32" s="422" t="str">
        <f t="shared" si="58"/>
        <v/>
      </c>
      <c r="W32" s="422" t="str">
        <f t="shared" ref="W32:W53" si="79">IF(V32="電気","再エネ_事業所外_電気_種類",IF(V32="熱","再エネ_事業所外_熱_種類",""))</f>
        <v/>
      </c>
      <c r="X32" s="422" t="str">
        <f t="shared" si="59"/>
        <v/>
      </c>
      <c r="Y32" s="422" t="str">
        <f t="shared" si="60"/>
        <v/>
      </c>
      <c r="Z32" s="422"/>
      <c r="AA32" s="484" t="str">
        <f t="shared" ref="AA32:AA53" si="80">IF(B32="","",IF(B32="電気_仮想電力購入契約","環境価値_仮想電力購入契約_選択",IF(AND(Z32&lt;&gt;"",E32="無"),"環境価値_バイオマス持続可能性無_選択","環境価値_選択")))</f>
        <v/>
      </c>
      <c r="AB32" s="422" t="str">
        <f t="shared" si="61"/>
        <v/>
      </c>
      <c r="AC32" s="422" t="str">
        <f t="shared" ref="AC32:AC53" si="81">IF(V32="","","自家消費以外")</f>
        <v/>
      </c>
      <c r="AD32" s="422"/>
      <c r="AE32" s="422" t="str">
        <f>IF(B32="","",IF(B32="電気_仮想電力購入契約","",VLOOKUP(B32,非_係数!$B$42:$D$55,2,FALSE)))</f>
        <v/>
      </c>
      <c r="AF32" s="422" t="str">
        <f>IF(V32="電気",非_電気事業者!$S$4*1000,IF(V32="熱",非_熱供給事業者!$T$4,""))</f>
        <v/>
      </c>
      <c r="AG32" s="422" t="str">
        <f>IF(M32="","",VLOOKUP(M32,非_単位補正換算!$B$3:$C$16,2,FALSE))</f>
        <v/>
      </c>
      <c r="AH32" s="422" t="str">
        <f t="shared" si="62"/>
        <v/>
      </c>
      <c r="AI32" s="422" t="str">
        <f t="shared" si="63"/>
        <v/>
      </c>
      <c r="AJ32" s="422">
        <f t="shared" si="64"/>
        <v>1</v>
      </c>
      <c r="AK32" s="422" t="str">
        <f t="shared" si="65"/>
        <v/>
      </c>
      <c r="AL32" s="482" t="b">
        <f t="shared" si="21"/>
        <v>1</v>
      </c>
      <c r="AM32" s="422" t="str">
        <f t="shared" si="66"/>
        <v/>
      </c>
      <c r="AN32" s="422" t="str">
        <f t="shared" si="67"/>
        <v/>
      </c>
      <c r="AO32" s="422" t="str">
        <f t="shared" si="9"/>
        <v/>
      </c>
      <c r="AP32" s="422" t="str">
        <f t="shared" si="68"/>
        <v/>
      </c>
      <c r="AQ32" s="422" t="str">
        <f t="shared" si="69"/>
        <v/>
      </c>
      <c r="AR32" s="422" t="str">
        <f>IF(AQ32&lt;&gt;"義務","",SUMIFS(非_まとめ表行番号!$N$3:$N$20,非_まとめ表行番号!$J$3:$J$20,AM32,非_まとめ表行番号!$K$3:$K$20,AN32,非_まとめ表行番号!$L$3:$L$20,AO32,非_まとめ表行番号!$M$3:$M$20,AP32))</f>
        <v/>
      </c>
      <c r="AS32" s="422" t="str">
        <f>IF(AQ32&lt;&gt;"義務","",SUMIFS(非_まとめ表行番号!$O$3:$O$20,非_まとめ表行番号!$J$3:$J$20,AM32,非_まとめ表行番号!$K$3:$K$20,AN32,非_まとめ表行番号!$L$3:$L$20,AO32,非_まとめ表行番号!$M$3:$M$20,AP32))</f>
        <v/>
      </c>
      <c r="AT32" s="422" t="str">
        <f t="shared" si="70"/>
        <v/>
      </c>
      <c r="AV32" s="479" t="str">
        <f>IF(AR32="","",VLOOKUP(AR32,非_まとめ表行番号!$U$3:$V$56,2,FALSE))</f>
        <v/>
      </c>
      <c r="AW32" s="479" t="str">
        <f>IF(C32="","",VLOOKUP(C32,非_燃料種類_選択リスト!$X$2:$Y$14,2,FALSE))</f>
        <v/>
      </c>
      <c r="AX32" s="479" t="str">
        <f>IF(D32="","",VLOOKUP(D32,非_燃料種類_選択リスト!$X$18:$Y$24,2,FALSE))</f>
        <v/>
      </c>
      <c r="AY32" s="485" t="str">
        <f t="shared" ref="AY32:AY53" si="82">IF(AV32=46,0,IF(G32="","",IF(G32="熱量計読取",1,G32)))</f>
        <v/>
      </c>
      <c r="AZ32" s="479" t="str">
        <f t="shared" si="71"/>
        <v/>
      </c>
      <c r="BA32" s="479" t="str">
        <f t="shared" si="71"/>
        <v/>
      </c>
      <c r="BB32" s="479" t="str">
        <f t="shared" si="72"/>
        <v/>
      </c>
      <c r="BC32" s="581" t="str">
        <f t="shared" ref="BC32:BC53" si="83">IF(AK32="","",IF(AK32&gt;0,1,IF(AK32&lt;0,-1,IF(B32="電気_仮想電力購入契約",-1,1))))</f>
        <v/>
      </c>
      <c r="BE32" s="584" t="str">
        <f>IF(AND(A32="",B32=""),"",IF(AN32="有",0,VLOOKUP(B32,非_係数!$B$42:$J$55,9,FALSE)))</f>
        <v/>
      </c>
      <c r="BF32" s="584" t="str">
        <f t="shared" si="73"/>
        <v/>
      </c>
    </row>
    <row r="33" spans="1:58" ht="18.75" customHeight="1">
      <c r="A33" s="460"/>
      <c r="B33" s="368"/>
      <c r="C33" s="368"/>
      <c r="D33" s="369"/>
      <c r="E33" s="371"/>
      <c r="F33" s="368"/>
      <c r="G33" s="547" t="str">
        <f t="shared" si="74"/>
        <v/>
      </c>
      <c r="H33" s="368"/>
      <c r="I33" s="417" t="str">
        <f t="shared" si="57"/>
        <v/>
      </c>
      <c r="J33" s="368"/>
      <c r="K33" s="418"/>
      <c r="L33" s="368"/>
      <c r="M33" s="368"/>
      <c r="N33" s="415"/>
      <c r="O33" s="445"/>
      <c r="P33" s="548" t="str">
        <f t="shared" si="75"/>
        <v/>
      </c>
      <c r="Q33" s="549" t="str">
        <f t="shared" si="76"/>
        <v/>
      </c>
      <c r="R33" s="550" t="str">
        <f>IF(B33="","",VLOOKUP(B33,非_単位!$N$38:$O$53,2,FALSE))</f>
        <v/>
      </c>
      <c r="S33" s="551" t="str">
        <f t="shared" si="77"/>
        <v/>
      </c>
      <c r="T33" s="539" t="str">
        <f t="shared" si="78"/>
        <v/>
      </c>
      <c r="V33" s="422" t="str">
        <f t="shared" si="58"/>
        <v/>
      </c>
      <c r="W33" s="422" t="str">
        <f t="shared" si="79"/>
        <v/>
      </c>
      <c r="X33" s="422" t="str">
        <f t="shared" si="59"/>
        <v/>
      </c>
      <c r="Y33" s="422" t="str">
        <f t="shared" si="60"/>
        <v/>
      </c>
      <c r="Z33" s="422"/>
      <c r="AA33" s="484" t="str">
        <f t="shared" si="80"/>
        <v/>
      </c>
      <c r="AB33" s="422" t="str">
        <f t="shared" si="61"/>
        <v/>
      </c>
      <c r="AC33" s="422" t="str">
        <f t="shared" si="81"/>
        <v/>
      </c>
      <c r="AD33" s="422"/>
      <c r="AE33" s="422" t="str">
        <f>IF(B33="","",IF(B33="電気_仮想電力購入契約","",VLOOKUP(B33,非_係数!$B$42:$D$55,2,FALSE)))</f>
        <v/>
      </c>
      <c r="AF33" s="422" t="str">
        <f>IF(V33="電気",非_電気事業者!$S$4*1000,IF(V33="熱",非_熱供給事業者!$T$4,""))</f>
        <v/>
      </c>
      <c r="AG33" s="422" t="str">
        <f>IF(M33="","",VLOOKUP(M33,非_単位補正換算!$B$3:$C$16,2,FALSE))</f>
        <v/>
      </c>
      <c r="AH33" s="422" t="str">
        <f t="shared" si="62"/>
        <v/>
      </c>
      <c r="AI33" s="422" t="str">
        <f t="shared" si="63"/>
        <v/>
      </c>
      <c r="AJ33" s="422">
        <f t="shared" si="64"/>
        <v>1</v>
      </c>
      <c r="AK33" s="422" t="str">
        <f t="shared" si="65"/>
        <v/>
      </c>
      <c r="AL33" s="482" t="b">
        <f t="shared" si="21"/>
        <v>1</v>
      </c>
      <c r="AM33" s="422" t="str">
        <f t="shared" si="66"/>
        <v/>
      </c>
      <c r="AN33" s="422" t="str">
        <f t="shared" si="67"/>
        <v/>
      </c>
      <c r="AO33" s="422" t="str">
        <f t="shared" si="9"/>
        <v/>
      </c>
      <c r="AP33" s="422" t="str">
        <f t="shared" si="68"/>
        <v/>
      </c>
      <c r="AQ33" s="422" t="str">
        <f t="shared" si="69"/>
        <v/>
      </c>
      <c r="AR33" s="422" t="str">
        <f>IF(AQ33&lt;&gt;"義務","",SUMIFS(非_まとめ表行番号!$N$3:$N$20,非_まとめ表行番号!$J$3:$J$20,AM33,非_まとめ表行番号!$K$3:$K$20,AN33,非_まとめ表行番号!$L$3:$L$20,AO33,非_まとめ表行番号!$M$3:$M$20,AP33))</f>
        <v/>
      </c>
      <c r="AS33" s="422" t="str">
        <f>IF(AQ33&lt;&gt;"義務","",SUMIFS(非_まとめ表行番号!$O$3:$O$20,非_まとめ表行番号!$J$3:$J$20,AM33,非_まとめ表行番号!$K$3:$K$20,AN33,非_まとめ表行番号!$L$3:$L$20,AO33,非_まとめ表行番号!$M$3:$M$20,AP33))</f>
        <v/>
      </c>
      <c r="AT33" s="422" t="str">
        <f t="shared" si="70"/>
        <v/>
      </c>
      <c r="AV33" s="479" t="str">
        <f>IF(AR33="","",VLOOKUP(AR33,非_まとめ表行番号!$U$3:$V$56,2,FALSE))</f>
        <v/>
      </c>
      <c r="AW33" s="479" t="str">
        <f>IF(C33="","",VLOOKUP(C33,非_燃料種類_選択リスト!$X$2:$Y$14,2,FALSE))</f>
        <v/>
      </c>
      <c r="AX33" s="479" t="str">
        <f>IF(D33="","",VLOOKUP(D33,非_燃料種類_選択リスト!$X$18:$Y$24,2,FALSE))</f>
        <v/>
      </c>
      <c r="AY33" s="485" t="str">
        <f t="shared" si="82"/>
        <v/>
      </c>
      <c r="AZ33" s="479" t="str">
        <f t="shared" si="71"/>
        <v/>
      </c>
      <c r="BA33" s="479" t="str">
        <f t="shared" si="71"/>
        <v/>
      </c>
      <c r="BB33" s="479" t="str">
        <f t="shared" si="72"/>
        <v/>
      </c>
      <c r="BC33" s="581" t="str">
        <f t="shared" si="83"/>
        <v/>
      </c>
      <c r="BE33" s="584" t="str">
        <f>IF(AND(A33="",B33=""),"",IF(AN33="有",0,VLOOKUP(B33,非_係数!$B$42:$J$55,9,FALSE)))</f>
        <v/>
      </c>
      <c r="BF33" s="584" t="str">
        <f t="shared" si="73"/>
        <v/>
      </c>
    </row>
    <row r="34" spans="1:58" ht="18.75" customHeight="1">
      <c r="A34" s="460"/>
      <c r="B34" s="368"/>
      <c r="C34" s="368"/>
      <c r="D34" s="369"/>
      <c r="E34" s="371"/>
      <c r="F34" s="368"/>
      <c r="G34" s="547" t="str">
        <f t="shared" si="74"/>
        <v/>
      </c>
      <c r="H34" s="368"/>
      <c r="I34" s="417" t="str">
        <f t="shared" si="57"/>
        <v/>
      </c>
      <c r="J34" s="368"/>
      <c r="K34" s="418"/>
      <c r="L34" s="368"/>
      <c r="M34" s="368"/>
      <c r="N34" s="415"/>
      <c r="O34" s="445"/>
      <c r="P34" s="548" t="str">
        <f t="shared" si="75"/>
        <v/>
      </c>
      <c r="Q34" s="549" t="str">
        <f t="shared" si="76"/>
        <v/>
      </c>
      <c r="R34" s="550" t="str">
        <f>IF(B34="","",VLOOKUP(B34,非_単位!$N$38:$O$53,2,FALSE))</f>
        <v/>
      </c>
      <c r="S34" s="551" t="str">
        <f t="shared" si="77"/>
        <v/>
      </c>
      <c r="T34" s="539" t="str">
        <f t="shared" si="78"/>
        <v/>
      </c>
      <c r="V34" s="422" t="str">
        <f t="shared" si="58"/>
        <v/>
      </c>
      <c r="W34" s="422" t="str">
        <f t="shared" si="79"/>
        <v/>
      </c>
      <c r="X34" s="422" t="str">
        <f t="shared" si="59"/>
        <v/>
      </c>
      <c r="Y34" s="422" t="str">
        <f t="shared" si="60"/>
        <v/>
      </c>
      <c r="Z34" s="422"/>
      <c r="AA34" s="484" t="str">
        <f t="shared" si="80"/>
        <v/>
      </c>
      <c r="AB34" s="422" t="str">
        <f t="shared" si="61"/>
        <v/>
      </c>
      <c r="AC34" s="422" t="str">
        <f t="shared" si="81"/>
        <v/>
      </c>
      <c r="AD34" s="422"/>
      <c r="AE34" s="422" t="str">
        <f>IF(B34="","",IF(B34="電気_仮想電力購入契約","",VLOOKUP(B34,非_係数!$B$42:$D$55,2,FALSE)))</f>
        <v/>
      </c>
      <c r="AF34" s="422" t="str">
        <f>IF(V34="電気",非_電気事業者!$S$4*1000,IF(V34="熱",非_熱供給事業者!$T$4,""))</f>
        <v/>
      </c>
      <c r="AG34" s="422" t="str">
        <f>IF(M34="","",VLOOKUP(M34,非_単位補正換算!$B$3:$C$16,2,FALSE))</f>
        <v/>
      </c>
      <c r="AH34" s="422" t="str">
        <f t="shared" si="62"/>
        <v/>
      </c>
      <c r="AI34" s="422" t="str">
        <f t="shared" si="63"/>
        <v/>
      </c>
      <c r="AJ34" s="422">
        <f t="shared" si="64"/>
        <v>1</v>
      </c>
      <c r="AK34" s="422" t="str">
        <f t="shared" si="65"/>
        <v/>
      </c>
      <c r="AL34" s="482" t="b">
        <f t="shared" si="21"/>
        <v>1</v>
      </c>
      <c r="AM34" s="422" t="str">
        <f t="shared" ref="AM34:AM53" si="84">V34</f>
        <v/>
      </c>
      <c r="AN34" s="422" t="str">
        <f t="shared" si="67"/>
        <v/>
      </c>
      <c r="AO34" s="422" t="str">
        <f t="shared" si="9"/>
        <v/>
      </c>
      <c r="AP34" s="422" t="str">
        <f t="shared" si="68"/>
        <v/>
      </c>
      <c r="AQ34" s="422" t="str">
        <f t="shared" si="69"/>
        <v/>
      </c>
      <c r="AR34" s="422" t="str">
        <f>IF(AQ34&lt;&gt;"義務","",SUMIFS(非_まとめ表行番号!$N$3:$N$20,非_まとめ表行番号!$J$3:$J$20,AM34,非_まとめ表行番号!$K$3:$K$20,AN34,非_まとめ表行番号!$L$3:$L$20,AO34,非_まとめ表行番号!$M$3:$M$20,AP34))</f>
        <v/>
      </c>
      <c r="AS34" s="422" t="str">
        <f>IF(AQ34&lt;&gt;"義務","",SUMIFS(非_まとめ表行番号!$O$3:$O$20,非_まとめ表行番号!$J$3:$J$20,AM34,非_まとめ表行番号!$K$3:$K$20,AN34,非_まとめ表行番号!$L$3:$L$20,AO34,非_まとめ表行番号!$M$3:$M$20,AP34))</f>
        <v/>
      </c>
      <c r="AT34" s="422" t="str">
        <f t="shared" si="70"/>
        <v/>
      </c>
      <c r="AV34" s="479" t="str">
        <f>IF(AR34="","",VLOOKUP(AR34,非_まとめ表行番号!$U$3:$V$56,2,FALSE))</f>
        <v/>
      </c>
      <c r="AW34" s="479" t="str">
        <f>IF(C34="","",VLOOKUP(C34,非_燃料種類_選択リスト!$X$2:$Y$14,2,FALSE))</f>
        <v/>
      </c>
      <c r="AX34" s="479" t="str">
        <f>IF(D34="","",VLOOKUP(D34,非_燃料種類_選択リスト!$X$18:$Y$24,2,FALSE))</f>
        <v/>
      </c>
      <c r="AY34" s="485" t="str">
        <f t="shared" si="82"/>
        <v/>
      </c>
      <c r="AZ34" s="479" t="str">
        <f t="shared" si="71"/>
        <v/>
      </c>
      <c r="BA34" s="479" t="str">
        <f t="shared" si="71"/>
        <v/>
      </c>
      <c r="BB34" s="479" t="str">
        <f t="shared" si="72"/>
        <v/>
      </c>
      <c r="BC34" s="581" t="str">
        <f t="shared" si="83"/>
        <v/>
      </c>
      <c r="BE34" s="584" t="str">
        <f>IF(AND(A34="",B34=""),"",IF(AN34="有",0,VLOOKUP(B34,非_係数!$B$42:$J$55,9,FALSE)))</f>
        <v/>
      </c>
      <c r="BF34" s="584" t="str">
        <f t="shared" si="73"/>
        <v/>
      </c>
    </row>
    <row r="35" spans="1:58" ht="18.75" customHeight="1">
      <c r="A35" s="460"/>
      <c r="B35" s="368"/>
      <c r="C35" s="368"/>
      <c r="D35" s="369"/>
      <c r="E35" s="371"/>
      <c r="F35" s="368"/>
      <c r="G35" s="547" t="str">
        <f t="shared" ref="G35:G39" si="85">AE35</f>
        <v/>
      </c>
      <c r="H35" s="368"/>
      <c r="I35" s="417" t="str">
        <f t="shared" si="57"/>
        <v/>
      </c>
      <c r="J35" s="368"/>
      <c r="K35" s="418"/>
      <c r="L35" s="368"/>
      <c r="M35" s="368"/>
      <c r="N35" s="415"/>
      <c r="O35" s="445"/>
      <c r="P35" s="548" t="str">
        <f t="shared" si="75"/>
        <v/>
      </c>
      <c r="Q35" s="549" t="str">
        <f t="shared" ref="Q35:Q39" si="86">AH35</f>
        <v/>
      </c>
      <c r="R35" s="550" t="str">
        <f>IF(B35="","",VLOOKUP(B35,非_単位!$N$38:$O$53,2,FALSE))</f>
        <v/>
      </c>
      <c r="S35" s="551" t="str">
        <f t="shared" ref="S35:S39" si="87">AI35</f>
        <v/>
      </c>
      <c r="T35" s="539" t="str">
        <f t="shared" ref="T35:T39" si="88">AK35</f>
        <v/>
      </c>
      <c r="V35" s="422" t="str">
        <f t="shared" si="58"/>
        <v/>
      </c>
      <c r="W35" s="422" t="str">
        <f t="shared" ref="W35:W39" si="89">IF(V35="電気","再エネ_事業所外_電気_種類",IF(V35="熱","再エネ_事業所外_熱_種類",""))</f>
        <v/>
      </c>
      <c r="X35" s="422" t="str">
        <f t="shared" si="59"/>
        <v/>
      </c>
      <c r="Y35" s="422" t="str">
        <f t="shared" si="60"/>
        <v/>
      </c>
      <c r="Z35" s="422"/>
      <c r="AA35" s="484" t="str">
        <f t="shared" si="80"/>
        <v/>
      </c>
      <c r="AB35" s="422" t="str">
        <f t="shared" si="61"/>
        <v/>
      </c>
      <c r="AC35" s="422" t="str">
        <f t="shared" ref="AC35:AC39" si="90">IF(V35="","","自家消費以外")</f>
        <v/>
      </c>
      <c r="AD35" s="422"/>
      <c r="AE35" s="422" t="str">
        <f>IF(B35="","",IF(B35="電気_仮想電力購入契約","",VLOOKUP(B35,非_係数!$B$42:$D$55,2,FALSE)))</f>
        <v/>
      </c>
      <c r="AF35" s="422" t="str">
        <f>IF(V35="電気",非_電気事業者!$S$4*1000,IF(V35="熱",非_熱供給事業者!$T$4,""))</f>
        <v/>
      </c>
      <c r="AG35" s="422" t="str">
        <f>IF(M35="","",VLOOKUP(M35,非_単位補正換算!$B$3:$C$16,2,FALSE))</f>
        <v/>
      </c>
      <c r="AH35" s="422" t="str">
        <f t="shared" si="62"/>
        <v/>
      </c>
      <c r="AI35" s="422" t="str">
        <f t="shared" si="63"/>
        <v/>
      </c>
      <c r="AJ35" s="422">
        <f t="shared" si="64"/>
        <v>1</v>
      </c>
      <c r="AK35" s="422" t="str">
        <f t="shared" si="65"/>
        <v/>
      </c>
      <c r="AL35" s="482" t="b">
        <f t="shared" si="21"/>
        <v>1</v>
      </c>
      <c r="AM35" s="422" t="str">
        <f t="shared" ref="AM35:AM39" si="91">V35</f>
        <v/>
      </c>
      <c r="AN35" s="422" t="str">
        <f t="shared" si="67"/>
        <v/>
      </c>
      <c r="AO35" s="422" t="str">
        <f t="shared" si="9"/>
        <v/>
      </c>
      <c r="AP35" s="422" t="str">
        <f t="shared" si="68"/>
        <v/>
      </c>
      <c r="AQ35" s="422" t="str">
        <f t="shared" si="69"/>
        <v/>
      </c>
      <c r="AR35" s="422" t="str">
        <f>IF(AQ35&lt;&gt;"義務","",SUMIFS(非_まとめ表行番号!$N$3:$N$20,非_まとめ表行番号!$J$3:$J$20,AM35,非_まとめ表行番号!$K$3:$K$20,AN35,非_まとめ表行番号!$L$3:$L$20,AO35,非_まとめ表行番号!$M$3:$M$20,AP35))</f>
        <v/>
      </c>
      <c r="AS35" s="422" t="str">
        <f>IF(AQ35&lt;&gt;"義務","",SUMIFS(非_まとめ表行番号!$O$3:$O$20,非_まとめ表行番号!$J$3:$J$20,AM35,非_まとめ表行番号!$K$3:$K$20,AN35,非_まとめ表行番号!$L$3:$L$20,AO35,非_まとめ表行番号!$M$3:$M$20,AP35))</f>
        <v/>
      </c>
      <c r="AT35" s="422" t="str">
        <f t="shared" si="70"/>
        <v/>
      </c>
      <c r="AV35" s="479" t="str">
        <f>IF(AR35="","",VLOOKUP(AR35,非_まとめ表行番号!$U$3:$V$56,2,FALSE))</f>
        <v/>
      </c>
      <c r="AW35" s="479" t="str">
        <f>IF(C35="","",VLOOKUP(C35,非_燃料種類_選択リスト!$X$2:$Y$14,2,FALSE))</f>
        <v/>
      </c>
      <c r="AX35" s="479" t="str">
        <f>IF(D35="","",VLOOKUP(D35,非_燃料種類_選択リスト!$X$18:$Y$24,2,FALSE))</f>
        <v/>
      </c>
      <c r="AY35" s="485" t="str">
        <f t="shared" si="82"/>
        <v/>
      </c>
      <c r="AZ35" s="479" t="str">
        <f t="shared" si="71"/>
        <v/>
      </c>
      <c r="BA35" s="479" t="str">
        <f t="shared" si="71"/>
        <v/>
      </c>
      <c r="BB35" s="479" t="str">
        <f t="shared" si="72"/>
        <v/>
      </c>
      <c r="BC35" s="581" t="str">
        <f t="shared" si="83"/>
        <v/>
      </c>
      <c r="BE35" s="584" t="str">
        <f>IF(AND(A35="",B35=""),"",IF(AN35="有",0,VLOOKUP(B35,非_係数!$B$42:$J$55,9,FALSE)))</f>
        <v/>
      </c>
      <c r="BF35" s="584" t="str">
        <f t="shared" si="73"/>
        <v/>
      </c>
    </row>
    <row r="36" spans="1:58" ht="18.75" customHeight="1">
      <c r="A36" s="460"/>
      <c r="B36" s="368"/>
      <c r="C36" s="368"/>
      <c r="D36" s="369"/>
      <c r="E36" s="371"/>
      <c r="F36" s="368"/>
      <c r="G36" s="547" t="str">
        <f t="shared" si="85"/>
        <v/>
      </c>
      <c r="H36" s="368"/>
      <c r="I36" s="417" t="str">
        <f t="shared" si="57"/>
        <v/>
      </c>
      <c r="J36" s="368"/>
      <c r="K36" s="418"/>
      <c r="L36" s="368"/>
      <c r="M36" s="368"/>
      <c r="N36" s="415"/>
      <c r="O36" s="445"/>
      <c r="P36" s="548" t="str">
        <f t="shared" si="75"/>
        <v/>
      </c>
      <c r="Q36" s="549" t="str">
        <f t="shared" si="86"/>
        <v/>
      </c>
      <c r="R36" s="550" t="str">
        <f>IF(B36="","",VLOOKUP(B36,非_単位!$N$38:$O$53,2,FALSE))</f>
        <v/>
      </c>
      <c r="S36" s="551" t="str">
        <f t="shared" si="87"/>
        <v/>
      </c>
      <c r="T36" s="539" t="str">
        <f t="shared" si="88"/>
        <v/>
      </c>
      <c r="V36" s="422" t="str">
        <f t="shared" si="58"/>
        <v/>
      </c>
      <c r="W36" s="422" t="str">
        <f t="shared" si="89"/>
        <v/>
      </c>
      <c r="X36" s="422" t="str">
        <f t="shared" si="59"/>
        <v/>
      </c>
      <c r="Y36" s="422" t="str">
        <f t="shared" si="60"/>
        <v/>
      </c>
      <c r="Z36" s="422"/>
      <c r="AA36" s="484" t="str">
        <f t="shared" si="80"/>
        <v/>
      </c>
      <c r="AB36" s="422" t="str">
        <f t="shared" si="61"/>
        <v/>
      </c>
      <c r="AC36" s="422" t="str">
        <f t="shared" si="90"/>
        <v/>
      </c>
      <c r="AD36" s="422"/>
      <c r="AE36" s="422" t="str">
        <f>IF(B36="","",IF(B36="電気_仮想電力購入契約","",VLOOKUP(B36,非_係数!$B$42:$D$55,2,FALSE)))</f>
        <v/>
      </c>
      <c r="AF36" s="422" t="str">
        <f>IF(V36="電気",非_電気事業者!$S$4*1000,IF(V36="熱",非_熱供給事業者!$T$4,""))</f>
        <v/>
      </c>
      <c r="AG36" s="422" t="str">
        <f>IF(M36="","",VLOOKUP(M36,非_単位補正換算!$B$3:$C$16,2,FALSE))</f>
        <v/>
      </c>
      <c r="AH36" s="422" t="str">
        <f t="shared" si="62"/>
        <v/>
      </c>
      <c r="AI36" s="422" t="str">
        <f t="shared" si="63"/>
        <v/>
      </c>
      <c r="AJ36" s="422">
        <f t="shared" si="64"/>
        <v>1</v>
      </c>
      <c r="AK36" s="422" t="str">
        <f t="shared" si="65"/>
        <v/>
      </c>
      <c r="AL36" s="482" t="b">
        <f t="shared" si="21"/>
        <v>1</v>
      </c>
      <c r="AM36" s="422" t="str">
        <f t="shared" si="91"/>
        <v/>
      </c>
      <c r="AN36" s="422" t="str">
        <f t="shared" si="67"/>
        <v/>
      </c>
      <c r="AO36" s="422" t="str">
        <f t="shared" si="9"/>
        <v/>
      </c>
      <c r="AP36" s="422" t="str">
        <f t="shared" si="68"/>
        <v/>
      </c>
      <c r="AQ36" s="422" t="str">
        <f t="shared" si="69"/>
        <v/>
      </c>
      <c r="AR36" s="422" t="str">
        <f>IF(AQ36&lt;&gt;"義務","",SUMIFS(非_まとめ表行番号!$N$3:$N$20,非_まとめ表行番号!$J$3:$J$20,AM36,非_まとめ表行番号!$K$3:$K$20,AN36,非_まとめ表行番号!$L$3:$L$20,AO36,非_まとめ表行番号!$M$3:$M$20,AP36))</f>
        <v/>
      </c>
      <c r="AS36" s="422" t="str">
        <f>IF(AQ36&lt;&gt;"義務","",SUMIFS(非_まとめ表行番号!$O$3:$O$20,非_まとめ表行番号!$J$3:$J$20,AM36,非_まとめ表行番号!$K$3:$K$20,AN36,非_まとめ表行番号!$L$3:$L$20,AO36,非_まとめ表行番号!$M$3:$M$20,AP36))</f>
        <v/>
      </c>
      <c r="AT36" s="422" t="str">
        <f t="shared" si="70"/>
        <v/>
      </c>
      <c r="AV36" s="479" t="str">
        <f>IF(AR36="","",VLOOKUP(AR36,非_まとめ表行番号!$U$3:$V$56,2,FALSE))</f>
        <v/>
      </c>
      <c r="AW36" s="479" t="str">
        <f>IF(C36="","",VLOOKUP(C36,非_燃料種類_選択リスト!$X$2:$Y$14,2,FALSE))</f>
        <v/>
      </c>
      <c r="AX36" s="479" t="str">
        <f>IF(D36="","",VLOOKUP(D36,非_燃料種類_選択リスト!$X$18:$Y$24,2,FALSE))</f>
        <v/>
      </c>
      <c r="AY36" s="485" t="str">
        <f t="shared" si="82"/>
        <v/>
      </c>
      <c r="AZ36" s="479" t="str">
        <f t="shared" si="71"/>
        <v/>
      </c>
      <c r="BA36" s="479" t="str">
        <f t="shared" si="71"/>
        <v/>
      </c>
      <c r="BB36" s="479" t="str">
        <f t="shared" si="72"/>
        <v/>
      </c>
      <c r="BC36" s="581" t="str">
        <f t="shared" si="83"/>
        <v/>
      </c>
      <c r="BE36" s="584" t="str">
        <f>IF(AND(A36="",B36=""),"",IF(AN36="有",0,VLOOKUP(B36,非_係数!$B$42:$J$55,9,FALSE)))</f>
        <v/>
      </c>
      <c r="BF36" s="584" t="str">
        <f t="shared" si="73"/>
        <v/>
      </c>
    </row>
    <row r="37" spans="1:58" ht="18.75" customHeight="1">
      <c r="A37" s="460"/>
      <c r="B37" s="368"/>
      <c r="C37" s="368"/>
      <c r="D37" s="369"/>
      <c r="E37" s="371"/>
      <c r="F37" s="368"/>
      <c r="G37" s="547" t="str">
        <f t="shared" si="85"/>
        <v/>
      </c>
      <c r="H37" s="368"/>
      <c r="I37" s="417" t="str">
        <f t="shared" si="57"/>
        <v/>
      </c>
      <c r="J37" s="368"/>
      <c r="K37" s="418"/>
      <c r="L37" s="368"/>
      <c r="M37" s="368"/>
      <c r="N37" s="415"/>
      <c r="O37" s="445"/>
      <c r="P37" s="548" t="str">
        <f t="shared" si="75"/>
        <v/>
      </c>
      <c r="Q37" s="549" t="str">
        <f t="shared" si="86"/>
        <v/>
      </c>
      <c r="R37" s="550" t="str">
        <f>IF(B37="","",VLOOKUP(B37,非_単位!$N$38:$O$53,2,FALSE))</f>
        <v/>
      </c>
      <c r="S37" s="551" t="str">
        <f t="shared" si="87"/>
        <v/>
      </c>
      <c r="T37" s="539" t="str">
        <f t="shared" si="88"/>
        <v/>
      </c>
      <c r="V37" s="422" t="str">
        <f t="shared" si="58"/>
        <v/>
      </c>
      <c r="W37" s="422" t="str">
        <f t="shared" si="89"/>
        <v/>
      </c>
      <c r="X37" s="422" t="str">
        <f t="shared" si="59"/>
        <v/>
      </c>
      <c r="Y37" s="422" t="str">
        <f t="shared" si="60"/>
        <v/>
      </c>
      <c r="Z37" s="422"/>
      <c r="AA37" s="484" t="str">
        <f t="shared" si="80"/>
        <v/>
      </c>
      <c r="AB37" s="422" t="str">
        <f t="shared" si="61"/>
        <v/>
      </c>
      <c r="AC37" s="422" t="str">
        <f t="shared" si="90"/>
        <v/>
      </c>
      <c r="AD37" s="422"/>
      <c r="AE37" s="422" t="str">
        <f>IF(B37="","",IF(B37="電気_仮想電力購入契約","",VLOOKUP(B37,非_係数!$B$42:$D$55,2,FALSE)))</f>
        <v/>
      </c>
      <c r="AF37" s="422" t="str">
        <f>IF(V37="電気",非_電気事業者!$S$4*1000,IF(V37="熱",非_熱供給事業者!$T$4,""))</f>
        <v/>
      </c>
      <c r="AG37" s="422" t="str">
        <f>IF(M37="","",VLOOKUP(M37,非_単位補正換算!$B$3:$C$16,2,FALSE))</f>
        <v/>
      </c>
      <c r="AH37" s="422" t="str">
        <f t="shared" si="62"/>
        <v/>
      </c>
      <c r="AI37" s="422" t="str">
        <f t="shared" si="63"/>
        <v/>
      </c>
      <c r="AJ37" s="422">
        <f t="shared" si="64"/>
        <v>1</v>
      </c>
      <c r="AK37" s="422" t="str">
        <f t="shared" si="65"/>
        <v/>
      </c>
      <c r="AL37" s="482" t="b">
        <f t="shared" si="21"/>
        <v>1</v>
      </c>
      <c r="AM37" s="422" t="str">
        <f t="shared" si="91"/>
        <v/>
      </c>
      <c r="AN37" s="422" t="str">
        <f t="shared" si="67"/>
        <v/>
      </c>
      <c r="AO37" s="422" t="str">
        <f t="shared" si="9"/>
        <v/>
      </c>
      <c r="AP37" s="422" t="str">
        <f t="shared" si="68"/>
        <v/>
      </c>
      <c r="AQ37" s="422" t="str">
        <f t="shared" si="69"/>
        <v/>
      </c>
      <c r="AR37" s="422" t="str">
        <f>IF(AQ37&lt;&gt;"義務","",SUMIFS(非_まとめ表行番号!$N$3:$N$20,非_まとめ表行番号!$J$3:$J$20,AM37,非_まとめ表行番号!$K$3:$K$20,AN37,非_まとめ表行番号!$L$3:$L$20,AO37,非_まとめ表行番号!$M$3:$M$20,AP37))</f>
        <v/>
      </c>
      <c r="AS37" s="422" t="str">
        <f>IF(AQ37&lt;&gt;"義務","",SUMIFS(非_まとめ表行番号!$O$3:$O$20,非_まとめ表行番号!$J$3:$J$20,AM37,非_まとめ表行番号!$K$3:$K$20,AN37,非_まとめ表行番号!$L$3:$L$20,AO37,非_まとめ表行番号!$M$3:$M$20,AP37))</f>
        <v/>
      </c>
      <c r="AT37" s="422" t="str">
        <f t="shared" si="70"/>
        <v/>
      </c>
      <c r="AV37" s="479" t="str">
        <f>IF(AR37="","",VLOOKUP(AR37,非_まとめ表行番号!$U$3:$V$56,2,FALSE))</f>
        <v/>
      </c>
      <c r="AW37" s="479" t="str">
        <f>IF(C37="","",VLOOKUP(C37,非_燃料種類_選択リスト!$X$2:$Y$14,2,FALSE))</f>
        <v/>
      </c>
      <c r="AX37" s="479" t="str">
        <f>IF(D37="","",VLOOKUP(D37,非_燃料種類_選択リスト!$X$18:$Y$24,2,FALSE))</f>
        <v/>
      </c>
      <c r="AY37" s="485" t="str">
        <f t="shared" si="82"/>
        <v/>
      </c>
      <c r="AZ37" s="479" t="str">
        <f t="shared" si="71"/>
        <v/>
      </c>
      <c r="BA37" s="479" t="str">
        <f t="shared" si="71"/>
        <v/>
      </c>
      <c r="BB37" s="479" t="str">
        <f t="shared" si="72"/>
        <v/>
      </c>
      <c r="BC37" s="581" t="str">
        <f t="shared" si="83"/>
        <v/>
      </c>
      <c r="BE37" s="584" t="str">
        <f>IF(AND(A37="",B37=""),"",IF(AN37="有",0,VLOOKUP(B37,非_係数!$B$42:$J$55,9,FALSE)))</f>
        <v/>
      </c>
      <c r="BF37" s="584" t="str">
        <f t="shared" si="73"/>
        <v/>
      </c>
    </row>
    <row r="38" spans="1:58" ht="18.75" customHeight="1">
      <c r="A38" s="460"/>
      <c r="B38" s="368"/>
      <c r="C38" s="368"/>
      <c r="D38" s="369"/>
      <c r="E38" s="371"/>
      <c r="F38" s="368"/>
      <c r="G38" s="547" t="str">
        <f t="shared" si="85"/>
        <v/>
      </c>
      <c r="H38" s="368"/>
      <c r="I38" s="417" t="str">
        <f t="shared" si="57"/>
        <v/>
      </c>
      <c r="J38" s="368"/>
      <c r="K38" s="418"/>
      <c r="L38" s="368"/>
      <c r="M38" s="368"/>
      <c r="N38" s="415"/>
      <c r="O38" s="445"/>
      <c r="P38" s="548" t="str">
        <f t="shared" si="75"/>
        <v/>
      </c>
      <c r="Q38" s="549" t="str">
        <f t="shared" si="86"/>
        <v/>
      </c>
      <c r="R38" s="550" t="str">
        <f>IF(B38="","",VLOOKUP(B38,非_単位!$N$38:$O$53,2,FALSE))</f>
        <v/>
      </c>
      <c r="S38" s="551" t="str">
        <f t="shared" si="87"/>
        <v/>
      </c>
      <c r="T38" s="539" t="str">
        <f t="shared" si="88"/>
        <v/>
      </c>
      <c r="V38" s="422" t="str">
        <f t="shared" si="58"/>
        <v/>
      </c>
      <c r="W38" s="422" t="str">
        <f t="shared" si="89"/>
        <v/>
      </c>
      <c r="X38" s="422" t="str">
        <f t="shared" si="59"/>
        <v/>
      </c>
      <c r="Y38" s="422" t="str">
        <f t="shared" si="60"/>
        <v/>
      </c>
      <c r="Z38" s="422"/>
      <c r="AA38" s="484" t="str">
        <f t="shared" si="80"/>
        <v/>
      </c>
      <c r="AB38" s="422" t="str">
        <f t="shared" si="61"/>
        <v/>
      </c>
      <c r="AC38" s="422" t="str">
        <f t="shared" si="90"/>
        <v/>
      </c>
      <c r="AD38" s="422"/>
      <c r="AE38" s="422" t="str">
        <f>IF(B38="","",IF(B38="電気_仮想電力購入契約","",VLOOKUP(B38,非_係数!$B$42:$D$55,2,FALSE)))</f>
        <v/>
      </c>
      <c r="AF38" s="422" t="str">
        <f>IF(V38="電気",非_電気事業者!$S$4*1000,IF(V38="熱",非_熱供給事業者!$T$4,""))</f>
        <v/>
      </c>
      <c r="AG38" s="422" t="str">
        <f>IF(M38="","",VLOOKUP(M38,非_単位補正換算!$B$3:$C$16,2,FALSE))</f>
        <v/>
      </c>
      <c r="AH38" s="422" t="str">
        <f t="shared" si="62"/>
        <v/>
      </c>
      <c r="AI38" s="422" t="str">
        <f t="shared" si="63"/>
        <v/>
      </c>
      <c r="AJ38" s="422">
        <f t="shared" si="64"/>
        <v>1</v>
      </c>
      <c r="AK38" s="422" t="str">
        <f t="shared" si="65"/>
        <v/>
      </c>
      <c r="AL38" s="482" t="b">
        <f t="shared" si="21"/>
        <v>1</v>
      </c>
      <c r="AM38" s="422" t="str">
        <f t="shared" si="91"/>
        <v/>
      </c>
      <c r="AN38" s="422" t="str">
        <f t="shared" si="67"/>
        <v/>
      </c>
      <c r="AO38" s="422" t="str">
        <f t="shared" si="9"/>
        <v/>
      </c>
      <c r="AP38" s="422" t="str">
        <f t="shared" si="68"/>
        <v/>
      </c>
      <c r="AQ38" s="422" t="str">
        <f t="shared" si="69"/>
        <v/>
      </c>
      <c r="AR38" s="422" t="str">
        <f>IF(AQ38&lt;&gt;"義務","",SUMIFS(非_まとめ表行番号!$N$3:$N$20,非_まとめ表行番号!$J$3:$J$20,AM38,非_まとめ表行番号!$K$3:$K$20,AN38,非_まとめ表行番号!$L$3:$L$20,AO38,非_まとめ表行番号!$M$3:$M$20,AP38))</f>
        <v/>
      </c>
      <c r="AS38" s="422" t="str">
        <f>IF(AQ38&lt;&gt;"義務","",SUMIFS(非_まとめ表行番号!$O$3:$O$20,非_まとめ表行番号!$J$3:$J$20,AM38,非_まとめ表行番号!$K$3:$K$20,AN38,非_まとめ表行番号!$L$3:$L$20,AO38,非_まとめ表行番号!$M$3:$M$20,AP38))</f>
        <v/>
      </c>
      <c r="AT38" s="422" t="str">
        <f t="shared" si="70"/>
        <v/>
      </c>
      <c r="AV38" s="479" t="str">
        <f>IF(AR38="","",VLOOKUP(AR38,非_まとめ表行番号!$U$3:$V$56,2,FALSE))</f>
        <v/>
      </c>
      <c r="AW38" s="479" t="str">
        <f>IF(C38="","",VLOOKUP(C38,非_燃料種類_選択リスト!$X$2:$Y$14,2,FALSE))</f>
        <v/>
      </c>
      <c r="AX38" s="479" t="str">
        <f>IF(D38="","",VLOOKUP(D38,非_燃料種類_選択リスト!$X$18:$Y$24,2,FALSE))</f>
        <v/>
      </c>
      <c r="AY38" s="485" t="str">
        <f t="shared" si="82"/>
        <v/>
      </c>
      <c r="AZ38" s="479" t="str">
        <f t="shared" si="71"/>
        <v/>
      </c>
      <c r="BA38" s="479" t="str">
        <f t="shared" si="71"/>
        <v/>
      </c>
      <c r="BB38" s="479" t="str">
        <f t="shared" si="72"/>
        <v/>
      </c>
      <c r="BC38" s="581" t="str">
        <f t="shared" si="83"/>
        <v/>
      </c>
      <c r="BE38" s="584" t="str">
        <f>IF(AND(A38="",B38=""),"",IF(AN38="有",0,VLOOKUP(B38,非_係数!$B$42:$J$55,9,FALSE)))</f>
        <v/>
      </c>
      <c r="BF38" s="584" t="str">
        <f t="shared" si="73"/>
        <v/>
      </c>
    </row>
    <row r="39" spans="1:58" ht="18.75" customHeight="1">
      <c r="A39" s="460"/>
      <c r="B39" s="368"/>
      <c r="C39" s="368"/>
      <c r="D39" s="369"/>
      <c r="E39" s="371"/>
      <c r="F39" s="368"/>
      <c r="G39" s="547" t="str">
        <f t="shared" si="85"/>
        <v/>
      </c>
      <c r="H39" s="368"/>
      <c r="I39" s="417" t="str">
        <f t="shared" si="57"/>
        <v/>
      </c>
      <c r="J39" s="368"/>
      <c r="K39" s="418"/>
      <c r="L39" s="368"/>
      <c r="M39" s="368"/>
      <c r="N39" s="415"/>
      <c r="O39" s="445"/>
      <c r="P39" s="548" t="str">
        <f t="shared" si="75"/>
        <v/>
      </c>
      <c r="Q39" s="549" t="str">
        <f t="shared" si="86"/>
        <v/>
      </c>
      <c r="R39" s="550" t="str">
        <f>IF(B39="","",VLOOKUP(B39,非_単位!$N$38:$O$53,2,FALSE))</f>
        <v/>
      </c>
      <c r="S39" s="551" t="str">
        <f t="shared" si="87"/>
        <v/>
      </c>
      <c r="T39" s="539" t="str">
        <f t="shared" si="88"/>
        <v/>
      </c>
      <c r="V39" s="422" t="str">
        <f t="shared" si="58"/>
        <v/>
      </c>
      <c r="W39" s="422" t="str">
        <f t="shared" si="89"/>
        <v/>
      </c>
      <c r="X39" s="422" t="str">
        <f t="shared" si="59"/>
        <v/>
      </c>
      <c r="Y39" s="422" t="str">
        <f t="shared" si="60"/>
        <v/>
      </c>
      <c r="Z39" s="422"/>
      <c r="AA39" s="484" t="str">
        <f t="shared" si="80"/>
        <v/>
      </c>
      <c r="AB39" s="422" t="str">
        <f t="shared" si="61"/>
        <v/>
      </c>
      <c r="AC39" s="422" t="str">
        <f t="shared" si="90"/>
        <v/>
      </c>
      <c r="AD39" s="422"/>
      <c r="AE39" s="422" t="str">
        <f>IF(B39="","",IF(B39="電気_仮想電力購入契約","",VLOOKUP(B39,非_係数!$B$42:$D$55,2,FALSE)))</f>
        <v/>
      </c>
      <c r="AF39" s="422" t="str">
        <f>IF(V39="電気",非_電気事業者!$S$4*1000,IF(V39="熱",非_熱供給事業者!$T$4,""))</f>
        <v/>
      </c>
      <c r="AG39" s="422" t="str">
        <f>IF(M39="","",VLOOKUP(M39,非_単位補正換算!$B$3:$C$16,2,FALSE))</f>
        <v/>
      </c>
      <c r="AH39" s="422" t="str">
        <f t="shared" si="62"/>
        <v/>
      </c>
      <c r="AI39" s="422" t="str">
        <f t="shared" si="63"/>
        <v/>
      </c>
      <c r="AJ39" s="422">
        <f t="shared" si="64"/>
        <v>1</v>
      </c>
      <c r="AK39" s="422" t="str">
        <f t="shared" si="65"/>
        <v/>
      </c>
      <c r="AL39" s="482" t="b">
        <f t="shared" si="21"/>
        <v>1</v>
      </c>
      <c r="AM39" s="422" t="str">
        <f t="shared" si="91"/>
        <v/>
      </c>
      <c r="AN39" s="422" t="str">
        <f t="shared" si="67"/>
        <v/>
      </c>
      <c r="AO39" s="422" t="str">
        <f t="shared" ref="AO39:AO64" si="92">AC39&amp;IF(B39="電気_仮想電力購入契約","_仮想電力購入契約","")</f>
        <v/>
      </c>
      <c r="AP39" s="422" t="str">
        <f t="shared" si="68"/>
        <v/>
      </c>
      <c r="AQ39" s="422" t="str">
        <f t="shared" si="69"/>
        <v/>
      </c>
      <c r="AR39" s="422" t="str">
        <f>IF(AQ39&lt;&gt;"義務","",SUMIFS(非_まとめ表行番号!$N$3:$N$20,非_まとめ表行番号!$J$3:$J$20,AM39,非_まとめ表行番号!$K$3:$K$20,AN39,非_まとめ表行番号!$L$3:$L$20,AO39,非_まとめ表行番号!$M$3:$M$20,AP39))</f>
        <v/>
      </c>
      <c r="AS39" s="422" t="str">
        <f>IF(AQ39&lt;&gt;"義務","",SUMIFS(非_まとめ表行番号!$O$3:$O$20,非_まとめ表行番号!$J$3:$J$20,AM39,非_まとめ表行番号!$K$3:$K$20,AN39,非_まとめ表行番号!$L$3:$L$20,AO39,非_まとめ表行番号!$M$3:$M$20,AP39))</f>
        <v/>
      </c>
      <c r="AT39" s="422" t="str">
        <f t="shared" si="70"/>
        <v/>
      </c>
      <c r="AV39" s="479" t="str">
        <f>IF(AR39="","",VLOOKUP(AR39,非_まとめ表行番号!$U$3:$V$56,2,FALSE))</f>
        <v/>
      </c>
      <c r="AW39" s="479" t="str">
        <f>IF(C39="","",VLOOKUP(C39,非_燃料種類_選択リスト!$X$2:$Y$14,2,FALSE))</f>
        <v/>
      </c>
      <c r="AX39" s="479" t="str">
        <f>IF(D39="","",VLOOKUP(D39,非_燃料種類_選択リスト!$X$18:$Y$24,2,FALSE))</f>
        <v/>
      </c>
      <c r="AY39" s="485" t="str">
        <f t="shared" si="82"/>
        <v/>
      </c>
      <c r="AZ39" s="479" t="str">
        <f t="shared" si="71"/>
        <v/>
      </c>
      <c r="BA39" s="479" t="str">
        <f t="shared" si="71"/>
        <v/>
      </c>
      <c r="BB39" s="479" t="str">
        <f t="shared" si="72"/>
        <v/>
      </c>
      <c r="BC39" s="581" t="str">
        <f t="shared" si="83"/>
        <v/>
      </c>
      <c r="BE39" s="584" t="str">
        <f>IF(AND(A39="",B39=""),"",IF(AN39="有",0,VLOOKUP(B39,非_係数!$B$42:$J$55,9,FALSE)))</f>
        <v/>
      </c>
      <c r="BF39" s="584" t="str">
        <f t="shared" si="73"/>
        <v/>
      </c>
    </row>
    <row r="40" spans="1:58" ht="18.75" customHeight="1">
      <c r="A40" s="460"/>
      <c r="B40" s="368"/>
      <c r="C40" s="368"/>
      <c r="D40" s="369"/>
      <c r="E40" s="371"/>
      <c r="F40" s="368"/>
      <c r="G40" s="547" t="str">
        <f t="shared" si="74"/>
        <v/>
      </c>
      <c r="H40" s="368"/>
      <c r="I40" s="417" t="str">
        <f t="shared" si="57"/>
        <v/>
      </c>
      <c r="J40" s="368"/>
      <c r="K40" s="418"/>
      <c r="L40" s="368"/>
      <c r="M40" s="368"/>
      <c r="N40" s="415"/>
      <c r="O40" s="445"/>
      <c r="P40" s="548" t="str">
        <f t="shared" si="75"/>
        <v/>
      </c>
      <c r="Q40" s="549" t="str">
        <f t="shared" si="76"/>
        <v/>
      </c>
      <c r="R40" s="550" t="str">
        <f>IF(B40="","",VLOOKUP(B40,非_単位!$N$38:$O$53,2,FALSE))</f>
        <v/>
      </c>
      <c r="S40" s="551" t="str">
        <f t="shared" si="77"/>
        <v/>
      </c>
      <c r="T40" s="539" t="str">
        <f t="shared" si="78"/>
        <v/>
      </c>
      <c r="V40" s="422" t="str">
        <f t="shared" si="58"/>
        <v/>
      </c>
      <c r="W40" s="422" t="str">
        <f t="shared" si="79"/>
        <v/>
      </c>
      <c r="X40" s="422" t="str">
        <f t="shared" si="59"/>
        <v/>
      </c>
      <c r="Y40" s="422" t="str">
        <f t="shared" si="60"/>
        <v/>
      </c>
      <c r="Z40" s="422"/>
      <c r="AA40" s="484" t="str">
        <f t="shared" si="80"/>
        <v/>
      </c>
      <c r="AB40" s="422" t="str">
        <f t="shared" si="61"/>
        <v/>
      </c>
      <c r="AC40" s="422" t="str">
        <f t="shared" si="81"/>
        <v/>
      </c>
      <c r="AD40" s="422"/>
      <c r="AE40" s="422" t="str">
        <f>IF(B40="","",IF(B40="電気_仮想電力購入契約","",VLOOKUP(B40,非_係数!$B$42:$D$55,2,FALSE)))</f>
        <v/>
      </c>
      <c r="AF40" s="422" t="str">
        <f>IF(V40="電気",非_電気事業者!$S$4*1000,IF(V40="熱",非_熱供給事業者!$T$4,""))</f>
        <v/>
      </c>
      <c r="AG40" s="422" t="str">
        <f>IF(M40="","",VLOOKUP(M40,非_単位補正換算!$B$3:$C$16,2,FALSE))</f>
        <v/>
      </c>
      <c r="AH40" s="422" t="str">
        <f t="shared" si="62"/>
        <v/>
      </c>
      <c r="AI40" s="422" t="str">
        <f t="shared" si="63"/>
        <v/>
      </c>
      <c r="AJ40" s="422">
        <f t="shared" si="64"/>
        <v>1</v>
      </c>
      <c r="AK40" s="422" t="str">
        <f t="shared" si="65"/>
        <v/>
      </c>
      <c r="AL40" s="482" t="b">
        <f t="shared" si="21"/>
        <v>1</v>
      </c>
      <c r="AM40" s="422" t="str">
        <f t="shared" si="84"/>
        <v/>
      </c>
      <c r="AN40" s="422" t="str">
        <f t="shared" si="67"/>
        <v/>
      </c>
      <c r="AO40" s="422" t="str">
        <f t="shared" si="92"/>
        <v/>
      </c>
      <c r="AP40" s="422" t="str">
        <f t="shared" si="68"/>
        <v/>
      </c>
      <c r="AQ40" s="422" t="str">
        <f t="shared" si="69"/>
        <v/>
      </c>
      <c r="AR40" s="422" t="str">
        <f>IF(AQ40&lt;&gt;"義務","",SUMIFS(非_まとめ表行番号!$N$3:$N$20,非_まとめ表行番号!$J$3:$J$20,AM40,非_まとめ表行番号!$K$3:$K$20,AN40,非_まとめ表行番号!$L$3:$L$20,AO40,非_まとめ表行番号!$M$3:$M$20,AP40))</f>
        <v/>
      </c>
      <c r="AS40" s="422" t="str">
        <f>IF(AQ40&lt;&gt;"義務","",SUMIFS(非_まとめ表行番号!$O$3:$O$20,非_まとめ表行番号!$J$3:$J$20,AM40,非_まとめ表行番号!$K$3:$K$20,AN40,非_まとめ表行番号!$L$3:$L$20,AO40,非_まとめ表行番号!$M$3:$M$20,AP40))</f>
        <v/>
      </c>
      <c r="AT40" s="422" t="str">
        <f t="shared" si="70"/>
        <v/>
      </c>
      <c r="AV40" s="479" t="str">
        <f>IF(AR40="","",VLOOKUP(AR40,非_まとめ表行番号!$U$3:$V$56,2,FALSE))</f>
        <v/>
      </c>
      <c r="AW40" s="479" t="str">
        <f>IF(C40="","",VLOOKUP(C40,非_燃料種類_選択リスト!$X$2:$Y$14,2,FALSE))</f>
        <v/>
      </c>
      <c r="AX40" s="479" t="str">
        <f>IF(D40="","",VLOOKUP(D40,非_燃料種類_選択リスト!$X$18:$Y$24,2,FALSE))</f>
        <v/>
      </c>
      <c r="AY40" s="485" t="str">
        <f t="shared" si="82"/>
        <v/>
      </c>
      <c r="AZ40" s="479" t="str">
        <f t="shared" si="71"/>
        <v/>
      </c>
      <c r="BA40" s="479" t="str">
        <f t="shared" si="71"/>
        <v/>
      </c>
      <c r="BB40" s="479" t="str">
        <f t="shared" si="72"/>
        <v/>
      </c>
      <c r="BC40" s="581" t="str">
        <f t="shared" si="83"/>
        <v/>
      </c>
      <c r="BE40" s="584" t="str">
        <f>IF(AND(A40="",B40=""),"",IF(AN40="有",0,VLOOKUP(B40,非_係数!$B$42:$J$55,9,FALSE)))</f>
        <v/>
      </c>
      <c r="BF40" s="584" t="str">
        <f t="shared" si="73"/>
        <v/>
      </c>
    </row>
    <row r="41" spans="1:58" ht="18.75" customHeight="1">
      <c r="A41" s="460"/>
      <c r="B41" s="368"/>
      <c r="C41" s="368"/>
      <c r="D41" s="369"/>
      <c r="E41" s="371"/>
      <c r="F41" s="368"/>
      <c r="G41" s="547" t="str">
        <f t="shared" si="74"/>
        <v/>
      </c>
      <c r="H41" s="368"/>
      <c r="I41" s="417" t="str">
        <f t="shared" si="57"/>
        <v/>
      </c>
      <c r="J41" s="368"/>
      <c r="K41" s="418"/>
      <c r="L41" s="368"/>
      <c r="M41" s="368"/>
      <c r="N41" s="415"/>
      <c r="O41" s="445"/>
      <c r="P41" s="548" t="str">
        <f t="shared" si="75"/>
        <v/>
      </c>
      <c r="Q41" s="549" t="str">
        <f t="shared" si="76"/>
        <v/>
      </c>
      <c r="R41" s="550" t="str">
        <f>IF(B41="","",VLOOKUP(B41,非_単位!$N$38:$O$53,2,FALSE))</f>
        <v/>
      </c>
      <c r="S41" s="551" t="str">
        <f t="shared" si="77"/>
        <v/>
      </c>
      <c r="T41" s="539" t="str">
        <f t="shared" si="78"/>
        <v/>
      </c>
      <c r="V41" s="422" t="str">
        <f t="shared" si="58"/>
        <v/>
      </c>
      <c r="W41" s="422" t="str">
        <f t="shared" si="79"/>
        <v/>
      </c>
      <c r="X41" s="422" t="str">
        <f t="shared" si="59"/>
        <v/>
      </c>
      <c r="Y41" s="422" t="str">
        <f t="shared" si="60"/>
        <v/>
      </c>
      <c r="Z41" s="422"/>
      <c r="AA41" s="484" t="str">
        <f t="shared" si="80"/>
        <v/>
      </c>
      <c r="AB41" s="422" t="str">
        <f t="shared" si="61"/>
        <v/>
      </c>
      <c r="AC41" s="422" t="str">
        <f t="shared" si="81"/>
        <v/>
      </c>
      <c r="AD41" s="422"/>
      <c r="AE41" s="422" t="str">
        <f>IF(B41="","",IF(B41="電気_仮想電力購入契約","",VLOOKUP(B41,非_係数!$B$42:$D$55,2,FALSE)))</f>
        <v/>
      </c>
      <c r="AF41" s="422" t="str">
        <f>IF(V41="電気",非_電気事業者!$S$4*1000,IF(V41="熱",非_熱供給事業者!$T$4,""))</f>
        <v/>
      </c>
      <c r="AG41" s="422" t="str">
        <f>IF(M41="","",VLOOKUP(M41,非_単位補正換算!$B$3:$C$16,2,FALSE))</f>
        <v/>
      </c>
      <c r="AH41" s="422" t="str">
        <f t="shared" si="62"/>
        <v/>
      </c>
      <c r="AI41" s="422" t="str">
        <f t="shared" si="63"/>
        <v/>
      </c>
      <c r="AJ41" s="422">
        <f t="shared" si="64"/>
        <v>1</v>
      </c>
      <c r="AK41" s="422" t="str">
        <f t="shared" si="65"/>
        <v/>
      </c>
      <c r="AL41" s="482" t="b">
        <f t="shared" si="21"/>
        <v>1</v>
      </c>
      <c r="AM41" s="422" t="str">
        <f t="shared" si="84"/>
        <v/>
      </c>
      <c r="AN41" s="422" t="str">
        <f t="shared" si="67"/>
        <v/>
      </c>
      <c r="AO41" s="422" t="str">
        <f t="shared" si="92"/>
        <v/>
      </c>
      <c r="AP41" s="422" t="str">
        <f t="shared" si="68"/>
        <v/>
      </c>
      <c r="AQ41" s="422" t="str">
        <f t="shared" si="69"/>
        <v/>
      </c>
      <c r="AR41" s="422" t="str">
        <f>IF(AQ41&lt;&gt;"義務","",SUMIFS(非_まとめ表行番号!$N$3:$N$20,非_まとめ表行番号!$J$3:$J$20,AM41,非_まとめ表行番号!$K$3:$K$20,AN41,非_まとめ表行番号!$L$3:$L$20,AO41,非_まとめ表行番号!$M$3:$M$20,AP41))</f>
        <v/>
      </c>
      <c r="AS41" s="422" t="str">
        <f>IF(AQ41&lt;&gt;"義務","",SUMIFS(非_まとめ表行番号!$O$3:$O$20,非_まとめ表行番号!$J$3:$J$20,AM41,非_まとめ表行番号!$K$3:$K$20,AN41,非_まとめ表行番号!$L$3:$L$20,AO41,非_まとめ表行番号!$M$3:$M$20,AP41))</f>
        <v/>
      </c>
      <c r="AT41" s="422" t="str">
        <f t="shared" si="70"/>
        <v/>
      </c>
      <c r="AV41" s="479" t="str">
        <f>IF(AR41="","",VLOOKUP(AR41,非_まとめ表行番号!$U$3:$V$56,2,FALSE))</f>
        <v/>
      </c>
      <c r="AW41" s="479" t="str">
        <f>IF(C41="","",VLOOKUP(C41,非_燃料種類_選択リスト!$X$2:$Y$14,2,FALSE))</f>
        <v/>
      </c>
      <c r="AX41" s="479" t="str">
        <f>IF(D41="","",VLOOKUP(D41,非_燃料種類_選択リスト!$X$18:$Y$24,2,FALSE))</f>
        <v/>
      </c>
      <c r="AY41" s="485" t="str">
        <f t="shared" si="82"/>
        <v/>
      </c>
      <c r="AZ41" s="479" t="str">
        <f t="shared" si="71"/>
        <v/>
      </c>
      <c r="BA41" s="479" t="str">
        <f t="shared" si="71"/>
        <v/>
      </c>
      <c r="BB41" s="479" t="str">
        <f t="shared" si="72"/>
        <v/>
      </c>
      <c r="BC41" s="581" t="str">
        <f t="shared" si="83"/>
        <v/>
      </c>
      <c r="BE41" s="584" t="str">
        <f>IF(AND(A41="",B41=""),"",IF(AN41="有",0,VLOOKUP(B41,非_係数!$B$42:$J$55,9,FALSE)))</f>
        <v/>
      </c>
      <c r="BF41" s="584" t="str">
        <f t="shared" si="73"/>
        <v/>
      </c>
    </row>
    <row r="42" spans="1:58" ht="18.75" customHeight="1">
      <c r="A42" s="460"/>
      <c r="B42" s="368"/>
      <c r="C42" s="368"/>
      <c r="D42" s="369"/>
      <c r="E42" s="371"/>
      <c r="F42" s="368"/>
      <c r="G42" s="547" t="str">
        <f t="shared" ref="G42:G46" si="93">AE42</f>
        <v/>
      </c>
      <c r="H42" s="368"/>
      <c r="I42" s="417" t="str">
        <f t="shared" si="57"/>
        <v/>
      </c>
      <c r="J42" s="368"/>
      <c r="K42" s="418"/>
      <c r="L42" s="368"/>
      <c r="M42" s="368"/>
      <c r="N42" s="415"/>
      <c r="O42" s="445"/>
      <c r="P42" s="548" t="str">
        <f t="shared" si="75"/>
        <v/>
      </c>
      <c r="Q42" s="549" t="str">
        <f t="shared" ref="Q42:Q46" si="94">AH42</f>
        <v/>
      </c>
      <c r="R42" s="550" t="str">
        <f>IF(B42="","",VLOOKUP(B42,非_単位!$N$38:$O$53,2,FALSE))</f>
        <v/>
      </c>
      <c r="S42" s="551" t="str">
        <f t="shared" ref="S42:S46" si="95">AI42</f>
        <v/>
      </c>
      <c r="T42" s="539" t="str">
        <f t="shared" ref="T42:T46" si="96">AK42</f>
        <v/>
      </c>
      <c r="V42" s="422" t="str">
        <f t="shared" si="58"/>
        <v/>
      </c>
      <c r="W42" s="422" t="str">
        <f t="shared" ref="W42:W46" si="97">IF(V42="電気","再エネ_事業所外_電気_種類",IF(V42="熱","再エネ_事業所外_熱_種類",""))</f>
        <v/>
      </c>
      <c r="X42" s="422" t="str">
        <f t="shared" si="59"/>
        <v/>
      </c>
      <c r="Y42" s="422" t="str">
        <f t="shared" si="60"/>
        <v/>
      </c>
      <c r="Z42" s="422"/>
      <c r="AA42" s="484" t="str">
        <f t="shared" si="80"/>
        <v/>
      </c>
      <c r="AB42" s="422" t="str">
        <f t="shared" si="61"/>
        <v/>
      </c>
      <c r="AC42" s="422" t="str">
        <f t="shared" ref="AC42:AC46" si="98">IF(V42="","","自家消費以外")</f>
        <v/>
      </c>
      <c r="AD42" s="422"/>
      <c r="AE42" s="422" t="str">
        <f>IF(B42="","",IF(B42="電気_仮想電力購入契約","",VLOOKUP(B42,非_係数!$B$42:$D$55,2,FALSE)))</f>
        <v/>
      </c>
      <c r="AF42" s="422" t="str">
        <f>IF(V42="電気",非_電気事業者!$S$4*1000,IF(V42="熱",非_熱供給事業者!$T$4,""))</f>
        <v/>
      </c>
      <c r="AG42" s="422" t="str">
        <f>IF(M42="","",VLOOKUP(M42,非_単位補正換算!$B$3:$C$16,2,FALSE))</f>
        <v/>
      </c>
      <c r="AH42" s="422" t="str">
        <f t="shared" si="62"/>
        <v/>
      </c>
      <c r="AI42" s="422" t="str">
        <f t="shared" si="63"/>
        <v/>
      </c>
      <c r="AJ42" s="422">
        <f t="shared" si="64"/>
        <v>1</v>
      </c>
      <c r="AK42" s="422" t="str">
        <f t="shared" si="65"/>
        <v/>
      </c>
      <c r="AL42" s="482" t="b">
        <f t="shared" si="21"/>
        <v>1</v>
      </c>
      <c r="AM42" s="422" t="str">
        <f t="shared" ref="AM42:AM46" si="99">V42</f>
        <v/>
      </c>
      <c r="AN42" s="422" t="str">
        <f t="shared" si="67"/>
        <v/>
      </c>
      <c r="AO42" s="422" t="str">
        <f t="shared" si="92"/>
        <v/>
      </c>
      <c r="AP42" s="422" t="str">
        <f t="shared" si="68"/>
        <v/>
      </c>
      <c r="AQ42" s="422" t="str">
        <f t="shared" si="69"/>
        <v/>
      </c>
      <c r="AR42" s="422" t="str">
        <f>IF(AQ42&lt;&gt;"義務","",SUMIFS(非_まとめ表行番号!$N$3:$N$20,非_まとめ表行番号!$J$3:$J$20,AM42,非_まとめ表行番号!$K$3:$K$20,AN42,非_まとめ表行番号!$L$3:$L$20,AO42,非_まとめ表行番号!$M$3:$M$20,AP42))</f>
        <v/>
      </c>
      <c r="AS42" s="422" t="str">
        <f>IF(AQ42&lt;&gt;"義務","",SUMIFS(非_まとめ表行番号!$O$3:$O$20,非_まとめ表行番号!$J$3:$J$20,AM42,非_まとめ表行番号!$K$3:$K$20,AN42,非_まとめ表行番号!$L$3:$L$20,AO42,非_まとめ表行番号!$M$3:$M$20,AP42))</f>
        <v/>
      </c>
      <c r="AT42" s="422" t="str">
        <f t="shared" si="70"/>
        <v/>
      </c>
      <c r="AV42" s="479" t="str">
        <f>IF(AR42="","",VLOOKUP(AR42,非_まとめ表行番号!$U$3:$V$56,2,FALSE))</f>
        <v/>
      </c>
      <c r="AW42" s="479" t="str">
        <f>IF(C42="","",VLOOKUP(C42,非_燃料種類_選択リスト!$X$2:$Y$14,2,FALSE))</f>
        <v/>
      </c>
      <c r="AX42" s="479" t="str">
        <f>IF(D42="","",VLOOKUP(D42,非_燃料種類_選択リスト!$X$18:$Y$24,2,FALSE))</f>
        <v/>
      </c>
      <c r="AY42" s="485" t="str">
        <f t="shared" si="82"/>
        <v/>
      </c>
      <c r="AZ42" s="479" t="str">
        <f t="shared" si="71"/>
        <v/>
      </c>
      <c r="BA42" s="479" t="str">
        <f t="shared" si="71"/>
        <v/>
      </c>
      <c r="BB42" s="479" t="str">
        <f t="shared" si="72"/>
        <v/>
      </c>
      <c r="BC42" s="581" t="str">
        <f t="shared" si="83"/>
        <v/>
      </c>
      <c r="BE42" s="584" t="str">
        <f>IF(AND(A42="",B42=""),"",IF(AN42="有",0,VLOOKUP(B42,非_係数!$B$42:$J$55,9,FALSE)))</f>
        <v/>
      </c>
      <c r="BF42" s="584" t="str">
        <f t="shared" si="73"/>
        <v/>
      </c>
    </row>
    <row r="43" spans="1:58" ht="18.75" customHeight="1">
      <c r="A43" s="460"/>
      <c r="B43" s="368"/>
      <c r="C43" s="368"/>
      <c r="D43" s="369"/>
      <c r="E43" s="371"/>
      <c r="F43" s="368"/>
      <c r="G43" s="547" t="str">
        <f t="shared" si="93"/>
        <v/>
      </c>
      <c r="H43" s="368"/>
      <c r="I43" s="417" t="str">
        <f t="shared" si="57"/>
        <v/>
      </c>
      <c r="J43" s="368"/>
      <c r="K43" s="418"/>
      <c r="L43" s="368"/>
      <c r="M43" s="368"/>
      <c r="N43" s="415"/>
      <c r="O43" s="445"/>
      <c r="P43" s="548" t="str">
        <f t="shared" si="75"/>
        <v/>
      </c>
      <c r="Q43" s="549" t="str">
        <f t="shared" si="94"/>
        <v/>
      </c>
      <c r="R43" s="550" t="str">
        <f>IF(B43="","",VLOOKUP(B43,非_単位!$N$38:$O$53,2,FALSE))</f>
        <v/>
      </c>
      <c r="S43" s="551" t="str">
        <f t="shared" si="95"/>
        <v/>
      </c>
      <c r="T43" s="539" t="str">
        <f t="shared" si="96"/>
        <v/>
      </c>
      <c r="V43" s="422" t="str">
        <f t="shared" si="58"/>
        <v/>
      </c>
      <c r="W43" s="422" t="str">
        <f t="shared" si="97"/>
        <v/>
      </c>
      <c r="X43" s="422" t="str">
        <f t="shared" si="59"/>
        <v/>
      </c>
      <c r="Y43" s="422" t="str">
        <f t="shared" si="60"/>
        <v/>
      </c>
      <c r="Z43" s="422"/>
      <c r="AA43" s="484" t="str">
        <f t="shared" si="80"/>
        <v/>
      </c>
      <c r="AB43" s="422" t="str">
        <f t="shared" si="61"/>
        <v/>
      </c>
      <c r="AC43" s="422" t="str">
        <f t="shared" si="98"/>
        <v/>
      </c>
      <c r="AD43" s="422"/>
      <c r="AE43" s="422" t="str">
        <f>IF(B43="","",IF(B43="電気_仮想電力購入契約","",VLOOKUP(B43,非_係数!$B$42:$D$55,2,FALSE)))</f>
        <v/>
      </c>
      <c r="AF43" s="422" t="str">
        <f>IF(V43="電気",非_電気事業者!$S$4*1000,IF(V43="熱",非_熱供給事業者!$T$4,""))</f>
        <v/>
      </c>
      <c r="AG43" s="422" t="str">
        <f>IF(M43="","",VLOOKUP(M43,非_単位補正換算!$B$3:$C$16,2,FALSE))</f>
        <v/>
      </c>
      <c r="AH43" s="422" t="str">
        <f t="shared" si="62"/>
        <v/>
      </c>
      <c r="AI43" s="422" t="str">
        <f t="shared" si="63"/>
        <v/>
      </c>
      <c r="AJ43" s="422">
        <f t="shared" si="64"/>
        <v>1</v>
      </c>
      <c r="AK43" s="422" t="str">
        <f t="shared" si="65"/>
        <v/>
      </c>
      <c r="AL43" s="482" t="b">
        <f t="shared" si="21"/>
        <v>1</v>
      </c>
      <c r="AM43" s="422" t="str">
        <f t="shared" si="99"/>
        <v/>
      </c>
      <c r="AN43" s="422" t="str">
        <f t="shared" si="67"/>
        <v/>
      </c>
      <c r="AO43" s="422" t="str">
        <f t="shared" si="92"/>
        <v/>
      </c>
      <c r="AP43" s="422" t="str">
        <f t="shared" si="68"/>
        <v/>
      </c>
      <c r="AQ43" s="422" t="str">
        <f t="shared" si="69"/>
        <v/>
      </c>
      <c r="AR43" s="422" t="str">
        <f>IF(AQ43&lt;&gt;"義務","",SUMIFS(非_まとめ表行番号!$N$3:$N$20,非_まとめ表行番号!$J$3:$J$20,AM43,非_まとめ表行番号!$K$3:$K$20,AN43,非_まとめ表行番号!$L$3:$L$20,AO43,非_まとめ表行番号!$M$3:$M$20,AP43))</f>
        <v/>
      </c>
      <c r="AS43" s="422" t="str">
        <f>IF(AQ43&lt;&gt;"義務","",SUMIFS(非_まとめ表行番号!$O$3:$O$20,非_まとめ表行番号!$J$3:$J$20,AM43,非_まとめ表行番号!$K$3:$K$20,AN43,非_まとめ表行番号!$L$3:$L$20,AO43,非_まとめ表行番号!$M$3:$M$20,AP43))</f>
        <v/>
      </c>
      <c r="AT43" s="422" t="str">
        <f t="shared" si="70"/>
        <v/>
      </c>
      <c r="AV43" s="479" t="str">
        <f>IF(AR43="","",VLOOKUP(AR43,非_まとめ表行番号!$U$3:$V$56,2,FALSE))</f>
        <v/>
      </c>
      <c r="AW43" s="479" t="str">
        <f>IF(C43="","",VLOOKUP(C43,非_燃料種類_選択リスト!$X$2:$Y$14,2,FALSE))</f>
        <v/>
      </c>
      <c r="AX43" s="479" t="str">
        <f>IF(D43="","",VLOOKUP(D43,非_燃料種類_選択リスト!$X$18:$Y$24,2,FALSE))</f>
        <v/>
      </c>
      <c r="AY43" s="485" t="str">
        <f t="shared" si="82"/>
        <v/>
      </c>
      <c r="AZ43" s="479" t="str">
        <f t="shared" si="71"/>
        <v/>
      </c>
      <c r="BA43" s="479" t="str">
        <f t="shared" si="71"/>
        <v/>
      </c>
      <c r="BB43" s="479" t="str">
        <f t="shared" si="72"/>
        <v/>
      </c>
      <c r="BC43" s="581" t="str">
        <f t="shared" si="83"/>
        <v/>
      </c>
      <c r="BE43" s="584" t="str">
        <f>IF(AND(A43="",B43=""),"",IF(AN43="有",0,VLOOKUP(B43,非_係数!$B$42:$J$55,9,FALSE)))</f>
        <v/>
      </c>
      <c r="BF43" s="584" t="str">
        <f t="shared" si="73"/>
        <v/>
      </c>
    </row>
    <row r="44" spans="1:58" ht="18.75" customHeight="1">
      <c r="A44" s="460"/>
      <c r="B44" s="368"/>
      <c r="C44" s="368"/>
      <c r="D44" s="369"/>
      <c r="E44" s="371"/>
      <c r="F44" s="368"/>
      <c r="G44" s="547" t="str">
        <f t="shared" si="93"/>
        <v/>
      </c>
      <c r="H44" s="368"/>
      <c r="I44" s="417" t="str">
        <f t="shared" si="57"/>
        <v/>
      </c>
      <c r="J44" s="368"/>
      <c r="K44" s="418"/>
      <c r="L44" s="368"/>
      <c r="M44" s="368"/>
      <c r="N44" s="415"/>
      <c r="O44" s="445"/>
      <c r="P44" s="548" t="str">
        <f t="shared" si="75"/>
        <v/>
      </c>
      <c r="Q44" s="549" t="str">
        <f t="shared" si="94"/>
        <v/>
      </c>
      <c r="R44" s="550" t="str">
        <f>IF(B44="","",VLOOKUP(B44,非_単位!$N$38:$O$53,2,FALSE))</f>
        <v/>
      </c>
      <c r="S44" s="551" t="str">
        <f t="shared" si="95"/>
        <v/>
      </c>
      <c r="T44" s="539" t="str">
        <f t="shared" si="96"/>
        <v/>
      </c>
      <c r="V44" s="422" t="str">
        <f t="shared" si="58"/>
        <v/>
      </c>
      <c r="W44" s="422" t="str">
        <f t="shared" si="97"/>
        <v/>
      </c>
      <c r="X44" s="422" t="str">
        <f t="shared" si="59"/>
        <v/>
      </c>
      <c r="Y44" s="422" t="str">
        <f t="shared" si="60"/>
        <v/>
      </c>
      <c r="Z44" s="422"/>
      <c r="AA44" s="484" t="str">
        <f t="shared" si="80"/>
        <v/>
      </c>
      <c r="AB44" s="422" t="str">
        <f t="shared" si="61"/>
        <v/>
      </c>
      <c r="AC44" s="422" t="str">
        <f t="shared" si="98"/>
        <v/>
      </c>
      <c r="AD44" s="422"/>
      <c r="AE44" s="422" t="str">
        <f>IF(B44="","",IF(B44="電気_仮想電力購入契約","",VLOOKUP(B44,非_係数!$B$42:$D$55,2,FALSE)))</f>
        <v/>
      </c>
      <c r="AF44" s="422" t="str">
        <f>IF(V44="電気",非_電気事業者!$S$4*1000,IF(V44="熱",非_熱供給事業者!$T$4,""))</f>
        <v/>
      </c>
      <c r="AG44" s="422" t="str">
        <f>IF(M44="","",VLOOKUP(M44,非_単位補正換算!$B$3:$C$16,2,FALSE))</f>
        <v/>
      </c>
      <c r="AH44" s="422" t="str">
        <f t="shared" si="62"/>
        <v/>
      </c>
      <c r="AI44" s="422" t="str">
        <f t="shared" si="63"/>
        <v/>
      </c>
      <c r="AJ44" s="422">
        <f t="shared" si="64"/>
        <v>1</v>
      </c>
      <c r="AK44" s="422" t="str">
        <f t="shared" si="65"/>
        <v/>
      </c>
      <c r="AL44" s="482" t="b">
        <f t="shared" si="21"/>
        <v>1</v>
      </c>
      <c r="AM44" s="422" t="str">
        <f t="shared" si="99"/>
        <v/>
      </c>
      <c r="AN44" s="422" t="str">
        <f t="shared" si="67"/>
        <v/>
      </c>
      <c r="AO44" s="422" t="str">
        <f t="shared" si="92"/>
        <v/>
      </c>
      <c r="AP44" s="422" t="str">
        <f t="shared" si="68"/>
        <v/>
      </c>
      <c r="AQ44" s="422" t="str">
        <f t="shared" si="69"/>
        <v/>
      </c>
      <c r="AR44" s="422" t="str">
        <f>IF(AQ44&lt;&gt;"義務","",SUMIFS(非_まとめ表行番号!$N$3:$N$20,非_まとめ表行番号!$J$3:$J$20,AM44,非_まとめ表行番号!$K$3:$K$20,AN44,非_まとめ表行番号!$L$3:$L$20,AO44,非_まとめ表行番号!$M$3:$M$20,AP44))</f>
        <v/>
      </c>
      <c r="AS44" s="422" t="str">
        <f>IF(AQ44&lt;&gt;"義務","",SUMIFS(非_まとめ表行番号!$O$3:$O$20,非_まとめ表行番号!$J$3:$J$20,AM44,非_まとめ表行番号!$K$3:$K$20,AN44,非_まとめ表行番号!$L$3:$L$20,AO44,非_まとめ表行番号!$M$3:$M$20,AP44))</f>
        <v/>
      </c>
      <c r="AT44" s="422" t="str">
        <f t="shared" si="70"/>
        <v/>
      </c>
      <c r="AV44" s="479" t="str">
        <f>IF(AR44="","",VLOOKUP(AR44,非_まとめ表行番号!$U$3:$V$56,2,FALSE))</f>
        <v/>
      </c>
      <c r="AW44" s="479" t="str">
        <f>IF(C44="","",VLOOKUP(C44,非_燃料種類_選択リスト!$X$2:$Y$14,2,FALSE))</f>
        <v/>
      </c>
      <c r="AX44" s="479" t="str">
        <f>IF(D44="","",VLOOKUP(D44,非_燃料種類_選択リスト!$X$18:$Y$24,2,FALSE))</f>
        <v/>
      </c>
      <c r="AY44" s="485" t="str">
        <f t="shared" si="82"/>
        <v/>
      </c>
      <c r="AZ44" s="479" t="str">
        <f t="shared" si="71"/>
        <v/>
      </c>
      <c r="BA44" s="479" t="str">
        <f t="shared" si="71"/>
        <v/>
      </c>
      <c r="BB44" s="479" t="str">
        <f t="shared" si="72"/>
        <v/>
      </c>
      <c r="BC44" s="581" t="str">
        <f t="shared" si="83"/>
        <v/>
      </c>
      <c r="BE44" s="584" t="str">
        <f>IF(AND(A44="",B44=""),"",IF(AN44="有",0,VLOOKUP(B44,非_係数!$B$42:$J$55,9,FALSE)))</f>
        <v/>
      </c>
      <c r="BF44" s="584" t="str">
        <f t="shared" si="73"/>
        <v/>
      </c>
    </row>
    <row r="45" spans="1:58" ht="18.75" customHeight="1">
      <c r="A45" s="460"/>
      <c r="B45" s="368"/>
      <c r="C45" s="368"/>
      <c r="D45" s="369"/>
      <c r="E45" s="371"/>
      <c r="F45" s="368"/>
      <c r="G45" s="547" t="str">
        <f t="shared" si="93"/>
        <v/>
      </c>
      <c r="H45" s="368"/>
      <c r="I45" s="417" t="str">
        <f t="shared" si="57"/>
        <v/>
      </c>
      <c r="J45" s="368"/>
      <c r="K45" s="418"/>
      <c r="L45" s="368"/>
      <c r="M45" s="368"/>
      <c r="N45" s="415"/>
      <c r="O45" s="445"/>
      <c r="P45" s="548" t="str">
        <f t="shared" si="75"/>
        <v/>
      </c>
      <c r="Q45" s="549" t="str">
        <f t="shared" si="94"/>
        <v/>
      </c>
      <c r="R45" s="550" t="str">
        <f>IF(B45="","",VLOOKUP(B45,非_単位!$N$38:$O$53,2,FALSE))</f>
        <v/>
      </c>
      <c r="S45" s="551" t="str">
        <f t="shared" si="95"/>
        <v/>
      </c>
      <c r="T45" s="539" t="str">
        <f t="shared" si="96"/>
        <v/>
      </c>
      <c r="V45" s="422" t="str">
        <f t="shared" si="58"/>
        <v/>
      </c>
      <c r="W45" s="422" t="str">
        <f t="shared" si="97"/>
        <v/>
      </c>
      <c r="X45" s="422" t="str">
        <f t="shared" si="59"/>
        <v/>
      </c>
      <c r="Y45" s="422" t="str">
        <f t="shared" si="60"/>
        <v/>
      </c>
      <c r="Z45" s="422"/>
      <c r="AA45" s="484" t="str">
        <f t="shared" si="80"/>
        <v/>
      </c>
      <c r="AB45" s="422" t="str">
        <f t="shared" si="61"/>
        <v/>
      </c>
      <c r="AC45" s="422" t="str">
        <f t="shared" si="98"/>
        <v/>
      </c>
      <c r="AD45" s="422"/>
      <c r="AE45" s="422" t="str">
        <f>IF(B45="","",IF(B45="電気_仮想電力購入契約","",VLOOKUP(B45,非_係数!$B$42:$D$55,2,FALSE)))</f>
        <v/>
      </c>
      <c r="AF45" s="422" t="str">
        <f>IF(V45="電気",非_電気事業者!$S$4*1000,IF(V45="熱",非_熱供給事業者!$T$4,""))</f>
        <v/>
      </c>
      <c r="AG45" s="422" t="str">
        <f>IF(M45="","",VLOOKUP(M45,非_単位補正換算!$B$3:$C$16,2,FALSE))</f>
        <v/>
      </c>
      <c r="AH45" s="422" t="str">
        <f t="shared" si="62"/>
        <v/>
      </c>
      <c r="AI45" s="422" t="str">
        <f t="shared" si="63"/>
        <v/>
      </c>
      <c r="AJ45" s="422">
        <f t="shared" si="64"/>
        <v>1</v>
      </c>
      <c r="AK45" s="422" t="str">
        <f t="shared" si="65"/>
        <v/>
      </c>
      <c r="AL45" s="482" t="b">
        <f t="shared" si="21"/>
        <v>1</v>
      </c>
      <c r="AM45" s="422" t="str">
        <f t="shared" si="99"/>
        <v/>
      </c>
      <c r="AN45" s="422" t="str">
        <f t="shared" si="67"/>
        <v/>
      </c>
      <c r="AO45" s="422" t="str">
        <f t="shared" si="92"/>
        <v/>
      </c>
      <c r="AP45" s="422" t="str">
        <f t="shared" si="68"/>
        <v/>
      </c>
      <c r="AQ45" s="422" t="str">
        <f t="shared" si="69"/>
        <v/>
      </c>
      <c r="AR45" s="422" t="str">
        <f>IF(AQ45&lt;&gt;"義務","",SUMIFS(非_まとめ表行番号!$N$3:$N$20,非_まとめ表行番号!$J$3:$J$20,AM45,非_まとめ表行番号!$K$3:$K$20,AN45,非_まとめ表行番号!$L$3:$L$20,AO45,非_まとめ表行番号!$M$3:$M$20,AP45))</f>
        <v/>
      </c>
      <c r="AS45" s="422" t="str">
        <f>IF(AQ45&lt;&gt;"義務","",SUMIFS(非_まとめ表行番号!$O$3:$O$20,非_まとめ表行番号!$J$3:$J$20,AM45,非_まとめ表行番号!$K$3:$K$20,AN45,非_まとめ表行番号!$L$3:$L$20,AO45,非_まとめ表行番号!$M$3:$M$20,AP45))</f>
        <v/>
      </c>
      <c r="AT45" s="422" t="str">
        <f t="shared" si="70"/>
        <v/>
      </c>
      <c r="AV45" s="479" t="str">
        <f>IF(AR45="","",VLOOKUP(AR45,非_まとめ表行番号!$U$3:$V$56,2,FALSE))</f>
        <v/>
      </c>
      <c r="AW45" s="479" t="str">
        <f>IF(C45="","",VLOOKUP(C45,非_燃料種類_選択リスト!$X$2:$Y$14,2,FALSE))</f>
        <v/>
      </c>
      <c r="AX45" s="479" t="str">
        <f>IF(D45="","",VLOOKUP(D45,非_燃料種類_選択リスト!$X$18:$Y$24,2,FALSE))</f>
        <v/>
      </c>
      <c r="AY45" s="485" t="str">
        <f t="shared" si="82"/>
        <v/>
      </c>
      <c r="AZ45" s="479" t="str">
        <f t="shared" si="71"/>
        <v/>
      </c>
      <c r="BA45" s="479" t="str">
        <f t="shared" si="71"/>
        <v/>
      </c>
      <c r="BB45" s="479" t="str">
        <f t="shared" si="72"/>
        <v/>
      </c>
      <c r="BC45" s="581" t="str">
        <f t="shared" si="83"/>
        <v/>
      </c>
      <c r="BE45" s="584" t="str">
        <f>IF(AND(A45="",B45=""),"",IF(AN45="有",0,VLOOKUP(B45,非_係数!$B$42:$J$55,9,FALSE)))</f>
        <v/>
      </c>
      <c r="BF45" s="584" t="str">
        <f t="shared" si="73"/>
        <v/>
      </c>
    </row>
    <row r="46" spans="1:58" ht="18.75" customHeight="1">
      <c r="A46" s="460"/>
      <c r="B46" s="368"/>
      <c r="C46" s="368"/>
      <c r="D46" s="369"/>
      <c r="E46" s="371"/>
      <c r="F46" s="368"/>
      <c r="G46" s="547" t="str">
        <f t="shared" si="93"/>
        <v/>
      </c>
      <c r="H46" s="368"/>
      <c r="I46" s="417" t="str">
        <f t="shared" si="57"/>
        <v/>
      </c>
      <c r="J46" s="368"/>
      <c r="K46" s="418"/>
      <c r="L46" s="368"/>
      <c r="M46" s="368"/>
      <c r="N46" s="415"/>
      <c r="O46" s="445"/>
      <c r="P46" s="548" t="str">
        <f t="shared" si="75"/>
        <v/>
      </c>
      <c r="Q46" s="549" t="str">
        <f t="shared" si="94"/>
        <v/>
      </c>
      <c r="R46" s="550" t="str">
        <f>IF(B46="","",VLOOKUP(B46,非_単位!$N$38:$O$53,2,FALSE))</f>
        <v/>
      </c>
      <c r="S46" s="551" t="str">
        <f t="shared" si="95"/>
        <v/>
      </c>
      <c r="T46" s="539" t="str">
        <f t="shared" si="96"/>
        <v/>
      </c>
      <c r="V46" s="422" t="str">
        <f t="shared" si="58"/>
        <v/>
      </c>
      <c r="W46" s="422" t="str">
        <f t="shared" si="97"/>
        <v/>
      </c>
      <c r="X46" s="422" t="str">
        <f t="shared" si="59"/>
        <v/>
      </c>
      <c r="Y46" s="422" t="str">
        <f t="shared" si="60"/>
        <v/>
      </c>
      <c r="Z46" s="422"/>
      <c r="AA46" s="484" t="str">
        <f t="shared" si="80"/>
        <v/>
      </c>
      <c r="AB46" s="422" t="str">
        <f t="shared" si="61"/>
        <v/>
      </c>
      <c r="AC46" s="422" t="str">
        <f t="shared" si="98"/>
        <v/>
      </c>
      <c r="AD46" s="422"/>
      <c r="AE46" s="422" t="str">
        <f>IF(B46="","",IF(B46="電気_仮想電力購入契約","",VLOOKUP(B46,非_係数!$B$42:$D$55,2,FALSE)))</f>
        <v/>
      </c>
      <c r="AF46" s="422" t="str">
        <f>IF(V46="電気",非_電気事業者!$S$4*1000,IF(V46="熱",非_熱供給事業者!$T$4,""))</f>
        <v/>
      </c>
      <c r="AG46" s="422" t="str">
        <f>IF(M46="","",VLOOKUP(M46,非_単位補正換算!$B$3:$C$16,2,FALSE))</f>
        <v/>
      </c>
      <c r="AH46" s="422" t="str">
        <f t="shared" si="62"/>
        <v/>
      </c>
      <c r="AI46" s="422" t="str">
        <f t="shared" si="63"/>
        <v/>
      </c>
      <c r="AJ46" s="422">
        <f t="shared" si="64"/>
        <v>1</v>
      </c>
      <c r="AK46" s="422" t="str">
        <f t="shared" si="65"/>
        <v/>
      </c>
      <c r="AL46" s="482" t="b">
        <f t="shared" si="21"/>
        <v>1</v>
      </c>
      <c r="AM46" s="422" t="str">
        <f t="shared" si="99"/>
        <v/>
      </c>
      <c r="AN46" s="422" t="str">
        <f t="shared" si="67"/>
        <v/>
      </c>
      <c r="AO46" s="422" t="str">
        <f t="shared" si="92"/>
        <v/>
      </c>
      <c r="AP46" s="422" t="str">
        <f t="shared" si="68"/>
        <v/>
      </c>
      <c r="AQ46" s="422" t="str">
        <f t="shared" si="69"/>
        <v/>
      </c>
      <c r="AR46" s="422" t="str">
        <f>IF(AQ46&lt;&gt;"義務","",SUMIFS(非_まとめ表行番号!$N$3:$N$20,非_まとめ表行番号!$J$3:$J$20,AM46,非_まとめ表行番号!$K$3:$K$20,AN46,非_まとめ表行番号!$L$3:$L$20,AO46,非_まとめ表行番号!$M$3:$M$20,AP46))</f>
        <v/>
      </c>
      <c r="AS46" s="422" t="str">
        <f>IF(AQ46&lt;&gt;"義務","",SUMIFS(非_まとめ表行番号!$O$3:$O$20,非_まとめ表行番号!$J$3:$J$20,AM46,非_まとめ表行番号!$K$3:$K$20,AN46,非_まとめ表行番号!$L$3:$L$20,AO46,非_まとめ表行番号!$M$3:$M$20,AP46))</f>
        <v/>
      </c>
      <c r="AT46" s="422" t="str">
        <f t="shared" si="70"/>
        <v/>
      </c>
      <c r="AV46" s="479" t="str">
        <f>IF(AR46="","",VLOOKUP(AR46,非_まとめ表行番号!$U$3:$V$56,2,FALSE))</f>
        <v/>
      </c>
      <c r="AW46" s="479" t="str">
        <f>IF(C46="","",VLOOKUP(C46,非_燃料種類_選択リスト!$X$2:$Y$14,2,FALSE))</f>
        <v/>
      </c>
      <c r="AX46" s="479" t="str">
        <f>IF(D46="","",VLOOKUP(D46,非_燃料種類_選択リスト!$X$18:$Y$24,2,FALSE))</f>
        <v/>
      </c>
      <c r="AY46" s="485" t="str">
        <f t="shared" si="82"/>
        <v/>
      </c>
      <c r="AZ46" s="479" t="str">
        <f t="shared" si="71"/>
        <v/>
      </c>
      <c r="BA46" s="479" t="str">
        <f t="shared" si="71"/>
        <v/>
      </c>
      <c r="BB46" s="479" t="str">
        <f t="shared" si="72"/>
        <v/>
      </c>
      <c r="BC46" s="581" t="str">
        <f t="shared" si="83"/>
        <v/>
      </c>
      <c r="BE46" s="584" t="str">
        <f>IF(AND(A46="",B46=""),"",IF(AN46="有",0,VLOOKUP(B46,非_係数!$B$42:$J$55,9,FALSE)))</f>
        <v/>
      </c>
      <c r="BF46" s="584" t="str">
        <f t="shared" si="73"/>
        <v/>
      </c>
    </row>
    <row r="47" spans="1:58" ht="18.75" customHeight="1">
      <c r="A47" s="460"/>
      <c r="B47" s="368"/>
      <c r="C47" s="368"/>
      <c r="D47" s="369"/>
      <c r="E47" s="371"/>
      <c r="F47" s="368"/>
      <c r="G47" s="547" t="str">
        <f t="shared" si="74"/>
        <v/>
      </c>
      <c r="H47" s="368"/>
      <c r="I47" s="417" t="str">
        <f t="shared" si="57"/>
        <v/>
      </c>
      <c r="J47" s="368"/>
      <c r="K47" s="418"/>
      <c r="L47" s="368"/>
      <c r="M47" s="368"/>
      <c r="N47" s="415"/>
      <c r="O47" s="445"/>
      <c r="P47" s="548" t="str">
        <f t="shared" si="75"/>
        <v/>
      </c>
      <c r="Q47" s="549" t="str">
        <f t="shared" si="76"/>
        <v/>
      </c>
      <c r="R47" s="550" t="str">
        <f>IF(B47="","",VLOOKUP(B47,非_単位!$N$38:$O$53,2,FALSE))</f>
        <v/>
      </c>
      <c r="S47" s="551" t="str">
        <f t="shared" si="77"/>
        <v/>
      </c>
      <c r="T47" s="539" t="str">
        <f t="shared" si="78"/>
        <v/>
      </c>
      <c r="V47" s="422" t="str">
        <f t="shared" si="58"/>
        <v/>
      </c>
      <c r="W47" s="422" t="str">
        <f t="shared" si="79"/>
        <v/>
      </c>
      <c r="X47" s="422" t="str">
        <f t="shared" si="59"/>
        <v/>
      </c>
      <c r="Y47" s="422" t="str">
        <f t="shared" si="60"/>
        <v/>
      </c>
      <c r="Z47" s="422"/>
      <c r="AA47" s="484" t="str">
        <f t="shared" si="80"/>
        <v/>
      </c>
      <c r="AB47" s="422" t="str">
        <f t="shared" si="61"/>
        <v/>
      </c>
      <c r="AC47" s="422" t="str">
        <f t="shared" si="81"/>
        <v/>
      </c>
      <c r="AD47" s="422"/>
      <c r="AE47" s="422" t="str">
        <f>IF(B47="","",IF(B47="電気_仮想電力購入契約","",VLOOKUP(B47,非_係数!$B$42:$D$55,2,FALSE)))</f>
        <v/>
      </c>
      <c r="AF47" s="422" t="str">
        <f>IF(V47="電気",非_電気事業者!$S$4*1000,IF(V47="熱",非_熱供給事業者!$T$4,""))</f>
        <v/>
      </c>
      <c r="AG47" s="422" t="str">
        <f>IF(M47="","",VLOOKUP(M47,非_単位補正換算!$B$3:$C$16,2,FALSE))</f>
        <v/>
      </c>
      <c r="AH47" s="422" t="str">
        <f t="shared" si="62"/>
        <v/>
      </c>
      <c r="AI47" s="422" t="str">
        <f t="shared" si="63"/>
        <v/>
      </c>
      <c r="AJ47" s="422">
        <f t="shared" si="64"/>
        <v>1</v>
      </c>
      <c r="AK47" s="422" t="str">
        <f t="shared" si="65"/>
        <v/>
      </c>
      <c r="AL47" s="482" t="b">
        <f t="shared" si="21"/>
        <v>1</v>
      </c>
      <c r="AM47" s="422" t="str">
        <f t="shared" si="84"/>
        <v/>
      </c>
      <c r="AN47" s="422" t="str">
        <f t="shared" si="67"/>
        <v/>
      </c>
      <c r="AO47" s="422" t="str">
        <f t="shared" si="92"/>
        <v/>
      </c>
      <c r="AP47" s="422" t="str">
        <f t="shared" si="68"/>
        <v/>
      </c>
      <c r="AQ47" s="422" t="str">
        <f t="shared" si="69"/>
        <v/>
      </c>
      <c r="AR47" s="422" t="str">
        <f>IF(AQ47&lt;&gt;"義務","",SUMIFS(非_まとめ表行番号!$N$3:$N$20,非_まとめ表行番号!$J$3:$J$20,AM47,非_まとめ表行番号!$K$3:$K$20,AN47,非_まとめ表行番号!$L$3:$L$20,AO47,非_まとめ表行番号!$M$3:$M$20,AP47))</f>
        <v/>
      </c>
      <c r="AS47" s="422" t="str">
        <f>IF(AQ47&lt;&gt;"義務","",SUMIFS(非_まとめ表行番号!$O$3:$O$20,非_まとめ表行番号!$J$3:$J$20,AM47,非_まとめ表行番号!$K$3:$K$20,AN47,非_まとめ表行番号!$L$3:$L$20,AO47,非_まとめ表行番号!$M$3:$M$20,AP47))</f>
        <v/>
      </c>
      <c r="AT47" s="422" t="str">
        <f t="shared" si="70"/>
        <v/>
      </c>
      <c r="AV47" s="479" t="str">
        <f>IF(AR47="","",VLOOKUP(AR47,非_まとめ表行番号!$U$3:$V$56,2,FALSE))</f>
        <v/>
      </c>
      <c r="AW47" s="479" t="str">
        <f>IF(C47="","",VLOOKUP(C47,非_燃料種類_選択リスト!$X$2:$Y$14,2,FALSE))</f>
        <v/>
      </c>
      <c r="AX47" s="479" t="str">
        <f>IF(D47="","",VLOOKUP(D47,非_燃料種類_選択リスト!$X$18:$Y$24,2,FALSE))</f>
        <v/>
      </c>
      <c r="AY47" s="485" t="str">
        <f t="shared" si="82"/>
        <v/>
      </c>
      <c r="AZ47" s="479" t="str">
        <f t="shared" ref="AZ47:BA53" si="100">IF(H47="","",H47)</f>
        <v/>
      </c>
      <c r="BA47" s="479" t="str">
        <f t="shared" si="100"/>
        <v/>
      </c>
      <c r="BB47" s="479" t="str">
        <f t="shared" si="72"/>
        <v/>
      </c>
      <c r="BC47" s="581" t="str">
        <f t="shared" si="83"/>
        <v/>
      </c>
      <c r="BE47" s="584" t="str">
        <f>IF(AND(A47="",B47=""),"",IF(AN47="有",0,VLOOKUP(B47,非_係数!$B$42:$J$55,9,FALSE)))</f>
        <v/>
      </c>
      <c r="BF47" s="584" t="str">
        <f t="shared" si="73"/>
        <v/>
      </c>
    </row>
    <row r="48" spans="1:58" ht="18.75" customHeight="1">
      <c r="A48" s="460"/>
      <c r="B48" s="368"/>
      <c r="C48" s="368"/>
      <c r="D48" s="369"/>
      <c r="E48" s="371"/>
      <c r="F48" s="368"/>
      <c r="G48" s="547" t="str">
        <f t="shared" si="74"/>
        <v/>
      </c>
      <c r="H48" s="368"/>
      <c r="I48" s="417" t="str">
        <f t="shared" si="57"/>
        <v/>
      </c>
      <c r="J48" s="368"/>
      <c r="K48" s="418"/>
      <c r="L48" s="368"/>
      <c r="M48" s="368"/>
      <c r="N48" s="415"/>
      <c r="O48" s="445"/>
      <c r="P48" s="548" t="str">
        <f t="shared" si="75"/>
        <v/>
      </c>
      <c r="Q48" s="549" t="str">
        <f t="shared" si="76"/>
        <v/>
      </c>
      <c r="R48" s="550" t="str">
        <f>IF(B48="","",VLOOKUP(B48,非_単位!$N$38:$O$53,2,FALSE))</f>
        <v/>
      </c>
      <c r="S48" s="551" t="str">
        <f t="shared" si="77"/>
        <v/>
      </c>
      <c r="T48" s="539" t="str">
        <f t="shared" si="78"/>
        <v/>
      </c>
      <c r="V48" s="422" t="str">
        <f t="shared" si="58"/>
        <v/>
      </c>
      <c r="W48" s="422" t="str">
        <f t="shared" si="79"/>
        <v/>
      </c>
      <c r="X48" s="422" t="str">
        <f t="shared" si="59"/>
        <v/>
      </c>
      <c r="Y48" s="422" t="str">
        <f t="shared" si="60"/>
        <v/>
      </c>
      <c r="Z48" s="422"/>
      <c r="AA48" s="484" t="str">
        <f t="shared" si="80"/>
        <v/>
      </c>
      <c r="AB48" s="422" t="str">
        <f t="shared" si="61"/>
        <v/>
      </c>
      <c r="AC48" s="422" t="str">
        <f t="shared" si="81"/>
        <v/>
      </c>
      <c r="AD48" s="422"/>
      <c r="AE48" s="422" t="str">
        <f>IF(B48="","",IF(B48="電気_仮想電力購入契約","",VLOOKUP(B48,非_係数!$B$42:$D$55,2,FALSE)))</f>
        <v/>
      </c>
      <c r="AF48" s="422" t="str">
        <f>IF(V48="電気",非_電気事業者!$S$4*1000,IF(V48="熱",非_熱供給事業者!$T$4,""))</f>
        <v/>
      </c>
      <c r="AG48" s="422" t="str">
        <f>IF(M48="","",VLOOKUP(M48,非_単位補正換算!$B$3:$C$16,2,FALSE))</f>
        <v/>
      </c>
      <c r="AH48" s="422" t="str">
        <f t="shared" si="62"/>
        <v/>
      </c>
      <c r="AI48" s="422" t="str">
        <f t="shared" si="63"/>
        <v/>
      </c>
      <c r="AJ48" s="422">
        <f t="shared" si="64"/>
        <v>1</v>
      </c>
      <c r="AK48" s="422" t="str">
        <f t="shared" si="65"/>
        <v/>
      </c>
      <c r="AL48" s="482" t="b">
        <f t="shared" si="21"/>
        <v>1</v>
      </c>
      <c r="AM48" s="422" t="str">
        <f t="shared" si="84"/>
        <v/>
      </c>
      <c r="AN48" s="422" t="str">
        <f t="shared" si="67"/>
        <v/>
      </c>
      <c r="AO48" s="422" t="str">
        <f t="shared" si="92"/>
        <v/>
      </c>
      <c r="AP48" s="422" t="str">
        <f t="shared" si="68"/>
        <v/>
      </c>
      <c r="AQ48" s="422" t="str">
        <f t="shared" si="69"/>
        <v/>
      </c>
      <c r="AR48" s="422" t="str">
        <f>IF(AQ48&lt;&gt;"義務","",SUMIFS(非_まとめ表行番号!$N$3:$N$20,非_まとめ表行番号!$J$3:$J$20,AM48,非_まとめ表行番号!$K$3:$K$20,AN48,非_まとめ表行番号!$L$3:$L$20,AO48,非_まとめ表行番号!$M$3:$M$20,AP48))</f>
        <v/>
      </c>
      <c r="AS48" s="422" t="str">
        <f>IF(AQ48&lt;&gt;"義務","",SUMIFS(非_まとめ表行番号!$O$3:$O$20,非_まとめ表行番号!$J$3:$J$20,AM48,非_まとめ表行番号!$K$3:$K$20,AN48,非_まとめ表行番号!$L$3:$L$20,AO48,非_まとめ表行番号!$M$3:$M$20,AP48))</f>
        <v/>
      </c>
      <c r="AT48" s="422" t="str">
        <f t="shared" si="70"/>
        <v/>
      </c>
      <c r="AV48" s="479" t="str">
        <f>IF(AR48="","",VLOOKUP(AR48,非_まとめ表行番号!$U$3:$V$56,2,FALSE))</f>
        <v/>
      </c>
      <c r="AW48" s="479" t="str">
        <f>IF(C48="","",VLOOKUP(C48,非_燃料種類_選択リスト!$X$2:$Y$14,2,FALSE))</f>
        <v/>
      </c>
      <c r="AX48" s="479" t="str">
        <f>IF(D48="","",VLOOKUP(D48,非_燃料種類_選択リスト!$X$18:$Y$24,2,FALSE))</f>
        <v/>
      </c>
      <c r="AY48" s="485" t="str">
        <f t="shared" si="82"/>
        <v/>
      </c>
      <c r="AZ48" s="479" t="str">
        <f t="shared" si="100"/>
        <v/>
      </c>
      <c r="BA48" s="479" t="str">
        <f t="shared" si="100"/>
        <v/>
      </c>
      <c r="BB48" s="479" t="str">
        <f t="shared" si="72"/>
        <v/>
      </c>
      <c r="BC48" s="581" t="str">
        <f t="shared" si="83"/>
        <v/>
      </c>
      <c r="BE48" s="584" t="str">
        <f>IF(AND(A48="",B48=""),"",IF(AN48="有",0,VLOOKUP(B48,非_係数!$B$42:$J$55,9,FALSE)))</f>
        <v/>
      </c>
      <c r="BF48" s="584" t="str">
        <f t="shared" si="73"/>
        <v/>
      </c>
    </row>
    <row r="49" spans="1:58" ht="18.75" customHeight="1">
      <c r="A49" s="460"/>
      <c r="B49" s="368"/>
      <c r="C49" s="368"/>
      <c r="D49" s="369"/>
      <c r="E49" s="371"/>
      <c r="F49" s="368"/>
      <c r="G49" s="547" t="str">
        <f t="shared" si="74"/>
        <v/>
      </c>
      <c r="H49" s="368"/>
      <c r="I49" s="417" t="str">
        <f t="shared" si="57"/>
        <v/>
      </c>
      <c r="J49" s="368"/>
      <c r="K49" s="418"/>
      <c r="L49" s="368"/>
      <c r="M49" s="368"/>
      <c r="N49" s="415"/>
      <c r="O49" s="445"/>
      <c r="P49" s="548" t="str">
        <f t="shared" si="75"/>
        <v/>
      </c>
      <c r="Q49" s="549" t="str">
        <f t="shared" si="76"/>
        <v/>
      </c>
      <c r="R49" s="550" t="str">
        <f>IF(B49="","",VLOOKUP(B49,非_単位!$N$38:$O$53,2,FALSE))</f>
        <v/>
      </c>
      <c r="S49" s="551" t="str">
        <f t="shared" si="77"/>
        <v/>
      </c>
      <c r="T49" s="539" t="str">
        <f t="shared" si="78"/>
        <v/>
      </c>
      <c r="V49" s="422" t="str">
        <f t="shared" si="58"/>
        <v/>
      </c>
      <c r="W49" s="422" t="str">
        <f t="shared" si="79"/>
        <v/>
      </c>
      <c r="X49" s="422" t="str">
        <f t="shared" si="59"/>
        <v/>
      </c>
      <c r="Y49" s="422" t="str">
        <f t="shared" si="60"/>
        <v/>
      </c>
      <c r="Z49" s="422"/>
      <c r="AA49" s="484" t="str">
        <f t="shared" si="80"/>
        <v/>
      </c>
      <c r="AB49" s="422" t="str">
        <f t="shared" si="61"/>
        <v/>
      </c>
      <c r="AC49" s="422" t="str">
        <f t="shared" si="81"/>
        <v/>
      </c>
      <c r="AD49" s="422"/>
      <c r="AE49" s="422" t="str">
        <f>IF(B49="","",IF(B49="電気_仮想電力購入契約","",VLOOKUP(B49,非_係数!$B$42:$D$55,2,FALSE)))</f>
        <v/>
      </c>
      <c r="AF49" s="422" t="str">
        <f>IF(V49="電気",非_電気事業者!$S$4*1000,IF(V49="熱",非_熱供給事業者!$T$4,""))</f>
        <v/>
      </c>
      <c r="AG49" s="422" t="str">
        <f>IF(M49="","",VLOOKUP(M49,非_単位補正換算!$B$3:$C$16,2,FALSE))</f>
        <v/>
      </c>
      <c r="AH49" s="422" t="str">
        <f t="shared" si="62"/>
        <v/>
      </c>
      <c r="AI49" s="422" t="str">
        <f t="shared" si="63"/>
        <v/>
      </c>
      <c r="AJ49" s="422">
        <f t="shared" si="64"/>
        <v>1</v>
      </c>
      <c r="AK49" s="422" t="str">
        <f t="shared" si="65"/>
        <v/>
      </c>
      <c r="AL49" s="482" t="b">
        <f t="shared" si="21"/>
        <v>1</v>
      </c>
      <c r="AM49" s="422" t="str">
        <f t="shared" si="84"/>
        <v/>
      </c>
      <c r="AN49" s="422" t="str">
        <f t="shared" si="67"/>
        <v/>
      </c>
      <c r="AO49" s="422" t="str">
        <f t="shared" si="92"/>
        <v/>
      </c>
      <c r="AP49" s="422" t="str">
        <f t="shared" si="68"/>
        <v/>
      </c>
      <c r="AQ49" s="422" t="str">
        <f t="shared" si="69"/>
        <v/>
      </c>
      <c r="AR49" s="422" t="str">
        <f>IF(AQ49&lt;&gt;"義務","",SUMIFS(非_まとめ表行番号!$N$3:$N$20,非_まとめ表行番号!$J$3:$J$20,AM49,非_まとめ表行番号!$K$3:$K$20,AN49,非_まとめ表行番号!$L$3:$L$20,AO49,非_まとめ表行番号!$M$3:$M$20,AP49))</f>
        <v/>
      </c>
      <c r="AS49" s="422" t="str">
        <f>IF(AQ49&lt;&gt;"義務","",SUMIFS(非_まとめ表行番号!$O$3:$O$20,非_まとめ表行番号!$J$3:$J$20,AM49,非_まとめ表行番号!$K$3:$K$20,AN49,非_まとめ表行番号!$L$3:$L$20,AO49,非_まとめ表行番号!$M$3:$M$20,AP49))</f>
        <v/>
      </c>
      <c r="AT49" s="422" t="str">
        <f t="shared" si="70"/>
        <v/>
      </c>
      <c r="AV49" s="479" t="str">
        <f>IF(AR49="","",VLOOKUP(AR49,非_まとめ表行番号!$U$3:$V$56,2,FALSE))</f>
        <v/>
      </c>
      <c r="AW49" s="479" t="str">
        <f>IF(C49="","",VLOOKUP(C49,非_燃料種類_選択リスト!$X$2:$Y$14,2,FALSE))</f>
        <v/>
      </c>
      <c r="AX49" s="479" t="str">
        <f>IF(D49="","",VLOOKUP(D49,非_燃料種類_選択リスト!$X$18:$Y$24,2,FALSE))</f>
        <v/>
      </c>
      <c r="AY49" s="485" t="str">
        <f t="shared" si="82"/>
        <v/>
      </c>
      <c r="AZ49" s="479" t="str">
        <f t="shared" si="100"/>
        <v/>
      </c>
      <c r="BA49" s="479" t="str">
        <f t="shared" si="100"/>
        <v/>
      </c>
      <c r="BB49" s="479" t="str">
        <f t="shared" si="72"/>
        <v/>
      </c>
      <c r="BC49" s="581" t="str">
        <f t="shared" si="83"/>
        <v/>
      </c>
      <c r="BE49" s="584" t="str">
        <f>IF(AND(A49="",B49=""),"",IF(AN49="有",0,VLOOKUP(B49,非_係数!$B$42:$J$55,9,FALSE)))</f>
        <v/>
      </c>
      <c r="BF49" s="584" t="str">
        <f t="shared" si="73"/>
        <v/>
      </c>
    </row>
    <row r="50" spans="1:58" ht="18.75" customHeight="1">
      <c r="A50" s="460"/>
      <c r="B50" s="368"/>
      <c r="C50" s="368"/>
      <c r="D50" s="369"/>
      <c r="E50" s="371"/>
      <c r="F50" s="368"/>
      <c r="G50" s="547" t="str">
        <f t="shared" si="74"/>
        <v/>
      </c>
      <c r="H50" s="368"/>
      <c r="I50" s="417" t="str">
        <f t="shared" si="57"/>
        <v/>
      </c>
      <c r="J50" s="368"/>
      <c r="K50" s="418"/>
      <c r="L50" s="368"/>
      <c r="M50" s="368"/>
      <c r="N50" s="415"/>
      <c r="O50" s="445"/>
      <c r="P50" s="548" t="str">
        <f t="shared" si="75"/>
        <v/>
      </c>
      <c r="Q50" s="549" t="str">
        <f t="shared" si="76"/>
        <v/>
      </c>
      <c r="R50" s="550" t="str">
        <f>IF(B50="","",VLOOKUP(B50,非_単位!$N$38:$O$53,2,FALSE))</f>
        <v/>
      </c>
      <c r="S50" s="551" t="str">
        <f t="shared" si="77"/>
        <v/>
      </c>
      <c r="T50" s="539" t="str">
        <f t="shared" si="78"/>
        <v/>
      </c>
      <c r="V50" s="422" t="str">
        <f t="shared" si="58"/>
        <v/>
      </c>
      <c r="W50" s="422" t="str">
        <f t="shared" si="79"/>
        <v/>
      </c>
      <c r="X50" s="422" t="str">
        <f t="shared" si="59"/>
        <v/>
      </c>
      <c r="Y50" s="422" t="str">
        <f t="shared" si="60"/>
        <v/>
      </c>
      <c r="Z50" s="422"/>
      <c r="AA50" s="484" t="str">
        <f t="shared" si="80"/>
        <v/>
      </c>
      <c r="AB50" s="422" t="str">
        <f t="shared" si="61"/>
        <v/>
      </c>
      <c r="AC50" s="422" t="str">
        <f t="shared" si="81"/>
        <v/>
      </c>
      <c r="AD50" s="422"/>
      <c r="AE50" s="422" t="str">
        <f>IF(B50="","",IF(B50="電気_仮想電力購入契約","",VLOOKUP(B50,非_係数!$B$42:$D$55,2,FALSE)))</f>
        <v/>
      </c>
      <c r="AF50" s="422" t="str">
        <f>IF(V50="電気",非_電気事業者!$S$4*1000,IF(V50="熱",非_熱供給事業者!$T$4,""))</f>
        <v/>
      </c>
      <c r="AG50" s="422" t="str">
        <f>IF(M50="","",VLOOKUP(M50,非_単位補正換算!$B$3:$C$16,2,FALSE))</f>
        <v/>
      </c>
      <c r="AH50" s="422" t="str">
        <f t="shared" si="62"/>
        <v/>
      </c>
      <c r="AI50" s="422" t="str">
        <f t="shared" si="63"/>
        <v/>
      </c>
      <c r="AJ50" s="422">
        <f t="shared" si="64"/>
        <v>1</v>
      </c>
      <c r="AK50" s="422" t="str">
        <f t="shared" si="65"/>
        <v/>
      </c>
      <c r="AL50" s="482" t="b">
        <f t="shared" si="21"/>
        <v>1</v>
      </c>
      <c r="AM50" s="422" t="str">
        <f t="shared" si="84"/>
        <v/>
      </c>
      <c r="AN50" s="422" t="str">
        <f t="shared" si="67"/>
        <v/>
      </c>
      <c r="AO50" s="422" t="str">
        <f t="shared" si="92"/>
        <v/>
      </c>
      <c r="AP50" s="422" t="str">
        <f t="shared" si="68"/>
        <v/>
      </c>
      <c r="AQ50" s="422" t="str">
        <f t="shared" si="69"/>
        <v/>
      </c>
      <c r="AR50" s="422" t="str">
        <f>IF(AQ50&lt;&gt;"義務","",SUMIFS(非_まとめ表行番号!$N$3:$N$20,非_まとめ表行番号!$J$3:$J$20,AM50,非_まとめ表行番号!$K$3:$K$20,AN50,非_まとめ表行番号!$L$3:$L$20,AO50,非_まとめ表行番号!$M$3:$M$20,AP50))</f>
        <v/>
      </c>
      <c r="AS50" s="422" t="str">
        <f>IF(AQ50&lt;&gt;"義務","",SUMIFS(非_まとめ表行番号!$O$3:$O$20,非_まとめ表行番号!$J$3:$J$20,AM50,非_まとめ表行番号!$K$3:$K$20,AN50,非_まとめ表行番号!$L$3:$L$20,AO50,非_まとめ表行番号!$M$3:$M$20,AP50))</f>
        <v/>
      </c>
      <c r="AT50" s="422" t="str">
        <f t="shared" si="70"/>
        <v/>
      </c>
      <c r="AV50" s="479" t="str">
        <f>IF(AR50="","",VLOOKUP(AR50,非_まとめ表行番号!$U$3:$V$56,2,FALSE))</f>
        <v/>
      </c>
      <c r="AW50" s="479" t="str">
        <f>IF(C50="","",VLOOKUP(C50,非_燃料種類_選択リスト!$X$2:$Y$14,2,FALSE))</f>
        <v/>
      </c>
      <c r="AX50" s="479" t="str">
        <f>IF(D50="","",VLOOKUP(D50,非_燃料種類_選択リスト!$X$18:$Y$24,2,FALSE))</f>
        <v/>
      </c>
      <c r="AY50" s="485" t="str">
        <f t="shared" si="82"/>
        <v/>
      </c>
      <c r="AZ50" s="479" t="str">
        <f t="shared" si="100"/>
        <v/>
      </c>
      <c r="BA50" s="479" t="str">
        <f t="shared" si="100"/>
        <v/>
      </c>
      <c r="BB50" s="479" t="str">
        <f t="shared" si="72"/>
        <v/>
      </c>
      <c r="BC50" s="581" t="str">
        <f t="shared" si="83"/>
        <v/>
      </c>
      <c r="BE50" s="584" t="str">
        <f>IF(AND(A50="",B50=""),"",IF(AN50="有",0,VLOOKUP(B50,非_係数!$B$42:$J$55,9,FALSE)))</f>
        <v/>
      </c>
      <c r="BF50" s="584" t="str">
        <f t="shared" si="73"/>
        <v/>
      </c>
    </row>
    <row r="51" spans="1:58" ht="18.75" customHeight="1">
      <c r="A51" s="460"/>
      <c r="B51" s="368"/>
      <c r="C51" s="368"/>
      <c r="D51" s="369"/>
      <c r="E51" s="371"/>
      <c r="F51" s="368"/>
      <c r="G51" s="547" t="str">
        <f t="shared" si="74"/>
        <v/>
      </c>
      <c r="H51" s="368"/>
      <c r="I51" s="417" t="str">
        <f t="shared" si="57"/>
        <v/>
      </c>
      <c r="J51" s="368"/>
      <c r="K51" s="418"/>
      <c r="L51" s="368"/>
      <c r="M51" s="368"/>
      <c r="N51" s="415"/>
      <c r="O51" s="445"/>
      <c r="P51" s="548" t="str">
        <f t="shared" si="75"/>
        <v/>
      </c>
      <c r="Q51" s="549" t="str">
        <f t="shared" si="76"/>
        <v/>
      </c>
      <c r="R51" s="550" t="str">
        <f>IF(B51="","",VLOOKUP(B51,非_単位!$N$38:$O$53,2,FALSE))</f>
        <v/>
      </c>
      <c r="S51" s="551" t="str">
        <f t="shared" si="77"/>
        <v/>
      </c>
      <c r="T51" s="539" t="str">
        <f t="shared" si="78"/>
        <v/>
      </c>
      <c r="V51" s="422" t="str">
        <f t="shared" si="58"/>
        <v/>
      </c>
      <c r="W51" s="422" t="str">
        <f t="shared" si="79"/>
        <v/>
      </c>
      <c r="X51" s="422" t="str">
        <f t="shared" si="59"/>
        <v/>
      </c>
      <c r="Y51" s="422" t="str">
        <f t="shared" si="60"/>
        <v/>
      </c>
      <c r="Z51" s="422"/>
      <c r="AA51" s="484" t="str">
        <f t="shared" si="80"/>
        <v/>
      </c>
      <c r="AB51" s="422" t="str">
        <f t="shared" si="61"/>
        <v/>
      </c>
      <c r="AC51" s="422" t="str">
        <f t="shared" si="81"/>
        <v/>
      </c>
      <c r="AD51" s="422"/>
      <c r="AE51" s="422" t="str">
        <f>IF(B51="","",IF(B51="電気_仮想電力購入契約","",VLOOKUP(B51,非_係数!$B$42:$D$55,2,FALSE)))</f>
        <v/>
      </c>
      <c r="AF51" s="422" t="str">
        <f>IF(V51="電気",非_電気事業者!$S$4*1000,IF(V51="熱",非_熱供給事業者!$T$4,""))</f>
        <v/>
      </c>
      <c r="AG51" s="422" t="str">
        <f>IF(M51="","",VLOOKUP(M51,非_単位補正換算!$B$3:$C$16,2,FALSE))</f>
        <v/>
      </c>
      <c r="AH51" s="422" t="str">
        <f t="shared" si="62"/>
        <v/>
      </c>
      <c r="AI51" s="422" t="str">
        <f t="shared" si="63"/>
        <v/>
      </c>
      <c r="AJ51" s="422">
        <f t="shared" si="64"/>
        <v>1</v>
      </c>
      <c r="AK51" s="422" t="str">
        <f t="shared" si="65"/>
        <v/>
      </c>
      <c r="AL51" s="482" t="b">
        <f t="shared" si="21"/>
        <v>1</v>
      </c>
      <c r="AM51" s="422" t="str">
        <f t="shared" si="84"/>
        <v/>
      </c>
      <c r="AN51" s="422" t="str">
        <f t="shared" si="67"/>
        <v/>
      </c>
      <c r="AO51" s="422" t="str">
        <f t="shared" si="92"/>
        <v/>
      </c>
      <c r="AP51" s="422" t="str">
        <f t="shared" si="68"/>
        <v/>
      </c>
      <c r="AQ51" s="422" t="str">
        <f t="shared" si="69"/>
        <v/>
      </c>
      <c r="AR51" s="422" t="str">
        <f>IF(AQ51&lt;&gt;"義務","",SUMIFS(非_まとめ表行番号!$N$3:$N$20,非_まとめ表行番号!$J$3:$J$20,AM51,非_まとめ表行番号!$K$3:$K$20,AN51,非_まとめ表行番号!$L$3:$L$20,AO51,非_まとめ表行番号!$M$3:$M$20,AP51))</f>
        <v/>
      </c>
      <c r="AS51" s="422" t="str">
        <f>IF(AQ51&lt;&gt;"義務","",SUMIFS(非_まとめ表行番号!$O$3:$O$20,非_まとめ表行番号!$J$3:$J$20,AM51,非_まとめ表行番号!$K$3:$K$20,AN51,非_まとめ表行番号!$L$3:$L$20,AO51,非_まとめ表行番号!$M$3:$M$20,AP51))</f>
        <v/>
      </c>
      <c r="AT51" s="422" t="str">
        <f t="shared" si="70"/>
        <v/>
      </c>
      <c r="AV51" s="479" t="str">
        <f>IF(AR51="","",VLOOKUP(AR51,非_まとめ表行番号!$U$3:$V$56,2,FALSE))</f>
        <v/>
      </c>
      <c r="AW51" s="479" t="str">
        <f>IF(C51="","",VLOOKUP(C51,非_燃料種類_選択リスト!$X$2:$Y$14,2,FALSE))</f>
        <v/>
      </c>
      <c r="AX51" s="479" t="str">
        <f>IF(D51="","",VLOOKUP(D51,非_燃料種類_選択リスト!$X$18:$Y$24,2,FALSE))</f>
        <v/>
      </c>
      <c r="AY51" s="485" t="str">
        <f t="shared" si="82"/>
        <v/>
      </c>
      <c r="AZ51" s="479" t="str">
        <f t="shared" si="100"/>
        <v/>
      </c>
      <c r="BA51" s="479" t="str">
        <f t="shared" si="100"/>
        <v/>
      </c>
      <c r="BB51" s="479" t="str">
        <f t="shared" si="72"/>
        <v/>
      </c>
      <c r="BC51" s="581" t="str">
        <f t="shared" si="83"/>
        <v/>
      </c>
      <c r="BE51" s="584" t="str">
        <f>IF(AND(A51="",B51=""),"",IF(AN51="有",0,VLOOKUP(B51,非_係数!$B$42:$J$55,9,FALSE)))</f>
        <v/>
      </c>
      <c r="BF51" s="584" t="str">
        <f t="shared" si="73"/>
        <v/>
      </c>
    </row>
    <row r="52" spans="1:58" ht="18.75" customHeight="1">
      <c r="A52" s="460"/>
      <c r="B52" s="368"/>
      <c r="C52" s="368"/>
      <c r="D52" s="369"/>
      <c r="E52" s="371"/>
      <c r="F52" s="368"/>
      <c r="G52" s="547" t="str">
        <f t="shared" si="74"/>
        <v/>
      </c>
      <c r="H52" s="368"/>
      <c r="I52" s="417" t="str">
        <f t="shared" si="57"/>
        <v/>
      </c>
      <c r="J52" s="368"/>
      <c r="K52" s="418"/>
      <c r="L52" s="368"/>
      <c r="M52" s="368"/>
      <c r="N52" s="415"/>
      <c r="O52" s="445"/>
      <c r="P52" s="548" t="str">
        <f t="shared" si="75"/>
        <v/>
      </c>
      <c r="Q52" s="549" t="str">
        <f t="shared" si="76"/>
        <v/>
      </c>
      <c r="R52" s="550" t="str">
        <f>IF(B52="","",VLOOKUP(B52,非_単位!$N$38:$O$53,2,FALSE))</f>
        <v/>
      </c>
      <c r="S52" s="551" t="str">
        <f t="shared" si="77"/>
        <v/>
      </c>
      <c r="T52" s="539" t="str">
        <f t="shared" si="78"/>
        <v/>
      </c>
      <c r="V52" s="422" t="str">
        <f t="shared" si="58"/>
        <v/>
      </c>
      <c r="W52" s="422" t="str">
        <f t="shared" si="79"/>
        <v/>
      </c>
      <c r="X52" s="422" t="str">
        <f t="shared" si="59"/>
        <v/>
      </c>
      <c r="Y52" s="422" t="str">
        <f t="shared" si="60"/>
        <v/>
      </c>
      <c r="Z52" s="422"/>
      <c r="AA52" s="484" t="str">
        <f t="shared" si="80"/>
        <v/>
      </c>
      <c r="AB52" s="422" t="str">
        <f t="shared" si="61"/>
        <v/>
      </c>
      <c r="AC52" s="422" t="str">
        <f t="shared" si="81"/>
        <v/>
      </c>
      <c r="AD52" s="422"/>
      <c r="AE52" s="422" t="str">
        <f>IF(B52="","",IF(B52="電気_仮想電力購入契約","",VLOOKUP(B52,非_係数!$B$42:$D$55,2,FALSE)))</f>
        <v/>
      </c>
      <c r="AF52" s="422" t="str">
        <f>IF(V52="電気",非_電気事業者!$S$4*1000,IF(V52="熱",非_熱供給事業者!$T$4,""))</f>
        <v/>
      </c>
      <c r="AG52" s="422" t="str">
        <f>IF(M52="","",VLOOKUP(M52,非_単位補正換算!$B$3:$C$16,2,FALSE))</f>
        <v/>
      </c>
      <c r="AH52" s="422" t="str">
        <f t="shared" si="62"/>
        <v/>
      </c>
      <c r="AI52" s="422" t="str">
        <f t="shared" si="63"/>
        <v/>
      </c>
      <c r="AJ52" s="422">
        <f t="shared" si="64"/>
        <v>1</v>
      </c>
      <c r="AK52" s="422" t="str">
        <f t="shared" si="65"/>
        <v/>
      </c>
      <c r="AL52" s="482" t="b">
        <f t="shared" si="21"/>
        <v>1</v>
      </c>
      <c r="AM52" s="422" t="str">
        <f t="shared" si="84"/>
        <v/>
      </c>
      <c r="AN52" s="422" t="str">
        <f t="shared" si="67"/>
        <v/>
      </c>
      <c r="AO52" s="422" t="str">
        <f t="shared" si="92"/>
        <v/>
      </c>
      <c r="AP52" s="422" t="str">
        <f t="shared" si="68"/>
        <v/>
      </c>
      <c r="AQ52" s="422" t="str">
        <f t="shared" si="69"/>
        <v/>
      </c>
      <c r="AR52" s="422" t="str">
        <f>IF(AQ52&lt;&gt;"義務","",SUMIFS(非_まとめ表行番号!$N$3:$N$20,非_まとめ表行番号!$J$3:$J$20,AM52,非_まとめ表行番号!$K$3:$K$20,AN52,非_まとめ表行番号!$L$3:$L$20,AO52,非_まとめ表行番号!$M$3:$M$20,AP52))</f>
        <v/>
      </c>
      <c r="AS52" s="422" t="str">
        <f>IF(AQ52&lt;&gt;"義務","",SUMIFS(非_まとめ表行番号!$O$3:$O$20,非_まとめ表行番号!$J$3:$J$20,AM52,非_まとめ表行番号!$K$3:$K$20,AN52,非_まとめ表行番号!$L$3:$L$20,AO52,非_まとめ表行番号!$M$3:$M$20,AP52))</f>
        <v/>
      </c>
      <c r="AT52" s="422" t="str">
        <f t="shared" si="70"/>
        <v/>
      </c>
      <c r="AV52" s="479" t="str">
        <f>IF(AR52="","",VLOOKUP(AR52,非_まとめ表行番号!$U$3:$V$56,2,FALSE))</f>
        <v/>
      </c>
      <c r="AW52" s="479" t="str">
        <f>IF(C52="","",VLOOKUP(C52,非_燃料種類_選択リスト!$X$2:$Y$14,2,FALSE))</f>
        <v/>
      </c>
      <c r="AX52" s="479" t="str">
        <f>IF(D52="","",VLOOKUP(D52,非_燃料種類_選択リスト!$X$18:$Y$24,2,FALSE))</f>
        <v/>
      </c>
      <c r="AY52" s="485" t="str">
        <f t="shared" si="82"/>
        <v/>
      </c>
      <c r="AZ52" s="479" t="str">
        <f t="shared" si="100"/>
        <v/>
      </c>
      <c r="BA52" s="479" t="str">
        <f t="shared" si="100"/>
        <v/>
      </c>
      <c r="BB52" s="479" t="str">
        <f t="shared" si="72"/>
        <v/>
      </c>
      <c r="BC52" s="581" t="str">
        <f t="shared" si="83"/>
        <v/>
      </c>
      <c r="BE52" s="584" t="str">
        <f>IF(AND(A52="",B52=""),"",IF(AN52="有",0,VLOOKUP(B52,非_係数!$B$42:$J$55,9,FALSE)))</f>
        <v/>
      </c>
      <c r="BF52" s="584" t="str">
        <f t="shared" si="73"/>
        <v/>
      </c>
    </row>
    <row r="53" spans="1:58" ht="18.75" customHeight="1" thickBot="1">
      <c r="A53" s="460"/>
      <c r="B53" s="368"/>
      <c r="C53" s="368"/>
      <c r="D53" s="369"/>
      <c r="E53" s="552"/>
      <c r="F53" s="368"/>
      <c r="G53" s="547" t="str">
        <f t="shared" si="74"/>
        <v/>
      </c>
      <c r="H53" s="368"/>
      <c r="I53" s="417" t="str">
        <f t="shared" si="57"/>
        <v/>
      </c>
      <c r="J53" s="368"/>
      <c r="K53" s="546"/>
      <c r="L53" s="368"/>
      <c r="M53" s="368"/>
      <c r="N53" s="416"/>
      <c r="O53" s="445"/>
      <c r="P53" s="548" t="str">
        <f t="shared" si="75"/>
        <v/>
      </c>
      <c r="Q53" s="549" t="str">
        <f t="shared" si="76"/>
        <v/>
      </c>
      <c r="R53" s="550" t="str">
        <f>IF(B53="","",VLOOKUP(B53,非_単位!$N$38:$O$53,2,FALSE))</f>
        <v/>
      </c>
      <c r="S53" s="551" t="str">
        <f t="shared" si="77"/>
        <v/>
      </c>
      <c r="T53" s="539" t="str">
        <f t="shared" si="78"/>
        <v/>
      </c>
      <c r="V53" s="422" t="str">
        <f t="shared" si="58"/>
        <v/>
      </c>
      <c r="W53" s="422" t="str">
        <f t="shared" si="79"/>
        <v/>
      </c>
      <c r="X53" s="422" t="str">
        <f t="shared" si="59"/>
        <v/>
      </c>
      <c r="Y53" s="422" t="str">
        <f t="shared" si="60"/>
        <v/>
      </c>
      <c r="Z53" s="422"/>
      <c r="AA53" s="484" t="str">
        <f t="shared" si="80"/>
        <v/>
      </c>
      <c r="AB53" s="422" t="str">
        <f t="shared" si="61"/>
        <v/>
      </c>
      <c r="AC53" s="422" t="str">
        <f t="shared" si="81"/>
        <v/>
      </c>
      <c r="AD53" s="422"/>
      <c r="AE53" s="422" t="str">
        <f>IF(B53="","",IF(B53="電気_仮想電力購入契約","",VLOOKUP(B53,非_係数!$B$42:$D$55,2,FALSE)))</f>
        <v/>
      </c>
      <c r="AF53" s="422" t="str">
        <f>IF(V53="電気",非_電気事業者!$S$4*1000,IF(V53="熱",非_熱供給事業者!$T$4,""))</f>
        <v/>
      </c>
      <c r="AG53" s="422" t="str">
        <f>IF(M53="","",VLOOKUP(M53,非_単位補正換算!$B$3:$C$16,2,FALSE))</f>
        <v/>
      </c>
      <c r="AH53" s="422" t="str">
        <f t="shared" si="62"/>
        <v/>
      </c>
      <c r="AI53" s="422" t="str">
        <f t="shared" si="63"/>
        <v/>
      </c>
      <c r="AJ53" s="422">
        <f t="shared" si="64"/>
        <v>1</v>
      </c>
      <c r="AK53" s="422" t="str">
        <f t="shared" si="65"/>
        <v/>
      </c>
      <c r="AL53" s="482" t="b">
        <f t="shared" si="21"/>
        <v>1</v>
      </c>
      <c r="AM53" s="422" t="str">
        <f t="shared" si="84"/>
        <v/>
      </c>
      <c r="AN53" s="422" t="str">
        <f t="shared" si="67"/>
        <v/>
      </c>
      <c r="AO53" s="422" t="str">
        <f t="shared" si="92"/>
        <v/>
      </c>
      <c r="AP53" s="422" t="str">
        <f t="shared" si="68"/>
        <v/>
      </c>
      <c r="AQ53" s="422" t="str">
        <f t="shared" si="69"/>
        <v/>
      </c>
      <c r="AR53" s="422" t="str">
        <f>IF(AQ53&lt;&gt;"義務","",SUMIFS(非_まとめ表行番号!$N$3:$N$20,非_まとめ表行番号!$J$3:$J$20,AM53,非_まとめ表行番号!$K$3:$K$20,AN53,非_まとめ表行番号!$L$3:$L$20,AO53,非_まとめ表行番号!$M$3:$M$20,AP53))</f>
        <v/>
      </c>
      <c r="AS53" s="422" t="str">
        <f>IF(AQ53&lt;&gt;"義務","",SUMIFS(非_まとめ表行番号!$O$3:$O$20,非_まとめ表行番号!$J$3:$J$20,AM53,非_まとめ表行番号!$K$3:$K$20,AN53,非_まとめ表行番号!$L$3:$L$20,AO53,非_まとめ表行番号!$M$3:$M$20,AP53))</f>
        <v/>
      </c>
      <c r="AT53" s="422" t="str">
        <f t="shared" si="70"/>
        <v/>
      </c>
      <c r="AV53" s="479" t="str">
        <f>IF(AR53="","",VLOOKUP(AR53,非_まとめ表行番号!$U$3:$V$56,2,FALSE))</f>
        <v/>
      </c>
      <c r="AW53" s="479" t="str">
        <f>IF(C53="","",VLOOKUP(C53,非_燃料種類_選択リスト!$X$2:$Y$14,2,FALSE))</f>
        <v/>
      </c>
      <c r="AX53" s="479" t="str">
        <f>IF(D53="","",VLOOKUP(D53,非_燃料種類_選択リスト!$X$18:$Y$24,2,FALSE))</f>
        <v/>
      </c>
      <c r="AY53" s="485" t="str">
        <f t="shared" si="82"/>
        <v/>
      </c>
      <c r="AZ53" s="479" t="str">
        <f t="shared" si="100"/>
        <v/>
      </c>
      <c r="BA53" s="479" t="str">
        <f t="shared" si="100"/>
        <v/>
      </c>
      <c r="BB53" s="479" t="str">
        <f t="shared" si="72"/>
        <v/>
      </c>
      <c r="BC53" s="581" t="str">
        <f t="shared" si="83"/>
        <v/>
      </c>
      <c r="BE53" s="584" t="str">
        <f>IF(AND(A53="",B53=""),"",IF(AN53="有",0,VLOOKUP(B53,非_係数!$B$42:$J$55,9,FALSE)))</f>
        <v/>
      </c>
      <c r="BF53" s="584" t="str">
        <f t="shared" si="73"/>
        <v/>
      </c>
    </row>
    <row r="54" spans="1:58" ht="17.25" customHeight="1" thickTop="1" thickBot="1">
      <c r="A54" s="299" t="s">
        <v>2017</v>
      </c>
      <c r="B54" s="300"/>
      <c r="C54" s="300"/>
      <c r="D54" s="300"/>
      <c r="E54" s="300"/>
      <c r="F54" s="300"/>
      <c r="G54" s="300"/>
      <c r="H54" s="300"/>
      <c r="I54" s="300"/>
      <c r="J54" s="300"/>
      <c r="K54" s="300"/>
      <c r="L54" s="300"/>
      <c r="M54" s="300"/>
      <c r="N54" s="300"/>
      <c r="O54" s="300"/>
      <c r="P54" s="300"/>
      <c r="Q54" s="307"/>
      <c r="R54" s="307"/>
      <c r="S54" s="57"/>
      <c r="T54" s="386"/>
      <c r="AO54" s="85" t="str">
        <f t="shared" si="92"/>
        <v/>
      </c>
    </row>
    <row r="55" spans="1:58" ht="18.75" customHeight="1" thickTop="1">
      <c r="A55" s="460"/>
      <c r="B55" s="368"/>
      <c r="C55" s="368"/>
      <c r="D55" s="369"/>
      <c r="E55" s="370"/>
      <c r="F55" s="368"/>
      <c r="G55" s="547" t="str">
        <f>AE55</f>
        <v/>
      </c>
      <c r="H55" s="368"/>
      <c r="I55" s="417" t="str">
        <f t="shared" ref="I55:I64" si="101">IF(H55="","",IF(H55="目標設定ガスの算定対象外",0,IF(H55="国代替値",AF55,"要記入")))</f>
        <v/>
      </c>
      <c r="J55" s="368"/>
      <c r="K55" s="417"/>
      <c r="L55" s="368"/>
      <c r="M55" s="368"/>
      <c r="N55" s="417"/>
      <c r="O55" s="445"/>
      <c r="P55" s="548" t="str">
        <f>IF(N55="","",IF(O55="",N55,O55*N55))</f>
        <v/>
      </c>
      <c r="Q55" s="549" t="str">
        <f>IF(AH55="","",-1*AH55)</f>
        <v/>
      </c>
      <c r="R55" s="550" t="str">
        <f>IF(B55="","",VLOOKUP(B55,非_単位!$N$38:$O$53,2,FALSE))</f>
        <v/>
      </c>
      <c r="S55" s="551" t="str">
        <f>IF(AI55="","",-1*AI55)</f>
        <v/>
      </c>
      <c r="T55" s="539" t="str">
        <f>IF(AK55="","",-1*AK55)</f>
        <v/>
      </c>
      <c r="V55" s="422" t="str">
        <f t="shared" ref="V55:V64" si="102">IF(B55="","",IF(LEFT(B55,2)="電気","電気","熱"))</f>
        <v/>
      </c>
      <c r="W55" s="422" t="str">
        <f>IF(AC55="","",IF(AC55="自家消費以外","再エネ_自家消費以外_対象外_種類","再エネ_自家消費_対象外_種類"))</f>
        <v/>
      </c>
      <c r="X55" s="422" t="str">
        <f t="shared" ref="X55:X64" si="103">IF(B55="","","再エネ_種類_選択")</f>
        <v/>
      </c>
      <c r="Y55" s="422" t="str">
        <f>IF(AND(C55="バイオマス",LEFT(A55,4)="自家消費"),"バイオマス_種類_選択","")</f>
        <v/>
      </c>
      <c r="Z55" s="422" t="str">
        <f>IF(AND(C55="バイオマス",LEFT(A55,5)="自家消費_"),"バイオマス燃料_持続可能性_選択","")</f>
        <v/>
      </c>
      <c r="AA55" s="422" t="str">
        <f t="shared" ref="AA55:AA64" si="104">IF(B55="","",IF(AND(Z55&lt;&gt;"",E55="無"),"環境価値_バイオマス持続可能性無_選択","環境価値_選択"))</f>
        <v/>
      </c>
      <c r="AB55" s="422" t="str">
        <f>IF(B55="","",IF(F55="","",IF(E55="無","再エネ_係数根拠_持続可能性無",IF(F55="有","再エネ_係数根拠_環境価値有","再エネ_係数根拠_環境価値無"))))</f>
        <v/>
      </c>
      <c r="AC55" s="422" t="str">
        <f t="shared" ref="AC55:AC64" si="105">IF(A55="","",IF(LEFT(A55,6)="自家消費以外","自家消費以外","自家消費"))</f>
        <v/>
      </c>
      <c r="AD55" s="422" t="str">
        <f t="shared" ref="AD55:AD64" si="106">IF(AC55="","",IF(AC55="自家消費",IF(V55&lt;&gt;"熱","",IF(OR(C55="太陽光",C55="地熱",C55="温泉熱",C55="雪氷熱"),"対象","")),""))</f>
        <v/>
      </c>
      <c r="AE55" s="422" t="str">
        <f>IF(B55="","",IF(AD55="対象","熱量計読取",VLOOKUP(B55,非_係数!$B$42:$D$55,2,FALSE)))</f>
        <v/>
      </c>
      <c r="AF55" s="422" t="str">
        <f>IF(V55="電気",非_電気事業者!$S$4*1000,IF(V55="熱",非_熱供給事業者!$T$4,""))</f>
        <v/>
      </c>
      <c r="AG55" s="422" t="str">
        <f>IF(M55="","",VLOOKUP(M55,非_単位補正換算!$B$3:$C$16,2,FALSE))</f>
        <v/>
      </c>
      <c r="AH55" s="422" t="str">
        <f t="shared" ref="AH55:AH64" si="107">IF(M55="","",IF(P55="","",-1*P55/AG55))</f>
        <v/>
      </c>
      <c r="AI55" s="422" t="str">
        <f t="shared" ref="AI55:AI64" si="108">IF(AH55="","",IF(AD55="対象",AH55,IF(G55="","",AH55*G55)))</f>
        <v/>
      </c>
      <c r="AJ55" s="422">
        <v>1</v>
      </c>
      <c r="AK55" s="422" t="str">
        <f t="shared" ref="AK55:AK64" si="109">IF(AH55="","",IF(ISNUMBER(I55),AH55*I55,""))</f>
        <v/>
      </c>
      <c r="AL55" s="482" t="b">
        <f t="shared" si="21"/>
        <v>1</v>
      </c>
      <c r="AM55" s="422" t="str">
        <f t="shared" ref="AM55" si="110">V55</f>
        <v/>
      </c>
      <c r="AN55" s="422" t="str">
        <f t="shared" ref="AN55:AN64" si="111">IF(F55="","",F55)</f>
        <v/>
      </c>
      <c r="AO55" s="422" t="str">
        <f t="shared" si="92"/>
        <v/>
      </c>
      <c r="AP55" s="422" t="str">
        <f>IF(E55="","",E55)</f>
        <v/>
      </c>
      <c r="AQ55" s="422" t="str">
        <f>IF(C55="","",IF(LEFT(C55,2)="任意","任意","義務"))</f>
        <v/>
      </c>
      <c r="AR55" s="422" t="str">
        <f>IF(AQ55&lt;&gt;"義務","",SUMIFS(非_まとめ表行番号!$N$3:$N$20,非_まとめ表行番号!$J$3:$J$20,AM55,非_まとめ表行番号!$K$3:$K$20,AN55,非_まとめ表行番号!$L$3:$L$20,AO55,非_まとめ表行番号!$M$3:$M$20,AP55))</f>
        <v/>
      </c>
      <c r="AS55" s="422" t="str">
        <f>IF(AQ55&lt;&gt;"義務","",SUMIFS(非_まとめ表行番号!$O$3:$O$20,非_まとめ表行番号!$J$3:$J$20,AM55,非_まとめ表行番号!$K$3:$K$20,AN55,非_まとめ表行番号!$L$3:$L$20,AO55,非_まとめ表行番号!$M$3:$M$20,AP55))</f>
        <v/>
      </c>
      <c r="AT55" s="422" t="str">
        <f t="shared" ref="AT55:AT64" si="112">IF(L55="無","乗率_除外する排出量","")</f>
        <v/>
      </c>
      <c r="AV55" s="479" t="str">
        <f>IF(AR55="","",VLOOKUP(AR55,非_まとめ表行番号!$U$3:$V$56,2,FALSE))</f>
        <v/>
      </c>
      <c r="AW55" s="479" t="str">
        <f>IF(C55="","",VLOOKUP(C55,非_燃料種類_選択リスト!$X$2:$Y$14,2,FALSE))</f>
        <v/>
      </c>
      <c r="AX55" s="479" t="str">
        <f>IF(D55="","",VLOOKUP(D55,非_燃料種類_選択リスト!$X$18:$Y$24,2,FALSE))</f>
        <v/>
      </c>
      <c r="AY55" s="485" t="str">
        <f>IF(AV55=46,0,IF(G55="","",IF(G55="熱量計読取",1,G55)))</f>
        <v/>
      </c>
      <c r="AZ55" s="479" t="str">
        <f t="shared" ref="AZ55:BA64" si="113">IF(H55="","",H55)</f>
        <v/>
      </c>
      <c r="BA55" s="479" t="str">
        <f t="shared" si="113"/>
        <v/>
      </c>
      <c r="BB55" s="479" t="str">
        <f t="shared" ref="BB55:BB64" si="114">IF(Q55="","",Q55)</f>
        <v/>
      </c>
      <c r="BC55" s="479" t="str">
        <f>IF(AK55="","",-1)</f>
        <v/>
      </c>
      <c r="BE55" s="584" t="str">
        <f>IF(AND(A55="",B55=""),"",IF(AN55="有",0,VLOOKUP(B55,非_係数!$B$42:$J$55,9,FALSE)))</f>
        <v/>
      </c>
      <c r="BF55" s="584" t="str">
        <f t="shared" si="73"/>
        <v/>
      </c>
    </row>
    <row r="56" spans="1:58" ht="18.75" customHeight="1">
      <c r="A56" s="460"/>
      <c r="B56" s="368"/>
      <c r="C56" s="368"/>
      <c r="D56" s="369"/>
      <c r="E56" s="371"/>
      <c r="F56" s="368"/>
      <c r="G56" s="547" t="str">
        <f t="shared" ref="G56:G64" si="115">AE56</f>
        <v/>
      </c>
      <c r="H56" s="368"/>
      <c r="I56" s="417" t="str">
        <f t="shared" si="101"/>
        <v/>
      </c>
      <c r="J56" s="368"/>
      <c r="K56" s="418"/>
      <c r="L56" s="368"/>
      <c r="M56" s="368"/>
      <c r="N56" s="418"/>
      <c r="O56" s="445"/>
      <c r="P56" s="548" t="str">
        <f t="shared" ref="P56:P64" si="116">IF(N56="","",IF(O56="",N56,O56*N56))</f>
        <v/>
      </c>
      <c r="Q56" s="549" t="str">
        <f t="shared" ref="Q56:Q64" si="117">IF(AH56="","",-1*AH56)</f>
        <v/>
      </c>
      <c r="R56" s="550" t="str">
        <f>IF(B56="","",VLOOKUP(B56,非_単位!$N$38:$O$53,2,FALSE))</f>
        <v/>
      </c>
      <c r="S56" s="551" t="str">
        <f t="shared" ref="S56:S64" si="118">IF(AI56="","",-1*AI56)</f>
        <v/>
      </c>
      <c r="T56" s="539" t="str">
        <f t="shared" ref="T56:T64" si="119">IF(AK56="","",-1*AK56)</f>
        <v/>
      </c>
      <c r="V56" s="422" t="str">
        <f t="shared" si="102"/>
        <v/>
      </c>
      <c r="W56" s="422" t="str">
        <f t="shared" ref="W56:W64" si="120">IF(A56="","",IF(LEFT(A56,6)="自家消費以外","再エネ_自家消費以外_対象外_種類","再エネ_自家消費_対象外_種類"))</f>
        <v/>
      </c>
      <c r="X56" s="422" t="str">
        <f t="shared" si="103"/>
        <v/>
      </c>
      <c r="Y56" s="584" t="str">
        <f t="shared" ref="Y56:Y64" si="121">IF(AND(C56="バイオマス",LEFT(A56,4)="自家消費"),"バイオマス_種類_選択","")</f>
        <v/>
      </c>
      <c r="Z56" s="584" t="str">
        <f t="shared" ref="Z56:Z64" si="122">IF(AND(C56="バイオマス",LEFT(A56,5)="自家消費_"),"バイオマス燃料_持続可能性_選択","")</f>
        <v/>
      </c>
      <c r="AA56" s="422" t="str">
        <f t="shared" si="104"/>
        <v/>
      </c>
      <c r="AB56" s="422" t="str">
        <f t="shared" ref="AB56:AB64" si="123">IF(B56="","",IF(B56="電気_仮想電力購入契約","再エネ_係数根拠_仮想電力購入契約",IF(F56="","",IF(F56="有","再エネ_係数根拠_環境価値有","再エネ_係数根拠_環境価値無"))))</f>
        <v/>
      </c>
      <c r="AC56" s="422" t="str">
        <f t="shared" si="105"/>
        <v/>
      </c>
      <c r="AD56" s="422" t="str">
        <f t="shared" si="106"/>
        <v/>
      </c>
      <c r="AE56" s="422" t="str">
        <f>IF(B56="","",IF(AD56="対象","熱量計読取",VLOOKUP(B56,非_係数!$B$42:$D$55,2,FALSE)))</f>
        <v/>
      </c>
      <c r="AF56" s="422" t="str">
        <f>IF(V56="電気",非_電気事業者!$S$4*1000,IF(V56="熱",非_熱供給事業者!$T$4,""))</f>
        <v/>
      </c>
      <c r="AG56" s="422" t="str">
        <f>IF(M56="","",VLOOKUP(M56,非_単位補正換算!$B$3:$C$16,2,FALSE))</f>
        <v/>
      </c>
      <c r="AH56" s="422" t="str">
        <f t="shared" si="107"/>
        <v/>
      </c>
      <c r="AI56" s="422" t="str">
        <f t="shared" si="108"/>
        <v/>
      </c>
      <c r="AJ56" s="422">
        <v>1</v>
      </c>
      <c r="AK56" s="422" t="str">
        <f t="shared" si="109"/>
        <v/>
      </c>
      <c r="AL56" s="482" t="b">
        <f t="shared" si="21"/>
        <v>1</v>
      </c>
      <c r="AM56" s="422" t="str">
        <f t="shared" ref="AM56:AM64" si="124">V56</f>
        <v/>
      </c>
      <c r="AN56" s="422" t="str">
        <f t="shared" si="111"/>
        <v/>
      </c>
      <c r="AO56" s="422" t="str">
        <f t="shared" si="92"/>
        <v/>
      </c>
      <c r="AP56" s="422" t="str">
        <f>IF(E56="","",E56)</f>
        <v/>
      </c>
      <c r="AQ56" s="422" t="str">
        <f>IF(C56="","",IF(LEFT(C56,2)="任意","任意","義務"))</f>
        <v/>
      </c>
      <c r="AR56" s="422" t="str">
        <f>IF(AQ56&lt;&gt;"義務","",SUMIFS(非_まとめ表行番号!$N$3:$N$20,非_まとめ表行番号!$J$3:$J$20,AM56,非_まとめ表行番号!$K$3:$K$20,AN56,非_まとめ表行番号!$L$3:$L$20,AO56,非_まとめ表行番号!$M$3:$M$20,AP56))</f>
        <v/>
      </c>
      <c r="AS56" s="422" t="str">
        <f>IF(AQ56&lt;&gt;"義務","",SUMIFS(非_まとめ表行番号!$O$3:$O$20,非_まとめ表行番号!$J$3:$J$20,AM56,非_まとめ表行番号!$K$3:$K$20,AN56,非_まとめ表行番号!$L$3:$L$20,AO56,非_まとめ表行番号!$M$3:$M$20,AP56))</f>
        <v/>
      </c>
      <c r="AT56" s="422" t="str">
        <f t="shared" si="112"/>
        <v/>
      </c>
      <c r="AV56" s="479" t="str">
        <f>IF(AR56="","",VLOOKUP(AR56,非_まとめ表行番号!$U$3:$V$56,2,FALSE))</f>
        <v/>
      </c>
      <c r="AW56" s="479" t="str">
        <f>IF(C56="","",VLOOKUP(C56,非_燃料種類_選択リスト!$X$2:$Y$14,2,FALSE))</f>
        <v/>
      </c>
      <c r="AX56" s="479" t="str">
        <f>IF(D56="","",VLOOKUP(D56,非_燃料種類_選択リスト!$X$18:$Y$24,2,FALSE))</f>
        <v/>
      </c>
      <c r="AY56" s="485" t="str">
        <f t="shared" ref="AY56:AY64" si="125">IF(AV56=46,0,IF(G56="","",IF(G56="熱量計読取",1,G56)))</f>
        <v/>
      </c>
      <c r="AZ56" s="479" t="str">
        <f t="shared" si="113"/>
        <v/>
      </c>
      <c r="BA56" s="479" t="str">
        <f t="shared" si="113"/>
        <v/>
      </c>
      <c r="BB56" s="479" t="str">
        <f t="shared" si="114"/>
        <v/>
      </c>
      <c r="BC56" s="489" t="str">
        <f t="shared" ref="BC56:BC64" si="126">IF(AK56="","",-1)</f>
        <v/>
      </c>
      <c r="BE56" s="584" t="str">
        <f>IF(AND(A56="",B56=""),"",IF(AN56="有",0,VLOOKUP(B56,非_係数!$B$42:$J$55,9,FALSE)))</f>
        <v/>
      </c>
      <c r="BF56" s="584" t="str">
        <f t="shared" si="73"/>
        <v/>
      </c>
    </row>
    <row r="57" spans="1:58" ht="18.75" customHeight="1">
      <c r="A57" s="460"/>
      <c r="B57" s="368"/>
      <c r="C57" s="368"/>
      <c r="D57" s="369"/>
      <c r="E57" s="371"/>
      <c r="F57" s="368"/>
      <c r="G57" s="547" t="str">
        <f t="shared" si="115"/>
        <v/>
      </c>
      <c r="H57" s="368"/>
      <c r="I57" s="417" t="str">
        <f t="shared" si="101"/>
        <v/>
      </c>
      <c r="J57" s="368"/>
      <c r="K57" s="418"/>
      <c r="L57" s="368"/>
      <c r="M57" s="368"/>
      <c r="N57" s="418"/>
      <c r="O57" s="445"/>
      <c r="P57" s="548" t="str">
        <f t="shared" si="116"/>
        <v/>
      </c>
      <c r="Q57" s="549" t="str">
        <f t="shared" si="117"/>
        <v/>
      </c>
      <c r="R57" s="550" t="str">
        <f>IF(B57="","",VLOOKUP(B57,非_単位!$N$38:$O$53,2,FALSE))</f>
        <v/>
      </c>
      <c r="S57" s="551" t="str">
        <f t="shared" si="118"/>
        <v/>
      </c>
      <c r="T57" s="539" t="str">
        <f t="shared" si="119"/>
        <v/>
      </c>
      <c r="V57" s="422" t="str">
        <f t="shared" si="102"/>
        <v/>
      </c>
      <c r="W57" s="422" t="str">
        <f t="shared" si="120"/>
        <v/>
      </c>
      <c r="X57" s="422" t="str">
        <f t="shared" si="103"/>
        <v/>
      </c>
      <c r="Y57" s="584" t="str">
        <f t="shared" si="121"/>
        <v/>
      </c>
      <c r="Z57" s="584" t="str">
        <f t="shared" si="122"/>
        <v/>
      </c>
      <c r="AA57" s="422" t="str">
        <f t="shared" si="104"/>
        <v/>
      </c>
      <c r="AB57" s="422" t="str">
        <f t="shared" si="123"/>
        <v/>
      </c>
      <c r="AC57" s="422" t="str">
        <f t="shared" si="105"/>
        <v/>
      </c>
      <c r="AD57" s="422" t="str">
        <f t="shared" si="106"/>
        <v/>
      </c>
      <c r="AE57" s="422" t="str">
        <f>IF(B57="","",IF(AD57="対象","熱量計読取",VLOOKUP(B57,非_係数!$B$42:$D$55,2,FALSE)))</f>
        <v/>
      </c>
      <c r="AF57" s="422" t="str">
        <f>IF(V57="電気",非_電気事業者!$S$4*1000,IF(V57="熱",非_熱供給事業者!$T$4,""))</f>
        <v/>
      </c>
      <c r="AG57" s="422" t="str">
        <f>IF(M57="","",VLOOKUP(M57,非_単位補正換算!$B$3:$C$16,2,FALSE))</f>
        <v/>
      </c>
      <c r="AH57" s="422" t="str">
        <f t="shared" si="107"/>
        <v/>
      </c>
      <c r="AI57" s="422" t="str">
        <f t="shared" si="108"/>
        <v/>
      </c>
      <c r="AJ57" s="422">
        <v>1</v>
      </c>
      <c r="AK57" s="422" t="str">
        <f t="shared" si="109"/>
        <v/>
      </c>
      <c r="AL57" s="482" t="b">
        <f t="shared" si="21"/>
        <v>1</v>
      </c>
      <c r="AM57" s="422" t="str">
        <f t="shared" si="124"/>
        <v/>
      </c>
      <c r="AN57" s="422" t="str">
        <f t="shared" si="111"/>
        <v/>
      </c>
      <c r="AO57" s="422" t="str">
        <f t="shared" si="92"/>
        <v/>
      </c>
      <c r="AP57" s="422" t="str">
        <f>IF(E57="","",E57)</f>
        <v/>
      </c>
      <c r="AQ57" s="422" t="str">
        <f>IF(C57="","",IF(LEFT(C57,2)="任意","任意","義務"))</f>
        <v/>
      </c>
      <c r="AR57" s="422" t="str">
        <f>IF(AQ57&lt;&gt;"義務","",SUMIFS(非_まとめ表行番号!$N$3:$N$20,非_まとめ表行番号!$J$3:$J$20,AM57,非_まとめ表行番号!$K$3:$K$20,AN57,非_まとめ表行番号!$L$3:$L$20,AO57,非_まとめ表行番号!$M$3:$M$20,AP57))</f>
        <v/>
      </c>
      <c r="AS57" s="422" t="str">
        <f>IF(AQ57&lt;&gt;"義務","",SUMIFS(非_まとめ表行番号!$O$3:$O$20,非_まとめ表行番号!$J$3:$J$20,AM57,非_まとめ表行番号!$K$3:$K$20,AN57,非_まとめ表行番号!$L$3:$L$20,AO57,非_まとめ表行番号!$M$3:$M$20,AP57))</f>
        <v/>
      </c>
      <c r="AT57" s="422" t="str">
        <f t="shared" si="112"/>
        <v/>
      </c>
      <c r="AV57" s="479" t="str">
        <f>IF(AR57="","",VLOOKUP(AR57,非_まとめ表行番号!$U$3:$V$56,2,FALSE))</f>
        <v/>
      </c>
      <c r="AW57" s="479" t="str">
        <f>IF(C57="","",VLOOKUP(C57,非_燃料種類_選択リスト!$X$2:$Y$14,2,FALSE))</f>
        <v/>
      </c>
      <c r="AX57" s="479" t="str">
        <f>IF(D57="","",VLOOKUP(D57,非_燃料種類_選択リスト!$X$18:$Y$24,2,FALSE))</f>
        <v/>
      </c>
      <c r="AY57" s="485" t="str">
        <f t="shared" si="125"/>
        <v/>
      </c>
      <c r="AZ57" s="479" t="str">
        <f t="shared" si="113"/>
        <v/>
      </c>
      <c r="BA57" s="479" t="str">
        <f t="shared" si="113"/>
        <v/>
      </c>
      <c r="BB57" s="479" t="str">
        <f t="shared" si="114"/>
        <v/>
      </c>
      <c r="BC57" s="489" t="str">
        <f t="shared" si="126"/>
        <v/>
      </c>
      <c r="BE57" s="584" t="str">
        <f>IF(AND(A57="",B57=""),"",IF(AN57="有",0,VLOOKUP(B57,非_係数!$B$42:$J$55,9,FALSE)))</f>
        <v/>
      </c>
      <c r="BF57" s="584" t="str">
        <f t="shared" si="73"/>
        <v/>
      </c>
    </row>
    <row r="58" spans="1:58" ht="18.75" customHeight="1">
      <c r="A58" s="460"/>
      <c r="B58" s="368"/>
      <c r="C58" s="368"/>
      <c r="D58" s="369"/>
      <c r="E58" s="371"/>
      <c r="F58" s="368"/>
      <c r="G58" s="547" t="str">
        <f t="shared" ref="G58:G61" si="127">AE58</f>
        <v/>
      </c>
      <c r="H58" s="368"/>
      <c r="I58" s="417" t="str">
        <f t="shared" si="101"/>
        <v/>
      </c>
      <c r="J58" s="368"/>
      <c r="K58" s="418"/>
      <c r="L58" s="368"/>
      <c r="M58" s="368"/>
      <c r="N58" s="418"/>
      <c r="O58" s="445"/>
      <c r="P58" s="548" t="str">
        <f t="shared" si="116"/>
        <v/>
      </c>
      <c r="Q58" s="549" t="str">
        <f t="shared" ref="Q58:Q61" si="128">IF(AH58="","",-1*AH58)</f>
        <v/>
      </c>
      <c r="R58" s="550" t="str">
        <f>IF(B58="","",VLOOKUP(B58,非_単位!$N$38:$O$53,2,FALSE))</f>
        <v/>
      </c>
      <c r="S58" s="551" t="str">
        <f t="shared" ref="S58:S61" si="129">IF(AI58="","",-1*AI58)</f>
        <v/>
      </c>
      <c r="T58" s="539" t="str">
        <f t="shared" ref="T58:T61" si="130">IF(AK58="","",-1*AK58)</f>
        <v/>
      </c>
      <c r="V58" s="422" t="str">
        <f t="shared" si="102"/>
        <v/>
      </c>
      <c r="W58" s="422" t="str">
        <f t="shared" si="120"/>
        <v/>
      </c>
      <c r="X58" s="422" t="str">
        <f t="shared" si="103"/>
        <v/>
      </c>
      <c r="Y58" s="584" t="str">
        <f t="shared" si="121"/>
        <v/>
      </c>
      <c r="Z58" s="584" t="str">
        <f t="shared" si="122"/>
        <v/>
      </c>
      <c r="AA58" s="422" t="str">
        <f t="shared" si="104"/>
        <v/>
      </c>
      <c r="AB58" s="422" t="str">
        <f t="shared" si="123"/>
        <v/>
      </c>
      <c r="AC58" s="422" t="str">
        <f t="shared" si="105"/>
        <v/>
      </c>
      <c r="AD58" s="422" t="str">
        <f t="shared" si="106"/>
        <v/>
      </c>
      <c r="AE58" s="422" t="str">
        <f>IF(B58="","",IF(AD58="対象","熱量計読取",VLOOKUP(B58,非_係数!$B$42:$D$55,2,FALSE)))</f>
        <v/>
      </c>
      <c r="AF58" s="422" t="str">
        <f>IF(V58="電気",非_電気事業者!$S$4*1000,IF(V58="熱",非_熱供給事業者!$T$4,""))</f>
        <v/>
      </c>
      <c r="AG58" s="422" t="str">
        <f>IF(M58="","",VLOOKUP(M58,非_単位補正換算!$B$3:$C$16,2,FALSE))</f>
        <v/>
      </c>
      <c r="AH58" s="422" t="str">
        <f t="shared" si="107"/>
        <v/>
      </c>
      <c r="AI58" s="422" t="str">
        <f t="shared" si="108"/>
        <v/>
      </c>
      <c r="AJ58" s="422">
        <v>1</v>
      </c>
      <c r="AK58" s="422" t="str">
        <f t="shared" si="109"/>
        <v/>
      </c>
      <c r="AL58" s="482" t="b">
        <f t="shared" si="21"/>
        <v>1</v>
      </c>
      <c r="AM58" s="422" t="str">
        <f t="shared" ref="AM58:AM61" si="131">V58</f>
        <v/>
      </c>
      <c r="AN58" s="422" t="str">
        <f t="shared" si="111"/>
        <v/>
      </c>
      <c r="AO58" s="422" t="str">
        <f t="shared" si="92"/>
        <v/>
      </c>
      <c r="AP58" s="422" t="str">
        <f t="shared" ref="AP58:AP61" si="132">IF(E58="","",E58)</f>
        <v/>
      </c>
      <c r="AQ58" s="422" t="str">
        <f t="shared" ref="AQ58:AQ64" si="133">IF(C58="","",IF(LEFT(C58,2)="任意","任意","義務"))</f>
        <v/>
      </c>
      <c r="AR58" s="422" t="str">
        <f>IF(AQ58&lt;&gt;"義務","",SUMIFS(非_まとめ表行番号!$N$3:$N$20,非_まとめ表行番号!$J$3:$J$20,AM58,非_まとめ表行番号!$K$3:$K$20,AN58,非_まとめ表行番号!$L$3:$L$20,AO58,非_まとめ表行番号!$M$3:$M$20,AP58))</f>
        <v/>
      </c>
      <c r="AS58" s="422" t="str">
        <f>IF(AQ58&lt;&gt;"義務","",SUMIFS(非_まとめ表行番号!$O$3:$O$20,非_まとめ表行番号!$J$3:$J$20,AM58,非_まとめ表行番号!$K$3:$K$20,AN58,非_まとめ表行番号!$L$3:$L$20,AO58,非_まとめ表行番号!$M$3:$M$20,AP58))</f>
        <v/>
      </c>
      <c r="AT58" s="422" t="str">
        <f t="shared" si="112"/>
        <v/>
      </c>
      <c r="AV58" s="479" t="str">
        <f>IF(AR58="","",VLOOKUP(AR58,非_まとめ表行番号!$U$3:$V$56,2,FALSE))</f>
        <v/>
      </c>
      <c r="AW58" s="479" t="str">
        <f>IF(C58="","",VLOOKUP(C58,非_燃料種類_選択リスト!$X$2:$Y$14,2,FALSE))</f>
        <v/>
      </c>
      <c r="AX58" s="479" t="str">
        <f>IF(D58="","",VLOOKUP(D58,非_燃料種類_選択リスト!$X$18:$Y$24,2,FALSE))</f>
        <v/>
      </c>
      <c r="AY58" s="485" t="str">
        <f t="shared" si="125"/>
        <v/>
      </c>
      <c r="AZ58" s="479" t="str">
        <f t="shared" si="113"/>
        <v/>
      </c>
      <c r="BA58" s="479" t="str">
        <f t="shared" si="113"/>
        <v/>
      </c>
      <c r="BB58" s="479" t="str">
        <f t="shared" si="114"/>
        <v/>
      </c>
      <c r="BC58" s="489" t="str">
        <f t="shared" si="126"/>
        <v/>
      </c>
      <c r="BE58" s="584" t="str">
        <f>IF(AND(A58="",B58=""),"",IF(AN58="有",0,VLOOKUP(B58,非_係数!$B$42:$J$55,9,FALSE)))</f>
        <v/>
      </c>
      <c r="BF58" s="584" t="str">
        <f t="shared" si="73"/>
        <v/>
      </c>
    </row>
    <row r="59" spans="1:58" ht="18.75" customHeight="1">
      <c r="A59" s="460"/>
      <c r="B59" s="368"/>
      <c r="C59" s="368"/>
      <c r="D59" s="369"/>
      <c r="E59" s="371"/>
      <c r="F59" s="368"/>
      <c r="G59" s="547" t="str">
        <f t="shared" si="127"/>
        <v/>
      </c>
      <c r="H59" s="368"/>
      <c r="I59" s="417" t="str">
        <f t="shared" si="101"/>
        <v/>
      </c>
      <c r="J59" s="368"/>
      <c r="K59" s="418"/>
      <c r="L59" s="368"/>
      <c r="M59" s="368"/>
      <c r="N59" s="418"/>
      <c r="O59" s="445"/>
      <c r="P59" s="548" t="str">
        <f t="shared" si="116"/>
        <v/>
      </c>
      <c r="Q59" s="549" t="str">
        <f t="shared" si="128"/>
        <v/>
      </c>
      <c r="R59" s="550" t="str">
        <f>IF(B59="","",VLOOKUP(B59,非_単位!$N$38:$O$53,2,FALSE))</f>
        <v/>
      </c>
      <c r="S59" s="551" t="str">
        <f t="shared" si="129"/>
        <v/>
      </c>
      <c r="T59" s="539" t="str">
        <f t="shared" si="130"/>
        <v/>
      </c>
      <c r="V59" s="422" t="str">
        <f t="shared" si="102"/>
        <v/>
      </c>
      <c r="W59" s="422" t="str">
        <f t="shared" si="120"/>
        <v/>
      </c>
      <c r="X59" s="422" t="str">
        <f t="shared" si="103"/>
        <v/>
      </c>
      <c r="Y59" s="584" t="str">
        <f t="shared" si="121"/>
        <v/>
      </c>
      <c r="Z59" s="584" t="str">
        <f t="shared" si="122"/>
        <v/>
      </c>
      <c r="AA59" s="422" t="str">
        <f t="shared" si="104"/>
        <v/>
      </c>
      <c r="AB59" s="422" t="str">
        <f t="shared" si="123"/>
        <v/>
      </c>
      <c r="AC59" s="422" t="str">
        <f t="shared" si="105"/>
        <v/>
      </c>
      <c r="AD59" s="422" t="str">
        <f t="shared" si="106"/>
        <v/>
      </c>
      <c r="AE59" s="422" t="str">
        <f>IF(B59="","",IF(AD59="対象","熱量計読取",VLOOKUP(B59,非_係数!$B$42:$D$55,2,FALSE)))</f>
        <v/>
      </c>
      <c r="AF59" s="422" t="str">
        <f>IF(V59="電気",非_電気事業者!$S$4*1000,IF(V59="熱",非_熱供給事業者!$T$4,""))</f>
        <v/>
      </c>
      <c r="AG59" s="422" t="str">
        <f>IF(M59="","",VLOOKUP(M59,非_単位補正換算!$B$3:$C$16,2,FALSE))</f>
        <v/>
      </c>
      <c r="AH59" s="422" t="str">
        <f t="shared" si="107"/>
        <v/>
      </c>
      <c r="AI59" s="422" t="str">
        <f t="shared" si="108"/>
        <v/>
      </c>
      <c r="AJ59" s="422">
        <v>1</v>
      </c>
      <c r="AK59" s="422" t="str">
        <f t="shared" si="109"/>
        <v/>
      </c>
      <c r="AL59" s="482" t="b">
        <f t="shared" si="21"/>
        <v>1</v>
      </c>
      <c r="AM59" s="422" t="str">
        <f t="shared" si="131"/>
        <v/>
      </c>
      <c r="AN59" s="422" t="str">
        <f t="shared" si="111"/>
        <v/>
      </c>
      <c r="AO59" s="422" t="str">
        <f t="shared" si="92"/>
        <v/>
      </c>
      <c r="AP59" s="422" t="str">
        <f t="shared" si="132"/>
        <v/>
      </c>
      <c r="AQ59" s="422" t="str">
        <f t="shared" si="133"/>
        <v/>
      </c>
      <c r="AR59" s="422" t="str">
        <f>IF(AQ59&lt;&gt;"義務","",SUMIFS(非_まとめ表行番号!$N$3:$N$20,非_まとめ表行番号!$J$3:$J$20,AM59,非_まとめ表行番号!$K$3:$K$20,AN59,非_まとめ表行番号!$L$3:$L$20,AO59,非_まとめ表行番号!$M$3:$M$20,AP59))</f>
        <v/>
      </c>
      <c r="AS59" s="422" t="str">
        <f>IF(AQ59&lt;&gt;"義務","",SUMIFS(非_まとめ表行番号!$O$3:$O$20,非_まとめ表行番号!$J$3:$J$20,AM59,非_まとめ表行番号!$K$3:$K$20,AN59,非_まとめ表行番号!$L$3:$L$20,AO59,非_まとめ表行番号!$M$3:$M$20,AP59))</f>
        <v/>
      </c>
      <c r="AT59" s="422" t="str">
        <f t="shared" si="112"/>
        <v/>
      </c>
      <c r="AV59" s="479" t="str">
        <f>IF(AR59="","",VLOOKUP(AR59,非_まとめ表行番号!$U$3:$V$56,2,FALSE))</f>
        <v/>
      </c>
      <c r="AW59" s="479" t="str">
        <f>IF(C59="","",VLOOKUP(C59,非_燃料種類_選択リスト!$X$2:$Y$14,2,FALSE))</f>
        <v/>
      </c>
      <c r="AX59" s="479" t="str">
        <f>IF(D59="","",VLOOKUP(D59,非_燃料種類_選択リスト!$X$18:$Y$24,2,FALSE))</f>
        <v/>
      </c>
      <c r="AY59" s="485" t="str">
        <f t="shared" si="125"/>
        <v/>
      </c>
      <c r="AZ59" s="479" t="str">
        <f t="shared" si="113"/>
        <v/>
      </c>
      <c r="BA59" s="479" t="str">
        <f t="shared" si="113"/>
        <v/>
      </c>
      <c r="BB59" s="479" t="str">
        <f t="shared" si="114"/>
        <v/>
      </c>
      <c r="BC59" s="489" t="str">
        <f t="shared" si="126"/>
        <v/>
      </c>
      <c r="BE59" s="584" t="str">
        <f>IF(AND(A59="",B59=""),"",IF(AN59="有",0,VLOOKUP(B59,非_係数!$B$42:$J$55,9,FALSE)))</f>
        <v/>
      </c>
      <c r="BF59" s="584" t="str">
        <f t="shared" si="73"/>
        <v/>
      </c>
    </row>
    <row r="60" spans="1:58" ht="18.75" customHeight="1">
      <c r="A60" s="460"/>
      <c r="B60" s="368"/>
      <c r="C60" s="368"/>
      <c r="D60" s="369"/>
      <c r="E60" s="371"/>
      <c r="F60" s="368"/>
      <c r="G60" s="547" t="str">
        <f t="shared" si="127"/>
        <v/>
      </c>
      <c r="H60" s="368"/>
      <c r="I60" s="417" t="str">
        <f t="shared" si="101"/>
        <v/>
      </c>
      <c r="J60" s="368"/>
      <c r="K60" s="418"/>
      <c r="L60" s="368"/>
      <c r="M60" s="368"/>
      <c r="N60" s="418"/>
      <c r="O60" s="445"/>
      <c r="P60" s="548" t="str">
        <f t="shared" si="116"/>
        <v/>
      </c>
      <c r="Q60" s="549" t="str">
        <f t="shared" si="128"/>
        <v/>
      </c>
      <c r="R60" s="550" t="str">
        <f>IF(B60="","",VLOOKUP(B60,非_単位!$N$38:$O$53,2,FALSE))</f>
        <v/>
      </c>
      <c r="S60" s="551" t="str">
        <f t="shared" si="129"/>
        <v/>
      </c>
      <c r="T60" s="539" t="str">
        <f t="shared" si="130"/>
        <v/>
      </c>
      <c r="V60" s="422" t="str">
        <f t="shared" si="102"/>
        <v/>
      </c>
      <c r="W60" s="422" t="str">
        <f t="shared" si="120"/>
        <v/>
      </c>
      <c r="X60" s="422" t="str">
        <f t="shared" si="103"/>
        <v/>
      </c>
      <c r="Y60" s="584" t="str">
        <f t="shared" si="121"/>
        <v/>
      </c>
      <c r="Z60" s="584" t="str">
        <f t="shared" si="122"/>
        <v/>
      </c>
      <c r="AA60" s="422" t="str">
        <f t="shared" si="104"/>
        <v/>
      </c>
      <c r="AB60" s="422" t="str">
        <f t="shared" si="123"/>
        <v/>
      </c>
      <c r="AC60" s="422" t="str">
        <f t="shared" si="105"/>
        <v/>
      </c>
      <c r="AD60" s="422" t="str">
        <f t="shared" si="106"/>
        <v/>
      </c>
      <c r="AE60" s="422" t="str">
        <f>IF(B60="","",IF(AD60="対象","熱量計読取",VLOOKUP(B60,非_係数!$B$42:$D$55,2,FALSE)))</f>
        <v/>
      </c>
      <c r="AF60" s="422" t="str">
        <f>IF(V60="電気",非_電気事業者!$S$4*1000,IF(V60="熱",非_熱供給事業者!$T$4,""))</f>
        <v/>
      </c>
      <c r="AG60" s="422" t="str">
        <f>IF(M60="","",VLOOKUP(M60,非_単位補正換算!$B$3:$C$16,2,FALSE))</f>
        <v/>
      </c>
      <c r="AH60" s="422" t="str">
        <f t="shared" si="107"/>
        <v/>
      </c>
      <c r="AI60" s="422" t="str">
        <f t="shared" si="108"/>
        <v/>
      </c>
      <c r="AJ60" s="422">
        <v>1</v>
      </c>
      <c r="AK60" s="422" t="str">
        <f t="shared" si="109"/>
        <v/>
      </c>
      <c r="AL60" s="482" t="b">
        <f t="shared" si="21"/>
        <v>1</v>
      </c>
      <c r="AM60" s="422" t="str">
        <f t="shared" si="131"/>
        <v/>
      </c>
      <c r="AN60" s="422" t="str">
        <f t="shared" si="111"/>
        <v/>
      </c>
      <c r="AO60" s="422" t="str">
        <f t="shared" si="92"/>
        <v/>
      </c>
      <c r="AP60" s="422" t="str">
        <f t="shared" si="132"/>
        <v/>
      </c>
      <c r="AQ60" s="422" t="str">
        <f t="shared" si="133"/>
        <v/>
      </c>
      <c r="AR60" s="422" t="str">
        <f>IF(AQ60&lt;&gt;"義務","",SUMIFS(非_まとめ表行番号!$N$3:$N$20,非_まとめ表行番号!$J$3:$J$20,AM60,非_まとめ表行番号!$K$3:$K$20,AN60,非_まとめ表行番号!$L$3:$L$20,AO60,非_まとめ表行番号!$M$3:$M$20,AP60))</f>
        <v/>
      </c>
      <c r="AS60" s="422" t="str">
        <f>IF(AQ60&lt;&gt;"義務","",SUMIFS(非_まとめ表行番号!$O$3:$O$20,非_まとめ表行番号!$J$3:$J$20,AM60,非_まとめ表行番号!$K$3:$K$20,AN60,非_まとめ表行番号!$L$3:$L$20,AO60,非_まとめ表行番号!$M$3:$M$20,AP60))</f>
        <v/>
      </c>
      <c r="AT60" s="422" t="str">
        <f t="shared" si="112"/>
        <v/>
      </c>
      <c r="AV60" s="479" t="str">
        <f>IF(AR60="","",VLOOKUP(AR60,非_まとめ表行番号!$U$3:$V$56,2,FALSE))</f>
        <v/>
      </c>
      <c r="AW60" s="479" t="str">
        <f>IF(C60="","",VLOOKUP(C60,非_燃料種類_選択リスト!$X$2:$Y$14,2,FALSE))</f>
        <v/>
      </c>
      <c r="AX60" s="479" t="str">
        <f>IF(D60="","",VLOOKUP(D60,非_燃料種類_選択リスト!$X$18:$Y$24,2,FALSE))</f>
        <v/>
      </c>
      <c r="AY60" s="485" t="str">
        <f t="shared" si="125"/>
        <v/>
      </c>
      <c r="AZ60" s="479" t="str">
        <f t="shared" si="113"/>
        <v/>
      </c>
      <c r="BA60" s="479" t="str">
        <f t="shared" si="113"/>
        <v/>
      </c>
      <c r="BB60" s="479" t="str">
        <f t="shared" si="114"/>
        <v/>
      </c>
      <c r="BC60" s="489" t="str">
        <f t="shared" si="126"/>
        <v/>
      </c>
      <c r="BE60" s="584" t="str">
        <f>IF(AND(A60="",B60=""),"",IF(AN60="有",0,VLOOKUP(B60,非_係数!$B$42:$J$55,9,FALSE)))</f>
        <v/>
      </c>
      <c r="BF60" s="584" t="str">
        <f t="shared" si="73"/>
        <v/>
      </c>
    </row>
    <row r="61" spans="1:58" ht="18.75" customHeight="1">
      <c r="A61" s="460"/>
      <c r="B61" s="368"/>
      <c r="C61" s="368"/>
      <c r="D61" s="369"/>
      <c r="E61" s="371"/>
      <c r="F61" s="368"/>
      <c r="G61" s="547" t="str">
        <f t="shared" si="127"/>
        <v/>
      </c>
      <c r="H61" s="368"/>
      <c r="I61" s="417" t="str">
        <f t="shared" si="101"/>
        <v/>
      </c>
      <c r="J61" s="368"/>
      <c r="K61" s="418"/>
      <c r="L61" s="368"/>
      <c r="M61" s="368"/>
      <c r="N61" s="418"/>
      <c r="O61" s="445"/>
      <c r="P61" s="548" t="str">
        <f t="shared" si="116"/>
        <v/>
      </c>
      <c r="Q61" s="549" t="str">
        <f t="shared" si="128"/>
        <v/>
      </c>
      <c r="R61" s="550" t="str">
        <f>IF(B61="","",VLOOKUP(B61,非_単位!$N$38:$O$53,2,FALSE))</f>
        <v/>
      </c>
      <c r="S61" s="551" t="str">
        <f t="shared" si="129"/>
        <v/>
      </c>
      <c r="T61" s="539" t="str">
        <f t="shared" si="130"/>
        <v/>
      </c>
      <c r="V61" s="422" t="str">
        <f t="shared" si="102"/>
        <v/>
      </c>
      <c r="W61" s="422" t="str">
        <f t="shared" si="120"/>
        <v/>
      </c>
      <c r="X61" s="422" t="str">
        <f t="shared" si="103"/>
        <v/>
      </c>
      <c r="Y61" s="584" t="str">
        <f t="shared" si="121"/>
        <v/>
      </c>
      <c r="Z61" s="584" t="str">
        <f t="shared" si="122"/>
        <v/>
      </c>
      <c r="AA61" s="422" t="str">
        <f t="shared" si="104"/>
        <v/>
      </c>
      <c r="AB61" s="422" t="str">
        <f t="shared" si="123"/>
        <v/>
      </c>
      <c r="AC61" s="422" t="str">
        <f t="shared" si="105"/>
        <v/>
      </c>
      <c r="AD61" s="422" t="str">
        <f t="shared" si="106"/>
        <v/>
      </c>
      <c r="AE61" s="422" t="str">
        <f>IF(B61="","",IF(AD61="対象","熱量計読取",VLOOKUP(B61,非_係数!$B$42:$D$55,2,FALSE)))</f>
        <v/>
      </c>
      <c r="AF61" s="422" t="str">
        <f>IF(V61="電気",非_電気事業者!$S$4*1000,IF(V61="熱",非_熱供給事業者!$T$4,""))</f>
        <v/>
      </c>
      <c r="AG61" s="422" t="str">
        <f>IF(M61="","",VLOOKUP(M61,非_単位補正換算!$B$3:$C$16,2,FALSE))</f>
        <v/>
      </c>
      <c r="AH61" s="422" t="str">
        <f t="shared" si="107"/>
        <v/>
      </c>
      <c r="AI61" s="422" t="str">
        <f t="shared" si="108"/>
        <v/>
      </c>
      <c r="AJ61" s="422">
        <v>1</v>
      </c>
      <c r="AK61" s="422" t="str">
        <f t="shared" si="109"/>
        <v/>
      </c>
      <c r="AL61" s="482" t="b">
        <f t="shared" si="21"/>
        <v>1</v>
      </c>
      <c r="AM61" s="422" t="str">
        <f t="shared" si="131"/>
        <v/>
      </c>
      <c r="AN61" s="422" t="str">
        <f t="shared" si="111"/>
        <v/>
      </c>
      <c r="AO61" s="422" t="str">
        <f t="shared" si="92"/>
        <v/>
      </c>
      <c r="AP61" s="422" t="str">
        <f t="shared" si="132"/>
        <v/>
      </c>
      <c r="AQ61" s="422" t="str">
        <f t="shared" si="133"/>
        <v/>
      </c>
      <c r="AR61" s="422" t="str">
        <f>IF(AQ61&lt;&gt;"義務","",SUMIFS(非_まとめ表行番号!$N$3:$N$20,非_まとめ表行番号!$J$3:$J$20,AM61,非_まとめ表行番号!$K$3:$K$20,AN61,非_まとめ表行番号!$L$3:$L$20,AO61,非_まとめ表行番号!$M$3:$M$20,AP61))</f>
        <v/>
      </c>
      <c r="AS61" s="422" t="str">
        <f>IF(AQ61&lt;&gt;"義務","",SUMIFS(非_まとめ表行番号!$O$3:$O$20,非_まとめ表行番号!$J$3:$J$20,AM61,非_まとめ表行番号!$K$3:$K$20,AN61,非_まとめ表行番号!$L$3:$L$20,AO61,非_まとめ表行番号!$M$3:$M$20,AP61))</f>
        <v/>
      </c>
      <c r="AT61" s="422" t="str">
        <f t="shared" si="112"/>
        <v/>
      </c>
      <c r="AV61" s="479" t="str">
        <f>IF(AR61="","",VLOOKUP(AR61,非_まとめ表行番号!$U$3:$V$56,2,FALSE))</f>
        <v/>
      </c>
      <c r="AW61" s="479" t="str">
        <f>IF(C61="","",VLOOKUP(C61,非_燃料種類_選択リスト!$X$2:$Y$14,2,FALSE))</f>
        <v/>
      </c>
      <c r="AX61" s="479" t="str">
        <f>IF(D61="","",VLOOKUP(D61,非_燃料種類_選択リスト!$X$18:$Y$24,2,FALSE))</f>
        <v/>
      </c>
      <c r="AY61" s="485" t="str">
        <f t="shared" si="125"/>
        <v/>
      </c>
      <c r="AZ61" s="479" t="str">
        <f t="shared" si="113"/>
        <v/>
      </c>
      <c r="BA61" s="479" t="str">
        <f t="shared" si="113"/>
        <v/>
      </c>
      <c r="BB61" s="479" t="str">
        <f t="shared" si="114"/>
        <v/>
      </c>
      <c r="BC61" s="489" t="str">
        <f t="shared" si="126"/>
        <v/>
      </c>
      <c r="BE61" s="584" t="str">
        <f>IF(AND(A61="",B61=""),"",IF(AN61="有",0,VLOOKUP(B61,非_係数!$B$42:$J$55,9,FALSE)))</f>
        <v/>
      </c>
      <c r="BF61" s="584" t="str">
        <f t="shared" si="73"/>
        <v/>
      </c>
    </row>
    <row r="62" spans="1:58" ht="18.75" customHeight="1">
      <c r="A62" s="460"/>
      <c r="B62" s="368"/>
      <c r="C62" s="368"/>
      <c r="D62" s="369"/>
      <c r="E62" s="371"/>
      <c r="F62" s="368"/>
      <c r="G62" s="547" t="str">
        <f t="shared" si="115"/>
        <v/>
      </c>
      <c r="H62" s="368"/>
      <c r="I62" s="417" t="str">
        <f t="shared" si="101"/>
        <v/>
      </c>
      <c r="J62" s="368"/>
      <c r="K62" s="418"/>
      <c r="L62" s="368"/>
      <c r="M62" s="368"/>
      <c r="N62" s="418"/>
      <c r="O62" s="445"/>
      <c r="P62" s="548" t="str">
        <f t="shared" si="116"/>
        <v/>
      </c>
      <c r="Q62" s="549" t="str">
        <f t="shared" si="117"/>
        <v/>
      </c>
      <c r="R62" s="550" t="str">
        <f>IF(B62="","",VLOOKUP(B62,非_単位!$N$38:$O$53,2,FALSE))</f>
        <v/>
      </c>
      <c r="S62" s="551" t="str">
        <f t="shared" si="118"/>
        <v/>
      </c>
      <c r="T62" s="539" t="str">
        <f t="shared" si="119"/>
        <v/>
      </c>
      <c r="V62" s="422" t="str">
        <f t="shared" si="102"/>
        <v/>
      </c>
      <c r="W62" s="422" t="str">
        <f t="shared" si="120"/>
        <v/>
      </c>
      <c r="X62" s="422" t="str">
        <f t="shared" si="103"/>
        <v/>
      </c>
      <c r="Y62" s="584" t="str">
        <f t="shared" si="121"/>
        <v/>
      </c>
      <c r="Z62" s="584" t="str">
        <f t="shared" si="122"/>
        <v/>
      </c>
      <c r="AA62" s="422" t="str">
        <f t="shared" si="104"/>
        <v/>
      </c>
      <c r="AB62" s="422" t="str">
        <f t="shared" si="123"/>
        <v/>
      </c>
      <c r="AC62" s="422" t="str">
        <f t="shared" si="105"/>
        <v/>
      </c>
      <c r="AD62" s="422" t="str">
        <f t="shared" si="106"/>
        <v/>
      </c>
      <c r="AE62" s="422" t="str">
        <f>IF(B62="","",IF(AD62="対象","熱量計読取",VLOOKUP(B62,非_係数!$B$42:$D$55,2,FALSE)))</f>
        <v/>
      </c>
      <c r="AF62" s="422" t="str">
        <f>IF(V62="電気",非_電気事業者!$S$4*1000,IF(V62="熱",非_熱供給事業者!$T$4,""))</f>
        <v/>
      </c>
      <c r="AG62" s="422" t="str">
        <f>IF(M62="","",VLOOKUP(M62,非_単位補正換算!$B$3:$C$16,2,FALSE))</f>
        <v/>
      </c>
      <c r="AH62" s="422" t="str">
        <f t="shared" si="107"/>
        <v/>
      </c>
      <c r="AI62" s="422" t="str">
        <f t="shared" si="108"/>
        <v/>
      </c>
      <c r="AJ62" s="422">
        <v>1</v>
      </c>
      <c r="AK62" s="422" t="str">
        <f t="shared" si="109"/>
        <v/>
      </c>
      <c r="AL62" s="482" t="b">
        <f t="shared" si="21"/>
        <v>1</v>
      </c>
      <c r="AM62" s="422" t="str">
        <f t="shared" si="124"/>
        <v/>
      </c>
      <c r="AN62" s="422" t="str">
        <f t="shared" si="111"/>
        <v/>
      </c>
      <c r="AO62" s="422" t="str">
        <f t="shared" si="92"/>
        <v/>
      </c>
      <c r="AP62" s="422" t="str">
        <f>IF(E62="","",E62)</f>
        <v/>
      </c>
      <c r="AQ62" s="422" t="str">
        <f t="shared" si="133"/>
        <v/>
      </c>
      <c r="AR62" s="422" t="str">
        <f>IF(AQ62&lt;&gt;"義務","",SUMIFS(非_まとめ表行番号!$N$3:$N$20,非_まとめ表行番号!$J$3:$J$20,AM62,非_まとめ表行番号!$K$3:$K$20,AN62,非_まとめ表行番号!$L$3:$L$20,AO62,非_まとめ表行番号!$M$3:$M$20,AP62))</f>
        <v/>
      </c>
      <c r="AS62" s="422" t="str">
        <f>IF(AQ62&lt;&gt;"義務","",SUMIFS(非_まとめ表行番号!$O$3:$O$20,非_まとめ表行番号!$J$3:$J$20,AM62,非_まとめ表行番号!$K$3:$K$20,AN62,非_まとめ表行番号!$L$3:$L$20,AO62,非_まとめ表行番号!$M$3:$M$20,AP62))</f>
        <v/>
      </c>
      <c r="AT62" s="422" t="str">
        <f t="shared" si="112"/>
        <v/>
      </c>
      <c r="AV62" s="479" t="str">
        <f>IF(AR62="","",VLOOKUP(AR62,非_まとめ表行番号!$U$3:$V$56,2,FALSE))</f>
        <v/>
      </c>
      <c r="AW62" s="479" t="str">
        <f>IF(C62="","",VLOOKUP(C62,非_燃料種類_選択リスト!$X$2:$Y$14,2,FALSE))</f>
        <v/>
      </c>
      <c r="AX62" s="479" t="str">
        <f>IF(D62="","",VLOOKUP(D62,非_燃料種類_選択リスト!$X$18:$Y$24,2,FALSE))</f>
        <v/>
      </c>
      <c r="AY62" s="485" t="str">
        <f t="shared" si="125"/>
        <v/>
      </c>
      <c r="AZ62" s="479" t="str">
        <f t="shared" si="113"/>
        <v/>
      </c>
      <c r="BA62" s="479" t="str">
        <f t="shared" si="113"/>
        <v/>
      </c>
      <c r="BB62" s="479" t="str">
        <f t="shared" si="114"/>
        <v/>
      </c>
      <c r="BC62" s="489" t="str">
        <f t="shared" si="126"/>
        <v/>
      </c>
      <c r="BE62" s="584" t="str">
        <f>IF(AND(A62="",B62=""),"",IF(AN62="有",0,VLOOKUP(B62,非_係数!$B$42:$J$55,9,FALSE)))</f>
        <v/>
      </c>
      <c r="BF62" s="584" t="str">
        <f t="shared" si="73"/>
        <v/>
      </c>
    </row>
    <row r="63" spans="1:58" ht="18.75" customHeight="1">
      <c r="A63" s="460"/>
      <c r="B63" s="368"/>
      <c r="C63" s="368"/>
      <c r="D63" s="369"/>
      <c r="E63" s="371"/>
      <c r="F63" s="368"/>
      <c r="G63" s="547" t="str">
        <f t="shared" si="115"/>
        <v/>
      </c>
      <c r="H63" s="368"/>
      <c r="I63" s="417" t="str">
        <f t="shared" si="101"/>
        <v/>
      </c>
      <c r="J63" s="368"/>
      <c r="K63" s="418"/>
      <c r="L63" s="368"/>
      <c r="M63" s="368"/>
      <c r="N63" s="418"/>
      <c r="O63" s="445"/>
      <c r="P63" s="548" t="str">
        <f t="shared" si="116"/>
        <v/>
      </c>
      <c r="Q63" s="549" t="str">
        <f t="shared" si="117"/>
        <v/>
      </c>
      <c r="R63" s="550" t="str">
        <f>IF(B63="","",VLOOKUP(B63,非_単位!$N$38:$O$53,2,FALSE))</f>
        <v/>
      </c>
      <c r="S63" s="551" t="str">
        <f t="shared" si="118"/>
        <v/>
      </c>
      <c r="T63" s="539" t="str">
        <f t="shared" si="119"/>
        <v/>
      </c>
      <c r="V63" s="422" t="str">
        <f t="shared" si="102"/>
        <v/>
      </c>
      <c r="W63" s="422" t="str">
        <f t="shared" si="120"/>
        <v/>
      </c>
      <c r="X63" s="422" t="str">
        <f t="shared" si="103"/>
        <v/>
      </c>
      <c r="Y63" s="584" t="str">
        <f t="shared" si="121"/>
        <v/>
      </c>
      <c r="Z63" s="584" t="str">
        <f t="shared" si="122"/>
        <v/>
      </c>
      <c r="AA63" s="422" t="str">
        <f t="shared" si="104"/>
        <v/>
      </c>
      <c r="AB63" s="422" t="str">
        <f t="shared" si="123"/>
        <v/>
      </c>
      <c r="AC63" s="422" t="str">
        <f t="shared" si="105"/>
        <v/>
      </c>
      <c r="AD63" s="422" t="str">
        <f t="shared" si="106"/>
        <v/>
      </c>
      <c r="AE63" s="422" t="str">
        <f>IF(B63="","",IF(AD63="対象","熱量計読取",VLOOKUP(B63,非_係数!$B$42:$D$55,2,FALSE)))</f>
        <v/>
      </c>
      <c r="AF63" s="422" t="str">
        <f>IF(V63="電気",非_電気事業者!$S$4*1000,IF(V63="熱",非_熱供給事業者!$T$4,""))</f>
        <v/>
      </c>
      <c r="AG63" s="422" t="str">
        <f>IF(M63="","",VLOOKUP(M63,非_単位補正換算!$B$3:$C$16,2,FALSE))</f>
        <v/>
      </c>
      <c r="AH63" s="422" t="str">
        <f t="shared" si="107"/>
        <v/>
      </c>
      <c r="AI63" s="422" t="str">
        <f t="shared" si="108"/>
        <v/>
      </c>
      <c r="AJ63" s="422">
        <v>1</v>
      </c>
      <c r="AK63" s="422" t="str">
        <f t="shared" si="109"/>
        <v/>
      </c>
      <c r="AL63" s="482" t="b">
        <f t="shared" si="21"/>
        <v>1</v>
      </c>
      <c r="AM63" s="422" t="str">
        <f t="shared" si="124"/>
        <v/>
      </c>
      <c r="AN63" s="422" t="str">
        <f t="shared" si="111"/>
        <v/>
      </c>
      <c r="AO63" s="422" t="str">
        <f t="shared" si="92"/>
        <v/>
      </c>
      <c r="AP63" s="422" t="str">
        <f>IF(E63="","",E63)</f>
        <v/>
      </c>
      <c r="AQ63" s="422" t="str">
        <f t="shared" si="133"/>
        <v/>
      </c>
      <c r="AR63" s="422" t="str">
        <f>IF(AQ63&lt;&gt;"義務","",SUMIFS(非_まとめ表行番号!$N$3:$N$20,非_まとめ表行番号!$J$3:$J$20,AM63,非_まとめ表行番号!$K$3:$K$20,AN63,非_まとめ表行番号!$L$3:$L$20,AO63,非_まとめ表行番号!$M$3:$M$20,AP63))</f>
        <v/>
      </c>
      <c r="AS63" s="422" t="str">
        <f>IF(AQ63&lt;&gt;"義務","",SUMIFS(非_まとめ表行番号!$O$3:$O$20,非_まとめ表行番号!$J$3:$J$20,AM63,非_まとめ表行番号!$K$3:$K$20,AN63,非_まとめ表行番号!$L$3:$L$20,AO63,非_まとめ表行番号!$M$3:$M$20,AP63))</f>
        <v/>
      </c>
      <c r="AT63" s="422" t="str">
        <f t="shared" si="112"/>
        <v/>
      </c>
      <c r="AV63" s="479" t="str">
        <f>IF(AR63="","",VLOOKUP(AR63,非_まとめ表行番号!$U$3:$V$56,2,FALSE))</f>
        <v/>
      </c>
      <c r="AW63" s="479" t="str">
        <f>IF(C63="","",VLOOKUP(C63,非_燃料種類_選択リスト!$X$2:$Y$14,2,FALSE))</f>
        <v/>
      </c>
      <c r="AX63" s="479" t="str">
        <f>IF(D63="","",VLOOKUP(D63,非_燃料種類_選択リスト!$X$18:$Y$24,2,FALSE))</f>
        <v/>
      </c>
      <c r="AY63" s="485" t="str">
        <f t="shared" si="125"/>
        <v/>
      </c>
      <c r="AZ63" s="479" t="str">
        <f t="shared" si="113"/>
        <v/>
      </c>
      <c r="BA63" s="479" t="str">
        <f t="shared" si="113"/>
        <v/>
      </c>
      <c r="BB63" s="479" t="str">
        <f t="shared" si="114"/>
        <v/>
      </c>
      <c r="BC63" s="489" t="str">
        <f t="shared" si="126"/>
        <v/>
      </c>
      <c r="BE63" s="584" t="str">
        <f>IF(AND(A63="",B63=""),"",IF(AN63="有",0,VLOOKUP(B63,非_係数!$B$42:$J$55,9,FALSE)))</f>
        <v/>
      </c>
      <c r="BF63" s="584" t="str">
        <f t="shared" si="73"/>
        <v/>
      </c>
    </row>
    <row r="64" spans="1:58" ht="18.75" customHeight="1" thickBot="1">
      <c r="A64" s="473"/>
      <c r="B64" s="373"/>
      <c r="C64" s="373"/>
      <c r="D64" s="372"/>
      <c r="E64" s="372"/>
      <c r="F64" s="373"/>
      <c r="G64" s="553" t="str">
        <f t="shared" si="115"/>
        <v/>
      </c>
      <c r="H64" s="373"/>
      <c r="I64" s="419" t="str">
        <f t="shared" si="101"/>
        <v/>
      </c>
      <c r="J64" s="373"/>
      <c r="K64" s="419"/>
      <c r="L64" s="373"/>
      <c r="M64" s="373"/>
      <c r="N64" s="419"/>
      <c r="O64" s="444"/>
      <c r="P64" s="554" t="str">
        <f t="shared" si="116"/>
        <v/>
      </c>
      <c r="Q64" s="555" t="str">
        <f t="shared" si="117"/>
        <v/>
      </c>
      <c r="R64" s="556" t="str">
        <f>IF(B64="","",VLOOKUP(B64,非_単位!$N$38:$O$53,2,FALSE))</f>
        <v/>
      </c>
      <c r="S64" s="557" t="str">
        <f t="shared" si="118"/>
        <v/>
      </c>
      <c r="T64" s="545" t="str">
        <f t="shared" si="119"/>
        <v/>
      </c>
      <c r="V64" s="422" t="str">
        <f t="shared" si="102"/>
        <v/>
      </c>
      <c r="W64" s="422" t="str">
        <f t="shared" si="120"/>
        <v/>
      </c>
      <c r="X64" s="422" t="str">
        <f t="shared" si="103"/>
        <v/>
      </c>
      <c r="Y64" s="584" t="str">
        <f t="shared" si="121"/>
        <v/>
      </c>
      <c r="Z64" s="584" t="str">
        <f t="shared" si="122"/>
        <v/>
      </c>
      <c r="AA64" s="422" t="str">
        <f t="shared" si="104"/>
        <v/>
      </c>
      <c r="AB64" s="422" t="str">
        <f t="shared" si="123"/>
        <v/>
      </c>
      <c r="AC64" s="422" t="str">
        <f t="shared" si="105"/>
        <v/>
      </c>
      <c r="AD64" s="422" t="str">
        <f t="shared" si="106"/>
        <v/>
      </c>
      <c r="AE64" s="422" t="str">
        <f>IF(B64="","",IF(AD64="対象","熱量計読取",VLOOKUP(B64,非_係数!$B$42:$D$55,2,FALSE)))</f>
        <v/>
      </c>
      <c r="AF64" s="422" t="str">
        <f>IF(V64="電気",非_電気事業者!$S$4*1000,IF(V64="熱",非_熱供給事業者!$T$4,""))</f>
        <v/>
      </c>
      <c r="AG64" s="422" t="str">
        <f>IF(M64="","",VLOOKUP(M64,非_単位補正換算!$B$3:$C$16,2,FALSE))</f>
        <v/>
      </c>
      <c r="AH64" s="422" t="str">
        <f t="shared" si="107"/>
        <v/>
      </c>
      <c r="AI64" s="422" t="str">
        <f t="shared" si="108"/>
        <v/>
      </c>
      <c r="AJ64" s="422">
        <v>1</v>
      </c>
      <c r="AK64" s="422" t="str">
        <f t="shared" si="109"/>
        <v/>
      </c>
      <c r="AL64" s="482" t="b">
        <f t="shared" si="21"/>
        <v>1</v>
      </c>
      <c r="AM64" s="422" t="str">
        <f t="shared" si="124"/>
        <v/>
      </c>
      <c r="AN64" s="422" t="str">
        <f t="shared" si="111"/>
        <v/>
      </c>
      <c r="AO64" s="422" t="str">
        <f t="shared" si="92"/>
        <v/>
      </c>
      <c r="AP64" s="422" t="str">
        <f>IF(E64="","",E64)</f>
        <v/>
      </c>
      <c r="AQ64" s="422" t="str">
        <f t="shared" si="133"/>
        <v/>
      </c>
      <c r="AR64" s="422" t="str">
        <f>IF(AQ64&lt;&gt;"義務","",SUMIFS(非_まとめ表行番号!$N$3:$N$20,非_まとめ表行番号!$J$3:$J$20,AM64,非_まとめ表行番号!$K$3:$K$20,AN64,非_まとめ表行番号!$L$3:$L$20,AO64,非_まとめ表行番号!$M$3:$M$20,AP64))</f>
        <v/>
      </c>
      <c r="AS64" s="422" t="str">
        <f>IF(AQ64&lt;&gt;"義務","",SUMIFS(非_まとめ表行番号!$O$3:$O$20,非_まとめ表行番号!$J$3:$J$20,AM64,非_まとめ表行番号!$K$3:$K$20,AN64,非_まとめ表行番号!$L$3:$L$20,AO64,非_まとめ表行番号!$M$3:$M$20,AP64))</f>
        <v/>
      </c>
      <c r="AT64" s="422" t="str">
        <f t="shared" si="112"/>
        <v/>
      </c>
      <c r="AV64" s="479" t="str">
        <f>IF(AR64="","",VLOOKUP(AR64,非_まとめ表行番号!$U$3:$V$56,2,FALSE))</f>
        <v/>
      </c>
      <c r="AW64" s="479" t="str">
        <f>IF(C64="","",VLOOKUP(C64,非_燃料種類_選択リスト!$X$2:$Y$14,2,FALSE))</f>
        <v/>
      </c>
      <c r="AX64" s="479" t="str">
        <f>IF(D64="","",VLOOKUP(D64,非_燃料種類_選択リスト!$X$18:$Y$24,2,FALSE))</f>
        <v/>
      </c>
      <c r="AY64" s="485" t="str">
        <f t="shared" si="125"/>
        <v/>
      </c>
      <c r="AZ64" s="479" t="str">
        <f t="shared" si="113"/>
        <v/>
      </c>
      <c r="BA64" s="479" t="str">
        <f t="shared" si="113"/>
        <v/>
      </c>
      <c r="BB64" s="479" t="str">
        <f t="shared" si="114"/>
        <v/>
      </c>
      <c r="BC64" s="489" t="str">
        <f t="shared" si="126"/>
        <v/>
      </c>
      <c r="BE64" s="584" t="str">
        <f>IF(AND(A64="",B64=""),"",IF(AN64="有",0,VLOOKUP(B64,非_係数!$B$42:$J$55,9,FALSE)))</f>
        <v/>
      </c>
      <c r="BF64" s="584" t="str">
        <f t="shared" si="73"/>
        <v/>
      </c>
    </row>
  </sheetData>
  <sheetProtection algorithmName="SHA-512" hashValue="J+L/4NwJkkuUI5VdDNHOnly/sRskSqHzwqd44lm9GBWXaWvqfZ+IdOZb+gYEqGlLnr+7TkdQkGAgNzwH9ryDOQ==" saltValue="EvQHdwBZfaeohKuF0olVuQ==" spinCount="100000" sheet="1" objects="1" scenarios="1"/>
  <dataConsolidate/>
  <mergeCells count="33">
    <mergeCell ref="Y4:Y5"/>
    <mergeCell ref="Z4:Z5"/>
    <mergeCell ref="V4:V5"/>
    <mergeCell ref="W4:W5"/>
    <mergeCell ref="M4:M5"/>
    <mergeCell ref="O4:O5"/>
    <mergeCell ref="N4:N5"/>
    <mergeCell ref="Q4:R5"/>
    <mergeCell ref="P4:P5"/>
    <mergeCell ref="A4:A5"/>
    <mergeCell ref="G4:G5"/>
    <mergeCell ref="H4:I4"/>
    <mergeCell ref="K4:L4"/>
    <mergeCell ref="B4:B5"/>
    <mergeCell ref="J4:J5"/>
    <mergeCell ref="F4:F5"/>
    <mergeCell ref="C4:E4"/>
    <mergeCell ref="AL4:AL5"/>
    <mergeCell ref="S1:T1"/>
    <mergeCell ref="T4:T5"/>
    <mergeCell ref="S4:S5"/>
    <mergeCell ref="S2:T2"/>
    <mergeCell ref="AI4:AI5"/>
    <mergeCell ref="AK4:AK5"/>
    <mergeCell ref="AJ4:AJ5"/>
    <mergeCell ref="AA4:AA5"/>
    <mergeCell ref="AB4:AB5"/>
    <mergeCell ref="AE4:AE5"/>
    <mergeCell ref="AD4:AD5"/>
    <mergeCell ref="AC4:AC5"/>
    <mergeCell ref="AG4:AG5"/>
    <mergeCell ref="AH4:AH5"/>
    <mergeCell ref="X4:X5"/>
  </mergeCells>
  <phoneticPr fontId="5"/>
  <conditionalFormatting sqref="D7:D29 D31:D53">
    <cfRule type="expression" dxfId="17" priority="103">
      <formula>C7="バイオマス"</formula>
    </cfRule>
  </conditionalFormatting>
  <conditionalFormatting sqref="D55:D64">
    <cfRule type="expression" dxfId="16" priority="45">
      <formula>C55="バイオマス"</formula>
    </cfRule>
  </conditionalFormatting>
  <conditionalFormatting sqref="E7:E29">
    <cfRule type="expression" dxfId="15" priority="102">
      <formula>C7="バイオマス"</formula>
    </cfRule>
  </conditionalFormatting>
  <conditionalFormatting sqref="F7:F29 F31:F53">
    <cfRule type="expression" dxfId="14" priority="100">
      <formula>B7="電気_仮想電力購入契約"</formula>
    </cfRule>
  </conditionalFormatting>
  <conditionalFormatting sqref="F55:F64">
    <cfRule type="expression" dxfId="13" priority="97">
      <formula>B55="電気_仮想電力購入契約"</formula>
    </cfRule>
  </conditionalFormatting>
  <conditionalFormatting sqref="G7:G29 G31:G53">
    <cfRule type="expression" dxfId="12" priority="101">
      <formula>B7="電気_仮想電力購入契約"</formula>
    </cfRule>
  </conditionalFormatting>
  <conditionalFormatting sqref="G55:G64">
    <cfRule type="expression" dxfId="11" priority="43">
      <formula>B55="電気_仮想電力購入契約"</formula>
    </cfRule>
  </conditionalFormatting>
  <conditionalFormatting sqref="I7:I29 I31:I53">
    <cfRule type="cellIs" dxfId="10" priority="10" operator="equal">
      <formula>"要記入"</formula>
    </cfRule>
  </conditionalFormatting>
  <conditionalFormatting sqref="I55:I64">
    <cfRule type="cellIs" dxfId="9" priority="8" operator="equal">
      <formula>"要記入"</formula>
    </cfRule>
  </conditionalFormatting>
  <conditionalFormatting sqref="K7:L29 K31:L53">
    <cfRule type="expression" dxfId="8" priority="7">
      <formula>$J7&lt;&gt;"計量器の実測値"</formula>
    </cfRule>
  </conditionalFormatting>
  <conditionalFormatting sqref="K55:L64">
    <cfRule type="expression" dxfId="7" priority="5">
      <formula>$J55&lt;&gt;"計量器の実測値"</formula>
    </cfRule>
  </conditionalFormatting>
  <conditionalFormatting sqref="S7:S29 S31:S53">
    <cfRule type="expression" dxfId="6" priority="99">
      <formula>B7="電気_仮想電力購入契約"</formula>
    </cfRule>
  </conditionalFormatting>
  <conditionalFormatting sqref="S55:S64">
    <cfRule type="expression" dxfId="5" priority="95">
      <formula>B55="電気_仮想電力購入契約"</formula>
    </cfRule>
  </conditionalFormatting>
  <conditionalFormatting sqref="I7:I29 I31:I53 I55:I64">
    <cfRule type="expression" dxfId="4" priority="4">
      <formula>$AL7=FALSE</formula>
    </cfRule>
  </conditionalFormatting>
  <conditionalFormatting sqref="O7:O29 O31:O53 O55:O64">
    <cfRule type="expression" dxfId="3" priority="3">
      <formula>OR($L7="有",$L7="")</formula>
    </cfRule>
  </conditionalFormatting>
  <conditionalFormatting sqref="E55:E64">
    <cfRule type="expression" dxfId="2" priority="1">
      <formula>AND(C55="バイオマス",LEFT(A55,5)="自家消費_")</formula>
    </cfRule>
  </conditionalFormatting>
  <dataValidations count="11">
    <dataValidation type="list" allowBlank="1" showInputMessage="1" showErrorMessage="1" sqref="B31:D53 F31:F53 B55:F64 B7:F29" xr:uid="{4C25D5D3-A669-4914-B5B7-838ADB97CF76}">
      <formula1>INDIRECT(W7)</formula1>
    </dataValidation>
    <dataValidation type="list" allowBlank="1" showInputMessage="1" showErrorMessage="1" sqref="L55:L64 L7:L29 L31:L53" xr:uid="{D49BCE78-5A46-4AEB-9215-906F4B60A81D}">
      <formula1>計量器_検定有無_選択</formula1>
    </dataValidation>
    <dataValidation type="list" allowBlank="1" showInputMessage="1" showErrorMessage="1" sqref="M55:M64 M7:M29 M31:M53" xr:uid="{4612FAC0-AD2F-411D-8411-9533E83C6745}">
      <formula1>INDIRECT(B7&amp;"_単位")</formula1>
    </dataValidation>
    <dataValidation type="list" allowBlank="1" showInputMessage="1" showErrorMessage="1" sqref="H55:H64 H7:H29 H31:H53" xr:uid="{EE25CC01-E627-433F-A649-723845366CAE}">
      <formula1>INDIRECT(AB7)</formula1>
    </dataValidation>
    <dataValidation type="list" allowBlank="1" showInputMessage="1" showErrorMessage="1" sqref="J55:J64 J31:J53" xr:uid="{D77645A8-691B-4F20-AAFB-DE79259D832D}">
      <formula1>再エネ_把握方法_選択_事業所外</formula1>
    </dataValidation>
    <dataValidation imeMode="disabled" allowBlank="1" showInputMessage="1" showErrorMessage="1" sqref="N55:N64 N7:N29 N31:N53" xr:uid="{F387902A-8FB1-47F4-B0DB-97885A9ABA71}"/>
    <dataValidation type="list" allowBlank="1" showInputMessage="1" showErrorMessage="1" sqref="A55:A64" xr:uid="{F1D4E9EA-E309-4AFD-95E2-1DFC76188410}">
      <formula1>再エネ電気熱_排出活動③</formula1>
    </dataValidation>
    <dataValidation type="list" imeMode="disabled" allowBlank="1" showInputMessage="1" showErrorMessage="1" sqref="O55:O64 O7:O29 O31:O53" xr:uid="{74FDF000-0169-4769-A387-B970A6E3803C}">
      <formula1>INDIRECT(AT7)</formula1>
    </dataValidation>
    <dataValidation type="list" allowBlank="1" showInputMessage="1" showErrorMessage="1" sqref="J7:J29" xr:uid="{E03BB0E4-B680-4F25-A31F-47358A4948C0}">
      <formula1>再エネ_把握方法_選択_事業所内</formula1>
    </dataValidation>
    <dataValidation type="list" allowBlank="1" showInputMessage="1" showErrorMessage="1" sqref="A7:A29" xr:uid="{C9937B3A-EA0F-4C3D-AD28-D093753AFFCE}">
      <formula1>再エネ電気熱_排出活動①</formula1>
    </dataValidation>
    <dataValidation type="list" allowBlank="1" showInputMessage="1" showErrorMessage="1" sqref="A31:A53" xr:uid="{7D9B9EF7-C6E1-4C76-9112-89ABF867ADB1}">
      <formula1>再エネ電気熱_排出活動②</formula1>
    </dataValidation>
  </dataValidations>
  <pageMargins left="0.59055118110236227" right="0.39370078740157483" top="0.59055118110236227" bottom="0.59055118110236227" header="0.31496062992125984" footer="0.31496062992125984"/>
  <pageSetup paperSize="9" scale="4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2"/>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sheetView>
  </sheetViews>
  <sheetFormatPr defaultColWidth="9" defaultRowHeight="18" outlineLevelCol="1"/>
  <cols>
    <col min="1" max="1" width="6.25" style="64" customWidth="1"/>
    <col min="2" max="2" width="17.5" style="64" customWidth="1"/>
    <col min="3" max="3" width="23.25" style="64" customWidth="1"/>
    <col min="4" max="4" width="17.375" style="64" customWidth="1"/>
    <col min="5" max="5" width="9.625" style="64" customWidth="1"/>
    <col min="6" max="6" width="13.375" style="64" customWidth="1"/>
    <col min="7" max="7" width="11.25" style="65" hidden="1" customWidth="1" outlineLevel="1"/>
    <col min="8" max="8" width="7.375" style="64" hidden="1" customWidth="1" outlineLevel="1"/>
    <col min="9" max="9" width="10" style="85" customWidth="1" collapsed="1"/>
    <col min="10" max="10" width="14.5" style="85" customWidth="1"/>
    <col min="11" max="11" width="11.5" style="85" customWidth="1"/>
    <col min="12" max="12" width="10.625" style="85" bestFit="1" customWidth="1"/>
    <col min="13" max="13" width="9" style="85"/>
    <col min="14" max="14" width="15.25" style="85" hidden="1" customWidth="1" outlineLevel="1"/>
    <col min="15" max="15" width="32.5" style="85" hidden="1" customWidth="1" outlineLevel="1"/>
    <col min="16" max="16" width="21.625" style="85" hidden="1" customWidth="1" outlineLevel="1"/>
    <col min="17" max="17" width="24.25" style="85" hidden="1" customWidth="1" outlineLevel="1"/>
    <col min="18" max="18" width="9" style="85" collapsed="1"/>
    <col min="19" max="16384" width="9" style="85"/>
  </cols>
  <sheetData>
    <row r="1" spans="1:17">
      <c r="A1" s="3" t="s">
        <v>947</v>
      </c>
      <c r="B1" s="3"/>
      <c r="C1" s="3"/>
      <c r="D1" s="3"/>
      <c r="E1" s="3"/>
      <c r="F1" s="3"/>
      <c r="G1" s="201" t="s">
        <v>806</v>
      </c>
      <c r="H1" s="201" t="s">
        <v>806</v>
      </c>
      <c r="I1" s="768" t="s">
        <v>282</v>
      </c>
      <c r="J1" s="769"/>
      <c r="K1" s="765" t="str">
        <f>IF(事業所概要_算定体制!D13="","",事業所概要_算定体制!D13)</f>
        <v/>
      </c>
      <c r="L1" s="766"/>
      <c r="N1" s="103"/>
      <c r="O1" s="103"/>
      <c r="P1" s="103"/>
      <c r="Q1" s="103"/>
    </row>
    <row r="2" spans="1:17">
      <c r="A2" s="104" t="s">
        <v>948</v>
      </c>
      <c r="B2" s="3"/>
      <c r="C2" s="3"/>
      <c r="D2" s="3"/>
      <c r="E2" s="3"/>
      <c r="F2" s="3"/>
      <c r="G2" s="202">
        <v>0</v>
      </c>
      <c r="I2" s="52"/>
      <c r="J2" s="52"/>
      <c r="K2" s="767" t="str">
        <f>CONCATENATE(事業所概要_算定体制!$B$3,事業所概要_算定体制!$C$3,"年度")</f>
        <v>令和７年度</v>
      </c>
      <c r="L2" s="767"/>
      <c r="N2" s="103"/>
      <c r="O2" s="103"/>
      <c r="P2" s="103"/>
      <c r="Q2" s="103"/>
    </row>
    <row r="3" spans="1:17">
      <c r="A3" s="104"/>
      <c r="B3" s="3"/>
      <c r="C3" s="3"/>
      <c r="D3" s="3"/>
      <c r="E3" s="3"/>
      <c r="F3" s="3"/>
      <c r="G3" s="202"/>
      <c r="H3" s="202"/>
      <c r="I3" s="52"/>
      <c r="J3" s="52"/>
      <c r="K3" s="52"/>
      <c r="L3" s="52"/>
      <c r="N3" s="103"/>
      <c r="O3" s="103"/>
      <c r="P3" s="103"/>
      <c r="Q3" s="103"/>
    </row>
    <row r="4" spans="1:17" ht="18.75" thickBot="1">
      <c r="A4" s="104"/>
      <c r="B4" s="3"/>
      <c r="C4" s="3"/>
      <c r="D4" s="3"/>
      <c r="E4" s="3"/>
      <c r="F4" s="3"/>
      <c r="G4" s="202"/>
      <c r="H4" s="202"/>
      <c r="I4" s="52"/>
      <c r="J4" s="52"/>
      <c r="K4" s="52"/>
      <c r="L4" s="52"/>
      <c r="N4" s="103"/>
      <c r="O4" s="103"/>
      <c r="P4" s="103"/>
      <c r="Q4" s="103"/>
    </row>
    <row r="5" spans="1:17" ht="18.75" customHeight="1">
      <c r="A5" s="756"/>
      <c r="B5" s="759" t="s">
        <v>156</v>
      </c>
      <c r="C5" s="759" t="s">
        <v>73</v>
      </c>
      <c r="D5" s="759"/>
      <c r="E5" s="762" t="s">
        <v>74</v>
      </c>
      <c r="F5" s="729" t="s">
        <v>210</v>
      </c>
      <c r="G5" s="732" t="s">
        <v>818</v>
      </c>
      <c r="H5" s="732"/>
      <c r="I5" s="729" t="s">
        <v>280</v>
      </c>
      <c r="J5" s="729"/>
      <c r="K5" s="729" t="s">
        <v>281</v>
      </c>
      <c r="L5" s="735"/>
      <c r="N5" s="728" t="s">
        <v>77</v>
      </c>
      <c r="O5" s="727" t="s">
        <v>807</v>
      </c>
      <c r="P5" s="728" t="s">
        <v>811</v>
      </c>
      <c r="Q5" s="728" t="s">
        <v>812</v>
      </c>
    </row>
    <row r="6" spans="1:17" ht="51.75" customHeight="1">
      <c r="A6" s="757"/>
      <c r="B6" s="760"/>
      <c r="C6" s="760"/>
      <c r="D6" s="760"/>
      <c r="E6" s="763"/>
      <c r="F6" s="730"/>
      <c r="G6" s="733"/>
      <c r="H6" s="733"/>
      <c r="I6" s="730"/>
      <c r="J6" s="730"/>
      <c r="K6" s="730"/>
      <c r="L6" s="736"/>
      <c r="N6" s="728"/>
      <c r="O6" s="727"/>
      <c r="P6" s="728"/>
      <c r="Q6" s="728"/>
    </row>
    <row r="7" spans="1:17" ht="19.5" customHeight="1" thickBot="1">
      <c r="A7" s="758"/>
      <c r="B7" s="761"/>
      <c r="C7" s="761"/>
      <c r="D7" s="761"/>
      <c r="E7" s="764"/>
      <c r="F7" s="731"/>
      <c r="G7" s="734"/>
      <c r="H7" s="734"/>
      <c r="I7" s="731"/>
      <c r="J7" s="731"/>
      <c r="K7" s="731"/>
      <c r="L7" s="737"/>
      <c r="N7" s="728"/>
      <c r="O7" s="727"/>
      <c r="P7" s="728"/>
      <c r="Q7" s="728"/>
    </row>
    <row r="8" spans="1:17" ht="21">
      <c r="A8" s="738" t="s">
        <v>157</v>
      </c>
      <c r="B8" s="742" t="s">
        <v>158</v>
      </c>
      <c r="C8" s="740" t="s">
        <v>88</v>
      </c>
      <c r="D8" s="741"/>
      <c r="E8" s="374" t="s">
        <v>380</v>
      </c>
      <c r="F8" s="241"/>
      <c r="G8" s="205" t="str">
        <f>IF(F8="","",IF(E8="","",F8/N8))</f>
        <v/>
      </c>
      <c r="H8" s="210" t="s">
        <v>194</v>
      </c>
      <c r="I8" s="233">
        <v>18</v>
      </c>
      <c r="J8" s="217" t="s">
        <v>179</v>
      </c>
      <c r="K8" s="236">
        <v>1.07</v>
      </c>
      <c r="L8" s="218" t="s">
        <v>808</v>
      </c>
      <c r="N8" s="197">
        <f>IF(E8="","",VLOOKUP(E8,非_単位補正換算!$B$3:$C$16,2,FALSE))</f>
        <v>1000</v>
      </c>
      <c r="O8" s="197" t="str">
        <f>"非_単位!$C$"&amp;MATCH(C8,非_単位!B:B,0)&amp;":$D$"&amp;MATCH(C8,非_単位!B:B,0)</f>
        <v>非_単位!$C$56:$D$56</v>
      </c>
      <c r="P8" s="197" t="str">
        <f>IF(G8="","",IF(I8="","",G8*I8))</f>
        <v/>
      </c>
      <c r="Q8" s="197" t="str">
        <f>IF(G8="","",IF(K8="","",G8*K8))</f>
        <v/>
      </c>
    </row>
    <row r="9" spans="1:17" ht="21">
      <c r="A9" s="738"/>
      <c r="B9" s="743"/>
      <c r="C9" s="612" t="s">
        <v>89</v>
      </c>
      <c r="D9" s="614"/>
      <c r="E9" s="374" t="s">
        <v>380</v>
      </c>
      <c r="F9" s="242"/>
      <c r="G9" s="206" t="str">
        <f t="shared" ref="G9:G31" si="0">IF(F9="","",IF(E9="","",F9/N9))</f>
        <v/>
      </c>
      <c r="H9" s="211" t="s">
        <v>194</v>
      </c>
      <c r="I9" s="234">
        <v>26.9</v>
      </c>
      <c r="J9" s="219" t="s">
        <v>179</v>
      </c>
      <c r="K9" s="236">
        <v>1.64</v>
      </c>
      <c r="L9" s="220" t="s">
        <v>808</v>
      </c>
      <c r="N9" s="197">
        <f>IF(E9="","",VLOOKUP(E9,非_単位補正換算!$B$3:$C$16,2,FALSE))</f>
        <v>1000</v>
      </c>
      <c r="O9" s="197" t="str">
        <f>"非_単位!$C$"&amp;MATCH(C9,非_単位!B:B,0)&amp;":$D$"&amp;MATCH(C9,非_単位!B:B,0)</f>
        <v>非_単位!$C$57:$D$57</v>
      </c>
      <c r="P9" s="197" t="str">
        <f t="shared" ref="P9:P31" si="1">IF(G9="","",IF(I9="","",G9*I9))</f>
        <v/>
      </c>
      <c r="Q9" s="197" t="str">
        <f t="shared" ref="Q9:Q18" si="2">IF(G9="","",IF(K9="","",G9*K9))</f>
        <v/>
      </c>
    </row>
    <row r="10" spans="1:17" ht="21">
      <c r="A10" s="738"/>
      <c r="B10" s="743"/>
      <c r="C10" s="612" t="s">
        <v>90</v>
      </c>
      <c r="D10" s="614"/>
      <c r="E10" s="374" t="s">
        <v>380</v>
      </c>
      <c r="F10" s="242"/>
      <c r="G10" s="206" t="str">
        <f t="shared" si="0"/>
        <v/>
      </c>
      <c r="H10" s="211" t="s">
        <v>194</v>
      </c>
      <c r="I10" s="234">
        <v>33.200000000000003</v>
      </c>
      <c r="J10" s="219" t="s">
        <v>179</v>
      </c>
      <c r="K10" s="236">
        <v>1.64</v>
      </c>
      <c r="L10" s="220" t="s">
        <v>808</v>
      </c>
      <c r="N10" s="197">
        <f>IF(E10="","",VLOOKUP(E10,非_単位補正換算!$B$3:$C$16,2,FALSE))</f>
        <v>1000</v>
      </c>
      <c r="O10" s="197" t="str">
        <f>"非_単位!$C$"&amp;MATCH(C10,非_単位!B:B,0)&amp;":$D$"&amp;MATCH(C10,非_単位!B:B,0)</f>
        <v>非_単位!$C$58:$D$58</v>
      </c>
      <c r="P10" s="197" t="str">
        <f t="shared" si="1"/>
        <v/>
      </c>
      <c r="Q10" s="197" t="str">
        <f t="shared" si="2"/>
        <v/>
      </c>
    </row>
    <row r="11" spans="1:17" ht="21">
      <c r="A11" s="738"/>
      <c r="B11" s="743"/>
      <c r="C11" s="612" t="s">
        <v>91</v>
      </c>
      <c r="D11" s="614"/>
      <c r="E11" s="374" t="s">
        <v>380</v>
      </c>
      <c r="F11" s="242"/>
      <c r="G11" s="206" t="str">
        <f t="shared" si="0"/>
        <v/>
      </c>
      <c r="H11" s="211" t="s">
        <v>194</v>
      </c>
      <c r="I11" s="234">
        <v>29.3</v>
      </c>
      <c r="J11" s="219" t="s">
        <v>179</v>
      </c>
      <c r="K11" s="236">
        <v>2.76</v>
      </c>
      <c r="L11" s="220" t="s">
        <v>808</v>
      </c>
      <c r="N11" s="197">
        <f>IF(E11="","",VLOOKUP(E11,非_単位補正換算!$B$3:$C$16,2,FALSE))</f>
        <v>1000</v>
      </c>
      <c r="O11" s="197" t="str">
        <f>"非_単位!$C$"&amp;MATCH(C11,非_単位!B:B,0)&amp;":$D$"&amp;MATCH(C11,非_単位!B:B,0)</f>
        <v>非_単位!$C$59:$D$59</v>
      </c>
      <c r="P11" s="197" t="str">
        <f t="shared" si="1"/>
        <v/>
      </c>
      <c r="Q11" s="197" t="str">
        <f t="shared" si="2"/>
        <v/>
      </c>
    </row>
    <row r="12" spans="1:17" ht="21">
      <c r="A12" s="738"/>
      <c r="B12" s="743"/>
      <c r="C12" s="612" t="s">
        <v>92</v>
      </c>
      <c r="D12" s="614"/>
      <c r="E12" s="374" t="s">
        <v>380</v>
      </c>
      <c r="F12" s="242"/>
      <c r="G12" s="206" t="str">
        <f t="shared" si="0"/>
        <v/>
      </c>
      <c r="H12" s="211" t="s">
        <v>194</v>
      </c>
      <c r="I12" s="234">
        <v>29.3</v>
      </c>
      <c r="J12" s="219" t="s">
        <v>179</v>
      </c>
      <c r="K12" s="236">
        <v>2.57</v>
      </c>
      <c r="L12" s="220" t="s">
        <v>808</v>
      </c>
      <c r="N12" s="197">
        <f>IF(E12="","",VLOOKUP(E12,非_単位補正換算!$B$3:$C$16,2,FALSE))</f>
        <v>1000</v>
      </c>
      <c r="O12" s="197" t="str">
        <f>"非_単位!$C$"&amp;MATCH(C12,非_単位!B:B,0)&amp;":$D$"&amp;MATCH(C12,非_単位!B:B,0)</f>
        <v>非_単位!$C$60:$D$60</v>
      </c>
      <c r="P12" s="197" t="str">
        <f t="shared" si="1"/>
        <v/>
      </c>
      <c r="Q12" s="197" t="str">
        <f t="shared" si="2"/>
        <v/>
      </c>
    </row>
    <row r="13" spans="1:17" ht="69.95" customHeight="1">
      <c r="A13" s="738"/>
      <c r="B13" s="743"/>
      <c r="C13" s="612" t="s">
        <v>93</v>
      </c>
      <c r="D13" s="614"/>
      <c r="E13" s="374" t="s">
        <v>379</v>
      </c>
      <c r="F13" s="242"/>
      <c r="G13" s="206" t="str">
        <f t="shared" si="0"/>
        <v/>
      </c>
      <c r="H13" s="211" t="s">
        <v>8</v>
      </c>
      <c r="I13" s="234">
        <v>40.200000000000003</v>
      </c>
      <c r="J13" s="219" t="s">
        <v>180</v>
      </c>
      <c r="K13" s="236">
        <v>2.64</v>
      </c>
      <c r="L13" s="220" t="s">
        <v>809</v>
      </c>
      <c r="N13" s="197">
        <f>IF(E13="","",VLOOKUP(E13,非_単位補正換算!$B$3:$C$16,2,FALSE))</f>
        <v>1000</v>
      </c>
      <c r="O13" s="197" t="str">
        <f>"非_単位!$C$"&amp;MATCH(C13,非_単位!B:B,0)&amp;":$D$"&amp;MATCH(C13,非_単位!B:B,0)</f>
        <v>非_単位!$C$61:$D$61</v>
      </c>
      <c r="P13" s="197" t="str">
        <f t="shared" si="1"/>
        <v/>
      </c>
      <c r="Q13" s="197" t="str">
        <f t="shared" si="2"/>
        <v/>
      </c>
    </row>
    <row r="14" spans="1:17" ht="41.25" customHeight="1">
      <c r="A14" s="738"/>
      <c r="B14" s="743"/>
      <c r="C14" s="612" t="s">
        <v>94</v>
      </c>
      <c r="D14" s="614"/>
      <c r="E14" s="374" t="s">
        <v>379</v>
      </c>
      <c r="F14" s="242"/>
      <c r="G14" s="206" t="str">
        <f t="shared" si="0"/>
        <v/>
      </c>
      <c r="H14" s="211" t="s">
        <v>8</v>
      </c>
      <c r="I14" s="234">
        <v>38</v>
      </c>
      <c r="J14" s="219" t="s">
        <v>180</v>
      </c>
      <c r="K14" s="236">
        <v>2.62</v>
      </c>
      <c r="L14" s="220" t="s">
        <v>809</v>
      </c>
      <c r="N14" s="197">
        <f>IF(E14="","",VLOOKUP(E14,非_単位補正換算!$B$3:$C$16,2,FALSE))</f>
        <v>1000</v>
      </c>
      <c r="O14" s="197" t="str">
        <f>"非_単位!$C$"&amp;MATCH(C14,非_単位!B:B,0)&amp;":$D$"&amp;MATCH(C14,非_単位!B:B,0)</f>
        <v>非_単位!$C$62:$D$62</v>
      </c>
      <c r="P14" s="197" t="str">
        <f t="shared" si="1"/>
        <v/>
      </c>
      <c r="Q14" s="197" t="str">
        <f t="shared" si="2"/>
        <v/>
      </c>
    </row>
    <row r="15" spans="1:17" ht="24" customHeight="1">
      <c r="A15" s="738"/>
      <c r="B15" s="743"/>
      <c r="C15" s="612" t="s">
        <v>95</v>
      </c>
      <c r="D15" s="614"/>
      <c r="E15" s="374" t="s">
        <v>382</v>
      </c>
      <c r="F15" s="242"/>
      <c r="G15" s="206" t="str">
        <f t="shared" si="0"/>
        <v/>
      </c>
      <c r="H15" s="211" t="s">
        <v>195</v>
      </c>
      <c r="I15" s="234">
        <v>21.2</v>
      </c>
      <c r="J15" s="219" t="s">
        <v>196</v>
      </c>
      <c r="K15" s="237"/>
      <c r="L15" s="221"/>
      <c r="N15" s="197">
        <f>IF(E15="","",VLOOKUP(E15,非_単位補正換算!$B$3:$C$16,2,FALSE))</f>
        <v>1000</v>
      </c>
      <c r="O15" s="197" t="str">
        <f>"非_単位!$C$"&amp;MATCH(C15,非_単位!B:B,0)&amp;":$D$"&amp;MATCH(C15,非_単位!B:B,0)</f>
        <v>非_単位!$C$63:$D$63</v>
      </c>
      <c r="P15" s="197" t="str">
        <f t="shared" si="1"/>
        <v/>
      </c>
      <c r="Q15" s="197" t="str">
        <f t="shared" si="2"/>
        <v/>
      </c>
    </row>
    <row r="16" spans="1:17">
      <c r="A16" s="738"/>
      <c r="B16" s="743"/>
      <c r="C16" s="612" t="s">
        <v>159</v>
      </c>
      <c r="D16" s="614"/>
      <c r="E16" s="374" t="s">
        <v>380</v>
      </c>
      <c r="F16" s="242"/>
      <c r="G16" s="206" t="str">
        <f t="shared" si="0"/>
        <v/>
      </c>
      <c r="H16" s="211" t="s">
        <v>19</v>
      </c>
      <c r="I16" s="234">
        <v>17.100000000000001</v>
      </c>
      <c r="J16" s="219" t="s">
        <v>179</v>
      </c>
      <c r="K16" s="237"/>
      <c r="L16" s="221"/>
      <c r="N16" s="197">
        <f>IF(E16="","",VLOOKUP(E16,非_単位補正換算!$B$3:$C$16,2,FALSE))</f>
        <v>1000</v>
      </c>
      <c r="O16" s="197" t="str">
        <f>"非_単位!$C$"&amp;MATCH(C16,非_単位!B:B,0)&amp;":$D$"&amp;MATCH(C16,非_単位!B:B,0)</f>
        <v>非_単位!$C$64:$D$64</v>
      </c>
      <c r="P16" s="197" t="str">
        <f t="shared" si="1"/>
        <v/>
      </c>
      <c r="Q16" s="197" t="str">
        <f t="shared" si="2"/>
        <v/>
      </c>
    </row>
    <row r="17" spans="1:17">
      <c r="A17" s="738"/>
      <c r="B17" s="743"/>
      <c r="C17" s="770"/>
      <c r="D17" s="771"/>
      <c r="E17" s="374" t="s">
        <v>380</v>
      </c>
      <c r="F17" s="242"/>
      <c r="G17" s="206" t="str">
        <f t="shared" si="0"/>
        <v/>
      </c>
      <c r="H17" s="211" t="str">
        <f>IF(E17="","",E17)</f>
        <v>kg</v>
      </c>
      <c r="I17" s="377"/>
      <c r="J17" s="219" t="str">
        <f>IF(E17="","","GJ/"&amp;E17)</f>
        <v>GJ/kg</v>
      </c>
      <c r="K17" s="379"/>
      <c r="L17" s="220" t="str">
        <f>"t-CO2/"&amp;IF(E17="","入力単位",E17)</f>
        <v>t-CO2/kg</v>
      </c>
      <c r="N17" s="197">
        <f>IF(E17="","",VLOOKUP(E17,非_単位補正換算!$B$3:$C$16,2,FALSE))</f>
        <v>1000</v>
      </c>
      <c r="O17" s="197" t="str">
        <f>"非_単位!$C$"&amp;MATCH(IF(C17="","廃棄物原燃料　自由記入1",C17),非_単位!B:B,0)&amp;":$H$"&amp;MATCH(IF(C17="","廃棄物原燃料　自由記入1",C17),非_単位!B:B,0)</f>
        <v>非_単位!$C$65:$H$65</v>
      </c>
      <c r="P17" s="197" t="str">
        <f t="shared" si="1"/>
        <v/>
      </c>
      <c r="Q17" s="197" t="str">
        <f t="shared" si="2"/>
        <v/>
      </c>
    </row>
    <row r="18" spans="1:17" ht="18" customHeight="1" thickBot="1">
      <c r="A18" s="738"/>
      <c r="B18" s="744"/>
      <c r="C18" s="745"/>
      <c r="D18" s="746"/>
      <c r="E18" s="375" t="s">
        <v>380</v>
      </c>
      <c r="F18" s="243"/>
      <c r="G18" s="207" t="str">
        <f t="shared" si="0"/>
        <v/>
      </c>
      <c r="H18" s="212" t="str">
        <f>IF(E18="","",E18)</f>
        <v>kg</v>
      </c>
      <c r="I18" s="378"/>
      <c r="J18" s="222" t="str">
        <f>IF(E18="","","GJ/"&amp;E18)</f>
        <v>GJ/kg</v>
      </c>
      <c r="K18" s="380"/>
      <c r="L18" s="220" t="str">
        <f>"t-CO2/"&amp;IF(E18="","入力単位",E18)</f>
        <v>t-CO2/kg</v>
      </c>
      <c r="N18" s="197">
        <f>IF(E18="","",VLOOKUP(E18,非_単位補正換算!$B$3:$C$16,2,FALSE))</f>
        <v>1000</v>
      </c>
      <c r="O18" s="197" t="str">
        <f>"非_単位!$C$"&amp;MATCH(IF(C18="","廃棄物原燃料　自由記入2",C18),非_単位!B:B,0)&amp;":$H$"&amp;MATCH(IF(C18="","廃棄物原燃料　自由記入2",C18),非_単位!B:B,0)</f>
        <v>非_単位!$C$66:$H$66</v>
      </c>
      <c r="P18" s="197" t="str">
        <f t="shared" si="1"/>
        <v/>
      </c>
      <c r="Q18" s="197" t="str">
        <f t="shared" si="2"/>
        <v/>
      </c>
    </row>
    <row r="19" spans="1:17" ht="19.5" customHeight="1" thickTop="1">
      <c r="A19" s="738"/>
      <c r="B19" s="749" t="s">
        <v>160</v>
      </c>
      <c r="C19" s="754" t="s">
        <v>161</v>
      </c>
      <c r="D19" s="755"/>
      <c r="E19" s="374" t="s">
        <v>380</v>
      </c>
      <c r="F19" s="567"/>
      <c r="G19" s="208" t="str">
        <f t="shared" si="0"/>
        <v/>
      </c>
      <c r="H19" s="213" t="s">
        <v>19</v>
      </c>
      <c r="I19" s="235">
        <v>13.6</v>
      </c>
      <c r="J19" s="223" t="s">
        <v>179</v>
      </c>
      <c r="K19" s="238"/>
      <c r="L19" s="224"/>
      <c r="N19" s="197">
        <f>IF(E19="","",VLOOKUP(E19,非_単位補正換算!$B$3:$C$16,2,FALSE))</f>
        <v>1000</v>
      </c>
      <c r="O19" s="197" t="str">
        <f>"非_単位!$C$"&amp;MATCH(C19,非_単位!B:B,0)&amp;":$D$"&amp;MATCH(C19,非_単位!B:B,0)</f>
        <v>非_単位!$C$67:$D$67</v>
      </c>
      <c r="P19" s="197" t="str">
        <f t="shared" si="1"/>
        <v/>
      </c>
      <c r="Q19" s="232"/>
    </row>
    <row r="20" spans="1:17">
      <c r="A20" s="738"/>
      <c r="B20" s="750"/>
      <c r="C20" s="752" t="s">
        <v>162</v>
      </c>
      <c r="D20" s="753"/>
      <c r="E20" s="374" t="s">
        <v>380</v>
      </c>
      <c r="F20" s="568"/>
      <c r="G20" s="206" t="str">
        <f t="shared" si="0"/>
        <v/>
      </c>
      <c r="H20" s="214" t="s">
        <v>19</v>
      </c>
      <c r="I20" s="234">
        <v>13.2</v>
      </c>
      <c r="J20" s="225" t="s">
        <v>179</v>
      </c>
      <c r="K20" s="237"/>
      <c r="L20" s="226"/>
      <c r="N20" s="197">
        <f>IF(E20="","",VLOOKUP(E20,非_単位補正換算!$B$3:$C$16,2,FALSE))</f>
        <v>1000</v>
      </c>
      <c r="O20" s="197" t="str">
        <f>"非_単位!$C$"&amp;MATCH(C20,非_単位!B:B,0)&amp;":$D$"&amp;MATCH(C20,非_単位!B:B,0)</f>
        <v>非_単位!$C$68:$D$68</v>
      </c>
      <c r="P20" s="197" t="str">
        <f t="shared" si="1"/>
        <v/>
      </c>
      <c r="Q20" s="232"/>
    </row>
    <row r="21" spans="1:17">
      <c r="A21" s="738"/>
      <c r="B21" s="750"/>
      <c r="C21" s="752" t="s">
        <v>163</v>
      </c>
      <c r="D21" s="753"/>
      <c r="E21" s="374" t="s">
        <v>380</v>
      </c>
      <c r="F21" s="568"/>
      <c r="G21" s="206" t="str">
        <f t="shared" si="0"/>
        <v/>
      </c>
      <c r="H21" s="214" t="s">
        <v>19</v>
      </c>
      <c r="I21" s="234">
        <v>17.100000000000001</v>
      </c>
      <c r="J21" s="225" t="s">
        <v>179</v>
      </c>
      <c r="K21" s="237"/>
      <c r="L21" s="226"/>
      <c r="N21" s="197">
        <f>IF(E21="","",VLOOKUP(E21,非_単位補正換算!$B$3:$C$16,2,FALSE))</f>
        <v>1000</v>
      </c>
      <c r="O21" s="197" t="str">
        <f>"非_単位!$C$"&amp;MATCH(C21,非_単位!B:B,0)&amp;":$D$"&amp;MATCH(C21,非_単位!B:B,0)</f>
        <v>非_単位!$C$69:$D$69</v>
      </c>
      <c r="P21" s="197" t="str">
        <f t="shared" si="1"/>
        <v/>
      </c>
      <c r="Q21" s="232"/>
    </row>
    <row r="22" spans="1:17">
      <c r="A22" s="738"/>
      <c r="B22" s="750"/>
      <c r="C22" s="752" t="s">
        <v>164</v>
      </c>
      <c r="D22" s="753"/>
      <c r="E22" s="374" t="s">
        <v>379</v>
      </c>
      <c r="F22" s="568"/>
      <c r="G22" s="206" t="str">
        <f t="shared" si="0"/>
        <v/>
      </c>
      <c r="H22" s="214" t="s">
        <v>193</v>
      </c>
      <c r="I22" s="234">
        <v>23.4</v>
      </c>
      <c r="J22" s="225" t="s">
        <v>180</v>
      </c>
      <c r="K22" s="237"/>
      <c r="L22" s="226"/>
      <c r="N22" s="197">
        <f>IF(E22="","",VLOOKUP(E22,非_単位補正換算!$B$3:$C$16,2,FALSE))</f>
        <v>1000</v>
      </c>
      <c r="O22" s="197" t="str">
        <f>"非_単位!$C$"&amp;MATCH(C22,非_単位!B:B,0)&amp;":$D$"&amp;MATCH(C22,非_単位!B:B,0)</f>
        <v>非_単位!$C$70:$D$70</v>
      </c>
      <c r="P22" s="197" t="str">
        <f t="shared" si="1"/>
        <v/>
      </c>
      <c r="Q22" s="232"/>
    </row>
    <row r="23" spans="1:17">
      <c r="A23" s="738"/>
      <c r="B23" s="750"/>
      <c r="C23" s="752" t="s">
        <v>927</v>
      </c>
      <c r="D23" s="753"/>
      <c r="E23" s="374" t="s">
        <v>379</v>
      </c>
      <c r="F23" s="568"/>
      <c r="G23" s="206" t="str">
        <f t="shared" si="0"/>
        <v/>
      </c>
      <c r="H23" s="214" t="s">
        <v>193</v>
      </c>
      <c r="I23" s="234">
        <v>35.6</v>
      </c>
      <c r="J23" s="225" t="s">
        <v>180</v>
      </c>
      <c r="K23" s="237"/>
      <c r="L23" s="226"/>
      <c r="N23" s="197">
        <f>IF(E23="","",VLOOKUP(E23,非_単位補正換算!$B$3:$C$16,2,FALSE))</f>
        <v>1000</v>
      </c>
      <c r="O23" s="197" t="str">
        <f>"非_単位!$C$"&amp;MATCH(C23,非_単位!B:B,0)&amp;":$D$"&amp;MATCH(C23,非_単位!B:B,0)</f>
        <v>非_単位!$C$71:$D$71</v>
      </c>
      <c r="P23" s="197" t="str">
        <f t="shared" si="1"/>
        <v/>
      </c>
      <c r="Q23" s="232"/>
    </row>
    <row r="24" spans="1:17" ht="19.5">
      <c r="A24" s="738"/>
      <c r="B24" s="750"/>
      <c r="C24" s="752" t="s">
        <v>166</v>
      </c>
      <c r="D24" s="753"/>
      <c r="E24" s="374" t="s">
        <v>382</v>
      </c>
      <c r="F24" s="568"/>
      <c r="G24" s="206" t="str">
        <f t="shared" si="0"/>
        <v/>
      </c>
      <c r="H24" s="211" t="s">
        <v>195</v>
      </c>
      <c r="I24" s="234">
        <v>21.2</v>
      </c>
      <c r="J24" s="219" t="s">
        <v>196</v>
      </c>
      <c r="K24" s="237"/>
      <c r="L24" s="227"/>
      <c r="N24" s="197">
        <f>IF(E24="","",VLOOKUP(E24,非_単位補正換算!$B$3:$C$16,2,FALSE))</f>
        <v>1000</v>
      </c>
      <c r="O24" s="197" t="str">
        <f>"非_単位!$C$"&amp;MATCH(C24,非_単位!B:B,0)&amp;":$D$"&amp;MATCH(C24,非_単位!B:B,0)</f>
        <v>非_単位!$C$72:$D$72</v>
      </c>
      <c r="P24" s="197" t="str">
        <f t="shared" si="1"/>
        <v/>
      </c>
      <c r="Q24" s="232"/>
    </row>
    <row r="25" spans="1:17">
      <c r="A25" s="738"/>
      <c r="B25" s="750"/>
      <c r="C25" s="752" t="s">
        <v>167</v>
      </c>
      <c r="D25" s="753"/>
      <c r="E25" s="374" t="s">
        <v>380</v>
      </c>
      <c r="F25" s="568"/>
      <c r="G25" s="206" t="str">
        <f t="shared" si="0"/>
        <v/>
      </c>
      <c r="H25" s="211" t="s">
        <v>197</v>
      </c>
      <c r="I25" s="234">
        <v>13.2</v>
      </c>
      <c r="J25" s="219" t="s">
        <v>179</v>
      </c>
      <c r="K25" s="237"/>
      <c r="L25" s="227"/>
      <c r="N25" s="197">
        <f>IF(E25="","",VLOOKUP(E25,非_単位補正換算!$B$3:$C$16,2,FALSE))</f>
        <v>1000</v>
      </c>
      <c r="O25" s="197" t="str">
        <f>"非_単位!$C$"&amp;MATCH(C25,非_単位!B:B,0)&amp;":$D$"&amp;MATCH(C25,非_単位!B:B,0)</f>
        <v>非_単位!$C$73:$D$73</v>
      </c>
      <c r="P25" s="197" t="str">
        <f t="shared" si="1"/>
        <v/>
      </c>
      <c r="Q25" s="232"/>
    </row>
    <row r="26" spans="1:17">
      <c r="A26" s="738"/>
      <c r="B26" s="750"/>
      <c r="C26" s="774"/>
      <c r="D26" s="775"/>
      <c r="E26" s="374" t="s">
        <v>379</v>
      </c>
      <c r="F26" s="568"/>
      <c r="G26" s="206" t="str">
        <f t="shared" si="0"/>
        <v/>
      </c>
      <c r="H26" s="211" t="str">
        <f>IF(E26="","",E26)</f>
        <v>L</v>
      </c>
      <c r="I26" s="377"/>
      <c r="J26" s="219" t="str">
        <f>IF(E26="","","GJ/"&amp;E26)</f>
        <v>GJ/L</v>
      </c>
      <c r="K26" s="237"/>
      <c r="L26" s="227"/>
      <c r="N26" s="197">
        <f>IF(E26="","",VLOOKUP(E26,非_単位補正換算!$B$3:$C$16,2,FALSE))</f>
        <v>1000</v>
      </c>
      <c r="O26" s="197" t="str">
        <f>"非_単位!$C$"&amp;MATCH(IF(C26="","バイオマス燃料　自由記入1",C26),非_単位!B:B,0)&amp;":$H$"&amp;MATCH(IF(C26="","バイオマス燃料　自由記入1",C26),非_単位!B:B,0)</f>
        <v>非_単位!$C$74:$H$74</v>
      </c>
      <c r="P26" s="197" t="str">
        <f t="shared" si="1"/>
        <v/>
      </c>
      <c r="Q26" s="232"/>
    </row>
    <row r="27" spans="1:17" ht="18.75" thickBot="1">
      <c r="A27" s="738"/>
      <c r="B27" s="751"/>
      <c r="C27" s="776"/>
      <c r="D27" s="777"/>
      <c r="E27" s="375" t="s">
        <v>380</v>
      </c>
      <c r="F27" s="569"/>
      <c r="G27" s="207" t="str">
        <f t="shared" si="0"/>
        <v/>
      </c>
      <c r="H27" s="212" t="str">
        <f>IF(E27="","",E27)</f>
        <v>kg</v>
      </c>
      <c r="I27" s="378"/>
      <c r="J27" s="222" t="str">
        <f>IF(E27="","","GJ/"&amp;E27)</f>
        <v>GJ/kg</v>
      </c>
      <c r="K27" s="239"/>
      <c r="L27" s="228"/>
      <c r="N27" s="197">
        <f>IF(E27="","",VLOOKUP(E27,非_単位補正換算!$B$3:$C$16,2,FALSE))</f>
        <v>1000</v>
      </c>
      <c r="O27" s="197" t="str">
        <f>"非_単位!$C$"&amp;MATCH(IF(C27="","バイオマス燃料　自由記入2",C27),非_単位!B:B,0)&amp;":$H$"&amp;MATCH(IF(C27="","バイオマス燃料　自由記入2",C27),非_単位!B:B,0)</f>
        <v>非_単位!$C$75:$H$75</v>
      </c>
      <c r="P27" s="197" t="str">
        <f t="shared" si="1"/>
        <v/>
      </c>
      <c r="Q27" s="232"/>
    </row>
    <row r="28" spans="1:17" ht="18.75" thickTop="1">
      <c r="A28" s="738"/>
      <c r="B28" s="747" t="s">
        <v>284</v>
      </c>
      <c r="C28" s="778" t="s">
        <v>169</v>
      </c>
      <c r="D28" s="778"/>
      <c r="E28" s="374" t="s">
        <v>380</v>
      </c>
      <c r="F28" s="244"/>
      <c r="G28" s="208" t="str">
        <f t="shared" si="0"/>
        <v/>
      </c>
      <c r="H28" s="215" t="s">
        <v>197</v>
      </c>
      <c r="I28" s="235">
        <v>142</v>
      </c>
      <c r="J28" s="229" t="s">
        <v>179</v>
      </c>
      <c r="K28" s="238"/>
      <c r="L28" s="230"/>
      <c r="N28" s="197">
        <f>IF(E28="","",VLOOKUP(E28,非_単位補正換算!$B$3:$C$16,2,FALSE))</f>
        <v>1000</v>
      </c>
      <c r="O28" s="197" t="str">
        <f>"非_単位!$C$"&amp;MATCH(C28,非_単位!B:B,0)&amp;":$D$"&amp;MATCH(C28,非_単位!B:B,0)</f>
        <v>非_単位!$C$76:$D$76</v>
      </c>
      <c r="P28" s="197" t="str">
        <f t="shared" si="1"/>
        <v/>
      </c>
      <c r="Q28" s="232"/>
    </row>
    <row r="29" spans="1:17">
      <c r="A29" s="738"/>
      <c r="B29" s="743"/>
      <c r="C29" s="773" t="s">
        <v>170</v>
      </c>
      <c r="D29" s="773"/>
      <c r="E29" s="374" t="s">
        <v>380</v>
      </c>
      <c r="F29" s="242"/>
      <c r="G29" s="206" t="str">
        <f t="shared" si="0"/>
        <v/>
      </c>
      <c r="H29" s="211" t="s">
        <v>191</v>
      </c>
      <c r="I29" s="234">
        <v>22.5</v>
      </c>
      <c r="J29" s="219" t="s">
        <v>179</v>
      </c>
      <c r="K29" s="237"/>
      <c r="L29" s="227"/>
      <c r="N29" s="197">
        <f>IF(E29="","",VLOOKUP(E29,非_単位補正換算!$B$3:$C$16,2,FALSE))</f>
        <v>1000</v>
      </c>
      <c r="O29" s="197" t="str">
        <f>"非_単位!$C$"&amp;MATCH(C29,非_単位!B:B,0)&amp;":$D$"&amp;MATCH(C29,非_単位!B:B,0)</f>
        <v>非_単位!$C$77:$D$77</v>
      </c>
      <c r="P29" s="197" t="str">
        <f t="shared" si="1"/>
        <v/>
      </c>
      <c r="Q29" s="232"/>
    </row>
    <row r="30" spans="1:17">
      <c r="A30" s="738"/>
      <c r="B30" s="743"/>
      <c r="C30" s="770"/>
      <c r="D30" s="771"/>
      <c r="E30" s="374" t="s">
        <v>380</v>
      </c>
      <c r="F30" s="242"/>
      <c r="G30" s="206" t="str">
        <f t="shared" si="0"/>
        <v/>
      </c>
      <c r="H30" s="211" t="str">
        <f>IF(E30="","",E30)</f>
        <v>kg</v>
      </c>
      <c r="I30" s="377"/>
      <c r="J30" s="219" t="str">
        <f>IF(E30="","","GJ/"&amp;E30)</f>
        <v>GJ/kg</v>
      </c>
      <c r="K30" s="237"/>
      <c r="L30" s="227"/>
      <c r="N30" s="197">
        <f>IF(E30="","",VLOOKUP(E30,非_単位補正換算!$B$3:$C$16,2,FALSE))</f>
        <v>1000</v>
      </c>
      <c r="O30" s="197" t="str">
        <f>"非_単位!$C$"&amp;MATCH(IF(C30="","その他の非化石燃料　自由記入1",C30),非_単位!B:B,0)&amp;":$H$"&amp;MATCH(IF(C30="","その他の非化石燃料　自由記入1",C30),非_単位!B:B,0)</f>
        <v>非_単位!$C$78:$H$78</v>
      </c>
      <c r="P30" s="197" t="str">
        <f t="shared" si="1"/>
        <v/>
      </c>
      <c r="Q30" s="232"/>
    </row>
    <row r="31" spans="1:17" ht="18.75" thickBot="1">
      <c r="A31" s="739"/>
      <c r="B31" s="748"/>
      <c r="C31" s="779"/>
      <c r="D31" s="779"/>
      <c r="E31" s="376" t="s">
        <v>380</v>
      </c>
      <c r="F31" s="245"/>
      <c r="G31" s="209" t="str">
        <f t="shared" si="0"/>
        <v/>
      </c>
      <c r="H31" s="216" t="str">
        <f>IF(E31="","",E31)</f>
        <v>kg</v>
      </c>
      <c r="I31" s="381"/>
      <c r="J31" s="388" t="str">
        <f>IF(E31="","","GJ/"&amp;E31)</f>
        <v>GJ/kg</v>
      </c>
      <c r="K31" s="240"/>
      <c r="L31" s="231"/>
      <c r="N31" s="197">
        <f>IF(E31="","",VLOOKUP(E31,非_単位補正換算!$B$3:$C$16,2,FALSE))</f>
        <v>1000</v>
      </c>
      <c r="O31" s="197" t="str">
        <f>"非_単位!$C$"&amp;MATCH(IF(C31="","その他の非化石燃料　自由記入2",C31),非_単位!B:B,0)&amp;":$H$"&amp;MATCH(IF(C31="","その他の非化石燃料　自由記入2",C31),非_単位!B:B,0)</f>
        <v>非_単位!$C$79:$H$79</v>
      </c>
      <c r="P31" s="197" t="str">
        <f t="shared" si="1"/>
        <v/>
      </c>
      <c r="Q31" s="232"/>
    </row>
    <row r="32" spans="1:17" ht="24">
      <c r="A32" s="105"/>
      <c r="B32" s="43"/>
      <c r="C32" s="43"/>
      <c r="D32" s="43"/>
      <c r="E32" s="106"/>
      <c r="F32" s="107"/>
      <c r="G32" s="203"/>
      <c r="H32" s="204"/>
      <c r="I32" s="52"/>
      <c r="J32" s="772" t="s">
        <v>122</v>
      </c>
      <c r="K32" s="772"/>
      <c r="L32" s="772"/>
      <c r="N32" s="103"/>
      <c r="O32" s="103"/>
      <c r="P32" s="103"/>
      <c r="Q32" s="103"/>
    </row>
  </sheetData>
  <sheetProtection algorithmName="SHA-512" hashValue="YL74Ebm/BhdO5nzlAdSHLC3M/m2qz19g7TFcWPwdJAG73FdrUIdUU4ydiAkoIAk94pbXwMBBZiO8JFFaVIrFNg==" saltValue="WuJic2FWDE6YErH/l37oQA==" spinCount="100000" sheet="1" objects="1" scenarios="1"/>
  <mergeCells count="44">
    <mergeCell ref="K1:L1"/>
    <mergeCell ref="K2:L2"/>
    <mergeCell ref="I1:J1"/>
    <mergeCell ref="C30:D30"/>
    <mergeCell ref="J32:L32"/>
    <mergeCell ref="C17:D17"/>
    <mergeCell ref="C29:D29"/>
    <mergeCell ref="C26:D26"/>
    <mergeCell ref="C27:D27"/>
    <mergeCell ref="C28:D28"/>
    <mergeCell ref="C31:D31"/>
    <mergeCell ref="C20:D20"/>
    <mergeCell ref="C21:D21"/>
    <mergeCell ref="C22:D22"/>
    <mergeCell ref="C23:D23"/>
    <mergeCell ref="C24:D24"/>
    <mergeCell ref="A5:A7"/>
    <mergeCell ref="B5:B7"/>
    <mergeCell ref="C5:D7"/>
    <mergeCell ref="N5:N7"/>
    <mergeCell ref="E5:E7"/>
    <mergeCell ref="A8:A31"/>
    <mergeCell ref="C8:D8"/>
    <mergeCell ref="C9:D9"/>
    <mergeCell ref="C10:D10"/>
    <mergeCell ref="C11:D11"/>
    <mergeCell ref="C12:D12"/>
    <mergeCell ref="C13:D13"/>
    <mergeCell ref="C14:D14"/>
    <mergeCell ref="C15:D15"/>
    <mergeCell ref="B8:B18"/>
    <mergeCell ref="C18:D18"/>
    <mergeCell ref="B28:B31"/>
    <mergeCell ref="B19:B27"/>
    <mergeCell ref="C25:D25"/>
    <mergeCell ref="C16:D16"/>
    <mergeCell ref="C19:D19"/>
    <mergeCell ref="O5:O7"/>
    <mergeCell ref="P5:P7"/>
    <mergeCell ref="Q5:Q7"/>
    <mergeCell ref="F5:F7"/>
    <mergeCell ref="G5:H7"/>
    <mergeCell ref="I5:J7"/>
    <mergeCell ref="K5:L7"/>
  </mergeCells>
  <phoneticPr fontId="5"/>
  <dataValidations count="4">
    <dataValidation type="list" allowBlank="1" showInputMessage="1" showErrorMessage="1" sqref="E65516:E65549 E131052:E131085 E196588:E196621 E262124:E262157 E327660:E327693 E393196:E393229 E458732:E458765 E524268:E524301 E589804:E589837 E655340:E655373 E720876:E720909 E786412:E786445 E851948:E851981 E917484:E917517 E983020:E983053" xr:uid="{00000000-0002-0000-0700-000000000000}">
      <formula1>#REF!</formula1>
    </dataValidation>
    <dataValidation type="list" allowBlank="1" showInputMessage="1" showErrorMessage="1" sqref="E983054:E983056 E917518:E917520 E851982:E851984 E786446:E786448 E720910:E720912 E655374:E655376 E589838:E589840 E524302:E524304 E458766:E458768 E393230:E393232 E327694:E327696 E262158:E262160 E196622:E196624 E131086:E131088 E65550:E65552" xr:uid="{00000000-0002-0000-0700-000001000000}">
      <formula1>$L$8:$L$14</formula1>
    </dataValidation>
    <dataValidation type="list" allowBlank="1" showInputMessage="1" showErrorMessage="1" sqref="E8:E31" xr:uid="{00000000-0002-0000-0700-000002000000}">
      <formula1>INDIRECT(O8)</formula1>
    </dataValidation>
    <dataValidation imeMode="disabled" allowBlank="1" showInputMessage="1" showErrorMessage="1" sqref="K17:K18 I17:I18 F8:F31 I26:I27 I30:I31" xr:uid="{00000000-0002-0000-0700-000003000000}"/>
  </dataValidations>
  <pageMargins left="0.78740157480314965" right="0.59055118110236227" top="0.78740157480314965" bottom="0.59055118110236227" header="0.31496062992125984" footer="0.31496062992125984"/>
  <pageSetup paperSize="9" scale="60" fitToHeight="0" orientation="portrait"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R59"/>
  <sheetViews>
    <sheetView showGridLines="0" zoomScaleNormal="100" zoomScaleSheetLayoutView="100" workbookViewId="0">
      <pane ySplit="5" topLeftCell="A6" activePane="bottomLeft" state="frozen"/>
      <selection pane="bottomLeft"/>
    </sheetView>
  </sheetViews>
  <sheetFormatPr defaultColWidth="9" defaultRowHeight="18" outlineLevelCol="1"/>
  <cols>
    <col min="1" max="1" width="40.375" style="85" customWidth="1"/>
    <col min="2" max="2" width="17.75" style="85" customWidth="1"/>
    <col min="3" max="3" width="15.625" style="85" customWidth="1"/>
    <col min="4" max="5" width="21" style="85" customWidth="1"/>
    <col min="6" max="6" width="9" style="85"/>
    <col min="7" max="7" width="42.75" style="85" hidden="1" customWidth="1" outlineLevel="1"/>
    <col min="8" max="8" width="9.75" style="85" hidden="1" customWidth="1" outlineLevel="1"/>
    <col min="9" max="9" width="15.875" style="85" hidden="1" customWidth="1" outlineLevel="1"/>
    <col min="10" max="10" width="11.5" style="85" hidden="1" customWidth="1" outlineLevel="1"/>
    <col min="11" max="11" width="16.875" style="85" hidden="1" customWidth="1" outlineLevel="1"/>
    <col min="12" max="12" width="15.75" style="85" hidden="1" customWidth="1" outlineLevel="1"/>
    <col min="13" max="14" width="16" style="85" hidden="1" customWidth="1" outlineLevel="1"/>
    <col min="15" max="16" width="9" style="85" hidden="1" customWidth="1" outlineLevel="1"/>
    <col min="17" max="17" width="11.625" style="85" hidden="1" customWidth="1" outlineLevel="1"/>
    <col min="18" max="18" width="9" style="85" collapsed="1"/>
    <col min="19" max="16384" width="9" style="85"/>
  </cols>
  <sheetData>
    <row r="1" spans="1:17">
      <c r="A1" s="3" t="s">
        <v>943</v>
      </c>
      <c r="B1" s="52"/>
      <c r="C1" s="52"/>
      <c r="D1" s="109" t="s">
        <v>0</v>
      </c>
      <c r="E1" s="179" t="str">
        <f>IF(事業所概要_算定体制!D13="","",事業所概要_算定体制!D13)</f>
        <v/>
      </c>
    </row>
    <row r="2" spans="1:17">
      <c r="A2" s="52" t="s">
        <v>942</v>
      </c>
      <c r="B2" s="52"/>
      <c r="C2" s="52"/>
      <c r="D2" s="4"/>
      <c r="E2" s="165" t="str">
        <f>CONCATENATE(事業所概要_算定体制!$B$3,事業所概要_算定体制!$C$3,"年度")</f>
        <v>令和７年度</v>
      </c>
      <c r="G2" s="85" t="s">
        <v>922</v>
      </c>
    </row>
    <row r="3" spans="1:17">
      <c r="A3" s="52"/>
      <c r="B3" s="52"/>
      <c r="C3" s="52"/>
      <c r="D3" s="52"/>
      <c r="E3" s="52"/>
      <c r="G3" s="85" t="str">
        <f>IF(AND(COUNT(エネルギーと目標設定ガス!$H$46)&gt;0,COUNT(エネルギーと目標設定ガス!$H$54)&gt;0),"証書等_種類",IF(COUNT(エネルギーと目標設定ガス!$H$46)&gt;0,"証書等_種類_電気なし",IF(COUNT(エネルギーと目標設定ガス!$H$54)&gt;0,"証書等_種類_熱なし","証書等_種類_森林吸収量のみ")))</f>
        <v>証書等_種類_森林吸収量のみ</v>
      </c>
    </row>
    <row r="4" spans="1:17" ht="18.75" thickBot="1">
      <c r="A4" s="52"/>
      <c r="B4" s="52"/>
      <c r="C4" s="52"/>
      <c r="D4" s="52"/>
      <c r="E4" s="52"/>
    </row>
    <row r="5" spans="1:17" ht="39.75" thickBot="1">
      <c r="A5" s="59" t="s">
        <v>264</v>
      </c>
      <c r="B5" s="60" t="s">
        <v>261</v>
      </c>
      <c r="C5" s="60" t="s">
        <v>2013</v>
      </c>
      <c r="D5" s="62" t="s">
        <v>262</v>
      </c>
      <c r="E5" s="61" t="s">
        <v>921</v>
      </c>
      <c r="G5" s="422" t="s">
        <v>894</v>
      </c>
      <c r="H5" s="422" t="s">
        <v>895</v>
      </c>
      <c r="I5" s="422" t="s">
        <v>897</v>
      </c>
      <c r="J5" s="422" t="s">
        <v>898</v>
      </c>
      <c r="K5" s="426" t="s">
        <v>899</v>
      </c>
      <c r="L5" s="426" t="s">
        <v>900</v>
      </c>
      <c r="M5" s="426" t="s">
        <v>902</v>
      </c>
      <c r="N5" s="426" t="s">
        <v>903</v>
      </c>
      <c r="O5" s="478" t="s">
        <v>955</v>
      </c>
      <c r="P5" s="479" t="s">
        <v>966</v>
      </c>
      <c r="Q5" s="486" t="s">
        <v>971</v>
      </c>
    </row>
    <row r="6" spans="1:17">
      <c r="A6" s="576"/>
      <c r="B6" s="577"/>
      <c r="C6" s="570"/>
      <c r="D6" s="578" t="str">
        <f>I6</f>
        <v/>
      </c>
      <c r="E6" s="573" t="str">
        <f>L6</f>
        <v/>
      </c>
      <c r="G6" s="422" t="str">
        <f>IF(A6="","",IF(LEFT(A6,5)="森林吸収量","森林吸収量_単位",A6&amp;"_単位"))</f>
        <v/>
      </c>
      <c r="H6" s="422" t="str">
        <f>IF(A6="","",IF(LEFT(A6,5)="森林吸収量","森林吸収量",IF(A6="グリーン熱証書","熱","電気")))</f>
        <v/>
      </c>
      <c r="I6" s="422" t="str">
        <f>IF(H6="","",IF(H6="電気",非_電気事業者!$S$5*1000,IF(H6="熱",非_熱供給事業者!$T$4,"")))</f>
        <v/>
      </c>
      <c r="J6" s="422" t="str">
        <f>IF(B6="","",VLOOKUP(B6,非_単位補正換算!$B$3:$C$16,2,FALSE))</f>
        <v/>
      </c>
      <c r="K6" s="422" t="str">
        <f>IF(C6="","",IF(J6="","",C6/J6))</f>
        <v/>
      </c>
      <c r="L6" s="422" t="str">
        <f>IF(H6="","",IF(H6="森林吸収量","削減量を入力",IF(K6="","",K6*I6)))</f>
        <v/>
      </c>
      <c r="M6" s="422" t="str">
        <f>IF(A6="","",VLOOKUP($A6,非_まとめ表行番号!$Q$3:$S$8,2,FALSE))</f>
        <v/>
      </c>
      <c r="N6" s="422" t="str">
        <f>IF(A6="","",VLOOKUP($A6,非_まとめ表行番号!$Q$3:$S$8,3,FALSE))</f>
        <v/>
      </c>
      <c r="O6" s="479" t="str">
        <f>IF(A6="","",VLOOKUP(M6,非_まとめ表行番号!$U$3:$V$56,2,FALSE))</f>
        <v/>
      </c>
      <c r="P6" s="479" t="str">
        <f>IF(L6="","",IF(L6&gt;0,-1,0))</f>
        <v/>
      </c>
      <c r="Q6" s="485" t="b">
        <f>_xlfn.ISFORMULA(E6)</f>
        <v>1</v>
      </c>
    </row>
    <row r="7" spans="1:17">
      <c r="A7" s="466"/>
      <c r="B7" s="467"/>
      <c r="C7" s="571"/>
      <c r="D7" s="579" t="str">
        <f t="shared" ref="D7:D58" si="0">I7</f>
        <v/>
      </c>
      <c r="E7" s="574" t="str">
        <f t="shared" ref="E7:E58" si="1">L7</f>
        <v/>
      </c>
      <c r="G7" s="422" t="str">
        <f t="shared" ref="G7:G10" si="2">IF(A7="","",IF(LEFT(A7,5)="森林吸収量","森林吸収量_単位",A7&amp;"_単位"))</f>
        <v/>
      </c>
      <c r="H7" s="422" t="str">
        <f>IF(A7="","",IF(LEFT(A7,5)="森林吸収量","森林吸収量",IF(A7="グリーン熱証書","熱","電気")))</f>
        <v/>
      </c>
      <c r="I7" s="422" t="str">
        <f>IF(H7="","",IF(H7="電気",非_電気事業者!$S$5*1000,IF(H7="熱",非_熱供給事業者!$T$4,"")))</f>
        <v/>
      </c>
      <c r="J7" s="422" t="str">
        <f>IF(B7="","",VLOOKUP(B7,非_単位補正換算!$B$3:$C$16,2,FALSE))</f>
        <v/>
      </c>
      <c r="K7" s="422" t="str">
        <f t="shared" ref="K7:K10" si="3">IF(C7="","",IF(J7="","",C7/J7))</f>
        <v/>
      </c>
      <c r="L7" s="422" t="str">
        <f t="shared" ref="L7:L10" si="4">IF(H7="","",IF(H7="森林吸収量","削減量を入力",IF(K7="","",K7*I7)))</f>
        <v/>
      </c>
      <c r="M7" s="422" t="str">
        <f>IF(A7="","",VLOOKUP($A7,非_まとめ表行番号!$Q$3:$S$8,2,FALSE))</f>
        <v/>
      </c>
      <c r="N7" s="422" t="str">
        <f>IF(A7="","",VLOOKUP($A7,非_まとめ表行番号!$Q$3:$S$8,3,FALSE))</f>
        <v/>
      </c>
      <c r="O7" s="489" t="str">
        <f>IF(A7="","",VLOOKUP(M7,非_まとめ表行番号!$U$3:$V$56,2,FALSE))</f>
        <v/>
      </c>
      <c r="P7" s="479" t="str">
        <f t="shared" ref="P7:P58" si="5">IF(L7="","",IF(L7&gt;0,-1,0))</f>
        <v/>
      </c>
      <c r="Q7" s="485" t="b">
        <f t="shared" ref="Q7:Q58" si="6">_xlfn.ISFORMULA(E7)</f>
        <v>1</v>
      </c>
    </row>
    <row r="8" spans="1:17">
      <c r="A8" s="466"/>
      <c r="B8" s="467"/>
      <c r="C8" s="571"/>
      <c r="D8" s="579" t="str">
        <f t="shared" si="0"/>
        <v/>
      </c>
      <c r="E8" s="574" t="str">
        <f t="shared" si="1"/>
        <v/>
      </c>
      <c r="G8" s="422" t="str">
        <f t="shared" si="2"/>
        <v/>
      </c>
      <c r="H8" s="422" t="str">
        <f>IF(A8="","",IF(LEFT(A8,5)="森林吸収量","森林吸収量",IF(A8="グリーン熱証書","熱","電気")))</f>
        <v/>
      </c>
      <c r="I8" s="422" t="str">
        <f>IF(H8="","",IF(H8="電気",非_電気事業者!$S$5*1000,IF(H8="熱",非_熱供給事業者!$T$4,"")))</f>
        <v/>
      </c>
      <c r="J8" s="422" t="str">
        <f>IF(B8="","",VLOOKUP(B8,非_単位補正換算!$B$3:$C$16,2,FALSE))</f>
        <v/>
      </c>
      <c r="K8" s="422" t="str">
        <f t="shared" si="3"/>
        <v/>
      </c>
      <c r="L8" s="422" t="str">
        <f t="shared" si="4"/>
        <v/>
      </c>
      <c r="M8" s="422" t="str">
        <f>IF(A8="","",VLOOKUP($A8,非_まとめ表行番号!$Q$3:$S$8,2,FALSE))</f>
        <v/>
      </c>
      <c r="N8" s="422" t="str">
        <f>IF(A8="","",VLOOKUP($A8,非_まとめ表行番号!$Q$3:$S$8,3,FALSE))</f>
        <v/>
      </c>
      <c r="O8" s="489" t="str">
        <f>IF(A8="","",VLOOKUP(M8,非_まとめ表行番号!$U$3:$V$56,2,FALSE))</f>
        <v/>
      </c>
      <c r="P8" s="479" t="str">
        <f t="shared" si="5"/>
        <v/>
      </c>
      <c r="Q8" s="485" t="b">
        <f t="shared" si="6"/>
        <v>1</v>
      </c>
    </row>
    <row r="9" spans="1:17">
      <c r="A9" s="466"/>
      <c r="B9" s="467"/>
      <c r="C9" s="571"/>
      <c r="D9" s="579" t="str">
        <f t="shared" si="0"/>
        <v/>
      </c>
      <c r="E9" s="574" t="str">
        <f t="shared" si="1"/>
        <v/>
      </c>
      <c r="G9" s="422" t="str">
        <f t="shared" si="2"/>
        <v/>
      </c>
      <c r="H9" s="422" t="str">
        <f>IF(A9="","",IF(LEFT(A9,5)="森林吸収量","森林吸収量",IF(A9="グリーン熱証書","熱","電気")))</f>
        <v/>
      </c>
      <c r="I9" s="422" t="str">
        <f>IF(H9="","",IF(H9="電気",非_電気事業者!$S$5*1000,IF(H9="熱",非_熱供給事業者!$T$4,"")))</f>
        <v/>
      </c>
      <c r="J9" s="422" t="str">
        <f>IF(B9="","",VLOOKUP(B9,非_単位補正換算!$B$3:$C$16,2,FALSE))</f>
        <v/>
      </c>
      <c r="K9" s="422" t="str">
        <f t="shared" si="3"/>
        <v/>
      </c>
      <c r="L9" s="422" t="str">
        <f t="shared" si="4"/>
        <v/>
      </c>
      <c r="M9" s="422" t="str">
        <f>IF(A9="","",VLOOKUP($A9,非_まとめ表行番号!$Q$3:$S$8,2,FALSE))</f>
        <v/>
      </c>
      <c r="N9" s="422" t="str">
        <f>IF(A9="","",VLOOKUP($A9,非_まとめ表行番号!$Q$3:$S$8,3,FALSE))</f>
        <v/>
      </c>
      <c r="O9" s="489" t="str">
        <f>IF(A9="","",VLOOKUP(M9,非_まとめ表行番号!$U$3:$V$56,2,FALSE))</f>
        <v/>
      </c>
      <c r="P9" s="479" t="str">
        <f t="shared" si="5"/>
        <v/>
      </c>
      <c r="Q9" s="485" t="b">
        <f t="shared" si="6"/>
        <v>1</v>
      </c>
    </row>
    <row r="10" spans="1:17">
      <c r="A10" s="466"/>
      <c r="B10" s="467"/>
      <c r="C10" s="571"/>
      <c r="D10" s="579" t="str">
        <f t="shared" si="0"/>
        <v/>
      </c>
      <c r="E10" s="574" t="str">
        <f t="shared" si="1"/>
        <v/>
      </c>
      <c r="G10" s="422" t="str">
        <f t="shared" si="2"/>
        <v/>
      </c>
      <c r="H10" s="422" t="str">
        <f>IF(A10="","",IF(LEFT(A10,5)="森林吸収量","森林吸収量",IF(A10="グリーン熱証書","熱","電気")))</f>
        <v/>
      </c>
      <c r="I10" s="422" t="str">
        <f>IF(H10="","",IF(H10="電気",非_電気事業者!$S$5*1000,IF(H10="熱",非_熱供給事業者!$T$4,"")))</f>
        <v/>
      </c>
      <c r="J10" s="422" t="str">
        <f>IF(B10="","",VLOOKUP(B10,非_単位補正換算!$B$3:$C$16,2,FALSE))</f>
        <v/>
      </c>
      <c r="K10" s="422" t="str">
        <f t="shared" si="3"/>
        <v/>
      </c>
      <c r="L10" s="422" t="str">
        <f t="shared" si="4"/>
        <v/>
      </c>
      <c r="M10" s="422" t="str">
        <f>IF(A10="","",VLOOKUP($A10,非_まとめ表行番号!$Q$3:$S$8,2,FALSE))</f>
        <v/>
      </c>
      <c r="N10" s="422" t="str">
        <f>IF(A10="","",VLOOKUP($A10,非_まとめ表行番号!$Q$3:$S$8,3,FALSE))</f>
        <v/>
      </c>
      <c r="O10" s="489" t="str">
        <f>IF(A10="","",VLOOKUP(M10,非_まとめ表行番号!$U$3:$V$56,2,FALSE))</f>
        <v/>
      </c>
      <c r="P10" s="479" t="str">
        <f t="shared" si="5"/>
        <v/>
      </c>
      <c r="Q10" s="485" t="b">
        <f t="shared" si="6"/>
        <v>1</v>
      </c>
    </row>
    <row r="11" spans="1:17">
      <c r="A11" s="466"/>
      <c r="B11" s="467"/>
      <c r="C11" s="571"/>
      <c r="D11" s="579" t="str">
        <f t="shared" si="0"/>
        <v/>
      </c>
      <c r="E11" s="574" t="str">
        <f t="shared" si="1"/>
        <v/>
      </c>
      <c r="G11" s="422" t="str">
        <f t="shared" ref="G11:G58" si="7">IF(A11="","",IF(LEFT(A11,5)="森林吸収量","森林吸収量_単位",A11&amp;"_単位"))</f>
        <v/>
      </c>
      <c r="H11" s="422" t="str">
        <f t="shared" ref="H11:H58" si="8">IF(A11="","",IF(LEFT(A11,5)="森林吸収量","森林吸収量",IF(A11="グリーン熱証書","熱","電気")))</f>
        <v/>
      </c>
      <c r="I11" s="422" t="str">
        <f>IF(H11="","",IF(H11="電気",非_電気事業者!$S$5*1000,IF(H11="熱",非_熱供給事業者!$T$4,"")))</f>
        <v/>
      </c>
      <c r="J11" s="422" t="str">
        <f>IF(B11="","",VLOOKUP(B11,非_単位補正換算!$B$3:$C$16,2,FALSE))</f>
        <v/>
      </c>
      <c r="K11" s="422" t="str">
        <f t="shared" ref="K11:K58" si="9">IF(C11="","",IF(J11="","",C11/J11))</f>
        <v/>
      </c>
      <c r="L11" s="422" t="str">
        <f t="shared" ref="L11:L58" si="10">IF(H11="","",IF(H11="森林吸収量","削減量を入力",IF(K11="","",K11*I11)))</f>
        <v/>
      </c>
      <c r="M11" s="422" t="str">
        <f>IF(A11="","",VLOOKUP($A11,非_まとめ表行番号!$Q$3:$S$8,2,FALSE))</f>
        <v/>
      </c>
      <c r="N11" s="422" t="str">
        <f>IF(A11="","",VLOOKUP($A11,非_まとめ表行番号!$Q$3:$S$8,3,FALSE))</f>
        <v/>
      </c>
      <c r="O11" s="489" t="str">
        <f>IF(A11="","",VLOOKUP(M11,非_まとめ表行番号!$U$3:$V$56,2,FALSE))</f>
        <v/>
      </c>
      <c r="P11" s="479" t="str">
        <f t="shared" si="5"/>
        <v/>
      </c>
      <c r="Q11" s="485" t="b">
        <f t="shared" si="6"/>
        <v>1</v>
      </c>
    </row>
    <row r="12" spans="1:17">
      <c r="A12" s="466"/>
      <c r="B12" s="467"/>
      <c r="C12" s="571"/>
      <c r="D12" s="579" t="str">
        <f t="shared" si="0"/>
        <v/>
      </c>
      <c r="E12" s="574" t="str">
        <f t="shared" si="1"/>
        <v/>
      </c>
      <c r="G12" s="422" t="str">
        <f t="shared" si="7"/>
        <v/>
      </c>
      <c r="H12" s="422" t="str">
        <f t="shared" si="8"/>
        <v/>
      </c>
      <c r="I12" s="422" t="str">
        <f>IF(H12="","",IF(H12="電気",非_電気事業者!$S$5*1000,IF(H12="熱",非_熱供給事業者!$T$4,"")))</f>
        <v/>
      </c>
      <c r="J12" s="422" t="str">
        <f>IF(B12="","",VLOOKUP(B12,非_単位補正換算!$B$3:$C$16,2,FALSE))</f>
        <v/>
      </c>
      <c r="K12" s="422" t="str">
        <f t="shared" si="9"/>
        <v/>
      </c>
      <c r="L12" s="422" t="str">
        <f t="shared" si="10"/>
        <v/>
      </c>
      <c r="M12" s="422" t="str">
        <f>IF(A12="","",VLOOKUP($A12,非_まとめ表行番号!$Q$3:$S$8,2,FALSE))</f>
        <v/>
      </c>
      <c r="N12" s="422" t="str">
        <f>IF(A12="","",VLOOKUP($A12,非_まとめ表行番号!$Q$3:$S$8,3,FALSE))</f>
        <v/>
      </c>
      <c r="O12" s="489" t="str">
        <f>IF(A12="","",VLOOKUP(M12,非_まとめ表行番号!$U$3:$V$56,2,FALSE))</f>
        <v/>
      </c>
      <c r="P12" s="479" t="str">
        <f t="shared" si="5"/>
        <v/>
      </c>
      <c r="Q12" s="485" t="b">
        <f t="shared" si="6"/>
        <v>1</v>
      </c>
    </row>
    <row r="13" spans="1:17">
      <c r="A13" s="466"/>
      <c r="B13" s="467"/>
      <c r="C13" s="571"/>
      <c r="D13" s="579" t="str">
        <f t="shared" si="0"/>
        <v/>
      </c>
      <c r="E13" s="574" t="str">
        <f t="shared" si="1"/>
        <v/>
      </c>
      <c r="G13" s="422" t="str">
        <f t="shared" si="7"/>
        <v/>
      </c>
      <c r="H13" s="422" t="str">
        <f t="shared" si="8"/>
        <v/>
      </c>
      <c r="I13" s="422" t="str">
        <f>IF(H13="","",IF(H13="電気",非_電気事業者!$S$5*1000,IF(H13="熱",非_熱供給事業者!$T$4,"")))</f>
        <v/>
      </c>
      <c r="J13" s="422" t="str">
        <f>IF(B13="","",VLOOKUP(B13,非_単位補正換算!$B$3:$C$16,2,FALSE))</f>
        <v/>
      </c>
      <c r="K13" s="422" t="str">
        <f t="shared" si="9"/>
        <v/>
      </c>
      <c r="L13" s="422" t="str">
        <f t="shared" si="10"/>
        <v/>
      </c>
      <c r="M13" s="422" t="str">
        <f>IF(A13="","",VLOOKUP($A13,非_まとめ表行番号!$Q$3:$S$8,2,FALSE))</f>
        <v/>
      </c>
      <c r="N13" s="422" t="str">
        <f>IF(A13="","",VLOOKUP($A13,非_まとめ表行番号!$Q$3:$S$8,3,FALSE))</f>
        <v/>
      </c>
      <c r="O13" s="489" t="str">
        <f>IF(A13="","",VLOOKUP(M13,非_まとめ表行番号!$U$3:$V$56,2,FALSE))</f>
        <v/>
      </c>
      <c r="P13" s="479" t="str">
        <f t="shared" si="5"/>
        <v/>
      </c>
      <c r="Q13" s="485" t="b">
        <f t="shared" si="6"/>
        <v>1</v>
      </c>
    </row>
    <row r="14" spans="1:17">
      <c r="A14" s="466"/>
      <c r="B14" s="467"/>
      <c r="C14" s="571"/>
      <c r="D14" s="579" t="str">
        <f t="shared" si="0"/>
        <v/>
      </c>
      <c r="E14" s="574" t="str">
        <f t="shared" si="1"/>
        <v/>
      </c>
      <c r="G14" s="422" t="str">
        <f t="shared" si="7"/>
        <v/>
      </c>
      <c r="H14" s="422" t="str">
        <f t="shared" si="8"/>
        <v/>
      </c>
      <c r="I14" s="422" t="str">
        <f>IF(H14="","",IF(H14="電気",非_電気事業者!$S$5*1000,IF(H14="熱",非_熱供給事業者!$T$4,"")))</f>
        <v/>
      </c>
      <c r="J14" s="422" t="str">
        <f>IF(B14="","",VLOOKUP(B14,非_単位補正換算!$B$3:$C$16,2,FALSE))</f>
        <v/>
      </c>
      <c r="K14" s="422" t="str">
        <f t="shared" si="9"/>
        <v/>
      </c>
      <c r="L14" s="422" t="str">
        <f t="shared" si="10"/>
        <v/>
      </c>
      <c r="M14" s="422" t="str">
        <f>IF(A14="","",VLOOKUP($A14,非_まとめ表行番号!$Q$3:$S$8,2,FALSE))</f>
        <v/>
      </c>
      <c r="N14" s="422" t="str">
        <f>IF(A14="","",VLOOKUP($A14,非_まとめ表行番号!$Q$3:$S$8,3,FALSE))</f>
        <v/>
      </c>
      <c r="O14" s="489" t="str">
        <f>IF(A14="","",VLOOKUP(M14,非_まとめ表行番号!$U$3:$V$56,2,FALSE))</f>
        <v/>
      </c>
      <c r="P14" s="479" t="str">
        <f t="shared" si="5"/>
        <v/>
      </c>
      <c r="Q14" s="485" t="b">
        <f t="shared" si="6"/>
        <v>1</v>
      </c>
    </row>
    <row r="15" spans="1:17">
      <c r="A15" s="466"/>
      <c r="B15" s="467"/>
      <c r="C15" s="571"/>
      <c r="D15" s="579" t="str">
        <f t="shared" si="0"/>
        <v/>
      </c>
      <c r="E15" s="574" t="str">
        <f t="shared" si="1"/>
        <v/>
      </c>
      <c r="G15" s="422" t="str">
        <f t="shared" si="7"/>
        <v/>
      </c>
      <c r="H15" s="422" t="str">
        <f t="shared" si="8"/>
        <v/>
      </c>
      <c r="I15" s="422" t="str">
        <f>IF(H15="","",IF(H15="電気",非_電気事業者!$S$5*1000,IF(H15="熱",非_熱供給事業者!$T$4,"")))</f>
        <v/>
      </c>
      <c r="J15" s="422" t="str">
        <f>IF(B15="","",VLOOKUP(B15,非_単位補正換算!$B$3:$C$16,2,FALSE))</f>
        <v/>
      </c>
      <c r="K15" s="422" t="str">
        <f t="shared" si="9"/>
        <v/>
      </c>
      <c r="L15" s="422" t="str">
        <f t="shared" si="10"/>
        <v/>
      </c>
      <c r="M15" s="422" t="str">
        <f>IF(A15="","",VLOOKUP($A15,非_まとめ表行番号!$Q$3:$S$8,2,FALSE))</f>
        <v/>
      </c>
      <c r="N15" s="422" t="str">
        <f>IF(A15="","",VLOOKUP($A15,非_まとめ表行番号!$Q$3:$S$8,3,FALSE))</f>
        <v/>
      </c>
      <c r="O15" s="489" t="str">
        <f>IF(A15="","",VLOOKUP(M15,非_まとめ表行番号!$U$3:$V$56,2,FALSE))</f>
        <v/>
      </c>
      <c r="P15" s="479" t="str">
        <f t="shared" si="5"/>
        <v/>
      </c>
      <c r="Q15" s="485" t="b">
        <f t="shared" si="6"/>
        <v>1</v>
      </c>
    </row>
    <row r="16" spans="1:17">
      <c r="A16" s="466"/>
      <c r="B16" s="467"/>
      <c r="C16" s="571"/>
      <c r="D16" s="579" t="str">
        <f t="shared" si="0"/>
        <v/>
      </c>
      <c r="E16" s="574" t="str">
        <f t="shared" si="1"/>
        <v/>
      </c>
      <c r="G16" s="422" t="str">
        <f t="shared" si="7"/>
        <v/>
      </c>
      <c r="H16" s="422" t="str">
        <f t="shared" si="8"/>
        <v/>
      </c>
      <c r="I16" s="422" t="str">
        <f>IF(H16="","",IF(H16="電気",非_電気事業者!$S$5*1000,IF(H16="熱",非_熱供給事業者!$T$4,"")))</f>
        <v/>
      </c>
      <c r="J16" s="422" t="str">
        <f>IF(B16="","",VLOOKUP(B16,非_単位補正換算!$B$3:$C$16,2,FALSE))</f>
        <v/>
      </c>
      <c r="K16" s="422" t="str">
        <f t="shared" si="9"/>
        <v/>
      </c>
      <c r="L16" s="422" t="str">
        <f t="shared" si="10"/>
        <v/>
      </c>
      <c r="M16" s="422" t="str">
        <f>IF(A16="","",VLOOKUP($A16,非_まとめ表行番号!$Q$3:$S$8,2,FALSE))</f>
        <v/>
      </c>
      <c r="N16" s="422" t="str">
        <f>IF(A16="","",VLOOKUP($A16,非_まとめ表行番号!$Q$3:$S$8,3,FALSE))</f>
        <v/>
      </c>
      <c r="O16" s="489" t="str">
        <f>IF(A16="","",VLOOKUP(M16,非_まとめ表行番号!$U$3:$V$56,2,FALSE))</f>
        <v/>
      </c>
      <c r="P16" s="479" t="str">
        <f t="shared" si="5"/>
        <v/>
      </c>
      <c r="Q16" s="485" t="b">
        <f t="shared" si="6"/>
        <v>1</v>
      </c>
    </row>
    <row r="17" spans="1:17">
      <c r="A17" s="466"/>
      <c r="B17" s="467"/>
      <c r="C17" s="571"/>
      <c r="D17" s="579" t="str">
        <f t="shared" si="0"/>
        <v/>
      </c>
      <c r="E17" s="574" t="str">
        <f t="shared" si="1"/>
        <v/>
      </c>
      <c r="G17" s="422" t="str">
        <f t="shared" si="7"/>
        <v/>
      </c>
      <c r="H17" s="422" t="str">
        <f t="shared" si="8"/>
        <v/>
      </c>
      <c r="I17" s="422" t="str">
        <f>IF(H17="","",IF(H17="電気",非_電気事業者!$S$5*1000,IF(H17="熱",非_熱供給事業者!$T$4,"")))</f>
        <v/>
      </c>
      <c r="J17" s="422" t="str">
        <f>IF(B17="","",VLOOKUP(B17,非_単位補正換算!$B$3:$C$16,2,FALSE))</f>
        <v/>
      </c>
      <c r="K17" s="422" t="str">
        <f t="shared" si="9"/>
        <v/>
      </c>
      <c r="L17" s="422" t="str">
        <f t="shared" si="10"/>
        <v/>
      </c>
      <c r="M17" s="422" t="str">
        <f>IF(A17="","",VLOOKUP($A17,非_まとめ表行番号!$Q$3:$S$8,2,FALSE))</f>
        <v/>
      </c>
      <c r="N17" s="422" t="str">
        <f>IF(A17="","",VLOOKUP($A17,非_まとめ表行番号!$Q$3:$S$8,3,FALSE))</f>
        <v/>
      </c>
      <c r="O17" s="489" t="str">
        <f>IF(A17="","",VLOOKUP(M17,非_まとめ表行番号!$U$3:$V$56,2,FALSE))</f>
        <v/>
      </c>
      <c r="P17" s="479" t="str">
        <f t="shared" si="5"/>
        <v/>
      </c>
      <c r="Q17" s="485" t="b">
        <f t="shared" si="6"/>
        <v>1</v>
      </c>
    </row>
    <row r="18" spans="1:17">
      <c r="A18" s="466"/>
      <c r="B18" s="467"/>
      <c r="C18" s="571"/>
      <c r="D18" s="579" t="str">
        <f t="shared" si="0"/>
        <v/>
      </c>
      <c r="E18" s="574" t="str">
        <f t="shared" si="1"/>
        <v/>
      </c>
      <c r="G18" s="422" t="str">
        <f t="shared" si="7"/>
        <v/>
      </c>
      <c r="H18" s="422" t="str">
        <f t="shared" si="8"/>
        <v/>
      </c>
      <c r="I18" s="422" t="str">
        <f>IF(H18="","",IF(H18="電気",非_電気事業者!$S$5*1000,IF(H18="熱",非_熱供給事業者!$T$4,"")))</f>
        <v/>
      </c>
      <c r="J18" s="422" t="str">
        <f>IF(B18="","",VLOOKUP(B18,非_単位補正換算!$B$3:$C$16,2,FALSE))</f>
        <v/>
      </c>
      <c r="K18" s="422" t="str">
        <f t="shared" si="9"/>
        <v/>
      </c>
      <c r="L18" s="422" t="str">
        <f t="shared" si="10"/>
        <v/>
      </c>
      <c r="M18" s="422" t="str">
        <f>IF(A18="","",VLOOKUP($A18,非_まとめ表行番号!$Q$3:$S$8,2,FALSE))</f>
        <v/>
      </c>
      <c r="N18" s="422" t="str">
        <f>IF(A18="","",VLOOKUP($A18,非_まとめ表行番号!$Q$3:$S$8,3,FALSE))</f>
        <v/>
      </c>
      <c r="O18" s="489" t="str">
        <f>IF(A18="","",VLOOKUP(M18,非_まとめ表行番号!$U$3:$V$56,2,FALSE))</f>
        <v/>
      </c>
      <c r="P18" s="479" t="str">
        <f t="shared" si="5"/>
        <v/>
      </c>
      <c r="Q18" s="485" t="b">
        <f t="shared" si="6"/>
        <v>1</v>
      </c>
    </row>
    <row r="19" spans="1:17">
      <c r="A19" s="466"/>
      <c r="B19" s="467"/>
      <c r="C19" s="571"/>
      <c r="D19" s="579" t="str">
        <f t="shared" si="0"/>
        <v/>
      </c>
      <c r="E19" s="574" t="str">
        <f t="shared" si="1"/>
        <v/>
      </c>
      <c r="G19" s="422" t="str">
        <f t="shared" si="7"/>
        <v/>
      </c>
      <c r="H19" s="422" t="str">
        <f t="shared" si="8"/>
        <v/>
      </c>
      <c r="I19" s="422" t="str">
        <f>IF(H19="","",IF(H19="電気",非_電気事業者!$S$5*1000,IF(H19="熱",非_熱供給事業者!$T$4,"")))</f>
        <v/>
      </c>
      <c r="J19" s="422" t="str">
        <f>IF(B19="","",VLOOKUP(B19,非_単位補正換算!$B$3:$C$16,2,FALSE))</f>
        <v/>
      </c>
      <c r="K19" s="422" t="str">
        <f t="shared" si="9"/>
        <v/>
      </c>
      <c r="L19" s="422" t="str">
        <f t="shared" si="10"/>
        <v/>
      </c>
      <c r="M19" s="422" t="str">
        <f>IF(A19="","",VLOOKUP($A19,非_まとめ表行番号!$Q$3:$S$8,2,FALSE))</f>
        <v/>
      </c>
      <c r="N19" s="422" t="str">
        <f>IF(A19="","",VLOOKUP($A19,非_まとめ表行番号!$Q$3:$S$8,3,FALSE))</f>
        <v/>
      </c>
      <c r="O19" s="489" t="str">
        <f>IF(A19="","",VLOOKUP(M19,非_まとめ表行番号!$U$3:$V$56,2,FALSE))</f>
        <v/>
      </c>
      <c r="P19" s="479" t="str">
        <f t="shared" si="5"/>
        <v/>
      </c>
      <c r="Q19" s="485" t="b">
        <f t="shared" si="6"/>
        <v>1</v>
      </c>
    </row>
    <row r="20" spans="1:17">
      <c r="A20" s="466"/>
      <c r="B20" s="467"/>
      <c r="C20" s="571"/>
      <c r="D20" s="579" t="str">
        <f t="shared" si="0"/>
        <v/>
      </c>
      <c r="E20" s="574" t="str">
        <f t="shared" si="1"/>
        <v/>
      </c>
      <c r="G20" s="422" t="str">
        <f t="shared" si="7"/>
        <v/>
      </c>
      <c r="H20" s="422" t="str">
        <f t="shared" si="8"/>
        <v/>
      </c>
      <c r="I20" s="422" t="str">
        <f>IF(H20="","",IF(H20="電気",非_電気事業者!$S$5*1000,IF(H20="熱",非_熱供給事業者!$T$4,"")))</f>
        <v/>
      </c>
      <c r="J20" s="422" t="str">
        <f>IF(B20="","",VLOOKUP(B20,非_単位補正換算!$B$3:$C$16,2,FALSE))</f>
        <v/>
      </c>
      <c r="K20" s="422" t="str">
        <f t="shared" si="9"/>
        <v/>
      </c>
      <c r="L20" s="422" t="str">
        <f t="shared" si="10"/>
        <v/>
      </c>
      <c r="M20" s="422" t="str">
        <f>IF(A20="","",VLOOKUP($A20,非_まとめ表行番号!$Q$3:$S$8,2,FALSE))</f>
        <v/>
      </c>
      <c r="N20" s="422" t="str">
        <f>IF(A20="","",VLOOKUP($A20,非_まとめ表行番号!$Q$3:$S$8,3,FALSE))</f>
        <v/>
      </c>
      <c r="O20" s="489" t="str">
        <f>IF(A20="","",VLOOKUP(M20,非_まとめ表行番号!$U$3:$V$56,2,FALSE))</f>
        <v/>
      </c>
      <c r="P20" s="479" t="str">
        <f t="shared" si="5"/>
        <v/>
      </c>
      <c r="Q20" s="485" t="b">
        <f t="shared" si="6"/>
        <v>1</v>
      </c>
    </row>
    <row r="21" spans="1:17">
      <c r="A21" s="466"/>
      <c r="B21" s="467"/>
      <c r="C21" s="571"/>
      <c r="D21" s="579" t="str">
        <f t="shared" si="0"/>
        <v/>
      </c>
      <c r="E21" s="574" t="str">
        <f t="shared" si="1"/>
        <v/>
      </c>
      <c r="G21" s="422" t="str">
        <f t="shared" si="7"/>
        <v/>
      </c>
      <c r="H21" s="422" t="str">
        <f t="shared" si="8"/>
        <v/>
      </c>
      <c r="I21" s="422" t="str">
        <f>IF(H21="","",IF(H21="電気",非_電気事業者!$S$5*1000,IF(H21="熱",非_熱供給事業者!$T$4,"")))</f>
        <v/>
      </c>
      <c r="J21" s="422" t="str">
        <f>IF(B21="","",VLOOKUP(B21,非_単位補正換算!$B$3:$C$16,2,FALSE))</f>
        <v/>
      </c>
      <c r="K21" s="422" t="str">
        <f t="shared" si="9"/>
        <v/>
      </c>
      <c r="L21" s="422" t="str">
        <f t="shared" si="10"/>
        <v/>
      </c>
      <c r="M21" s="422" t="str">
        <f>IF(A21="","",VLOOKUP($A21,非_まとめ表行番号!$Q$3:$S$8,2,FALSE))</f>
        <v/>
      </c>
      <c r="N21" s="422" t="str">
        <f>IF(A21="","",VLOOKUP($A21,非_まとめ表行番号!$Q$3:$S$8,3,FALSE))</f>
        <v/>
      </c>
      <c r="O21" s="489" t="str">
        <f>IF(A21="","",VLOOKUP(M21,非_まとめ表行番号!$U$3:$V$56,2,FALSE))</f>
        <v/>
      </c>
      <c r="P21" s="479" t="str">
        <f t="shared" si="5"/>
        <v/>
      </c>
      <c r="Q21" s="485" t="b">
        <f t="shared" si="6"/>
        <v>1</v>
      </c>
    </row>
    <row r="22" spans="1:17">
      <c r="A22" s="466"/>
      <c r="B22" s="467"/>
      <c r="C22" s="571"/>
      <c r="D22" s="579" t="str">
        <f t="shared" si="0"/>
        <v/>
      </c>
      <c r="E22" s="574" t="str">
        <f t="shared" si="1"/>
        <v/>
      </c>
      <c r="G22" s="422" t="str">
        <f t="shared" si="7"/>
        <v/>
      </c>
      <c r="H22" s="422" t="str">
        <f t="shared" si="8"/>
        <v/>
      </c>
      <c r="I22" s="422" t="str">
        <f>IF(H22="","",IF(H22="電気",非_電気事業者!$S$5*1000,IF(H22="熱",非_熱供給事業者!$T$4,"")))</f>
        <v/>
      </c>
      <c r="J22" s="422" t="str">
        <f>IF(B22="","",VLOOKUP(B22,非_単位補正換算!$B$3:$C$16,2,FALSE))</f>
        <v/>
      </c>
      <c r="K22" s="422" t="str">
        <f t="shared" si="9"/>
        <v/>
      </c>
      <c r="L22" s="422" t="str">
        <f t="shared" si="10"/>
        <v/>
      </c>
      <c r="M22" s="422" t="str">
        <f>IF(A22="","",VLOOKUP($A22,非_まとめ表行番号!$Q$3:$S$8,2,FALSE))</f>
        <v/>
      </c>
      <c r="N22" s="422" t="str">
        <f>IF(A22="","",VLOOKUP($A22,非_まとめ表行番号!$Q$3:$S$8,3,FALSE))</f>
        <v/>
      </c>
      <c r="O22" s="489" t="str">
        <f>IF(A22="","",VLOOKUP(M22,非_まとめ表行番号!$U$3:$V$56,2,FALSE))</f>
        <v/>
      </c>
      <c r="P22" s="479" t="str">
        <f t="shared" si="5"/>
        <v/>
      </c>
      <c r="Q22" s="485" t="b">
        <f t="shared" si="6"/>
        <v>1</v>
      </c>
    </row>
    <row r="23" spans="1:17">
      <c r="A23" s="466"/>
      <c r="B23" s="467"/>
      <c r="C23" s="571"/>
      <c r="D23" s="579" t="str">
        <f t="shared" si="0"/>
        <v/>
      </c>
      <c r="E23" s="574" t="str">
        <f t="shared" si="1"/>
        <v/>
      </c>
      <c r="G23" s="422" t="str">
        <f t="shared" si="7"/>
        <v/>
      </c>
      <c r="H23" s="422" t="str">
        <f t="shared" si="8"/>
        <v/>
      </c>
      <c r="I23" s="422" t="str">
        <f>IF(H23="","",IF(H23="電気",非_電気事業者!$S$5*1000,IF(H23="熱",非_熱供給事業者!$T$4,"")))</f>
        <v/>
      </c>
      <c r="J23" s="422" t="str">
        <f>IF(B23="","",VLOOKUP(B23,非_単位補正換算!$B$3:$C$16,2,FALSE))</f>
        <v/>
      </c>
      <c r="K23" s="422" t="str">
        <f t="shared" si="9"/>
        <v/>
      </c>
      <c r="L23" s="422" t="str">
        <f t="shared" si="10"/>
        <v/>
      </c>
      <c r="M23" s="422" t="str">
        <f>IF(A23="","",VLOOKUP($A23,非_まとめ表行番号!$Q$3:$S$8,2,FALSE))</f>
        <v/>
      </c>
      <c r="N23" s="422" t="str">
        <f>IF(A23="","",VLOOKUP($A23,非_まとめ表行番号!$Q$3:$S$8,3,FALSE))</f>
        <v/>
      </c>
      <c r="O23" s="489" t="str">
        <f>IF(A23="","",VLOOKUP(M23,非_まとめ表行番号!$U$3:$V$56,2,FALSE))</f>
        <v/>
      </c>
      <c r="P23" s="479" t="str">
        <f t="shared" si="5"/>
        <v/>
      </c>
      <c r="Q23" s="485" t="b">
        <f t="shared" si="6"/>
        <v>1</v>
      </c>
    </row>
    <row r="24" spans="1:17">
      <c r="A24" s="466"/>
      <c r="B24" s="467"/>
      <c r="C24" s="571"/>
      <c r="D24" s="579" t="str">
        <f t="shared" si="0"/>
        <v/>
      </c>
      <c r="E24" s="574" t="str">
        <f t="shared" si="1"/>
        <v/>
      </c>
      <c r="G24" s="422" t="str">
        <f t="shared" si="7"/>
        <v/>
      </c>
      <c r="H24" s="422" t="str">
        <f t="shared" si="8"/>
        <v/>
      </c>
      <c r="I24" s="422" t="str">
        <f>IF(H24="","",IF(H24="電気",非_電気事業者!$S$5*1000,IF(H24="熱",非_熱供給事業者!$T$4,"")))</f>
        <v/>
      </c>
      <c r="J24" s="422" t="str">
        <f>IF(B24="","",VLOOKUP(B24,非_単位補正換算!$B$3:$C$16,2,FALSE))</f>
        <v/>
      </c>
      <c r="K24" s="422" t="str">
        <f t="shared" si="9"/>
        <v/>
      </c>
      <c r="L24" s="422" t="str">
        <f t="shared" si="10"/>
        <v/>
      </c>
      <c r="M24" s="422" t="str">
        <f>IF(A24="","",VLOOKUP($A24,非_まとめ表行番号!$Q$3:$S$8,2,FALSE))</f>
        <v/>
      </c>
      <c r="N24" s="422" t="str">
        <f>IF(A24="","",VLOOKUP($A24,非_まとめ表行番号!$Q$3:$S$8,3,FALSE))</f>
        <v/>
      </c>
      <c r="O24" s="489" t="str">
        <f>IF(A24="","",VLOOKUP(M24,非_まとめ表行番号!$U$3:$V$56,2,FALSE))</f>
        <v/>
      </c>
      <c r="P24" s="479" t="str">
        <f t="shared" si="5"/>
        <v/>
      </c>
      <c r="Q24" s="485" t="b">
        <f t="shared" si="6"/>
        <v>1</v>
      </c>
    </row>
    <row r="25" spans="1:17">
      <c r="A25" s="466"/>
      <c r="B25" s="467"/>
      <c r="C25" s="571"/>
      <c r="D25" s="579" t="str">
        <f t="shared" si="0"/>
        <v/>
      </c>
      <c r="E25" s="574" t="str">
        <f t="shared" si="1"/>
        <v/>
      </c>
      <c r="G25" s="422" t="str">
        <f t="shared" si="7"/>
        <v/>
      </c>
      <c r="H25" s="422" t="str">
        <f t="shared" si="8"/>
        <v/>
      </c>
      <c r="I25" s="422" t="str">
        <f>IF(H25="","",IF(H25="電気",非_電気事業者!$S$5*1000,IF(H25="熱",非_熱供給事業者!$T$4,"")))</f>
        <v/>
      </c>
      <c r="J25" s="422" t="str">
        <f>IF(B25="","",VLOOKUP(B25,非_単位補正換算!$B$3:$C$16,2,FALSE))</f>
        <v/>
      </c>
      <c r="K25" s="422" t="str">
        <f t="shared" si="9"/>
        <v/>
      </c>
      <c r="L25" s="422" t="str">
        <f t="shared" si="10"/>
        <v/>
      </c>
      <c r="M25" s="422" t="str">
        <f>IF(A25="","",VLOOKUP($A25,非_まとめ表行番号!$Q$3:$S$8,2,FALSE))</f>
        <v/>
      </c>
      <c r="N25" s="422" t="str">
        <f>IF(A25="","",VLOOKUP($A25,非_まとめ表行番号!$Q$3:$S$8,3,FALSE))</f>
        <v/>
      </c>
      <c r="O25" s="489" t="str">
        <f>IF(A25="","",VLOOKUP(M25,非_まとめ表行番号!$U$3:$V$56,2,FALSE))</f>
        <v/>
      </c>
      <c r="P25" s="479" t="str">
        <f t="shared" si="5"/>
        <v/>
      </c>
      <c r="Q25" s="485" t="b">
        <f t="shared" si="6"/>
        <v>1</v>
      </c>
    </row>
    <row r="26" spans="1:17">
      <c r="A26" s="466"/>
      <c r="B26" s="467"/>
      <c r="C26" s="571"/>
      <c r="D26" s="579" t="str">
        <f t="shared" si="0"/>
        <v/>
      </c>
      <c r="E26" s="574" t="str">
        <f t="shared" si="1"/>
        <v/>
      </c>
      <c r="G26" s="422" t="str">
        <f t="shared" si="7"/>
        <v/>
      </c>
      <c r="H26" s="422" t="str">
        <f t="shared" si="8"/>
        <v/>
      </c>
      <c r="I26" s="422" t="str">
        <f>IF(H26="","",IF(H26="電気",非_電気事業者!$S$5*1000,IF(H26="熱",非_熱供給事業者!$T$4,"")))</f>
        <v/>
      </c>
      <c r="J26" s="422" t="str">
        <f>IF(B26="","",VLOOKUP(B26,非_単位補正換算!$B$3:$C$16,2,FALSE))</f>
        <v/>
      </c>
      <c r="K26" s="422" t="str">
        <f t="shared" si="9"/>
        <v/>
      </c>
      <c r="L26" s="422" t="str">
        <f t="shared" si="10"/>
        <v/>
      </c>
      <c r="M26" s="422" t="str">
        <f>IF(A26="","",VLOOKUP($A26,非_まとめ表行番号!$Q$3:$S$8,2,FALSE))</f>
        <v/>
      </c>
      <c r="N26" s="422" t="str">
        <f>IF(A26="","",VLOOKUP($A26,非_まとめ表行番号!$Q$3:$S$8,3,FALSE))</f>
        <v/>
      </c>
      <c r="O26" s="489" t="str">
        <f>IF(A26="","",VLOOKUP(M26,非_まとめ表行番号!$U$3:$V$56,2,FALSE))</f>
        <v/>
      </c>
      <c r="P26" s="479" t="str">
        <f t="shared" si="5"/>
        <v/>
      </c>
      <c r="Q26" s="485" t="b">
        <f t="shared" si="6"/>
        <v>1</v>
      </c>
    </row>
    <row r="27" spans="1:17">
      <c r="A27" s="466"/>
      <c r="B27" s="467"/>
      <c r="C27" s="571"/>
      <c r="D27" s="579" t="str">
        <f t="shared" si="0"/>
        <v/>
      </c>
      <c r="E27" s="574" t="str">
        <f t="shared" si="1"/>
        <v/>
      </c>
      <c r="G27" s="422" t="str">
        <f t="shared" si="7"/>
        <v/>
      </c>
      <c r="H27" s="422" t="str">
        <f t="shared" si="8"/>
        <v/>
      </c>
      <c r="I27" s="422" t="str">
        <f>IF(H27="","",IF(H27="電気",非_電気事業者!$S$5*1000,IF(H27="熱",非_熱供給事業者!$T$4,"")))</f>
        <v/>
      </c>
      <c r="J27" s="422" t="str">
        <f>IF(B27="","",VLOOKUP(B27,非_単位補正換算!$B$3:$C$16,2,FALSE))</f>
        <v/>
      </c>
      <c r="K27" s="422" t="str">
        <f t="shared" si="9"/>
        <v/>
      </c>
      <c r="L27" s="422" t="str">
        <f t="shared" si="10"/>
        <v/>
      </c>
      <c r="M27" s="422" t="str">
        <f>IF(A27="","",VLOOKUP($A27,非_まとめ表行番号!$Q$3:$S$8,2,FALSE))</f>
        <v/>
      </c>
      <c r="N27" s="422" t="str">
        <f>IF(A27="","",VLOOKUP($A27,非_まとめ表行番号!$Q$3:$S$8,3,FALSE))</f>
        <v/>
      </c>
      <c r="O27" s="489" t="str">
        <f>IF(A27="","",VLOOKUP(M27,非_まとめ表行番号!$U$3:$V$56,2,FALSE))</f>
        <v/>
      </c>
      <c r="P27" s="479" t="str">
        <f t="shared" si="5"/>
        <v/>
      </c>
      <c r="Q27" s="485" t="b">
        <f t="shared" si="6"/>
        <v>1</v>
      </c>
    </row>
    <row r="28" spans="1:17">
      <c r="A28" s="466"/>
      <c r="B28" s="467"/>
      <c r="C28" s="571"/>
      <c r="D28" s="579" t="str">
        <f t="shared" si="0"/>
        <v/>
      </c>
      <c r="E28" s="574" t="str">
        <f t="shared" si="1"/>
        <v/>
      </c>
      <c r="G28" s="422" t="str">
        <f t="shared" si="7"/>
        <v/>
      </c>
      <c r="H28" s="422" t="str">
        <f t="shared" si="8"/>
        <v/>
      </c>
      <c r="I28" s="422" t="str">
        <f>IF(H28="","",IF(H28="電気",非_電気事業者!$S$5*1000,IF(H28="熱",非_熱供給事業者!$T$4,"")))</f>
        <v/>
      </c>
      <c r="J28" s="422" t="str">
        <f>IF(B28="","",VLOOKUP(B28,非_単位補正換算!$B$3:$C$16,2,FALSE))</f>
        <v/>
      </c>
      <c r="K28" s="422" t="str">
        <f t="shared" si="9"/>
        <v/>
      </c>
      <c r="L28" s="422" t="str">
        <f t="shared" si="10"/>
        <v/>
      </c>
      <c r="M28" s="422" t="str">
        <f>IF(A28="","",VLOOKUP($A28,非_まとめ表行番号!$Q$3:$S$8,2,FALSE))</f>
        <v/>
      </c>
      <c r="N28" s="422" t="str">
        <f>IF(A28="","",VLOOKUP($A28,非_まとめ表行番号!$Q$3:$S$8,3,FALSE))</f>
        <v/>
      </c>
      <c r="O28" s="489" t="str">
        <f>IF(A28="","",VLOOKUP(M28,非_まとめ表行番号!$U$3:$V$56,2,FALSE))</f>
        <v/>
      </c>
      <c r="P28" s="479" t="str">
        <f t="shared" si="5"/>
        <v/>
      </c>
      <c r="Q28" s="485" t="b">
        <f t="shared" si="6"/>
        <v>1</v>
      </c>
    </row>
    <row r="29" spans="1:17">
      <c r="A29" s="466"/>
      <c r="B29" s="467"/>
      <c r="C29" s="571"/>
      <c r="D29" s="579" t="str">
        <f t="shared" si="0"/>
        <v/>
      </c>
      <c r="E29" s="574" t="str">
        <f t="shared" si="1"/>
        <v/>
      </c>
      <c r="G29" s="422" t="str">
        <f t="shared" si="7"/>
        <v/>
      </c>
      <c r="H29" s="422" t="str">
        <f t="shared" si="8"/>
        <v/>
      </c>
      <c r="I29" s="422" t="str">
        <f>IF(H29="","",IF(H29="電気",非_電気事業者!$S$5*1000,IF(H29="熱",非_熱供給事業者!$T$4,"")))</f>
        <v/>
      </c>
      <c r="J29" s="422" t="str">
        <f>IF(B29="","",VLOOKUP(B29,非_単位補正換算!$B$3:$C$16,2,FALSE))</f>
        <v/>
      </c>
      <c r="K29" s="422" t="str">
        <f t="shared" si="9"/>
        <v/>
      </c>
      <c r="L29" s="422" t="str">
        <f t="shared" si="10"/>
        <v/>
      </c>
      <c r="M29" s="422" t="str">
        <f>IF(A29="","",VLOOKUP($A29,非_まとめ表行番号!$Q$3:$S$8,2,FALSE))</f>
        <v/>
      </c>
      <c r="N29" s="422" t="str">
        <f>IF(A29="","",VLOOKUP($A29,非_まとめ表行番号!$Q$3:$S$8,3,FALSE))</f>
        <v/>
      </c>
      <c r="O29" s="489" t="str">
        <f>IF(A29="","",VLOOKUP(M29,非_まとめ表行番号!$U$3:$V$56,2,FALSE))</f>
        <v/>
      </c>
      <c r="P29" s="479" t="str">
        <f t="shared" si="5"/>
        <v/>
      </c>
      <c r="Q29" s="485" t="b">
        <f t="shared" si="6"/>
        <v>1</v>
      </c>
    </row>
    <row r="30" spans="1:17">
      <c r="A30" s="466"/>
      <c r="B30" s="467"/>
      <c r="C30" s="571"/>
      <c r="D30" s="579" t="str">
        <f t="shared" si="0"/>
        <v/>
      </c>
      <c r="E30" s="574" t="str">
        <f t="shared" si="1"/>
        <v/>
      </c>
      <c r="G30" s="422" t="str">
        <f t="shared" si="7"/>
        <v/>
      </c>
      <c r="H30" s="422" t="str">
        <f t="shared" si="8"/>
        <v/>
      </c>
      <c r="I30" s="422" t="str">
        <f>IF(H30="","",IF(H30="電気",非_電気事業者!$S$5*1000,IF(H30="熱",非_熱供給事業者!$T$4,"")))</f>
        <v/>
      </c>
      <c r="J30" s="422" t="str">
        <f>IF(B30="","",VLOOKUP(B30,非_単位補正換算!$B$3:$C$16,2,FALSE))</f>
        <v/>
      </c>
      <c r="K30" s="422" t="str">
        <f t="shared" si="9"/>
        <v/>
      </c>
      <c r="L30" s="422" t="str">
        <f t="shared" si="10"/>
        <v/>
      </c>
      <c r="M30" s="422" t="str">
        <f>IF(A30="","",VLOOKUP($A30,非_まとめ表行番号!$Q$3:$S$8,2,FALSE))</f>
        <v/>
      </c>
      <c r="N30" s="422" t="str">
        <f>IF(A30="","",VLOOKUP($A30,非_まとめ表行番号!$Q$3:$S$8,3,FALSE))</f>
        <v/>
      </c>
      <c r="O30" s="489" t="str">
        <f>IF(A30="","",VLOOKUP(M30,非_まとめ表行番号!$U$3:$V$56,2,FALSE))</f>
        <v/>
      </c>
      <c r="P30" s="479" t="str">
        <f t="shared" si="5"/>
        <v/>
      </c>
      <c r="Q30" s="485" t="b">
        <f t="shared" si="6"/>
        <v>1</v>
      </c>
    </row>
    <row r="31" spans="1:17">
      <c r="A31" s="466"/>
      <c r="B31" s="467"/>
      <c r="C31" s="571"/>
      <c r="D31" s="579" t="str">
        <f t="shared" si="0"/>
        <v/>
      </c>
      <c r="E31" s="574" t="str">
        <f t="shared" si="1"/>
        <v/>
      </c>
      <c r="G31" s="422" t="str">
        <f t="shared" si="7"/>
        <v/>
      </c>
      <c r="H31" s="422" t="str">
        <f t="shared" si="8"/>
        <v/>
      </c>
      <c r="I31" s="422" t="str">
        <f>IF(H31="","",IF(H31="電気",非_電気事業者!$S$5*1000,IF(H31="熱",非_熱供給事業者!$T$4,"")))</f>
        <v/>
      </c>
      <c r="J31" s="422" t="str">
        <f>IF(B31="","",VLOOKUP(B31,非_単位補正換算!$B$3:$C$16,2,FALSE))</f>
        <v/>
      </c>
      <c r="K31" s="422" t="str">
        <f t="shared" si="9"/>
        <v/>
      </c>
      <c r="L31" s="422" t="str">
        <f t="shared" si="10"/>
        <v/>
      </c>
      <c r="M31" s="422" t="str">
        <f>IF(A31="","",VLOOKUP($A31,非_まとめ表行番号!$Q$3:$S$8,2,FALSE))</f>
        <v/>
      </c>
      <c r="N31" s="422" t="str">
        <f>IF(A31="","",VLOOKUP($A31,非_まとめ表行番号!$Q$3:$S$8,3,FALSE))</f>
        <v/>
      </c>
      <c r="O31" s="489" t="str">
        <f>IF(A31="","",VLOOKUP(M31,非_まとめ表行番号!$U$3:$V$56,2,FALSE))</f>
        <v/>
      </c>
      <c r="P31" s="479" t="str">
        <f t="shared" si="5"/>
        <v/>
      </c>
      <c r="Q31" s="485" t="b">
        <f t="shared" si="6"/>
        <v>1</v>
      </c>
    </row>
    <row r="32" spans="1:17">
      <c r="A32" s="466"/>
      <c r="B32" s="467"/>
      <c r="C32" s="571"/>
      <c r="D32" s="579" t="str">
        <f t="shared" si="0"/>
        <v/>
      </c>
      <c r="E32" s="574" t="str">
        <f t="shared" si="1"/>
        <v/>
      </c>
      <c r="G32" s="422" t="str">
        <f t="shared" si="7"/>
        <v/>
      </c>
      <c r="H32" s="422" t="str">
        <f t="shared" si="8"/>
        <v/>
      </c>
      <c r="I32" s="422" t="str">
        <f>IF(H32="","",IF(H32="電気",非_電気事業者!$S$5*1000,IF(H32="熱",非_熱供給事業者!$T$4,"")))</f>
        <v/>
      </c>
      <c r="J32" s="422" t="str">
        <f>IF(B32="","",VLOOKUP(B32,非_単位補正換算!$B$3:$C$16,2,FALSE))</f>
        <v/>
      </c>
      <c r="K32" s="422" t="str">
        <f t="shared" si="9"/>
        <v/>
      </c>
      <c r="L32" s="422" t="str">
        <f t="shared" si="10"/>
        <v/>
      </c>
      <c r="M32" s="422" t="str">
        <f>IF(A32="","",VLOOKUP($A32,非_まとめ表行番号!$Q$3:$S$8,2,FALSE))</f>
        <v/>
      </c>
      <c r="N32" s="422" t="str">
        <f>IF(A32="","",VLOOKUP($A32,非_まとめ表行番号!$Q$3:$S$8,3,FALSE))</f>
        <v/>
      </c>
      <c r="O32" s="489" t="str">
        <f>IF(A32="","",VLOOKUP(M32,非_まとめ表行番号!$U$3:$V$56,2,FALSE))</f>
        <v/>
      </c>
      <c r="P32" s="479" t="str">
        <f t="shared" si="5"/>
        <v/>
      </c>
      <c r="Q32" s="485" t="b">
        <f t="shared" si="6"/>
        <v>1</v>
      </c>
    </row>
    <row r="33" spans="1:17">
      <c r="A33" s="466"/>
      <c r="B33" s="467"/>
      <c r="C33" s="571"/>
      <c r="D33" s="579" t="str">
        <f t="shared" si="0"/>
        <v/>
      </c>
      <c r="E33" s="574" t="str">
        <f t="shared" si="1"/>
        <v/>
      </c>
      <c r="G33" s="422" t="str">
        <f t="shared" si="7"/>
        <v/>
      </c>
      <c r="H33" s="422" t="str">
        <f t="shared" si="8"/>
        <v/>
      </c>
      <c r="I33" s="422" t="str">
        <f>IF(H33="","",IF(H33="電気",非_電気事業者!$S$5*1000,IF(H33="熱",非_熱供給事業者!$T$4,"")))</f>
        <v/>
      </c>
      <c r="J33" s="422" t="str">
        <f>IF(B33="","",VLOOKUP(B33,非_単位補正換算!$B$3:$C$16,2,FALSE))</f>
        <v/>
      </c>
      <c r="K33" s="422" t="str">
        <f t="shared" si="9"/>
        <v/>
      </c>
      <c r="L33" s="422" t="str">
        <f t="shared" si="10"/>
        <v/>
      </c>
      <c r="M33" s="422" t="str">
        <f>IF(A33="","",VLOOKUP($A33,非_まとめ表行番号!$Q$3:$S$8,2,FALSE))</f>
        <v/>
      </c>
      <c r="N33" s="422" t="str">
        <f>IF(A33="","",VLOOKUP($A33,非_まとめ表行番号!$Q$3:$S$8,3,FALSE))</f>
        <v/>
      </c>
      <c r="O33" s="489" t="str">
        <f>IF(A33="","",VLOOKUP(M33,非_まとめ表行番号!$U$3:$V$56,2,FALSE))</f>
        <v/>
      </c>
      <c r="P33" s="479" t="str">
        <f t="shared" si="5"/>
        <v/>
      </c>
      <c r="Q33" s="485" t="b">
        <f t="shared" si="6"/>
        <v>1</v>
      </c>
    </row>
    <row r="34" spans="1:17">
      <c r="A34" s="466"/>
      <c r="B34" s="467"/>
      <c r="C34" s="571"/>
      <c r="D34" s="579" t="str">
        <f t="shared" si="0"/>
        <v/>
      </c>
      <c r="E34" s="574" t="str">
        <f t="shared" si="1"/>
        <v/>
      </c>
      <c r="G34" s="422" t="str">
        <f t="shared" si="7"/>
        <v/>
      </c>
      <c r="H34" s="422" t="str">
        <f t="shared" si="8"/>
        <v/>
      </c>
      <c r="I34" s="422" t="str">
        <f>IF(H34="","",IF(H34="電気",非_電気事業者!$S$5*1000,IF(H34="熱",非_熱供給事業者!$T$4,"")))</f>
        <v/>
      </c>
      <c r="J34" s="422" t="str">
        <f>IF(B34="","",VLOOKUP(B34,非_単位補正換算!$B$3:$C$16,2,FALSE))</f>
        <v/>
      </c>
      <c r="K34" s="422" t="str">
        <f t="shared" si="9"/>
        <v/>
      </c>
      <c r="L34" s="422" t="str">
        <f t="shared" si="10"/>
        <v/>
      </c>
      <c r="M34" s="422" t="str">
        <f>IF(A34="","",VLOOKUP($A34,非_まとめ表行番号!$Q$3:$S$8,2,FALSE))</f>
        <v/>
      </c>
      <c r="N34" s="422" t="str">
        <f>IF(A34="","",VLOOKUP($A34,非_まとめ表行番号!$Q$3:$S$8,3,FALSE))</f>
        <v/>
      </c>
      <c r="O34" s="489" t="str">
        <f>IF(A34="","",VLOOKUP(M34,非_まとめ表行番号!$U$3:$V$56,2,FALSE))</f>
        <v/>
      </c>
      <c r="P34" s="479" t="str">
        <f t="shared" si="5"/>
        <v/>
      </c>
      <c r="Q34" s="485" t="b">
        <f t="shared" si="6"/>
        <v>1</v>
      </c>
    </row>
    <row r="35" spans="1:17">
      <c r="A35" s="466"/>
      <c r="B35" s="467"/>
      <c r="C35" s="571"/>
      <c r="D35" s="579" t="str">
        <f t="shared" si="0"/>
        <v/>
      </c>
      <c r="E35" s="574" t="str">
        <f t="shared" si="1"/>
        <v/>
      </c>
      <c r="G35" s="422" t="str">
        <f t="shared" si="7"/>
        <v/>
      </c>
      <c r="H35" s="422" t="str">
        <f t="shared" si="8"/>
        <v/>
      </c>
      <c r="I35" s="422" t="str">
        <f>IF(H35="","",IF(H35="電気",非_電気事業者!$S$5*1000,IF(H35="熱",非_熱供給事業者!$T$4,"")))</f>
        <v/>
      </c>
      <c r="J35" s="422" t="str">
        <f>IF(B35="","",VLOOKUP(B35,非_単位補正換算!$B$3:$C$16,2,FALSE))</f>
        <v/>
      </c>
      <c r="K35" s="422" t="str">
        <f t="shared" si="9"/>
        <v/>
      </c>
      <c r="L35" s="422" t="str">
        <f t="shared" si="10"/>
        <v/>
      </c>
      <c r="M35" s="422" t="str">
        <f>IF(A35="","",VLOOKUP($A35,非_まとめ表行番号!$Q$3:$S$8,2,FALSE))</f>
        <v/>
      </c>
      <c r="N35" s="422" t="str">
        <f>IF(A35="","",VLOOKUP($A35,非_まとめ表行番号!$Q$3:$S$8,3,FALSE))</f>
        <v/>
      </c>
      <c r="O35" s="489" t="str">
        <f>IF(A35="","",VLOOKUP(M35,非_まとめ表行番号!$U$3:$V$56,2,FALSE))</f>
        <v/>
      </c>
      <c r="P35" s="479" t="str">
        <f t="shared" si="5"/>
        <v/>
      </c>
      <c r="Q35" s="485" t="b">
        <f t="shared" si="6"/>
        <v>1</v>
      </c>
    </row>
    <row r="36" spans="1:17">
      <c r="A36" s="466"/>
      <c r="B36" s="467"/>
      <c r="C36" s="571"/>
      <c r="D36" s="579" t="str">
        <f t="shared" si="0"/>
        <v/>
      </c>
      <c r="E36" s="574" t="str">
        <f t="shared" si="1"/>
        <v/>
      </c>
      <c r="G36" s="422" t="str">
        <f t="shared" si="7"/>
        <v/>
      </c>
      <c r="H36" s="422" t="str">
        <f t="shared" si="8"/>
        <v/>
      </c>
      <c r="I36" s="422" t="str">
        <f>IF(H36="","",IF(H36="電気",非_電気事業者!$S$5*1000,IF(H36="熱",非_熱供給事業者!$T$4,"")))</f>
        <v/>
      </c>
      <c r="J36" s="422" t="str">
        <f>IF(B36="","",VLOOKUP(B36,非_単位補正換算!$B$3:$C$16,2,FALSE))</f>
        <v/>
      </c>
      <c r="K36" s="422" t="str">
        <f t="shared" si="9"/>
        <v/>
      </c>
      <c r="L36" s="422" t="str">
        <f t="shared" si="10"/>
        <v/>
      </c>
      <c r="M36" s="422" t="str">
        <f>IF(A36="","",VLOOKUP($A36,非_まとめ表行番号!$Q$3:$S$8,2,FALSE))</f>
        <v/>
      </c>
      <c r="N36" s="422" t="str">
        <f>IF(A36="","",VLOOKUP($A36,非_まとめ表行番号!$Q$3:$S$8,3,FALSE))</f>
        <v/>
      </c>
      <c r="O36" s="489" t="str">
        <f>IF(A36="","",VLOOKUP(M36,非_まとめ表行番号!$U$3:$V$56,2,FALSE))</f>
        <v/>
      </c>
      <c r="P36" s="479" t="str">
        <f t="shared" si="5"/>
        <v/>
      </c>
      <c r="Q36" s="485" t="b">
        <f t="shared" si="6"/>
        <v>1</v>
      </c>
    </row>
    <row r="37" spans="1:17">
      <c r="A37" s="466"/>
      <c r="B37" s="467"/>
      <c r="C37" s="571"/>
      <c r="D37" s="579" t="str">
        <f t="shared" si="0"/>
        <v/>
      </c>
      <c r="E37" s="574" t="str">
        <f t="shared" si="1"/>
        <v/>
      </c>
      <c r="G37" s="422" t="str">
        <f t="shared" si="7"/>
        <v/>
      </c>
      <c r="H37" s="422" t="str">
        <f t="shared" si="8"/>
        <v/>
      </c>
      <c r="I37" s="422" t="str">
        <f>IF(H37="","",IF(H37="電気",非_電気事業者!$S$5*1000,IF(H37="熱",非_熱供給事業者!$T$4,"")))</f>
        <v/>
      </c>
      <c r="J37" s="422" t="str">
        <f>IF(B37="","",VLOOKUP(B37,非_単位補正換算!$B$3:$C$16,2,FALSE))</f>
        <v/>
      </c>
      <c r="K37" s="422" t="str">
        <f t="shared" si="9"/>
        <v/>
      </c>
      <c r="L37" s="422" t="str">
        <f t="shared" si="10"/>
        <v/>
      </c>
      <c r="M37" s="422" t="str">
        <f>IF(A37="","",VLOOKUP($A37,非_まとめ表行番号!$Q$3:$S$8,2,FALSE))</f>
        <v/>
      </c>
      <c r="N37" s="422" t="str">
        <f>IF(A37="","",VLOOKUP($A37,非_まとめ表行番号!$Q$3:$S$8,3,FALSE))</f>
        <v/>
      </c>
      <c r="O37" s="489" t="str">
        <f>IF(A37="","",VLOOKUP(M37,非_まとめ表行番号!$U$3:$V$56,2,FALSE))</f>
        <v/>
      </c>
      <c r="P37" s="479" t="str">
        <f t="shared" si="5"/>
        <v/>
      </c>
      <c r="Q37" s="485" t="b">
        <f t="shared" si="6"/>
        <v>1</v>
      </c>
    </row>
    <row r="38" spans="1:17">
      <c r="A38" s="466"/>
      <c r="B38" s="467"/>
      <c r="C38" s="571"/>
      <c r="D38" s="579" t="str">
        <f t="shared" si="0"/>
        <v/>
      </c>
      <c r="E38" s="574" t="str">
        <f t="shared" si="1"/>
        <v/>
      </c>
      <c r="G38" s="422" t="str">
        <f t="shared" si="7"/>
        <v/>
      </c>
      <c r="H38" s="422" t="str">
        <f t="shared" si="8"/>
        <v/>
      </c>
      <c r="I38" s="422" t="str">
        <f>IF(H38="","",IF(H38="電気",非_電気事業者!$S$5*1000,IF(H38="熱",非_熱供給事業者!$T$4,"")))</f>
        <v/>
      </c>
      <c r="J38" s="422" t="str">
        <f>IF(B38="","",VLOOKUP(B38,非_単位補正換算!$B$3:$C$16,2,FALSE))</f>
        <v/>
      </c>
      <c r="K38" s="422" t="str">
        <f t="shared" si="9"/>
        <v/>
      </c>
      <c r="L38" s="422" t="str">
        <f t="shared" si="10"/>
        <v/>
      </c>
      <c r="M38" s="422" t="str">
        <f>IF(A38="","",VLOOKUP($A38,非_まとめ表行番号!$Q$3:$S$8,2,FALSE))</f>
        <v/>
      </c>
      <c r="N38" s="422" t="str">
        <f>IF(A38="","",VLOOKUP($A38,非_まとめ表行番号!$Q$3:$S$8,3,FALSE))</f>
        <v/>
      </c>
      <c r="O38" s="489" t="str">
        <f>IF(A38="","",VLOOKUP(M38,非_まとめ表行番号!$U$3:$V$56,2,FALSE))</f>
        <v/>
      </c>
      <c r="P38" s="479" t="str">
        <f t="shared" si="5"/>
        <v/>
      </c>
      <c r="Q38" s="485" t="b">
        <f t="shared" si="6"/>
        <v>1</v>
      </c>
    </row>
    <row r="39" spans="1:17">
      <c r="A39" s="466"/>
      <c r="B39" s="467"/>
      <c r="C39" s="571"/>
      <c r="D39" s="579" t="str">
        <f t="shared" si="0"/>
        <v/>
      </c>
      <c r="E39" s="574" t="str">
        <f t="shared" si="1"/>
        <v/>
      </c>
      <c r="G39" s="422" t="str">
        <f t="shared" si="7"/>
        <v/>
      </c>
      <c r="H39" s="422" t="str">
        <f t="shared" si="8"/>
        <v/>
      </c>
      <c r="I39" s="422" t="str">
        <f>IF(H39="","",IF(H39="電気",非_電気事業者!$S$5*1000,IF(H39="熱",非_熱供給事業者!$T$4,"")))</f>
        <v/>
      </c>
      <c r="J39" s="422" t="str">
        <f>IF(B39="","",VLOOKUP(B39,非_単位補正換算!$B$3:$C$16,2,FALSE))</f>
        <v/>
      </c>
      <c r="K39" s="422" t="str">
        <f t="shared" si="9"/>
        <v/>
      </c>
      <c r="L39" s="422" t="str">
        <f t="shared" si="10"/>
        <v/>
      </c>
      <c r="M39" s="422" t="str">
        <f>IF(A39="","",VLOOKUP($A39,非_まとめ表行番号!$Q$3:$S$8,2,FALSE))</f>
        <v/>
      </c>
      <c r="N39" s="422" t="str">
        <f>IF(A39="","",VLOOKUP($A39,非_まとめ表行番号!$Q$3:$S$8,3,FALSE))</f>
        <v/>
      </c>
      <c r="O39" s="489" t="str">
        <f>IF(A39="","",VLOOKUP(M39,非_まとめ表行番号!$U$3:$V$56,2,FALSE))</f>
        <v/>
      </c>
      <c r="P39" s="479" t="str">
        <f t="shared" si="5"/>
        <v/>
      </c>
      <c r="Q39" s="485" t="b">
        <f t="shared" si="6"/>
        <v>1</v>
      </c>
    </row>
    <row r="40" spans="1:17">
      <c r="A40" s="466"/>
      <c r="B40" s="467"/>
      <c r="C40" s="571"/>
      <c r="D40" s="579" t="str">
        <f t="shared" si="0"/>
        <v/>
      </c>
      <c r="E40" s="574" t="str">
        <f t="shared" si="1"/>
        <v/>
      </c>
      <c r="G40" s="422" t="str">
        <f t="shared" si="7"/>
        <v/>
      </c>
      <c r="H40" s="422" t="str">
        <f t="shared" si="8"/>
        <v/>
      </c>
      <c r="I40" s="422" t="str">
        <f>IF(H40="","",IF(H40="電気",非_電気事業者!$S$5*1000,IF(H40="熱",非_熱供給事業者!$T$4,"")))</f>
        <v/>
      </c>
      <c r="J40" s="422" t="str">
        <f>IF(B40="","",VLOOKUP(B40,非_単位補正換算!$B$3:$C$16,2,FALSE))</f>
        <v/>
      </c>
      <c r="K40" s="422" t="str">
        <f t="shared" si="9"/>
        <v/>
      </c>
      <c r="L40" s="422" t="str">
        <f t="shared" si="10"/>
        <v/>
      </c>
      <c r="M40" s="422" t="str">
        <f>IF(A40="","",VLOOKUP($A40,非_まとめ表行番号!$Q$3:$S$8,2,FALSE))</f>
        <v/>
      </c>
      <c r="N40" s="422" t="str">
        <f>IF(A40="","",VLOOKUP($A40,非_まとめ表行番号!$Q$3:$S$8,3,FALSE))</f>
        <v/>
      </c>
      <c r="O40" s="489" t="str">
        <f>IF(A40="","",VLOOKUP(M40,非_まとめ表行番号!$U$3:$V$56,2,FALSE))</f>
        <v/>
      </c>
      <c r="P40" s="479" t="str">
        <f t="shared" si="5"/>
        <v/>
      </c>
      <c r="Q40" s="485" t="b">
        <f t="shared" si="6"/>
        <v>1</v>
      </c>
    </row>
    <row r="41" spans="1:17">
      <c r="A41" s="466"/>
      <c r="B41" s="467"/>
      <c r="C41" s="571"/>
      <c r="D41" s="579" t="str">
        <f t="shared" si="0"/>
        <v/>
      </c>
      <c r="E41" s="574" t="str">
        <f t="shared" si="1"/>
        <v/>
      </c>
      <c r="G41" s="422" t="str">
        <f t="shared" si="7"/>
        <v/>
      </c>
      <c r="H41" s="422" t="str">
        <f t="shared" si="8"/>
        <v/>
      </c>
      <c r="I41" s="422" t="str">
        <f>IF(H41="","",IF(H41="電気",非_電気事業者!$S$5*1000,IF(H41="熱",非_熱供給事業者!$T$4,"")))</f>
        <v/>
      </c>
      <c r="J41" s="422" t="str">
        <f>IF(B41="","",VLOOKUP(B41,非_単位補正換算!$B$3:$C$16,2,FALSE))</f>
        <v/>
      </c>
      <c r="K41" s="422" t="str">
        <f t="shared" si="9"/>
        <v/>
      </c>
      <c r="L41" s="422" t="str">
        <f t="shared" si="10"/>
        <v/>
      </c>
      <c r="M41" s="422" t="str">
        <f>IF(A41="","",VLOOKUP($A41,非_まとめ表行番号!$Q$3:$S$8,2,FALSE))</f>
        <v/>
      </c>
      <c r="N41" s="422" t="str">
        <f>IF(A41="","",VLOOKUP($A41,非_まとめ表行番号!$Q$3:$S$8,3,FALSE))</f>
        <v/>
      </c>
      <c r="O41" s="489" t="str">
        <f>IF(A41="","",VLOOKUP(M41,非_まとめ表行番号!$U$3:$V$56,2,FALSE))</f>
        <v/>
      </c>
      <c r="P41" s="479" t="str">
        <f t="shared" si="5"/>
        <v/>
      </c>
      <c r="Q41" s="485" t="b">
        <f t="shared" si="6"/>
        <v>1</v>
      </c>
    </row>
    <row r="42" spans="1:17">
      <c r="A42" s="466"/>
      <c r="B42" s="467"/>
      <c r="C42" s="571"/>
      <c r="D42" s="579" t="str">
        <f t="shared" si="0"/>
        <v/>
      </c>
      <c r="E42" s="574" t="str">
        <f t="shared" si="1"/>
        <v/>
      </c>
      <c r="G42" s="422" t="str">
        <f t="shared" si="7"/>
        <v/>
      </c>
      <c r="H42" s="422" t="str">
        <f t="shared" si="8"/>
        <v/>
      </c>
      <c r="I42" s="422" t="str">
        <f>IF(H42="","",IF(H42="電気",非_電気事業者!$S$5*1000,IF(H42="熱",非_熱供給事業者!$T$4,"")))</f>
        <v/>
      </c>
      <c r="J42" s="422" t="str">
        <f>IF(B42="","",VLOOKUP(B42,非_単位補正換算!$B$3:$C$16,2,FALSE))</f>
        <v/>
      </c>
      <c r="K42" s="422" t="str">
        <f t="shared" si="9"/>
        <v/>
      </c>
      <c r="L42" s="422" t="str">
        <f t="shared" si="10"/>
        <v/>
      </c>
      <c r="M42" s="422" t="str">
        <f>IF(A42="","",VLOOKUP($A42,非_まとめ表行番号!$Q$3:$S$8,2,FALSE))</f>
        <v/>
      </c>
      <c r="N42" s="422" t="str">
        <f>IF(A42="","",VLOOKUP($A42,非_まとめ表行番号!$Q$3:$S$8,3,FALSE))</f>
        <v/>
      </c>
      <c r="O42" s="489" t="str">
        <f>IF(A42="","",VLOOKUP(M42,非_まとめ表行番号!$U$3:$V$56,2,FALSE))</f>
        <v/>
      </c>
      <c r="P42" s="479" t="str">
        <f t="shared" si="5"/>
        <v/>
      </c>
      <c r="Q42" s="485" t="b">
        <f t="shared" si="6"/>
        <v>1</v>
      </c>
    </row>
    <row r="43" spans="1:17">
      <c r="A43" s="466"/>
      <c r="B43" s="467"/>
      <c r="C43" s="571"/>
      <c r="D43" s="579" t="str">
        <f t="shared" si="0"/>
        <v/>
      </c>
      <c r="E43" s="574" t="str">
        <f t="shared" si="1"/>
        <v/>
      </c>
      <c r="G43" s="422" t="str">
        <f t="shared" si="7"/>
        <v/>
      </c>
      <c r="H43" s="422" t="str">
        <f t="shared" si="8"/>
        <v/>
      </c>
      <c r="I43" s="422" t="str">
        <f>IF(H43="","",IF(H43="電気",非_電気事業者!$S$5*1000,IF(H43="熱",非_熱供給事業者!$T$4,"")))</f>
        <v/>
      </c>
      <c r="J43" s="422" t="str">
        <f>IF(B43="","",VLOOKUP(B43,非_単位補正換算!$B$3:$C$16,2,FALSE))</f>
        <v/>
      </c>
      <c r="K43" s="422" t="str">
        <f t="shared" si="9"/>
        <v/>
      </c>
      <c r="L43" s="422" t="str">
        <f t="shared" si="10"/>
        <v/>
      </c>
      <c r="M43" s="422" t="str">
        <f>IF(A43="","",VLOOKUP($A43,非_まとめ表行番号!$Q$3:$S$8,2,FALSE))</f>
        <v/>
      </c>
      <c r="N43" s="422" t="str">
        <f>IF(A43="","",VLOOKUP($A43,非_まとめ表行番号!$Q$3:$S$8,3,FALSE))</f>
        <v/>
      </c>
      <c r="O43" s="489" t="str">
        <f>IF(A43="","",VLOOKUP(M43,非_まとめ表行番号!$U$3:$V$56,2,FALSE))</f>
        <v/>
      </c>
      <c r="P43" s="479" t="str">
        <f t="shared" si="5"/>
        <v/>
      </c>
      <c r="Q43" s="485" t="b">
        <f t="shared" si="6"/>
        <v>1</v>
      </c>
    </row>
    <row r="44" spans="1:17">
      <c r="A44" s="466"/>
      <c r="B44" s="467"/>
      <c r="C44" s="571"/>
      <c r="D44" s="579" t="str">
        <f t="shared" si="0"/>
        <v/>
      </c>
      <c r="E44" s="574" t="str">
        <f t="shared" si="1"/>
        <v/>
      </c>
      <c r="G44" s="422" t="str">
        <f t="shared" si="7"/>
        <v/>
      </c>
      <c r="H44" s="422" t="str">
        <f t="shared" si="8"/>
        <v/>
      </c>
      <c r="I44" s="422" t="str">
        <f>IF(H44="","",IF(H44="電気",非_電気事業者!$S$5*1000,IF(H44="熱",非_熱供給事業者!$T$4,"")))</f>
        <v/>
      </c>
      <c r="J44" s="422" t="str">
        <f>IF(B44="","",VLOOKUP(B44,非_単位補正換算!$B$3:$C$16,2,FALSE))</f>
        <v/>
      </c>
      <c r="K44" s="422" t="str">
        <f t="shared" si="9"/>
        <v/>
      </c>
      <c r="L44" s="422" t="str">
        <f t="shared" si="10"/>
        <v/>
      </c>
      <c r="M44" s="422" t="str">
        <f>IF(A44="","",VLOOKUP($A44,非_まとめ表行番号!$Q$3:$S$8,2,FALSE))</f>
        <v/>
      </c>
      <c r="N44" s="422" t="str">
        <f>IF(A44="","",VLOOKUP($A44,非_まとめ表行番号!$Q$3:$S$8,3,FALSE))</f>
        <v/>
      </c>
      <c r="O44" s="489" t="str">
        <f>IF(A44="","",VLOOKUP(M44,非_まとめ表行番号!$U$3:$V$56,2,FALSE))</f>
        <v/>
      </c>
      <c r="P44" s="479" t="str">
        <f t="shared" si="5"/>
        <v/>
      </c>
      <c r="Q44" s="485" t="b">
        <f t="shared" si="6"/>
        <v>1</v>
      </c>
    </row>
    <row r="45" spans="1:17">
      <c r="A45" s="466"/>
      <c r="B45" s="467"/>
      <c r="C45" s="571"/>
      <c r="D45" s="579" t="str">
        <f t="shared" si="0"/>
        <v/>
      </c>
      <c r="E45" s="574" t="str">
        <f t="shared" si="1"/>
        <v/>
      </c>
      <c r="G45" s="422" t="str">
        <f t="shared" si="7"/>
        <v/>
      </c>
      <c r="H45" s="422" t="str">
        <f t="shared" si="8"/>
        <v/>
      </c>
      <c r="I45" s="422" t="str">
        <f>IF(H45="","",IF(H45="電気",非_電気事業者!$S$5*1000,IF(H45="熱",非_熱供給事業者!$T$4,"")))</f>
        <v/>
      </c>
      <c r="J45" s="422" t="str">
        <f>IF(B45="","",VLOOKUP(B45,非_単位補正換算!$B$3:$C$16,2,FALSE))</f>
        <v/>
      </c>
      <c r="K45" s="422" t="str">
        <f t="shared" si="9"/>
        <v/>
      </c>
      <c r="L45" s="422" t="str">
        <f t="shared" si="10"/>
        <v/>
      </c>
      <c r="M45" s="422" t="str">
        <f>IF(A45="","",VLOOKUP($A45,非_まとめ表行番号!$Q$3:$S$8,2,FALSE))</f>
        <v/>
      </c>
      <c r="N45" s="422" t="str">
        <f>IF(A45="","",VLOOKUP($A45,非_まとめ表行番号!$Q$3:$S$8,3,FALSE))</f>
        <v/>
      </c>
      <c r="O45" s="489" t="str">
        <f>IF(A45="","",VLOOKUP(M45,非_まとめ表行番号!$U$3:$V$56,2,FALSE))</f>
        <v/>
      </c>
      <c r="P45" s="479" t="str">
        <f t="shared" si="5"/>
        <v/>
      </c>
      <c r="Q45" s="485" t="b">
        <f t="shared" si="6"/>
        <v>1</v>
      </c>
    </row>
    <row r="46" spans="1:17">
      <c r="A46" s="466"/>
      <c r="B46" s="467"/>
      <c r="C46" s="571"/>
      <c r="D46" s="579" t="str">
        <f t="shared" si="0"/>
        <v/>
      </c>
      <c r="E46" s="574" t="str">
        <f t="shared" si="1"/>
        <v/>
      </c>
      <c r="G46" s="422" t="str">
        <f t="shared" si="7"/>
        <v/>
      </c>
      <c r="H46" s="422" t="str">
        <f t="shared" si="8"/>
        <v/>
      </c>
      <c r="I46" s="422" t="str">
        <f>IF(H46="","",IF(H46="電気",非_電気事業者!$S$5*1000,IF(H46="熱",非_熱供給事業者!$T$4,"")))</f>
        <v/>
      </c>
      <c r="J46" s="422" t="str">
        <f>IF(B46="","",VLOOKUP(B46,非_単位補正換算!$B$3:$C$16,2,FALSE))</f>
        <v/>
      </c>
      <c r="K46" s="422" t="str">
        <f t="shared" si="9"/>
        <v/>
      </c>
      <c r="L46" s="422" t="str">
        <f t="shared" si="10"/>
        <v/>
      </c>
      <c r="M46" s="422" t="str">
        <f>IF(A46="","",VLOOKUP($A46,非_まとめ表行番号!$Q$3:$S$8,2,FALSE))</f>
        <v/>
      </c>
      <c r="N46" s="422" t="str">
        <f>IF(A46="","",VLOOKUP($A46,非_まとめ表行番号!$Q$3:$S$8,3,FALSE))</f>
        <v/>
      </c>
      <c r="O46" s="489" t="str">
        <f>IF(A46="","",VLOOKUP(M46,非_まとめ表行番号!$U$3:$V$56,2,FALSE))</f>
        <v/>
      </c>
      <c r="P46" s="479" t="str">
        <f t="shared" si="5"/>
        <v/>
      </c>
      <c r="Q46" s="485" t="b">
        <f t="shared" si="6"/>
        <v>1</v>
      </c>
    </row>
    <row r="47" spans="1:17">
      <c r="A47" s="466"/>
      <c r="B47" s="467"/>
      <c r="C47" s="571"/>
      <c r="D47" s="579" t="str">
        <f t="shared" si="0"/>
        <v/>
      </c>
      <c r="E47" s="574" t="str">
        <f t="shared" si="1"/>
        <v/>
      </c>
      <c r="G47" s="422" t="str">
        <f t="shared" si="7"/>
        <v/>
      </c>
      <c r="H47" s="422" t="str">
        <f t="shared" si="8"/>
        <v/>
      </c>
      <c r="I47" s="422" t="str">
        <f>IF(H47="","",IF(H47="電気",非_電気事業者!$S$5*1000,IF(H47="熱",非_熱供給事業者!$T$4,"")))</f>
        <v/>
      </c>
      <c r="J47" s="422" t="str">
        <f>IF(B47="","",VLOOKUP(B47,非_単位補正換算!$B$3:$C$16,2,FALSE))</f>
        <v/>
      </c>
      <c r="K47" s="422" t="str">
        <f t="shared" si="9"/>
        <v/>
      </c>
      <c r="L47" s="422" t="str">
        <f t="shared" si="10"/>
        <v/>
      </c>
      <c r="M47" s="422" t="str">
        <f>IF(A47="","",VLOOKUP($A47,非_まとめ表行番号!$Q$3:$S$8,2,FALSE))</f>
        <v/>
      </c>
      <c r="N47" s="422" t="str">
        <f>IF(A47="","",VLOOKUP($A47,非_まとめ表行番号!$Q$3:$S$8,3,FALSE))</f>
        <v/>
      </c>
      <c r="O47" s="489" t="str">
        <f>IF(A47="","",VLOOKUP(M47,非_まとめ表行番号!$U$3:$V$56,2,FALSE))</f>
        <v/>
      </c>
      <c r="P47" s="479" t="str">
        <f t="shared" si="5"/>
        <v/>
      </c>
      <c r="Q47" s="485" t="b">
        <f t="shared" si="6"/>
        <v>1</v>
      </c>
    </row>
    <row r="48" spans="1:17">
      <c r="A48" s="466"/>
      <c r="B48" s="467"/>
      <c r="C48" s="571"/>
      <c r="D48" s="579" t="str">
        <f t="shared" si="0"/>
        <v/>
      </c>
      <c r="E48" s="574" t="str">
        <f t="shared" si="1"/>
        <v/>
      </c>
      <c r="G48" s="422" t="str">
        <f t="shared" si="7"/>
        <v/>
      </c>
      <c r="H48" s="422" t="str">
        <f t="shared" si="8"/>
        <v/>
      </c>
      <c r="I48" s="422" t="str">
        <f>IF(H48="","",IF(H48="電気",非_電気事業者!$S$5*1000,IF(H48="熱",非_熱供給事業者!$T$4,"")))</f>
        <v/>
      </c>
      <c r="J48" s="422" t="str">
        <f>IF(B48="","",VLOOKUP(B48,非_単位補正換算!$B$3:$C$16,2,FALSE))</f>
        <v/>
      </c>
      <c r="K48" s="422" t="str">
        <f t="shared" si="9"/>
        <v/>
      </c>
      <c r="L48" s="422" t="str">
        <f t="shared" si="10"/>
        <v/>
      </c>
      <c r="M48" s="422" t="str">
        <f>IF(A48="","",VLOOKUP($A48,非_まとめ表行番号!$Q$3:$S$8,2,FALSE))</f>
        <v/>
      </c>
      <c r="N48" s="422" t="str">
        <f>IF(A48="","",VLOOKUP($A48,非_まとめ表行番号!$Q$3:$S$8,3,FALSE))</f>
        <v/>
      </c>
      <c r="O48" s="489" t="str">
        <f>IF(A48="","",VLOOKUP(M48,非_まとめ表行番号!$U$3:$V$56,2,FALSE))</f>
        <v/>
      </c>
      <c r="P48" s="479" t="str">
        <f t="shared" si="5"/>
        <v/>
      </c>
      <c r="Q48" s="485" t="b">
        <f t="shared" si="6"/>
        <v>1</v>
      </c>
    </row>
    <row r="49" spans="1:17">
      <c r="A49" s="466"/>
      <c r="B49" s="467"/>
      <c r="C49" s="571"/>
      <c r="D49" s="579" t="str">
        <f t="shared" si="0"/>
        <v/>
      </c>
      <c r="E49" s="574" t="str">
        <f t="shared" si="1"/>
        <v/>
      </c>
      <c r="G49" s="422" t="str">
        <f t="shared" si="7"/>
        <v/>
      </c>
      <c r="H49" s="422" t="str">
        <f t="shared" si="8"/>
        <v/>
      </c>
      <c r="I49" s="422" t="str">
        <f>IF(H49="","",IF(H49="電気",非_電気事業者!$S$5*1000,IF(H49="熱",非_熱供給事業者!$T$4,"")))</f>
        <v/>
      </c>
      <c r="J49" s="422" t="str">
        <f>IF(B49="","",VLOOKUP(B49,非_単位補正換算!$B$3:$C$16,2,FALSE))</f>
        <v/>
      </c>
      <c r="K49" s="422" t="str">
        <f t="shared" si="9"/>
        <v/>
      </c>
      <c r="L49" s="422" t="str">
        <f t="shared" si="10"/>
        <v/>
      </c>
      <c r="M49" s="422" t="str">
        <f>IF(A49="","",VLOOKUP($A49,非_まとめ表行番号!$Q$3:$S$8,2,FALSE))</f>
        <v/>
      </c>
      <c r="N49" s="422" t="str">
        <f>IF(A49="","",VLOOKUP($A49,非_まとめ表行番号!$Q$3:$S$8,3,FALSE))</f>
        <v/>
      </c>
      <c r="O49" s="489" t="str">
        <f>IF(A49="","",VLOOKUP(M49,非_まとめ表行番号!$U$3:$V$56,2,FALSE))</f>
        <v/>
      </c>
      <c r="P49" s="479" t="str">
        <f t="shared" si="5"/>
        <v/>
      </c>
      <c r="Q49" s="485" t="b">
        <f t="shared" si="6"/>
        <v>1</v>
      </c>
    </row>
    <row r="50" spans="1:17">
      <c r="A50" s="466"/>
      <c r="B50" s="467"/>
      <c r="C50" s="571"/>
      <c r="D50" s="579" t="str">
        <f t="shared" si="0"/>
        <v/>
      </c>
      <c r="E50" s="574" t="str">
        <f t="shared" si="1"/>
        <v/>
      </c>
      <c r="G50" s="422" t="str">
        <f t="shared" ref="G50:G53" si="11">IF(A50="","",IF(LEFT(A50,5)="森林吸収量","森林吸収量_単位",A50&amp;"_単位"))</f>
        <v/>
      </c>
      <c r="H50" s="422" t="str">
        <f t="shared" ref="H50:H53" si="12">IF(A50="","",IF(LEFT(A50,5)="森林吸収量","森林吸収量",IF(A50="グリーン熱証書","熱","電気")))</f>
        <v/>
      </c>
      <c r="I50" s="422" t="str">
        <f>IF(H50="","",IF(H50="電気",非_電気事業者!$S$5*1000,IF(H50="熱",非_熱供給事業者!$T$4,"")))</f>
        <v/>
      </c>
      <c r="J50" s="422" t="str">
        <f>IF(B50="","",VLOOKUP(B50,非_単位補正換算!$B$3:$C$16,2,FALSE))</f>
        <v/>
      </c>
      <c r="K50" s="422" t="str">
        <f t="shared" ref="K50:K53" si="13">IF(C50="","",IF(J50="","",C50/J50))</f>
        <v/>
      </c>
      <c r="L50" s="422" t="str">
        <f t="shared" ref="L50:L53" si="14">IF(H50="","",IF(H50="森林吸収量","削減量を入力",IF(K50="","",K50*I50)))</f>
        <v/>
      </c>
      <c r="M50" s="422" t="str">
        <f>IF(A50="","",VLOOKUP($A50,非_まとめ表行番号!$Q$3:$S$8,2,FALSE))</f>
        <v/>
      </c>
      <c r="N50" s="422" t="str">
        <f>IF(A50="","",VLOOKUP($A50,非_まとめ表行番号!$Q$3:$S$8,3,FALSE))</f>
        <v/>
      </c>
      <c r="O50" s="489" t="str">
        <f>IF(A50="","",VLOOKUP(M50,非_まとめ表行番号!$U$3:$V$56,2,FALSE))</f>
        <v/>
      </c>
      <c r="P50" s="479" t="str">
        <f t="shared" si="5"/>
        <v/>
      </c>
      <c r="Q50" s="485" t="b">
        <f t="shared" si="6"/>
        <v>1</v>
      </c>
    </row>
    <row r="51" spans="1:17">
      <c r="A51" s="466"/>
      <c r="B51" s="467"/>
      <c r="C51" s="571"/>
      <c r="D51" s="579" t="str">
        <f t="shared" si="0"/>
        <v/>
      </c>
      <c r="E51" s="574" t="str">
        <f t="shared" si="1"/>
        <v/>
      </c>
      <c r="G51" s="422" t="str">
        <f t="shared" si="11"/>
        <v/>
      </c>
      <c r="H51" s="422" t="str">
        <f t="shared" si="12"/>
        <v/>
      </c>
      <c r="I51" s="422" t="str">
        <f>IF(H51="","",IF(H51="電気",非_電気事業者!$S$5*1000,IF(H51="熱",非_熱供給事業者!$T$4,"")))</f>
        <v/>
      </c>
      <c r="J51" s="422" t="str">
        <f>IF(B51="","",VLOOKUP(B51,非_単位補正換算!$B$3:$C$16,2,FALSE))</f>
        <v/>
      </c>
      <c r="K51" s="422" t="str">
        <f t="shared" si="13"/>
        <v/>
      </c>
      <c r="L51" s="422" t="str">
        <f t="shared" si="14"/>
        <v/>
      </c>
      <c r="M51" s="422" t="str">
        <f>IF(A51="","",VLOOKUP($A51,非_まとめ表行番号!$Q$3:$S$8,2,FALSE))</f>
        <v/>
      </c>
      <c r="N51" s="422" t="str">
        <f>IF(A51="","",VLOOKUP($A51,非_まとめ表行番号!$Q$3:$S$8,3,FALSE))</f>
        <v/>
      </c>
      <c r="O51" s="489" t="str">
        <f>IF(A51="","",VLOOKUP(M51,非_まとめ表行番号!$U$3:$V$56,2,FALSE))</f>
        <v/>
      </c>
      <c r="P51" s="479" t="str">
        <f t="shared" si="5"/>
        <v/>
      </c>
      <c r="Q51" s="485" t="b">
        <f t="shared" si="6"/>
        <v>1</v>
      </c>
    </row>
    <row r="52" spans="1:17">
      <c r="A52" s="466"/>
      <c r="B52" s="467"/>
      <c r="C52" s="571"/>
      <c r="D52" s="579" t="str">
        <f t="shared" si="0"/>
        <v/>
      </c>
      <c r="E52" s="574" t="str">
        <f t="shared" si="1"/>
        <v/>
      </c>
      <c r="G52" s="422" t="str">
        <f t="shared" si="11"/>
        <v/>
      </c>
      <c r="H52" s="422" t="str">
        <f t="shared" si="12"/>
        <v/>
      </c>
      <c r="I52" s="422" t="str">
        <f>IF(H52="","",IF(H52="電気",非_電気事業者!$S$5*1000,IF(H52="熱",非_熱供給事業者!$T$4,"")))</f>
        <v/>
      </c>
      <c r="J52" s="422" t="str">
        <f>IF(B52="","",VLOOKUP(B52,非_単位補正換算!$B$3:$C$16,2,FALSE))</f>
        <v/>
      </c>
      <c r="K52" s="422" t="str">
        <f t="shared" si="13"/>
        <v/>
      </c>
      <c r="L52" s="422" t="str">
        <f t="shared" si="14"/>
        <v/>
      </c>
      <c r="M52" s="422" t="str">
        <f>IF(A52="","",VLOOKUP($A52,非_まとめ表行番号!$Q$3:$S$8,2,FALSE))</f>
        <v/>
      </c>
      <c r="N52" s="422" t="str">
        <f>IF(A52="","",VLOOKUP($A52,非_まとめ表行番号!$Q$3:$S$8,3,FALSE))</f>
        <v/>
      </c>
      <c r="O52" s="489" t="str">
        <f>IF(A52="","",VLOOKUP(M52,非_まとめ表行番号!$U$3:$V$56,2,FALSE))</f>
        <v/>
      </c>
      <c r="P52" s="479" t="str">
        <f t="shared" si="5"/>
        <v/>
      </c>
      <c r="Q52" s="485" t="b">
        <f t="shared" si="6"/>
        <v>1</v>
      </c>
    </row>
    <row r="53" spans="1:17">
      <c r="A53" s="466"/>
      <c r="B53" s="467"/>
      <c r="C53" s="571"/>
      <c r="D53" s="579" t="str">
        <f t="shared" si="0"/>
        <v/>
      </c>
      <c r="E53" s="574" t="str">
        <f t="shared" si="1"/>
        <v/>
      </c>
      <c r="G53" s="422" t="str">
        <f t="shared" si="11"/>
        <v/>
      </c>
      <c r="H53" s="422" t="str">
        <f t="shared" si="12"/>
        <v/>
      </c>
      <c r="I53" s="422" t="str">
        <f>IF(H53="","",IF(H53="電気",非_電気事業者!$S$5*1000,IF(H53="熱",非_熱供給事業者!$T$4,"")))</f>
        <v/>
      </c>
      <c r="J53" s="422" t="str">
        <f>IF(B53="","",VLOOKUP(B53,非_単位補正換算!$B$3:$C$16,2,FALSE))</f>
        <v/>
      </c>
      <c r="K53" s="422" t="str">
        <f t="shared" si="13"/>
        <v/>
      </c>
      <c r="L53" s="422" t="str">
        <f t="shared" si="14"/>
        <v/>
      </c>
      <c r="M53" s="422" t="str">
        <f>IF(A53="","",VLOOKUP($A53,非_まとめ表行番号!$Q$3:$S$8,2,FALSE))</f>
        <v/>
      </c>
      <c r="N53" s="422" t="str">
        <f>IF(A53="","",VLOOKUP($A53,非_まとめ表行番号!$Q$3:$S$8,3,FALSE))</f>
        <v/>
      </c>
      <c r="O53" s="489" t="str">
        <f>IF(A53="","",VLOOKUP(M53,非_まとめ表行番号!$U$3:$V$56,2,FALSE))</f>
        <v/>
      </c>
      <c r="P53" s="479" t="str">
        <f t="shared" si="5"/>
        <v/>
      </c>
      <c r="Q53" s="485" t="b">
        <f t="shared" si="6"/>
        <v>1</v>
      </c>
    </row>
    <row r="54" spans="1:17">
      <c r="A54" s="466"/>
      <c r="B54" s="467"/>
      <c r="C54" s="571"/>
      <c r="D54" s="579" t="str">
        <f t="shared" si="0"/>
        <v/>
      </c>
      <c r="E54" s="574" t="str">
        <f t="shared" si="1"/>
        <v/>
      </c>
      <c r="G54" s="422" t="str">
        <f t="shared" ref="G54:G55" si="15">IF(A54="","",IF(LEFT(A54,5)="森林吸収量","森林吸収量_単位",A54&amp;"_単位"))</f>
        <v/>
      </c>
      <c r="H54" s="422" t="str">
        <f t="shared" ref="H54:H55" si="16">IF(A54="","",IF(LEFT(A54,5)="森林吸収量","森林吸収量",IF(A54="グリーン熱証書","熱","電気")))</f>
        <v/>
      </c>
      <c r="I54" s="422" t="str">
        <f>IF(H54="","",IF(H54="電気",非_電気事業者!$S$5*1000,IF(H54="熱",非_熱供給事業者!$T$4,"")))</f>
        <v/>
      </c>
      <c r="J54" s="422" t="str">
        <f>IF(B54="","",VLOOKUP(B54,非_単位補正換算!$B$3:$C$16,2,FALSE))</f>
        <v/>
      </c>
      <c r="K54" s="422" t="str">
        <f t="shared" ref="K54:K55" si="17">IF(C54="","",IF(J54="","",C54/J54))</f>
        <v/>
      </c>
      <c r="L54" s="422" t="str">
        <f t="shared" ref="L54:L55" si="18">IF(H54="","",IF(H54="森林吸収量","削減量を入力",IF(K54="","",K54*I54)))</f>
        <v/>
      </c>
      <c r="M54" s="422" t="str">
        <f>IF(A54="","",VLOOKUP($A54,非_まとめ表行番号!$Q$3:$S$8,2,FALSE))</f>
        <v/>
      </c>
      <c r="N54" s="422" t="str">
        <f>IF(A54="","",VLOOKUP($A54,非_まとめ表行番号!$Q$3:$S$8,3,FALSE))</f>
        <v/>
      </c>
      <c r="O54" s="489" t="str">
        <f>IF(A54="","",VLOOKUP(M54,非_まとめ表行番号!$U$3:$V$56,2,FALSE))</f>
        <v/>
      </c>
      <c r="P54" s="479" t="str">
        <f t="shared" si="5"/>
        <v/>
      </c>
      <c r="Q54" s="485" t="b">
        <f t="shared" si="6"/>
        <v>1</v>
      </c>
    </row>
    <row r="55" spans="1:17">
      <c r="A55" s="466"/>
      <c r="B55" s="467"/>
      <c r="C55" s="571"/>
      <c r="D55" s="579" t="str">
        <f t="shared" si="0"/>
        <v/>
      </c>
      <c r="E55" s="574" t="str">
        <f t="shared" si="1"/>
        <v/>
      </c>
      <c r="G55" s="422" t="str">
        <f t="shared" si="15"/>
        <v/>
      </c>
      <c r="H55" s="422" t="str">
        <f t="shared" si="16"/>
        <v/>
      </c>
      <c r="I55" s="422" t="str">
        <f>IF(H55="","",IF(H55="電気",非_電気事業者!$S$5*1000,IF(H55="熱",非_熱供給事業者!$T$4,"")))</f>
        <v/>
      </c>
      <c r="J55" s="422" t="str">
        <f>IF(B55="","",VLOOKUP(B55,非_単位補正換算!$B$3:$C$16,2,FALSE))</f>
        <v/>
      </c>
      <c r="K55" s="422" t="str">
        <f t="shared" si="17"/>
        <v/>
      </c>
      <c r="L55" s="422" t="str">
        <f t="shared" si="18"/>
        <v/>
      </c>
      <c r="M55" s="422" t="str">
        <f>IF(A55="","",VLOOKUP($A55,非_まとめ表行番号!$Q$3:$S$8,2,FALSE))</f>
        <v/>
      </c>
      <c r="N55" s="422" t="str">
        <f>IF(A55="","",VLOOKUP($A55,非_まとめ表行番号!$Q$3:$S$8,3,FALSE))</f>
        <v/>
      </c>
      <c r="O55" s="489" t="str">
        <f>IF(A55="","",VLOOKUP(M55,非_まとめ表行番号!$U$3:$V$56,2,FALSE))</f>
        <v/>
      </c>
      <c r="P55" s="479" t="str">
        <f t="shared" si="5"/>
        <v/>
      </c>
      <c r="Q55" s="485" t="b">
        <f t="shared" si="6"/>
        <v>1</v>
      </c>
    </row>
    <row r="56" spans="1:17">
      <c r="A56" s="466"/>
      <c r="B56" s="467"/>
      <c r="C56" s="571"/>
      <c r="D56" s="579" t="str">
        <f t="shared" si="0"/>
        <v/>
      </c>
      <c r="E56" s="574" t="str">
        <f t="shared" si="1"/>
        <v/>
      </c>
      <c r="G56" s="422" t="str">
        <f t="shared" si="7"/>
        <v/>
      </c>
      <c r="H56" s="422" t="str">
        <f t="shared" si="8"/>
        <v/>
      </c>
      <c r="I56" s="422" t="str">
        <f>IF(H56="","",IF(H56="電気",非_電気事業者!$S$5*1000,IF(H56="熱",非_熱供給事業者!$T$4,"")))</f>
        <v/>
      </c>
      <c r="J56" s="422" t="str">
        <f>IF(B56="","",VLOOKUP(B56,非_単位補正換算!$B$3:$C$16,2,FALSE))</f>
        <v/>
      </c>
      <c r="K56" s="422" t="str">
        <f t="shared" si="9"/>
        <v/>
      </c>
      <c r="L56" s="422" t="str">
        <f t="shared" si="10"/>
        <v/>
      </c>
      <c r="M56" s="422" t="str">
        <f>IF(A56="","",VLOOKUP($A56,非_まとめ表行番号!$Q$3:$S$8,2,FALSE))</f>
        <v/>
      </c>
      <c r="N56" s="422" t="str">
        <f>IF(A56="","",VLOOKUP($A56,非_まとめ表行番号!$Q$3:$S$8,3,FALSE))</f>
        <v/>
      </c>
      <c r="O56" s="489" t="str">
        <f>IF(A56="","",VLOOKUP(M56,非_まとめ表行番号!$U$3:$V$56,2,FALSE))</f>
        <v/>
      </c>
      <c r="P56" s="479" t="str">
        <f t="shared" si="5"/>
        <v/>
      </c>
      <c r="Q56" s="485" t="b">
        <f t="shared" si="6"/>
        <v>1</v>
      </c>
    </row>
    <row r="57" spans="1:17">
      <c r="A57" s="466"/>
      <c r="B57" s="467"/>
      <c r="C57" s="571"/>
      <c r="D57" s="579" t="str">
        <f t="shared" si="0"/>
        <v/>
      </c>
      <c r="E57" s="574" t="str">
        <f t="shared" si="1"/>
        <v/>
      </c>
      <c r="G57" s="422" t="str">
        <f t="shared" si="7"/>
        <v/>
      </c>
      <c r="H57" s="422" t="str">
        <f t="shared" si="8"/>
        <v/>
      </c>
      <c r="I57" s="422" t="str">
        <f>IF(H57="","",IF(H57="電気",非_電気事業者!$S$5*1000,IF(H57="熱",非_熱供給事業者!$T$4,"")))</f>
        <v/>
      </c>
      <c r="J57" s="422" t="str">
        <f>IF(B57="","",VLOOKUP(B57,非_単位補正換算!$B$3:$C$16,2,FALSE))</f>
        <v/>
      </c>
      <c r="K57" s="422" t="str">
        <f t="shared" si="9"/>
        <v/>
      </c>
      <c r="L57" s="422" t="str">
        <f t="shared" si="10"/>
        <v/>
      </c>
      <c r="M57" s="422" t="str">
        <f>IF(A57="","",VLOOKUP($A57,非_まとめ表行番号!$Q$3:$S$8,2,FALSE))</f>
        <v/>
      </c>
      <c r="N57" s="422" t="str">
        <f>IF(A57="","",VLOOKUP($A57,非_まとめ表行番号!$Q$3:$S$8,3,FALSE))</f>
        <v/>
      </c>
      <c r="O57" s="489" t="str">
        <f>IF(A57="","",VLOOKUP(M57,非_まとめ表行番号!$U$3:$V$56,2,FALSE))</f>
        <v/>
      </c>
      <c r="P57" s="479" t="str">
        <f t="shared" si="5"/>
        <v/>
      </c>
      <c r="Q57" s="485" t="b">
        <f t="shared" si="6"/>
        <v>1</v>
      </c>
    </row>
    <row r="58" spans="1:17" ht="18.75" thickBot="1">
      <c r="A58" s="473"/>
      <c r="B58" s="373"/>
      <c r="C58" s="572"/>
      <c r="D58" s="553" t="str">
        <f t="shared" si="0"/>
        <v/>
      </c>
      <c r="E58" s="575" t="str">
        <f t="shared" si="1"/>
        <v/>
      </c>
      <c r="G58" s="422" t="str">
        <f t="shared" si="7"/>
        <v/>
      </c>
      <c r="H58" s="422" t="str">
        <f t="shared" si="8"/>
        <v/>
      </c>
      <c r="I58" s="422" t="str">
        <f>IF(H58="","",IF(H58="電気",非_電気事業者!$S$5*1000,IF(H58="熱",非_熱供給事業者!$T$4,"")))</f>
        <v/>
      </c>
      <c r="J58" s="422" t="str">
        <f>IF(B58="","",VLOOKUP(B58,非_単位補正換算!$B$3:$C$16,2,FALSE))</f>
        <v/>
      </c>
      <c r="K58" s="422" t="str">
        <f t="shared" si="9"/>
        <v/>
      </c>
      <c r="L58" s="422" t="str">
        <f t="shared" si="10"/>
        <v/>
      </c>
      <c r="M58" s="422" t="str">
        <f>IF(A58="","",VLOOKUP($A58,非_まとめ表行番号!$Q$3:$S$8,2,FALSE))</f>
        <v/>
      </c>
      <c r="N58" s="422" t="str">
        <f>IF(A58="","",VLOOKUP($A58,非_まとめ表行番号!$Q$3:$S$8,3,FALSE))</f>
        <v/>
      </c>
      <c r="O58" s="489" t="str">
        <f>IF(A58="","",VLOOKUP(M58,非_まとめ表行番号!$U$3:$V$56,2,FALSE))</f>
        <v/>
      </c>
      <c r="P58" s="479" t="str">
        <f t="shared" si="5"/>
        <v/>
      </c>
      <c r="Q58" s="485" t="b">
        <f t="shared" si="6"/>
        <v>1</v>
      </c>
    </row>
    <row r="59" spans="1:17">
      <c r="A59" s="52"/>
      <c r="B59" s="52"/>
      <c r="C59" s="52"/>
      <c r="D59" s="52"/>
      <c r="E59" s="384" t="s">
        <v>907</v>
      </c>
    </row>
  </sheetData>
  <sheetProtection algorithmName="SHA-512" hashValue="TnK91ATzlVJuIMBHqWrWZYdewP0SmKl2hKnpf8LGfxolpE0HP6S45M81dTqWA8DMfbw0dJIs7DTsGz5ce5H/Bg==" saltValue="1ODXvosXcLu7KTr7lCtDwA==" spinCount="100000" sheet="1" objects="1" scenarios="1"/>
  <phoneticPr fontId="5"/>
  <conditionalFormatting sqref="B6:D58">
    <cfRule type="expression" dxfId="1" priority="3">
      <formula>LEFT($A6,5)="森林吸収量"</formula>
    </cfRule>
  </conditionalFormatting>
  <conditionalFormatting sqref="E6:E58">
    <cfRule type="expression" dxfId="0" priority="1">
      <formula>$Q6=FALSE</formula>
    </cfRule>
  </conditionalFormatting>
  <dataValidations count="3">
    <dataValidation type="list" allowBlank="1" showInputMessage="1" showErrorMessage="1" sqref="B6:B58" xr:uid="{00000000-0002-0000-0800-000000000000}">
      <formula1>INDIRECT(G6)</formula1>
    </dataValidation>
    <dataValidation imeMode="disabled" allowBlank="1" showInputMessage="1" showErrorMessage="1" sqref="E6:E58 C6:C58" xr:uid="{00000000-0002-0000-0800-000001000000}"/>
    <dataValidation type="list" allowBlank="1" showInputMessage="1" showErrorMessage="1" sqref="A6:A58" xr:uid="{00000000-0002-0000-0800-000002000000}">
      <formula1>INDIRECT($G$3)</formula1>
    </dataValidation>
  </dataValidations>
  <pageMargins left="0.78740157480314965" right="0.59055118110236227" top="0.78740157480314965" bottom="0.59055118110236227" header="0.31496062992125984" footer="0.31496062992125984"/>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N109"/>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4.125" defaultRowHeight="18" outlineLevelCol="1"/>
  <cols>
    <col min="1" max="2" width="6.25" style="430" customWidth="1"/>
    <col min="3" max="3" width="19.125" style="430" customWidth="1"/>
    <col min="4" max="5" width="35.625" style="430" customWidth="1"/>
    <col min="6" max="6" width="14.625" style="430" customWidth="1"/>
    <col min="7" max="7" width="10.25" style="430" customWidth="1"/>
    <col min="8" max="8" width="15.5" style="430" customWidth="1"/>
    <col min="9" max="9" width="17.875" style="430" customWidth="1"/>
    <col min="10" max="10" width="18.875" style="430" customWidth="1"/>
    <col min="11" max="11" width="23.5" style="430" customWidth="1"/>
    <col min="12" max="12" width="9" style="430" customWidth="1"/>
    <col min="13" max="13" width="14.25" style="430" hidden="1" customWidth="1" outlineLevel="1"/>
    <col min="14" max="14" width="9" style="430" customWidth="1" collapsed="1"/>
    <col min="15" max="247" width="9" style="430" customWidth="1"/>
    <col min="248" max="248" width="1.625" style="430" customWidth="1"/>
    <col min="249" max="249" width="1.875" style="430" customWidth="1"/>
    <col min="250" max="16384" width="4.125" style="430"/>
  </cols>
  <sheetData>
    <row r="1" spans="1:13">
      <c r="A1" s="3" t="s">
        <v>944</v>
      </c>
      <c r="B1" s="4"/>
      <c r="C1" s="4"/>
      <c r="D1" s="4"/>
      <c r="E1" s="4"/>
      <c r="F1" s="4"/>
      <c r="G1" s="4"/>
      <c r="H1" s="110"/>
      <c r="I1" s="110"/>
      <c r="J1" s="109" t="s">
        <v>0</v>
      </c>
      <c r="K1" s="179" t="str">
        <f>IF(事業所概要_算定体制!D13="","",事業所概要_算定体制!D13)</f>
        <v/>
      </c>
    </row>
    <row r="2" spans="1:13">
      <c r="A2" s="811" t="s">
        <v>945</v>
      </c>
      <c r="B2" s="811"/>
      <c r="C2" s="811"/>
      <c r="D2" s="811"/>
      <c r="E2" s="811"/>
      <c r="F2" s="4"/>
      <c r="G2" s="4"/>
      <c r="H2" s="4"/>
      <c r="I2" s="4"/>
      <c r="J2" s="4"/>
      <c r="K2" s="165" t="str">
        <f>CONCATENATE(事業所概要_算定体制!$B$3,事業所概要_算定体制!$C$3,"年度")</f>
        <v>令和７年度</v>
      </c>
    </row>
    <row r="3" spans="1:13" ht="23.25" customHeight="1" thickBot="1">
      <c r="A3" s="4"/>
      <c r="B3" s="4"/>
      <c r="C3" s="4"/>
      <c r="D3" s="4"/>
      <c r="E3" s="4"/>
      <c r="F3" s="5"/>
      <c r="G3" s="4"/>
      <c r="H3" s="780"/>
      <c r="I3" s="780"/>
      <c r="J3" s="780"/>
      <c r="K3" s="6"/>
      <c r="M3" s="487" t="s">
        <v>976</v>
      </c>
    </row>
    <row r="4" spans="1:13" ht="54" customHeight="1">
      <c r="A4" s="7"/>
      <c r="B4" s="721" t="s">
        <v>1</v>
      </c>
      <c r="C4" s="781"/>
      <c r="D4" s="781"/>
      <c r="E4" s="782"/>
      <c r="F4" s="786" t="s">
        <v>265</v>
      </c>
      <c r="G4" s="787"/>
      <c r="H4" s="8" t="s">
        <v>2</v>
      </c>
      <c r="I4" s="171" t="s">
        <v>51</v>
      </c>
      <c r="J4" s="171" t="s">
        <v>52</v>
      </c>
      <c r="K4" s="117" t="s">
        <v>3</v>
      </c>
      <c r="M4" s="488" t="s">
        <v>975</v>
      </c>
    </row>
    <row r="5" spans="1:13" ht="33" customHeight="1" thickBot="1">
      <c r="A5" s="10"/>
      <c r="B5" s="783"/>
      <c r="C5" s="784"/>
      <c r="D5" s="784"/>
      <c r="E5" s="785"/>
      <c r="F5" s="11"/>
      <c r="G5" s="12"/>
      <c r="H5" s="33" t="s">
        <v>7</v>
      </c>
      <c r="I5" s="120" t="s">
        <v>8</v>
      </c>
      <c r="J5" s="120" t="s">
        <v>8</v>
      </c>
      <c r="K5" s="13" t="s">
        <v>177</v>
      </c>
    </row>
    <row r="6" spans="1:13" ht="30.2" customHeight="1">
      <c r="A6" s="789" t="s">
        <v>267</v>
      </c>
      <c r="B6" s="792" t="s">
        <v>185</v>
      </c>
      <c r="C6" s="794" t="s">
        <v>9</v>
      </c>
      <c r="D6" s="625"/>
      <c r="E6" s="795"/>
      <c r="F6" s="311" t="str">
        <f>IF(COUNTIFS(燃料!$W:$W,ROW())=0,"",ROUND(SUMIFS(燃料!$T:$T,燃料!$W:$W,ROW()),0))</f>
        <v/>
      </c>
      <c r="G6" s="312" t="s">
        <v>8</v>
      </c>
      <c r="H6" s="313" t="str">
        <f>IF(COUNTIFS(燃料!$W:$W,ROW())=0,"",SUMIFS(燃料!$U:$U,燃料!$W:$W,ROW()))</f>
        <v/>
      </c>
      <c r="I6" s="313" t="str">
        <f>IF(H6="","",H6*0.0258)</f>
        <v/>
      </c>
      <c r="J6" s="313" t="str">
        <f>IF(H6="","",H6*0.0258)</f>
        <v/>
      </c>
      <c r="K6" s="314" t="str">
        <f>IF(COUNTIFS(燃料!$W:$W,ROW())=0,"",SUMIFS(燃料!$V:$V,燃料!$W:$W,ROW()))</f>
        <v/>
      </c>
      <c r="M6" s="487" t="str">
        <f>IF(COUNTIFS(燃料!$W:$W,ROW())=0,"",SUMIFS(燃料!$T:$T,燃料!$W:$W,ROW()))</f>
        <v/>
      </c>
    </row>
    <row r="7" spans="1:13" ht="30.2" customHeight="1">
      <c r="A7" s="790"/>
      <c r="B7" s="793"/>
      <c r="C7" s="612" t="s">
        <v>10</v>
      </c>
      <c r="D7" s="613"/>
      <c r="E7" s="788"/>
      <c r="F7" s="311" t="str">
        <f>IF(COUNTIFS(燃料!$W:$W,ROW())=0,"",ROUND(SUMIFS(燃料!$T:$T,燃料!$W:$W,ROW()),0))</f>
        <v/>
      </c>
      <c r="G7" s="315" t="s">
        <v>8</v>
      </c>
      <c r="H7" s="313" t="str">
        <f>IF(COUNTIFS(燃料!$W:$W,ROW())=0,"",SUMIFS(燃料!$U:$U,燃料!$W:$W,ROW()))</f>
        <v/>
      </c>
      <c r="I7" s="313" t="str">
        <f t="shared" ref="I7:I44" si="0">IF(H7="","",H7*0.0258)</f>
        <v/>
      </c>
      <c r="J7" s="313" t="str">
        <f t="shared" ref="J7:J32" si="1">IF(H7="","",H7*0.0258)</f>
        <v/>
      </c>
      <c r="K7" s="314" t="str">
        <f>IF(COUNTIFS(燃料!$W:$W,ROW())=0,"",SUMIFS(燃料!$V:$V,燃料!$W:$W,ROW()))</f>
        <v/>
      </c>
      <c r="M7" s="487" t="str">
        <f>IF(COUNTIFS(燃料!$W:$W,ROW())=0,"",SUMIFS(燃料!$T:$T,燃料!$W:$W,ROW()))</f>
        <v/>
      </c>
    </row>
    <row r="8" spans="1:13" ht="30.2" customHeight="1">
      <c r="A8" s="790"/>
      <c r="B8" s="793"/>
      <c r="C8" s="612" t="s">
        <v>11</v>
      </c>
      <c r="D8" s="613"/>
      <c r="E8" s="788"/>
      <c r="F8" s="311" t="str">
        <f>IF(COUNTIFS(燃料!$W:$W,ROW())=0,"",ROUND(SUMIFS(燃料!$T:$T,燃料!$W:$W,ROW()),0))</f>
        <v/>
      </c>
      <c r="G8" s="315" t="s">
        <v>8</v>
      </c>
      <c r="H8" s="313" t="str">
        <f>IF(COUNTIFS(燃料!$W:$W,ROW())=0,"",SUMIFS(燃料!$U:$U,燃料!$W:$W,ROW()))</f>
        <v/>
      </c>
      <c r="I8" s="313" t="str">
        <f t="shared" si="0"/>
        <v/>
      </c>
      <c r="J8" s="313" t="str">
        <f t="shared" si="1"/>
        <v/>
      </c>
      <c r="K8" s="314" t="str">
        <f>IF(COUNTIFS(燃料!$W:$W,ROW())=0,"",SUMIFS(燃料!$V:$V,燃料!$W:$W,ROW()))</f>
        <v/>
      </c>
      <c r="M8" s="487" t="str">
        <f>IF(COUNTIFS(燃料!$W:$W,ROW())=0,"",SUMIFS(燃料!$T:$T,燃料!$W:$W,ROW()))</f>
        <v/>
      </c>
    </row>
    <row r="9" spans="1:13" ht="30.2" customHeight="1">
      <c r="A9" s="790"/>
      <c r="B9" s="793"/>
      <c r="C9" s="612" t="s">
        <v>13</v>
      </c>
      <c r="D9" s="613"/>
      <c r="E9" s="788"/>
      <c r="F9" s="311" t="str">
        <f>IF(COUNTIFS(燃料!$W:$W,ROW())=0,"",ROUND(SUMIFS(燃料!$T:$T,燃料!$W:$W,ROW()),0))</f>
        <v/>
      </c>
      <c r="G9" s="315" t="s">
        <v>8</v>
      </c>
      <c r="H9" s="313" t="str">
        <f>IF(COUNTIFS(燃料!$W:$W,ROW())=0,"",SUMIFS(燃料!$U:$U,燃料!$W:$W,ROW()))</f>
        <v/>
      </c>
      <c r="I9" s="313" t="str">
        <f t="shared" si="0"/>
        <v/>
      </c>
      <c r="J9" s="313" t="str">
        <f t="shared" si="1"/>
        <v/>
      </c>
      <c r="K9" s="314" t="str">
        <f>IF(COUNTIFS(燃料!$W:$W,ROW())=0,"",SUMIFS(燃料!$V:$V,燃料!$W:$W,ROW()))</f>
        <v/>
      </c>
      <c r="M9" s="487" t="str">
        <f>IF(COUNTIFS(燃料!$W:$W,ROW())=0,"",SUMIFS(燃料!$T:$T,燃料!$W:$W,ROW()))</f>
        <v/>
      </c>
    </row>
    <row r="10" spans="1:13" ht="30.2" customHeight="1">
      <c r="A10" s="790"/>
      <c r="B10" s="793"/>
      <c r="C10" s="612" t="s">
        <v>14</v>
      </c>
      <c r="D10" s="613"/>
      <c r="E10" s="788"/>
      <c r="F10" s="311" t="str">
        <f>IF(COUNTIFS(燃料!$W:$W,ROW())=0,"",ROUND(SUMIFS(燃料!$T:$T,燃料!$W:$W,ROW()),0))</f>
        <v/>
      </c>
      <c r="G10" s="315" t="s">
        <v>8</v>
      </c>
      <c r="H10" s="313" t="str">
        <f>IF(COUNTIFS(燃料!$W:$W,ROW())=0,"",SUMIFS(燃料!$U:$U,燃料!$W:$W,ROW()))</f>
        <v/>
      </c>
      <c r="I10" s="313" t="str">
        <f t="shared" si="0"/>
        <v/>
      </c>
      <c r="J10" s="313" t="str">
        <f t="shared" si="1"/>
        <v/>
      </c>
      <c r="K10" s="314" t="str">
        <f>IF(COUNTIFS(燃料!$W:$W,ROW())=0,"",SUMIFS(燃料!$V:$V,燃料!$W:$W,ROW()))</f>
        <v/>
      </c>
      <c r="M10" s="487" t="str">
        <f>IF(COUNTIFS(燃料!$W:$W,ROW())=0,"",SUMIFS(燃料!$T:$T,燃料!$W:$W,ROW()))</f>
        <v/>
      </c>
    </row>
    <row r="11" spans="1:13" ht="30.2" customHeight="1">
      <c r="A11" s="790"/>
      <c r="B11" s="793"/>
      <c r="C11" s="612" t="s">
        <v>15</v>
      </c>
      <c r="D11" s="613"/>
      <c r="E11" s="788"/>
      <c r="F11" s="311" t="str">
        <f>IF(COUNTIFS(燃料!$W:$W,ROW())=0,"",ROUND(SUMIFS(燃料!$T:$T,燃料!$W:$W,ROW()),0))</f>
        <v/>
      </c>
      <c r="G11" s="315" t="s">
        <v>8</v>
      </c>
      <c r="H11" s="313" t="str">
        <f>IF(COUNTIFS(燃料!$W:$W,ROW())=0,"",SUMIFS(燃料!$U:$U,燃料!$W:$W,ROW()))</f>
        <v/>
      </c>
      <c r="I11" s="313" t="str">
        <f t="shared" si="0"/>
        <v/>
      </c>
      <c r="J11" s="313" t="str">
        <f t="shared" si="1"/>
        <v/>
      </c>
      <c r="K11" s="314" t="str">
        <f>IF(COUNTIFS(燃料!$W:$W,ROW())=0,"",SUMIFS(燃料!$V:$V,燃料!$W:$W,ROW()))</f>
        <v/>
      </c>
      <c r="M11" s="487" t="str">
        <f>IF(COUNTIFS(燃料!$W:$W,ROW())=0,"",SUMIFS(燃料!$T:$T,燃料!$W:$W,ROW()))</f>
        <v/>
      </c>
    </row>
    <row r="12" spans="1:13" ht="30.2" customHeight="1">
      <c r="A12" s="790"/>
      <c r="B12" s="793"/>
      <c r="C12" s="612" t="s">
        <v>16</v>
      </c>
      <c r="D12" s="613"/>
      <c r="E12" s="788"/>
      <c r="F12" s="311" t="str">
        <f>IF(COUNTIFS(燃料!$W:$W,ROW())=0,"",ROUND(SUMIFS(燃料!$T:$T,燃料!$W:$W,ROW()),0))</f>
        <v/>
      </c>
      <c r="G12" s="315" t="s">
        <v>8</v>
      </c>
      <c r="H12" s="313" t="str">
        <f>IF(COUNTIFS(燃料!$W:$W,ROW())=0,"",SUMIFS(燃料!$U:$U,燃料!$W:$W,ROW()))</f>
        <v/>
      </c>
      <c r="I12" s="313" t="str">
        <f t="shared" si="0"/>
        <v/>
      </c>
      <c r="J12" s="313" t="str">
        <f t="shared" si="1"/>
        <v/>
      </c>
      <c r="K12" s="314" t="str">
        <f>IF(COUNTIFS(燃料!$W:$W,ROW())=0,"",SUMIFS(燃料!$V:$V,燃料!$W:$W,ROW()))</f>
        <v/>
      </c>
      <c r="M12" s="487" t="str">
        <f>IF(COUNTIFS(燃料!$W:$W,ROW())=0,"",SUMIFS(燃料!$T:$T,燃料!$W:$W,ROW()))</f>
        <v/>
      </c>
    </row>
    <row r="13" spans="1:13" ht="30.2" customHeight="1">
      <c r="A13" s="790"/>
      <c r="B13" s="793"/>
      <c r="C13" s="612" t="s">
        <v>17</v>
      </c>
      <c r="D13" s="613"/>
      <c r="E13" s="788"/>
      <c r="F13" s="311" t="str">
        <f>IF(COUNTIFS(燃料!$W:$W,ROW())=0,"",ROUND(SUMIFS(燃料!$T:$T,燃料!$W:$W,ROW()),0))</f>
        <v/>
      </c>
      <c r="G13" s="315" t="s">
        <v>8</v>
      </c>
      <c r="H13" s="313" t="str">
        <f>IF(COUNTIFS(燃料!$W:$W,ROW())=0,"",SUMIFS(燃料!$U:$U,燃料!$W:$W,ROW()))</f>
        <v/>
      </c>
      <c r="I13" s="313" t="str">
        <f t="shared" si="0"/>
        <v/>
      </c>
      <c r="J13" s="313" t="str">
        <f t="shared" si="1"/>
        <v/>
      </c>
      <c r="K13" s="314" t="str">
        <f>IF(COUNTIFS(燃料!$W:$W,ROW())=0,"",SUMIFS(燃料!$V:$V,燃料!$W:$W,ROW()))</f>
        <v/>
      </c>
      <c r="M13" s="487" t="str">
        <f>IF(COUNTIFS(燃料!$W:$W,ROW())=0,"",SUMIFS(燃料!$T:$T,燃料!$W:$W,ROW()))</f>
        <v/>
      </c>
    </row>
    <row r="14" spans="1:13" ht="30.2" customHeight="1">
      <c r="A14" s="790"/>
      <c r="B14" s="793"/>
      <c r="C14" s="612" t="s">
        <v>18</v>
      </c>
      <c r="D14" s="613"/>
      <c r="E14" s="788"/>
      <c r="F14" s="311" t="str">
        <f>IF(COUNTIFS(燃料!$W:$W,ROW())=0,"",ROUND(SUMIFS(燃料!$T:$T,燃料!$W:$W,ROW()),0))</f>
        <v/>
      </c>
      <c r="G14" s="315" t="s">
        <v>19</v>
      </c>
      <c r="H14" s="313" t="str">
        <f>IF(COUNTIFS(燃料!$W:$W,ROW())=0,"",SUMIFS(燃料!$U:$U,燃料!$W:$W,ROW()))</f>
        <v/>
      </c>
      <c r="I14" s="313" t="str">
        <f t="shared" si="0"/>
        <v/>
      </c>
      <c r="J14" s="313" t="str">
        <f t="shared" si="1"/>
        <v/>
      </c>
      <c r="K14" s="314" t="str">
        <f>IF(COUNTIFS(燃料!$W:$W,ROW())=0,"",SUMIFS(燃料!$V:$V,燃料!$W:$W,ROW()))</f>
        <v/>
      </c>
      <c r="M14" s="487" t="str">
        <f>IF(COUNTIFS(燃料!$W:$W,ROW())=0,"",SUMIFS(燃料!$T:$T,燃料!$W:$W,ROW()))</f>
        <v/>
      </c>
    </row>
    <row r="15" spans="1:13" ht="30.2" customHeight="1">
      <c r="A15" s="790"/>
      <c r="B15" s="793"/>
      <c r="C15" s="612" t="s">
        <v>20</v>
      </c>
      <c r="D15" s="613"/>
      <c r="E15" s="788"/>
      <c r="F15" s="311" t="str">
        <f>IF(COUNTIFS(燃料!$W:$W,ROW())=0,"",ROUND(SUMIFS(燃料!$T:$T,燃料!$W:$W,ROW()),0))</f>
        <v/>
      </c>
      <c r="G15" s="315" t="s">
        <v>19</v>
      </c>
      <c r="H15" s="313" t="str">
        <f>IF(COUNTIFS(燃料!$W:$W,ROW())=0,"",SUMIFS(燃料!$U:$U,燃料!$W:$W,ROW()))</f>
        <v/>
      </c>
      <c r="I15" s="313" t="str">
        <f t="shared" si="0"/>
        <v/>
      </c>
      <c r="J15" s="313" t="str">
        <f t="shared" si="1"/>
        <v/>
      </c>
      <c r="K15" s="314" t="str">
        <f>IF(COUNTIFS(燃料!$W:$W,ROW())=0,"",SUMIFS(燃料!$V:$V,燃料!$W:$W,ROW()))</f>
        <v/>
      </c>
      <c r="M15" s="487" t="str">
        <f>IF(COUNTIFS(燃料!$W:$W,ROW())=0,"",SUMIFS(燃料!$T:$T,燃料!$W:$W,ROW()))</f>
        <v/>
      </c>
    </row>
    <row r="16" spans="1:13" ht="30.2" customHeight="1">
      <c r="A16" s="790"/>
      <c r="B16" s="793"/>
      <c r="C16" s="809" t="s">
        <v>21</v>
      </c>
      <c r="D16" s="612" t="s">
        <v>22</v>
      </c>
      <c r="E16" s="788"/>
      <c r="F16" s="311" t="str">
        <f>IF(COUNTIFS(燃料!$W:$W,ROW())=0,"",ROUND(SUMIFS(燃料!$T:$T,燃料!$W:$W,ROW()),0))</f>
        <v/>
      </c>
      <c r="G16" s="315" t="s">
        <v>19</v>
      </c>
      <c r="H16" s="313" t="str">
        <f>IF(COUNTIFS(燃料!$W:$W,ROW())=0,"",SUMIFS(燃料!$U:$U,燃料!$W:$W,ROW()))</f>
        <v/>
      </c>
      <c r="I16" s="313" t="str">
        <f t="shared" si="0"/>
        <v/>
      </c>
      <c r="J16" s="313" t="str">
        <f t="shared" si="1"/>
        <v/>
      </c>
      <c r="K16" s="314" t="str">
        <f>IF(COUNTIFS(燃料!$W:$W,ROW())=0,"",SUMIFS(燃料!$V:$V,燃料!$W:$W,ROW()))</f>
        <v/>
      </c>
      <c r="M16" s="487" t="str">
        <f>IF(COUNTIFS(燃料!$W:$W,ROW())=0,"",SUMIFS(燃料!$T:$T,燃料!$W:$W,ROW()))</f>
        <v/>
      </c>
    </row>
    <row r="17" spans="1:13" ht="30.2" customHeight="1">
      <c r="A17" s="790"/>
      <c r="B17" s="793"/>
      <c r="C17" s="810"/>
      <c r="D17" s="612" t="s">
        <v>23</v>
      </c>
      <c r="E17" s="788"/>
      <c r="F17" s="311" t="str">
        <f>IF(COUNTIFS(燃料!$W:$W,ROW())=0,"",ROUND(SUMIFS(燃料!$T:$T,燃料!$W:$W,ROW()),0))</f>
        <v/>
      </c>
      <c r="G17" s="315" t="s">
        <v>287</v>
      </c>
      <c r="H17" s="313" t="str">
        <f>IF(COUNTIFS(燃料!$W:$W,ROW())=0,"",SUMIFS(燃料!$U:$U,燃料!$W:$W,ROW()))</f>
        <v/>
      </c>
      <c r="I17" s="313" t="str">
        <f t="shared" si="0"/>
        <v/>
      </c>
      <c r="J17" s="313" t="str">
        <f t="shared" si="1"/>
        <v/>
      </c>
      <c r="K17" s="314" t="str">
        <f>IF(COUNTIFS(燃料!$W:$W,ROW())=0,"",SUMIFS(燃料!$V:$V,燃料!$W:$W,ROW()))</f>
        <v/>
      </c>
      <c r="M17" s="487" t="str">
        <f>IF(COUNTIFS(燃料!$W:$W,ROW())=0,"",SUMIFS(燃料!$T:$T,燃料!$W:$W,ROW()))</f>
        <v/>
      </c>
    </row>
    <row r="18" spans="1:13" ht="30.2" customHeight="1">
      <c r="A18" s="790"/>
      <c r="B18" s="793"/>
      <c r="C18" s="818" t="s">
        <v>24</v>
      </c>
      <c r="D18" s="612" t="s">
        <v>25</v>
      </c>
      <c r="E18" s="788"/>
      <c r="F18" s="311" t="str">
        <f>IF(COUNTIFS(燃料!$W:$W,ROW())=0,"",ROUND(SUMIFS(燃料!$T:$T,燃料!$W:$W,ROW()),0))</f>
        <v/>
      </c>
      <c r="G18" s="315" t="s">
        <v>19</v>
      </c>
      <c r="H18" s="313" t="str">
        <f>IF(COUNTIFS(燃料!$W:$W,ROW())=0,"",SUMIFS(燃料!$U:$U,燃料!$W:$W,ROW()))</f>
        <v/>
      </c>
      <c r="I18" s="313" t="str">
        <f t="shared" si="0"/>
        <v/>
      </c>
      <c r="J18" s="313" t="str">
        <f t="shared" si="1"/>
        <v/>
      </c>
      <c r="K18" s="314" t="str">
        <f>IF(COUNTIFS(燃料!$W:$W,ROW())=0,"",SUMIFS(燃料!$V:$V,燃料!$W:$W,ROW()))</f>
        <v/>
      </c>
      <c r="M18" s="487" t="str">
        <f>IF(COUNTIFS(燃料!$W:$W,ROW())=0,"",SUMIFS(燃料!$T:$T,燃料!$W:$W,ROW()))</f>
        <v/>
      </c>
    </row>
    <row r="19" spans="1:13" ht="30.2" customHeight="1">
      <c r="A19" s="790"/>
      <c r="B19" s="793"/>
      <c r="C19" s="810"/>
      <c r="D19" s="612" t="s">
        <v>26</v>
      </c>
      <c r="E19" s="788"/>
      <c r="F19" s="311" t="str">
        <f>IF(COUNTIFS(燃料!$W:$W,ROW())=0,"",ROUND(SUMIFS(燃料!$T:$T,燃料!$W:$W,ROW()),0))</f>
        <v/>
      </c>
      <c r="G19" s="315" t="s">
        <v>287</v>
      </c>
      <c r="H19" s="313" t="str">
        <f>IF(COUNTIFS(燃料!$W:$W,ROW())=0,"",SUMIFS(燃料!$U:$U,燃料!$W:$W,ROW()))</f>
        <v/>
      </c>
      <c r="I19" s="313" t="str">
        <f t="shared" si="0"/>
        <v/>
      </c>
      <c r="J19" s="313" t="str">
        <f t="shared" si="1"/>
        <v/>
      </c>
      <c r="K19" s="314" t="str">
        <f>IF(COUNTIFS(燃料!$W:$W,ROW())=0,"",SUMIFS(燃料!$V:$V,燃料!$W:$W,ROW()))</f>
        <v/>
      </c>
      <c r="M19" s="487" t="str">
        <f>IF(COUNTIFS(燃料!$W:$W,ROW())=0,"",SUMIFS(燃料!$T:$T,燃料!$W:$W,ROW()))</f>
        <v/>
      </c>
    </row>
    <row r="20" spans="1:13" ht="30.2" customHeight="1">
      <c r="A20" s="790"/>
      <c r="B20" s="793"/>
      <c r="C20" s="819" t="s">
        <v>43</v>
      </c>
      <c r="D20" s="612" t="s">
        <v>44</v>
      </c>
      <c r="E20" s="788"/>
      <c r="F20" s="311" t="str">
        <f>IF(COUNTIFS(燃料!$W:$W,ROW())=0,"",ROUND(SUMIFS(燃料!$T:$T,燃料!$W:$W,ROW()),0))</f>
        <v/>
      </c>
      <c r="G20" s="315" t="s">
        <v>19</v>
      </c>
      <c r="H20" s="313" t="str">
        <f>IF(COUNTIFS(燃料!$W:$W,ROW())=0,"",SUMIFS(燃料!$U:$U,燃料!$W:$W,ROW()))</f>
        <v/>
      </c>
      <c r="I20" s="313" t="str">
        <f t="shared" si="0"/>
        <v/>
      </c>
      <c r="J20" s="313" t="str">
        <f t="shared" si="1"/>
        <v/>
      </c>
      <c r="K20" s="314" t="str">
        <f>IF(COUNTIFS(燃料!$W:$W,ROW())=0,"",SUMIFS(燃料!$V:$V,燃料!$W:$W,ROW()))</f>
        <v/>
      </c>
      <c r="M20" s="487" t="str">
        <f>IF(COUNTIFS(燃料!$W:$W,ROW())=0,"",SUMIFS(燃料!$T:$T,燃料!$W:$W,ROW()))</f>
        <v/>
      </c>
    </row>
    <row r="21" spans="1:13" ht="30.2" customHeight="1">
      <c r="A21" s="790"/>
      <c r="B21" s="793"/>
      <c r="C21" s="807"/>
      <c r="D21" s="612" t="s">
        <v>45</v>
      </c>
      <c r="E21" s="788"/>
      <c r="F21" s="311" t="str">
        <f>IF(COUNTIFS(燃料!$W:$W,ROW())=0,"",ROUND(SUMIFS(燃料!$T:$T,燃料!$W:$W,ROW()),0))</f>
        <v/>
      </c>
      <c r="G21" s="315" t="s">
        <v>19</v>
      </c>
      <c r="H21" s="313" t="str">
        <f>IF(COUNTIFS(燃料!$W:$W,ROW())=0,"",SUMIFS(燃料!$U:$U,燃料!$W:$W,ROW()))</f>
        <v/>
      </c>
      <c r="I21" s="313" t="str">
        <f t="shared" si="0"/>
        <v/>
      </c>
      <c r="J21" s="313" t="str">
        <f t="shared" si="1"/>
        <v/>
      </c>
      <c r="K21" s="314" t="str">
        <f>IF(COUNTIFS(燃料!$W:$W,ROW())=0,"",SUMIFS(燃料!$V:$V,燃料!$W:$W,ROW()))</f>
        <v/>
      </c>
      <c r="M21" s="487" t="str">
        <f>IF(COUNTIFS(燃料!$W:$W,ROW())=0,"",SUMIFS(燃料!$T:$T,燃料!$W:$W,ROW()))</f>
        <v/>
      </c>
    </row>
    <row r="22" spans="1:13" ht="30.2" customHeight="1">
      <c r="A22" s="790"/>
      <c r="B22" s="793"/>
      <c r="C22" s="808"/>
      <c r="D22" s="612" t="s">
        <v>54</v>
      </c>
      <c r="E22" s="788"/>
      <c r="F22" s="311" t="str">
        <f>IF(COUNTIFS(燃料!$W:$W,ROW())=0,"",ROUND(SUMIFS(燃料!$T:$T,燃料!$W:$W,ROW()),0))</f>
        <v/>
      </c>
      <c r="G22" s="315" t="s">
        <v>19</v>
      </c>
      <c r="H22" s="313" t="str">
        <f>IF(COUNTIFS(燃料!$W:$W,ROW())=0,"",SUMIFS(燃料!$U:$U,燃料!$W:$W,ROW()))</f>
        <v/>
      </c>
      <c r="I22" s="313" t="str">
        <f t="shared" si="0"/>
        <v/>
      </c>
      <c r="J22" s="313" t="str">
        <f t="shared" si="1"/>
        <v/>
      </c>
      <c r="K22" s="314" t="str">
        <f>IF(COUNTIFS(燃料!$W:$W,ROW())=0,"",SUMIFS(燃料!$V:$V,燃料!$W:$W,ROW()))</f>
        <v/>
      </c>
      <c r="M22" s="487" t="str">
        <f>IF(COUNTIFS(燃料!$W:$W,ROW())=0,"",SUMIFS(燃料!$T:$T,燃料!$W:$W,ROW()))</f>
        <v/>
      </c>
    </row>
    <row r="23" spans="1:13" ht="30.2" customHeight="1">
      <c r="A23" s="790"/>
      <c r="B23" s="793"/>
      <c r="C23" s="796" t="s">
        <v>46</v>
      </c>
      <c r="D23" s="612" t="s">
        <v>47</v>
      </c>
      <c r="E23" s="788"/>
      <c r="F23" s="311" t="str">
        <f>IF(COUNTIFS(燃料!$W:$W,ROW())=0,"",ROUND(SUMIFS(燃料!$T:$T,燃料!$W:$W,ROW()),0))</f>
        <v/>
      </c>
      <c r="G23" s="315" t="s">
        <v>19</v>
      </c>
      <c r="H23" s="313" t="str">
        <f>IF(COUNTIFS(燃料!$W:$W,ROW())=0,"",SUMIFS(燃料!$U:$U,燃料!$W:$W,ROW()))</f>
        <v/>
      </c>
      <c r="I23" s="313" t="str">
        <f t="shared" si="0"/>
        <v/>
      </c>
      <c r="J23" s="313" t="str">
        <f t="shared" si="1"/>
        <v/>
      </c>
      <c r="K23" s="314" t="str">
        <f>IF(COUNTIFS(燃料!$W:$W,ROW())=0,"",SUMIFS(燃料!$V:$V,燃料!$W:$W,ROW()))</f>
        <v/>
      </c>
      <c r="M23" s="487" t="str">
        <f>IF(COUNTIFS(燃料!$W:$W,ROW())=0,"",SUMIFS(燃料!$T:$T,燃料!$W:$W,ROW()))</f>
        <v/>
      </c>
    </row>
    <row r="24" spans="1:13" ht="30.2" customHeight="1">
      <c r="A24" s="790"/>
      <c r="B24" s="793"/>
      <c r="C24" s="796"/>
      <c r="D24" s="612" t="s">
        <v>48</v>
      </c>
      <c r="E24" s="788"/>
      <c r="F24" s="311" t="str">
        <f>IF(COUNTIFS(燃料!$W:$W,ROW())=0,"",ROUND(SUMIFS(燃料!$T:$T,燃料!$W:$W,ROW()),0))</f>
        <v/>
      </c>
      <c r="G24" s="315" t="s">
        <v>19</v>
      </c>
      <c r="H24" s="313" t="str">
        <f>IF(COUNTIFS(燃料!$W:$W,ROW())=0,"",SUMIFS(燃料!$U:$U,燃料!$W:$W,ROW()))</f>
        <v/>
      </c>
      <c r="I24" s="313" t="str">
        <f t="shared" si="0"/>
        <v/>
      </c>
      <c r="J24" s="313" t="str">
        <f t="shared" si="1"/>
        <v/>
      </c>
      <c r="K24" s="314" t="str">
        <f>IF(COUNTIFS(燃料!$W:$W,ROW())=0,"",SUMIFS(燃料!$V:$V,燃料!$W:$W,ROW()))</f>
        <v/>
      </c>
      <c r="M24" s="487" t="str">
        <f>IF(COUNTIFS(燃料!$W:$W,ROW())=0,"",SUMIFS(燃料!$T:$T,燃料!$W:$W,ROW()))</f>
        <v/>
      </c>
    </row>
    <row r="25" spans="1:13" ht="30.2" customHeight="1">
      <c r="A25" s="790"/>
      <c r="B25" s="793"/>
      <c r="C25" s="612" t="s">
        <v>53</v>
      </c>
      <c r="D25" s="613"/>
      <c r="E25" s="788"/>
      <c r="F25" s="311" t="str">
        <f>IF(COUNTIFS(燃料!$W:$W,ROW())=0,"",ROUND(SUMIFS(燃料!$T:$T,燃料!$W:$W,ROW()),0))</f>
        <v/>
      </c>
      <c r="G25" s="315" t="s">
        <v>19</v>
      </c>
      <c r="H25" s="313" t="str">
        <f>IF(COUNTIFS(燃料!$W:$W,ROW())=0,"",SUMIFS(燃料!$U:$U,燃料!$W:$W,ROW()))</f>
        <v/>
      </c>
      <c r="I25" s="313" t="str">
        <f t="shared" si="0"/>
        <v/>
      </c>
      <c r="J25" s="313" t="str">
        <f t="shared" si="1"/>
        <v/>
      </c>
      <c r="K25" s="314" t="str">
        <f>IF(COUNTIFS(燃料!$W:$W,ROW())=0,"",SUMIFS(燃料!$V:$V,燃料!$W:$W,ROW()))</f>
        <v/>
      </c>
      <c r="M25" s="487" t="str">
        <f>IF(COUNTIFS(燃料!$W:$W,ROW())=0,"",SUMIFS(燃料!$T:$T,燃料!$W:$W,ROW()))</f>
        <v/>
      </c>
    </row>
    <row r="26" spans="1:13" ht="30.2" customHeight="1">
      <c r="A26" s="790"/>
      <c r="B26" s="793"/>
      <c r="C26" s="612" t="s">
        <v>27</v>
      </c>
      <c r="D26" s="613"/>
      <c r="E26" s="788"/>
      <c r="F26" s="311" t="str">
        <f>IF(COUNTIFS(燃料!$W:$W,ROW())=0,"",ROUND(SUMIFS(燃料!$T:$T,燃料!$W:$W,ROW()),0))</f>
        <v/>
      </c>
      <c r="G26" s="316" t="s">
        <v>19</v>
      </c>
      <c r="H26" s="313" t="str">
        <f>IF(COUNTIFS(燃料!$W:$W,ROW())=0,"",SUMIFS(燃料!$U:$U,燃料!$W:$W,ROW()))</f>
        <v/>
      </c>
      <c r="I26" s="313" t="str">
        <f t="shared" si="0"/>
        <v/>
      </c>
      <c r="J26" s="313" t="str">
        <f t="shared" si="1"/>
        <v/>
      </c>
      <c r="K26" s="314" t="str">
        <f>IF(COUNTIFS(燃料!$W:$W,ROW())=0,"",SUMIFS(燃料!$V:$V,燃料!$W:$W,ROW()))</f>
        <v/>
      </c>
      <c r="M26" s="487" t="str">
        <f>IF(COUNTIFS(燃料!$W:$W,ROW())=0,"",SUMIFS(燃料!$T:$T,燃料!$W:$W,ROW()))</f>
        <v/>
      </c>
    </row>
    <row r="27" spans="1:13" ht="30.2" customHeight="1">
      <c r="A27" s="790"/>
      <c r="B27" s="793"/>
      <c r="C27" s="612" t="s">
        <v>28</v>
      </c>
      <c r="D27" s="613"/>
      <c r="E27" s="788"/>
      <c r="F27" s="311" t="str">
        <f>IF(COUNTIFS(燃料!$W:$W,ROW())=0,"",ROUND(SUMIFS(燃料!$T:$T,燃料!$W:$W,ROW()),0))</f>
        <v/>
      </c>
      <c r="G27" s="316" t="s">
        <v>19</v>
      </c>
      <c r="H27" s="313" t="str">
        <f>IF(COUNTIFS(燃料!$W:$W,ROW())=0,"",SUMIFS(燃料!$U:$U,燃料!$W:$W,ROW()))</f>
        <v/>
      </c>
      <c r="I27" s="313" t="str">
        <f t="shared" si="0"/>
        <v/>
      </c>
      <c r="J27" s="313" t="str">
        <f t="shared" si="1"/>
        <v/>
      </c>
      <c r="K27" s="314" t="str">
        <f>IF(COUNTIFS(燃料!$W:$W,ROW())=0,"",SUMIFS(燃料!$V:$V,燃料!$W:$W,ROW()))</f>
        <v/>
      </c>
      <c r="M27" s="487" t="str">
        <f>IF(COUNTIFS(燃料!$W:$W,ROW())=0,"",SUMIFS(燃料!$T:$T,燃料!$W:$W,ROW()))</f>
        <v/>
      </c>
    </row>
    <row r="28" spans="1:13" ht="30.2" customHeight="1">
      <c r="A28" s="790"/>
      <c r="B28" s="793"/>
      <c r="C28" s="612" t="s">
        <v>71</v>
      </c>
      <c r="D28" s="613"/>
      <c r="E28" s="788"/>
      <c r="F28" s="311" t="str">
        <f>IF(COUNTIFS(燃料!$W:$W,ROW())=0,"",ROUND(SUMIFS(燃料!$T:$T,燃料!$W:$W,ROW()),0))</f>
        <v/>
      </c>
      <c r="G28" s="315" t="s">
        <v>287</v>
      </c>
      <c r="H28" s="313" t="str">
        <f>IF(COUNTIFS(燃料!$W:$W,ROW())=0,"",SUMIFS(燃料!$U:$U,燃料!$W:$W,ROW()))</f>
        <v/>
      </c>
      <c r="I28" s="313" t="str">
        <f t="shared" si="0"/>
        <v/>
      </c>
      <c r="J28" s="313" t="str">
        <f t="shared" si="1"/>
        <v/>
      </c>
      <c r="K28" s="314" t="str">
        <f>IF(COUNTIFS(燃料!$W:$W,ROW())=0,"",SUMIFS(燃料!$V:$V,燃料!$W:$W,ROW()))</f>
        <v/>
      </c>
      <c r="M28" s="487" t="str">
        <f>IF(COUNTIFS(燃料!$W:$W,ROW())=0,"",SUMIFS(燃料!$T:$T,燃料!$W:$W,ROW()))</f>
        <v/>
      </c>
    </row>
    <row r="29" spans="1:13" ht="30.2" customHeight="1">
      <c r="A29" s="790"/>
      <c r="B29" s="793"/>
      <c r="C29" s="612" t="s">
        <v>63</v>
      </c>
      <c r="D29" s="613"/>
      <c r="E29" s="788"/>
      <c r="F29" s="311" t="str">
        <f>IF(COUNTIFS(燃料!$W:$W,ROW())=0,"",ROUND(SUMIFS(燃料!$T:$T,燃料!$W:$W,ROW()),0))</f>
        <v/>
      </c>
      <c r="G29" s="315" t="s">
        <v>287</v>
      </c>
      <c r="H29" s="313" t="str">
        <f>IF(COUNTIFS(燃料!$W:$W,ROW())=0,"",SUMIFS(燃料!$U:$U,燃料!$W:$W,ROW()))</f>
        <v/>
      </c>
      <c r="I29" s="313" t="str">
        <f t="shared" si="0"/>
        <v/>
      </c>
      <c r="J29" s="313" t="str">
        <f t="shared" si="1"/>
        <v/>
      </c>
      <c r="K29" s="314" t="str">
        <f>IF(COUNTIFS(燃料!$W:$W,ROW())=0,"",SUMIFS(燃料!$V:$V,燃料!$W:$W,ROW()))</f>
        <v/>
      </c>
      <c r="M29" s="487" t="str">
        <f>IF(COUNTIFS(燃料!$W:$W,ROW())=0,"",SUMIFS(燃料!$T:$T,燃料!$W:$W,ROW()))</f>
        <v/>
      </c>
    </row>
    <row r="30" spans="1:13" ht="30.2" customHeight="1">
      <c r="A30" s="790"/>
      <c r="B30" s="793"/>
      <c r="C30" s="612" t="s">
        <v>49</v>
      </c>
      <c r="D30" s="613"/>
      <c r="E30" s="788"/>
      <c r="F30" s="311" t="str">
        <f>IF(COUNTIFS(燃料!$W:$W,ROW())=0,"",ROUND(SUMIFS(燃料!$T:$T,燃料!$W:$W,ROW()),0))</f>
        <v/>
      </c>
      <c r="G30" s="315" t="s">
        <v>287</v>
      </c>
      <c r="H30" s="313" t="str">
        <f>IF(COUNTIFS(燃料!$W:$W,ROW())=0,"",SUMIFS(燃料!$U:$U,燃料!$W:$W,ROW()))</f>
        <v/>
      </c>
      <c r="I30" s="313" t="str">
        <f t="shared" si="0"/>
        <v/>
      </c>
      <c r="J30" s="313" t="str">
        <f t="shared" si="1"/>
        <v/>
      </c>
      <c r="K30" s="314" t="str">
        <f>IF(COUNTIFS(燃料!$W:$W,ROW())=0,"",SUMIFS(燃料!$V:$V,燃料!$W:$W,ROW()))</f>
        <v/>
      </c>
      <c r="M30" s="487" t="str">
        <f>IF(COUNTIFS(燃料!$W:$W,ROW())=0,"",SUMIFS(燃料!$T:$T,燃料!$W:$W,ROW()))</f>
        <v/>
      </c>
    </row>
    <row r="31" spans="1:13" ht="30.2" customHeight="1">
      <c r="A31" s="790"/>
      <c r="B31" s="793"/>
      <c r="C31" s="612" t="s">
        <v>30</v>
      </c>
      <c r="D31" s="613"/>
      <c r="E31" s="788"/>
      <c r="F31" s="311" t="str">
        <f>IF(COUNTIFS(燃料!$W:$W,ROW())=0,"",ROUND(SUMIFS(燃料!$T:$T,燃料!$W:$W,ROW()),0))</f>
        <v/>
      </c>
      <c r="G31" s="315" t="s">
        <v>287</v>
      </c>
      <c r="H31" s="313" t="str">
        <f>IF(COUNTIFS(燃料!$W:$W,ROW())=0,"",SUMIFS(燃料!$U:$U,燃料!$W:$W,ROW()))</f>
        <v/>
      </c>
      <c r="I31" s="313" t="str">
        <f t="shared" si="0"/>
        <v/>
      </c>
      <c r="J31" s="313" t="str">
        <f t="shared" si="1"/>
        <v/>
      </c>
      <c r="K31" s="314" t="str">
        <f>IF(COUNTIFS(燃料!$W:$W,ROW())=0,"",SUMIFS(燃料!$V:$V,燃料!$W:$W,ROW()))</f>
        <v/>
      </c>
      <c r="M31" s="487" t="str">
        <f>IF(COUNTIFS(燃料!$W:$W,ROW())=0,"",SUMIFS(燃料!$T:$T,燃料!$W:$W,ROW()))</f>
        <v/>
      </c>
    </row>
    <row r="32" spans="1:13" ht="30.2" customHeight="1">
      <c r="A32" s="790"/>
      <c r="B32" s="793"/>
      <c r="C32" s="612" t="s">
        <v>50</v>
      </c>
      <c r="D32" s="613"/>
      <c r="E32" s="788"/>
      <c r="F32" s="311" t="str">
        <f>IF(COUNTIFS(燃料!$W:$W,ROW())=0,"",ROUND(SUMIFS(燃料!$T:$T,燃料!$W:$W,ROW()),0))</f>
        <v/>
      </c>
      <c r="G32" s="315" t="s">
        <v>8</v>
      </c>
      <c r="H32" s="313" t="str">
        <f>IF(COUNTIFS(燃料!$W:$W,ROW())=0,"",SUMIFS(燃料!$U:$U,燃料!$W:$W,ROW()))</f>
        <v/>
      </c>
      <c r="I32" s="313" t="str">
        <f t="shared" si="0"/>
        <v/>
      </c>
      <c r="J32" s="313" t="str">
        <f t="shared" si="1"/>
        <v/>
      </c>
      <c r="K32" s="314" t="str">
        <f>IF(COUNTIFS(燃料!$W:$W,ROW())=0,"",SUMIFS(燃料!$V:$V,燃料!$W:$W,ROW()))</f>
        <v/>
      </c>
      <c r="M32" s="487" t="str">
        <f>IF(COUNTIFS(燃料!$W:$W,ROW())=0,"",SUMIFS(燃料!$T:$T,燃料!$W:$W,ROW()))</f>
        <v/>
      </c>
    </row>
    <row r="33" spans="1:13" ht="30.2" customHeight="1">
      <c r="A33" s="790"/>
      <c r="B33" s="793"/>
      <c r="C33" s="815" t="s">
        <v>32</v>
      </c>
      <c r="D33" s="816"/>
      <c r="E33" s="817"/>
      <c r="F33" s="317" t="str">
        <f>IF(COUNTIFS(電気・熱_都市ガス!$AO:$AO,ROW())=0,"",ROUND(SUMIFS(電気・熱_都市ガス!$AL:$AL,電気・熱_都市ガス!$AO:$AO,ROW()),0))</f>
        <v/>
      </c>
      <c r="G33" s="315" t="s">
        <v>287</v>
      </c>
      <c r="H33" s="313" t="str">
        <f>IF(COUNTIFS(電気・熱_都市ガス!$AO:$AO,ROW())=0,"",SUMIFS(電気・熱_都市ガス!$AM:$AM,電気・熱_都市ガス!$AO:$AO,ROW()))</f>
        <v/>
      </c>
      <c r="I33" s="313" t="str">
        <f t="shared" si="0"/>
        <v/>
      </c>
      <c r="J33" s="313" t="str">
        <f t="shared" ref="J33:J35" si="2">IF(H33="","",H33*0.0258)</f>
        <v/>
      </c>
      <c r="K33" s="314" t="str">
        <f>IF(COUNTIFS(電気・熱_都市ガス!$AO:$AO,ROW())=0,"",SUMIFS(電気・熱_都市ガス!$AN:$AN,電気・熱_都市ガス!$AO:$AO,ROW()))</f>
        <v/>
      </c>
      <c r="M33" s="487" t="str">
        <f>IF(COUNTIFS(電気・熱_都市ガス!$AO:$AO,ROW())=0,"",SUMIFS(電気・熱_都市ガス!$AL:$AL,電気・熱_都市ガス!$AO:$AO,ROW()))</f>
        <v/>
      </c>
    </row>
    <row r="34" spans="1:13" ht="30.2" customHeight="1">
      <c r="A34" s="790"/>
      <c r="B34" s="793"/>
      <c r="C34" s="825" t="s">
        <v>31</v>
      </c>
      <c r="D34" s="826" t="str">
        <f>IF(事業所概要_算定体制!J25="","その他燃料①",事業所概要_算定体制!J25)</f>
        <v>その他燃料①</v>
      </c>
      <c r="E34" s="827"/>
      <c r="F34" s="311" t="str">
        <f>IF(COUNTIFS(燃料!$W:$W,ROW())=0,"",ROUND(SUMIFS(燃料!$T:$T,燃料!$W:$W,ROW()),0))</f>
        <v/>
      </c>
      <c r="G34" s="318" t="str">
        <f>IF(事業所概要_算定体制!L25="","",事業所概要_算定体制!L25)</f>
        <v/>
      </c>
      <c r="H34" s="313" t="str">
        <f>IF(COUNTIFS(燃料!$W:$W,ROW())=0,"",SUMIFS(燃料!$U:$U,燃料!$W:$W,ROW()))</f>
        <v/>
      </c>
      <c r="I34" s="313" t="str">
        <f t="shared" si="0"/>
        <v/>
      </c>
      <c r="J34" s="313" t="str">
        <f t="shared" si="2"/>
        <v/>
      </c>
      <c r="K34" s="314" t="str">
        <f>IF(COUNTIFS(燃料!$W:$W,ROW())=0,"",SUMIFS(燃料!$V:$V,燃料!$W:$W,ROW()))</f>
        <v/>
      </c>
      <c r="M34" s="487" t="str">
        <f>IF(COUNTIFS(燃料!$W:$W,ROW())=0,"",SUMIFS(燃料!$T:$T,燃料!$W:$W,ROW()))</f>
        <v/>
      </c>
    </row>
    <row r="35" spans="1:13" ht="30.2" customHeight="1">
      <c r="A35" s="790"/>
      <c r="B35" s="793"/>
      <c r="C35" s="825"/>
      <c r="D35" s="826" t="str">
        <f>IF(事業所概要_算定体制!J26="","その他燃料②",事業所概要_算定体制!J26)</f>
        <v>その他燃料②</v>
      </c>
      <c r="E35" s="827"/>
      <c r="F35" s="311" t="str">
        <f>IF(COUNTIFS(燃料!$W:$W,ROW())=0,"",ROUND(SUMIFS(燃料!$T:$T,燃料!$W:$W,ROW()),0))</f>
        <v/>
      </c>
      <c r="G35" s="318" t="str">
        <f>IF(事業所概要_算定体制!L26="","",事業所概要_算定体制!L26)</f>
        <v/>
      </c>
      <c r="H35" s="313" t="str">
        <f>IF(COUNTIFS(燃料!$W:$W,ROW())=0,"",SUMIFS(燃料!$U:$U,燃料!$W:$W,ROW()))</f>
        <v/>
      </c>
      <c r="I35" s="313" t="str">
        <f t="shared" si="0"/>
        <v/>
      </c>
      <c r="J35" s="313" t="str">
        <f t="shared" si="2"/>
        <v/>
      </c>
      <c r="K35" s="314" t="str">
        <f>IF(COUNTIFS(燃料!$W:$W,ROW())=0,"",SUMIFS(燃料!$V:$V,燃料!$W:$W,ROW()))</f>
        <v/>
      </c>
      <c r="M35" s="487" t="str">
        <f>IF(COUNTIFS(燃料!$W:$W,ROW())=0,"",SUMIFS(燃料!$T:$T,燃料!$W:$W,ROW()))</f>
        <v/>
      </c>
    </row>
    <row r="36" spans="1:13" ht="30.2" customHeight="1" thickBot="1">
      <c r="A36" s="790"/>
      <c r="B36" s="172"/>
      <c r="C36" s="828" t="s">
        <v>37</v>
      </c>
      <c r="D36" s="829"/>
      <c r="E36" s="830"/>
      <c r="F36" s="831"/>
      <c r="G36" s="832"/>
      <c r="H36" s="319" t="str">
        <f>IF(COUNT(H6:H35)=0,"",SUM(H6:H35))</f>
        <v/>
      </c>
      <c r="I36" s="320" t="str">
        <f t="shared" ref="I36:K36" si="3">IF(COUNT(I6:I35)=0,"",SUM(I6:I35))</f>
        <v/>
      </c>
      <c r="J36" s="320" t="str">
        <f t="shared" si="3"/>
        <v/>
      </c>
      <c r="K36" s="321" t="str">
        <f t="shared" si="3"/>
        <v/>
      </c>
    </row>
    <row r="37" spans="1:13" ht="30.2" customHeight="1" thickTop="1">
      <c r="A37" s="790"/>
      <c r="B37" s="803" t="s">
        <v>276</v>
      </c>
      <c r="C37" s="806" t="s">
        <v>188</v>
      </c>
      <c r="D37" s="835" t="s">
        <v>33</v>
      </c>
      <c r="E37" s="836"/>
      <c r="F37" s="322" t="str">
        <f>IF(COUNTIFS(電気・熱_都市ガス!$AO:$AO,ROW())=0,"",ROUND(SUMIFS(電気・熱_都市ガス!$AL:$AL,電気・熱_都市ガス!$AO:$AO,ROW()),0))</f>
        <v/>
      </c>
      <c r="G37" s="323" t="s">
        <v>7</v>
      </c>
      <c r="H37" s="400" t="str">
        <f>IF(COUNTIFS(電気・熱_都市ガス!$AO:$AO,ROW())=0,"",SUMIFS(電気・熱_都市ガス!$AM:$AM,電気・熱_都市ガス!$AO:$AO,ROW()))</f>
        <v/>
      </c>
      <c r="I37" s="324" t="str">
        <f t="shared" si="0"/>
        <v/>
      </c>
      <c r="J37" s="324" t="str">
        <f t="shared" ref="J37:J42" si="4">IF(H37="","",H37*0.0258)</f>
        <v/>
      </c>
      <c r="K37" s="325" t="str">
        <f>IF(COUNTIFS(電気・熱_都市ガス!$AO:$AO,ROW())=0,"",SUMIFS(電気・熱_都市ガス!$AN:$AN,電気・熱_都市ガス!$AO:$AO,ROW()))</f>
        <v/>
      </c>
      <c r="M37" s="487" t="str">
        <f>IF(COUNTIFS(電気・熱_都市ガス!$AO:$AO,ROW())=0,"",SUMIFS(電気・熱_都市ガス!$AL:$AL,電気・熱_都市ガス!$AO:$AO,ROW()))</f>
        <v/>
      </c>
    </row>
    <row r="38" spans="1:13" ht="30.2" customHeight="1">
      <c r="A38" s="790"/>
      <c r="B38" s="804"/>
      <c r="C38" s="807"/>
      <c r="D38" s="837" t="s">
        <v>34</v>
      </c>
      <c r="E38" s="838"/>
      <c r="F38" s="311" t="str">
        <f>IF(COUNTIFS(電気・熱_都市ガス!$AO:$AO,ROW())=0,"",ROUND(SUMIFS(電気・熱_都市ガス!$AL:$AL,電気・熱_都市ガス!$AO:$AO,ROW()),0))</f>
        <v/>
      </c>
      <c r="G38" s="315" t="s">
        <v>7</v>
      </c>
      <c r="H38" s="401" t="str">
        <f>IF(COUNTIFS(電気・熱_都市ガス!$AO:$AO,ROW())=0,"",SUMIFS(電気・熱_都市ガス!$AM:$AM,電気・熱_都市ガス!$AO:$AO,ROW()))</f>
        <v/>
      </c>
      <c r="I38" s="313" t="str">
        <f t="shared" si="0"/>
        <v/>
      </c>
      <c r="J38" s="313" t="str">
        <f t="shared" si="4"/>
        <v/>
      </c>
      <c r="K38" s="314" t="str">
        <f>IF(COUNTIFS(電気・熱_都市ガス!$AO:$AO,ROW())=0,"",SUMIFS(電気・熱_都市ガス!$AN:$AN,電気・熱_都市ガス!$AO:$AO,ROW()))</f>
        <v/>
      </c>
      <c r="M38" s="487" t="str">
        <f>IF(COUNTIFS(電気・熱_都市ガス!$AO:$AO,ROW())=0,"",SUMIFS(電気・熱_都市ガス!$AL:$AL,電気・熱_都市ガス!$AO:$AO,ROW()))</f>
        <v/>
      </c>
    </row>
    <row r="39" spans="1:13" ht="30.2" customHeight="1">
      <c r="A39" s="790"/>
      <c r="B39" s="804"/>
      <c r="C39" s="807"/>
      <c r="D39" s="612" t="s">
        <v>35</v>
      </c>
      <c r="E39" s="788"/>
      <c r="F39" s="311" t="str">
        <f>IF(COUNTIFS(電気・熱_都市ガス!$AO:$AO,ROW())=0,"",ROUND(SUMIFS(電気・熱_都市ガス!$AL:$AL,電気・熱_都市ガス!$AO:$AO,ROW()),0))</f>
        <v/>
      </c>
      <c r="G39" s="315" t="s">
        <v>7</v>
      </c>
      <c r="H39" s="401" t="str">
        <f>IF(COUNTIFS(電気・熱_都市ガス!$AO:$AO,ROW())=0,"",SUMIFS(電気・熱_都市ガス!$AM:$AM,電気・熱_都市ガス!$AO:$AO,ROW()))</f>
        <v/>
      </c>
      <c r="I39" s="313" t="str">
        <f t="shared" si="0"/>
        <v/>
      </c>
      <c r="J39" s="313" t="str">
        <f t="shared" si="4"/>
        <v/>
      </c>
      <c r="K39" s="314" t="str">
        <f>IF(COUNTIFS(電気・熱_都市ガス!$AO:$AO,ROW())=0,"",SUMIFS(電気・熱_都市ガス!$AN:$AN,電気・熱_都市ガス!$AO:$AO,ROW()))</f>
        <v/>
      </c>
      <c r="M39" s="487" t="str">
        <f>IF(COUNTIFS(電気・熱_都市ガス!$AO:$AO,ROW())=0,"",SUMIFS(電気・熱_都市ガス!$AL:$AL,電気・熱_都市ガス!$AO:$AO,ROW()))</f>
        <v/>
      </c>
    </row>
    <row r="40" spans="1:13" ht="30.2" customHeight="1">
      <c r="A40" s="790"/>
      <c r="B40" s="804"/>
      <c r="C40" s="808"/>
      <c r="D40" s="612" t="s">
        <v>36</v>
      </c>
      <c r="E40" s="788"/>
      <c r="F40" s="311" t="str">
        <f>IF(COUNTIFS(電気・熱_都市ガス!$AO:$AO,ROW())=0,"",ROUND(SUMIFS(電気・熱_都市ガス!$AL:$AL,電気・熱_都市ガス!$AO:$AO,ROW()),0))</f>
        <v/>
      </c>
      <c r="G40" s="315" t="s">
        <v>7</v>
      </c>
      <c r="H40" s="401" t="str">
        <f>IF(COUNTIFS(電気・熱_都市ガス!$AO:$AO,ROW())=0,"",SUMIFS(電気・熱_都市ガス!$AM:$AM,電気・熱_都市ガス!$AO:$AO,ROW()))</f>
        <v/>
      </c>
      <c r="I40" s="313" t="str">
        <f t="shared" si="0"/>
        <v/>
      </c>
      <c r="J40" s="313" t="str">
        <f t="shared" si="4"/>
        <v/>
      </c>
      <c r="K40" s="314" t="str">
        <f>IF(COUNTIFS(電気・熱_都市ガス!$AO:$AO,ROW())=0,"",SUMIFS(電気・熱_都市ガス!$AN:$AN,電気・熱_都市ガス!$AO:$AO,ROW()))</f>
        <v/>
      </c>
      <c r="M40" s="487" t="str">
        <f>IF(COUNTIFS(電気・熱_都市ガス!$AO:$AO,ROW())=0,"",SUMIFS(電気・熱_都市ガス!$AL:$AL,電気・熱_都市ガス!$AO:$AO,ROW()))</f>
        <v/>
      </c>
    </row>
    <row r="41" spans="1:13" ht="30.2" customHeight="1">
      <c r="A41" s="790"/>
      <c r="B41" s="804"/>
      <c r="C41" s="839" t="s">
        <v>189</v>
      </c>
      <c r="D41" s="820" t="s">
        <v>58</v>
      </c>
      <c r="E41" s="14" t="s">
        <v>56</v>
      </c>
      <c r="F41" s="326" t="str">
        <f>IF(COUNTIFS(再エネ電気・熱!$AR:$AR,ROW())=0,"",ROUND(SUMIFS(再エネ電気・熱!$AH:$AH,再エネ電気・熱!$AR:$AR,ROW()),0))</f>
        <v/>
      </c>
      <c r="G41" s="315" t="s">
        <v>7</v>
      </c>
      <c r="H41" s="313" t="str">
        <f>IF(COUNTIFS(再エネ電気・熱!$AR:$AR,ROW())=0,"",SUMIFS(再エネ電気・熱!$AI:$AI,再エネ電気・熱!$AR:$AR,ROW()))</f>
        <v/>
      </c>
      <c r="I41" s="313" t="str">
        <f t="shared" si="0"/>
        <v/>
      </c>
      <c r="J41" s="327"/>
      <c r="K41" s="314" t="str">
        <f>IF(COUNTIFS(再エネ電気・熱!$AR:$AR,ROW())=0,"",SUMIFS(再エネ電気・熱!$AK:$AK,再エネ電気・熱!$AR:$AR,ROW()))</f>
        <v/>
      </c>
      <c r="M41" s="487" t="str">
        <f>IF(COUNTIFS(再エネ電気・熱!$AR:$AR,ROW())=0,"",SUMIFS(再エネ電気・熱!$AH:$AH,再エネ電気・熱!$AR:$AR,ROW()))</f>
        <v/>
      </c>
    </row>
    <row r="42" spans="1:13" ht="30.2" customHeight="1">
      <c r="A42" s="790"/>
      <c r="B42" s="804"/>
      <c r="C42" s="840"/>
      <c r="D42" s="821"/>
      <c r="E42" s="14" t="s">
        <v>57</v>
      </c>
      <c r="F42" s="326" t="str">
        <f>IF(COUNTIFS(再エネ電気・熱!$AR:$AR,ROW())=0,"",ROUND(SUMIFS(再エネ電気・熱!$AH:$AH,再エネ電気・熱!$AR:$AR,ROW()),0))</f>
        <v/>
      </c>
      <c r="G42" s="315" t="s">
        <v>7</v>
      </c>
      <c r="H42" s="313" t="str">
        <f>IF(COUNTIFS(再エネ電気・熱!$AR:$AR,ROW())=0,"",SUMIFS(再エネ電気・熱!$AI:$AI,再エネ電気・熱!$AR:$AR,ROW()))</f>
        <v/>
      </c>
      <c r="I42" s="313" t="str">
        <f t="shared" si="0"/>
        <v/>
      </c>
      <c r="J42" s="313" t="str">
        <f t="shared" si="4"/>
        <v/>
      </c>
      <c r="K42" s="314" t="str">
        <f>IF(COUNTIFS(再エネ電気・熱!$AR:$AR,ROW())=0,"",SUMIFS(再エネ電気・熱!$AK:$AK,再エネ電気・熱!$AR:$AR,ROW()))</f>
        <v/>
      </c>
      <c r="M42" s="487" t="str">
        <f>IF(COUNTIFS(再エネ電気・熱!$AR:$AR,ROW())=0,"",SUMIFS(再エネ電気・熱!$AH:$AH,再エネ電気・熱!$AR:$AR,ROW()))</f>
        <v/>
      </c>
    </row>
    <row r="43" spans="1:13" ht="30.2" customHeight="1">
      <c r="A43" s="790"/>
      <c r="B43" s="804"/>
      <c r="C43" s="840"/>
      <c r="D43" s="820" t="s">
        <v>65</v>
      </c>
      <c r="E43" s="14" t="s">
        <v>56</v>
      </c>
      <c r="F43" s="326" t="str">
        <f>IF(COUNTIFS(再エネ電気・熱!$AR:$AR,ROW())=0,"",ROUND(SUMIFS(再エネ電気・熱!$AH:$AH,再エネ電気・熱!$AR:$AR,ROW()),0))</f>
        <v/>
      </c>
      <c r="G43" s="315" t="s">
        <v>7</v>
      </c>
      <c r="H43" s="313" t="str">
        <f>IF(COUNTIFS(再エネ電気・熱!$AR:$AR,ROW())=0,"",SUMIFS(再エネ電気・熱!$AI:$AI,再エネ電気・熱!$AR:$AR,ROW()))</f>
        <v/>
      </c>
      <c r="I43" s="313" t="str">
        <f t="shared" si="0"/>
        <v/>
      </c>
      <c r="J43" s="328"/>
      <c r="K43" s="314" t="str">
        <f>IF(COUNTIFS(再エネ電気・熱!$AR:$AR,ROW())=0,"",SUMIFS(再エネ電気・熱!$AK:$AK,再エネ電気・熱!$AR:$AR,ROW()))</f>
        <v/>
      </c>
      <c r="M43" s="487" t="str">
        <f>IF(COUNTIFS(再エネ電気・熱!$AR:$AR,ROW())=0,"",SUMIFS(再エネ電気・熱!$AH:$AH,再エネ電気・熱!$AR:$AR,ROW()))</f>
        <v/>
      </c>
    </row>
    <row r="44" spans="1:13" ht="30.2" customHeight="1">
      <c r="A44" s="790"/>
      <c r="B44" s="804"/>
      <c r="C44" s="840"/>
      <c r="D44" s="821"/>
      <c r="E44" s="14" t="s">
        <v>57</v>
      </c>
      <c r="F44" s="326" t="str">
        <f>IF(COUNTIFS(再エネ電気・熱!$AR:$AR,ROW())=0,"",ROUND(SUMIFS(再エネ電気・熱!$AH:$AH,再エネ電気・熱!$AR:$AR,ROW()),0))</f>
        <v/>
      </c>
      <c r="G44" s="315" t="s">
        <v>7</v>
      </c>
      <c r="H44" s="313" t="str">
        <f>IF(COUNTIFS(再エネ電気・熱!$AR:$AR,ROW())=0,"",SUMIFS(再エネ電気・熱!$AI:$AI,再エネ電気・熱!$AR:$AR,ROW()))</f>
        <v/>
      </c>
      <c r="I44" s="313" t="str">
        <f t="shared" si="0"/>
        <v/>
      </c>
      <c r="J44" s="313" t="str">
        <f t="shared" ref="J44" si="5">IF(H44="","",H44*0.0258)</f>
        <v/>
      </c>
      <c r="K44" s="314" t="str">
        <f>IF(COUNTIFS(再エネ電気・熱!$AR:$AR,ROW())=0,"",SUMIFS(再エネ電気・熱!$AK:$AK,再エネ電気・熱!$AR:$AR,ROW()))</f>
        <v/>
      </c>
      <c r="M44" s="487" t="str">
        <f>IF(COUNTIFS(再エネ電気・熱!$AR:$AR,ROW())=0,"",SUMIFS(再エネ電気・熱!$AH:$AH,再エネ電気・熱!$AR:$AR,ROW()))</f>
        <v/>
      </c>
    </row>
    <row r="45" spans="1:13" ht="45" customHeight="1">
      <c r="A45" s="790"/>
      <c r="B45" s="804"/>
      <c r="C45" s="841"/>
      <c r="D45" s="801" t="s">
        <v>186</v>
      </c>
      <c r="E45" s="802"/>
      <c r="F45" s="326" t="str">
        <f>IF(COUNTIFS(再エネ電気・熱!$AR:$AR,ROW())=0,"",ROUND(SUMIFS(再エネ電気・熱!$AH:$AH,再エネ電気・熱!$AR:$AR,ROW()),0))</f>
        <v/>
      </c>
      <c r="G45" s="315" t="s">
        <v>7</v>
      </c>
      <c r="H45" s="313" t="str">
        <f>IF(COUNTIFS(再エネ電気・熱!$AR:$AR,ROW())=0,"",SUMIFS(再エネ電気・熱!$AI:$AI,再エネ電気・熱!$AR:$AR,ROW()))</f>
        <v/>
      </c>
      <c r="I45" s="313" t="str">
        <f t="shared" ref="I45" si="6">IF(H45="","",H45*0.0258)</f>
        <v/>
      </c>
      <c r="J45" s="313" t="str">
        <f t="shared" ref="J45" si="7">IF(H45="","",H45*0.0258)</f>
        <v/>
      </c>
      <c r="K45" s="314" t="str">
        <f>IF(COUNTIFS(再エネ電気・熱!$AR:$AR,ROW())=0,"",SUMIFS(再エネ電気・熱!$AK:$AK,再エネ電気・熱!$AR:$AR,ROW()))</f>
        <v/>
      </c>
      <c r="M45" s="487" t="str">
        <f>IF(COUNTIFS(再エネ電気・熱!$AR:$AR,ROW())=0,"",SUMIFS(再エネ電気・熱!$AH:$AH,再エネ電気・熱!$AR:$AR,ROW()))</f>
        <v/>
      </c>
    </row>
    <row r="46" spans="1:13" ht="35.1" customHeight="1" thickBot="1">
      <c r="A46" s="790"/>
      <c r="B46" s="805"/>
      <c r="C46" s="822" t="s">
        <v>37</v>
      </c>
      <c r="D46" s="823"/>
      <c r="E46" s="824"/>
      <c r="F46" s="833"/>
      <c r="G46" s="834"/>
      <c r="H46" s="331" t="str">
        <f>IF(COUNT(H37:H45)=0,"",SUM(H37:H45))</f>
        <v/>
      </c>
      <c r="I46" s="332" t="str">
        <f t="shared" ref="I46:K46" si="8">IF(COUNT(I37:I45)=0,"",SUM(I37:I45))</f>
        <v/>
      </c>
      <c r="J46" s="332" t="str">
        <f>IF(COUNT(J37:J45)=0,"",SUM(J37:J45))</f>
        <v/>
      </c>
      <c r="K46" s="321" t="str">
        <f t="shared" si="8"/>
        <v/>
      </c>
    </row>
    <row r="47" spans="1:13" ht="35.25" customHeight="1" thickTop="1">
      <c r="A47" s="790"/>
      <c r="B47" s="797" t="s">
        <v>277</v>
      </c>
      <c r="C47" s="173" t="s">
        <v>192</v>
      </c>
      <c r="D47" s="799" t="s">
        <v>190</v>
      </c>
      <c r="E47" s="800"/>
      <c r="F47" s="311" t="str">
        <f>IF(COUNTIFS(電気・熱_都市ガス!$AO:$AO,ROW())=0,"",ROUND(SUMIFS(電気・熱_都市ガス!$AL:$AL,電気・熱_都市ガス!$AO:$AO,ROW()),0))</f>
        <v/>
      </c>
      <c r="G47" s="315" t="s">
        <v>38</v>
      </c>
      <c r="H47" s="313" t="str">
        <f>IF(COUNTIFS(電気・熱_都市ガス!$AO:$AO,ROW())=0,"",SUMIFS(電気・熱_都市ガス!$AM:$AM,電気・熱_都市ガス!$AO:$AO,ROW()))</f>
        <v/>
      </c>
      <c r="I47" s="313" t="str">
        <f t="shared" ref="I47:I51" si="9">IF(H47="","",H47*0.0258)</f>
        <v/>
      </c>
      <c r="J47" s="313" t="str">
        <f t="shared" ref="J47" si="10">IF(H47="","",H47*0.0258)</f>
        <v/>
      </c>
      <c r="K47" s="333" t="str">
        <f>IF(COUNTIFS(電気・熱_都市ガス!$AO:$AO,ROW())=0,"",SUMIFS(電気・熱_都市ガス!$AN:$AN,電気・熱_都市ガス!$AO:$AO,ROW()))</f>
        <v/>
      </c>
      <c r="M47" s="487" t="str">
        <f>IF(COUNTIFS(電気・熱_都市ガス!$AO:$AO,ROW())=0,"",SUMIFS(電気・熱_都市ガス!$AL:$AL,電気・熱_都市ガス!$AO:$AO,ROW()))</f>
        <v/>
      </c>
    </row>
    <row r="48" spans="1:13" ht="30" customHeight="1">
      <c r="A48" s="790"/>
      <c r="B48" s="797"/>
      <c r="C48" s="839" t="s">
        <v>189</v>
      </c>
      <c r="D48" s="820" t="s">
        <v>66</v>
      </c>
      <c r="E48" s="14" t="s">
        <v>56</v>
      </c>
      <c r="F48" s="317" t="str">
        <f>IF(COUNTIFS(再エネ電気・熱!$AR:$AR,ROW())=0,"",ROUND(SUMIFS(再エネ電気・熱!$AH:$AH,再エネ電気・熱!$AR:$AR,ROW()),0))</f>
        <v/>
      </c>
      <c r="G48" s="315" t="s">
        <v>38</v>
      </c>
      <c r="H48" s="313" t="str">
        <f>IF(COUNTIFS(再エネ電気・熱!$AR:$AR,ROW())=0,"",SUMIFS(再エネ電気・熱!$AI:$AI,再エネ電気・熱!$AR:$AR,ROW()))</f>
        <v/>
      </c>
      <c r="I48" s="313" t="str">
        <f t="shared" si="9"/>
        <v/>
      </c>
      <c r="J48" s="334"/>
      <c r="K48" s="314" t="str">
        <f>IF(COUNTIFS(再エネ電気・熱!$AR:$AR,ROW())=0,"",SUMIFS(再エネ電気・熱!$AK:$AK,再エネ電気・熱!$AR:$AR,ROW()))</f>
        <v/>
      </c>
      <c r="M48" s="487" t="str">
        <f>IF(COUNTIFS(再エネ電気・熱!$AR:$AR,ROW())=0,"",SUMIFS(再エネ電気・熱!$AH:$AH,再エネ電気・熱!$AR:$AR,ROW()))</f>
        <v/>
      </c>
    </row>
    <row r="49" spans="1:13" ht="30.2" customHeight="1">
      <c r="A49" s="790"/>
      <c r="B49" s="797"/>
      <c r="C49" s="840"/>
      <c r="D49" s="821"/>
      <c r="E49" s="14" t="s">
        <v>57</v>
      </c>
      <c r="F49" s="311" t="str">
        <f>IF(COUNTIFS(再エネ電気・熱!$AR:$AR,ROW())=0,"",ROUND(SUMIFS(再エネ電気・熱!$AH:$AH,再エネ電気・熱!$AR:$AR,ROW()),0))</f>
        <v/>
      </c>
      <c r="G49" s="315" t="s">
        <v>38</v>
      </c>
      <c r="H49" s="313" t="str">
        <f>IF(COUNTIFS(再エネ電気・熱!$AR:$AR,ROW())=0,"",SUMIFS(再エネ電気・熱!$AI:$AI,再エネ電気・熱!$AR:$AR,ROW()))</f>
        <v/>
      </c>
      <c r="I49" s="313" t="str">
        <f t="shared" si="9"/>
        <v/>
      </c>
      <c r="J49" s="313" t="str">
        <f t="shared" ref="J49" si="11">IF(H49="","",H49*0.0258)</f>
        <v/>
      </c>
      <c r="K49" s="314" t="str">
        <f>IF(COUNTIFS(再エネ電気・熱!$AR:$AR,ROW())=0,"",SUMIFS(再エネ電気・熱!$AK:$AK,再エネ電気・熱!$AR:$AR,ROW()))</f>
        <v/>
      </c>
      <c r="M49" s="487" t="str">
        <f>IF(COUNTIFS(再エネ電気・熱!$AR:$AR,ROW())=0,"",SUMIFS(再エネ電気・熱!$AH:$AH,再エネ電気・熱!$AR:$AR,ROW()))</f>
        <v/>
      </c>
    </row>
    <row r="50" spans="1:13" ht="30.2" customHeight="1">
      <c r="A50" s="790"/>
      <c r="B50" s="797"/>
      <c r="C50" s="840"/>
      <c r="D50" s="820" t="s">
        <v>67</v>
      </c>
      <c r="E50" s="14" t="s">
        <v>56</v>
      </c>
      <c r="F50" s="311" t="str">
        <f>IF(COUNTIFS(再エネ電気・熱!$AR:$AR,ROW())=0,"",ROUND(SUMIFS(再エネ電気・熱!$AH:$AH,再エネ電気・熱!$AR:$AR,ROW()),0))</f>
        <v/>
      </c>
      <c r="G50" s="315" t="s">
        <v>38</v>
      </c>
      <c r="H50" s="313" t="str">
        <f>IF(COUNTIFS(再エネ電気・熱!$AR:$AR,ROW())=0,"",SUMIFS(再エネ電気・熱!$AI:$AI,再エネ電気・熱!$AR:$AR,ROW()))</f>
        <v/>
      </c>
      <c r="I50" s="313" t="str">
        <f t="shared" si="9"/>
        <v/>
      </c>
      <c r="J50" s="335"/>
      <c r="K50" s="314" t="str">
        <f>IF(COUNTIFS(再エネ電気・熱!$AR:$AR,ROW())=0,"",SUMIFS(再エネ電気・熱!$AK:$AK,再エネ電気・熱!$AR:$AR,ROW()))</f>
        <v/>
      </c>
      <c r="M50" s="487" t="str">
        <f>IF(COUNTIFS(再エネ電気・熱!$AR:$AR,ROW())=0,"",SUMIFS(再エネ電気・熱!$AH:$AH,再エネ電気・熱!$AR:$AR,ROW()))</f>
        <v/>
      </c>
    </row>
    <row r="51" spans="1:13" ht="30.2" customHeight="1">
      <c r="A51" s="790"/>
      <c r="B51" s="797"/>
      <c r="C51" s="840"/>
      <c r="D51" s="821"/>
      <c r="E51" s="14" t="s">
        <v>57</v>
      </c>
      <c r="F51" s="311" t="str">
        <f>IF(COUNTIFS(再エネ電気・熱!$AR:$AR,ROW())=0,"",ROUND(SUMIFS(再エネ電気・熱!$AH:$AH,再エネ電気・熱!$AR:$AR,ROW()),0))</f>
        <v/>
      </c>
      <c r="G51" s="315" t="s">
        <v>38</v>
      </c>
      <c r="H51" s="313" t="str">
        <f>IF(COUNTIFS(再エネ電気・熱!$AR:$AR,ROW())=0,"",SUMIFS(再エネ電気・熱!$AI:$AI,再エネ電気・熱!$AR:$AR,ROW()))</f>
        <v/>
      </c>
      <c r="I51" s="313" t="str">
        <f t="shared" si="9"/>
        <v/>
      </c>
      <c r="J51" s="313" t="str">
        <f t="shared" ref="J51" si="12">IF(H51="","",H51*0.0258)</f>
        <v/>
      </c>
      <c r="K51" s="314" t="str">
        <f>IF(COUNTIFS(再エネ電気・熱!$AR:$AR,ROW())=0,"",SUMIFS(再エネ電気・熱!$AK:$AK,再エネ電気・熱!$AR:$AR,ROW()))</f>
        <v/>
      </c>
      <c r="M51" s="487" t="str">
        <f>IF(COUNTIFS(再エネ電気・熱!$AR:$AR,ROW())=0,"",SUMIFS(再エネ電気・熱!$AH:$AH,再エネ電気・熱!$AR:$AR,ROW()))</f>
        <v/>
      </c>
    </row>
    <row r="52" spans="1:13" ht="45" customHeight="1">
      <c r="A52" s="790"/>
      <c r="B52" s="797"/>
      <c r="C52" s="840"/>
      <c r="D52" s="801" t="s">
        <v>186</v>
      </c>
      <c r="E52" s="802"/>
      <c r="F52" s="311" t="str">
        <f>IF(COUNTIFS(再エネ電気・熱!$AR:$AR,ROW())=0,"",ROUND(SUMIFS(再エネ電気・熱!$AH:$AH,再エネ電気・熱!$AR:$AR,ROW()),0))</f>
        <v/>
      </c>
      <c r="G52" s="316" t="s">
        <v>38</v>
      </c>
      <c r="H52" s="313" t="str">
        <f>IF(COUNTIFS(再エネ電気・熱!$AR:$AR,ROW())=0,"",SUMIFS(再エネ電気・熱!$AI:$AI,再エネ電気・熱!$AR:$AR,ROW()))</f>
        <v/>
      </c>
      <c r="I52" s="313" t="str">
        <f t="shared" ref="I52" si="13">IF(H52="","",H52*0.0258)</f>
        <v/>
      </c>
      <c r="J52" s="313" t="str">
        <f t="shared" ref="J52" si="14">IF(H52="","",H52*0.0258)</f>
        <v/>
      </c>
      <c r="K52" s="314" t="str">
        <f>IF(COUNTIFS(再エネ電気・熱!$AR:$AR,ROW())=0,"",SUMIFS(再エネ電気・熱!$AK:$AK,再エネ電気・熱!$AR:$AR,ROW()))</f>
        <v/>
      </c>
      <c r="M52" s="487" t="str">
        <f>IF(COUNTIFS(再エネ電気・熱!$AR:$AR,ROW())=0,"",SUMIFS(再エネ電気・熱!$AH:$AH,再エネ電気・熱!$AR:$AR,ROW()))</f>
        <v/>
      </c>
    </row>
    <row r="53" spans="1:13" ht="45" customHeight="1">
      <c r="A53" s="790"/>
      <c r="B53" s="797"/>
      <c r="C53" s="841"/>
      <c r="D53" s="801" t="s">
        <v>187</v>
      </c>
      <c r="E53" s="802"/>
      <c r="F53" s="311" t="str">
        <f>IF(COUNTIFS(再エネ電気・熱!$AR:$AR,ROW())=0,"",ROUND(SUMIFS(再エネ電気・熱!$AH:$AH,再エネ電気・熱!$AR:$AR,ROW()),0))</f>
        <v/>
      </c>
      <c r="G53" s="315" t="s">
        <v>38</v>
      </c>
      <c r="H53" s="336"/>
      <c r="I53" s="335"/>
      <c r="J53" s="335"/>
      <c r="K53" s="314" t="str">
        <f>IF(COUNTIFS(再エネ電気・熱!$AR:$AR,ROW())=0,"",SUMIFS(再エネ電気・熱!$AK:$AK,再エネ電気・熱!$AR:$AR,ROW()))</f>
        <v/>
      </c>
      <c r="M53" s="487" t="str">
        <f>IF(COUNTIFS(再エネ電気・熱!$AR:$AR,ROW())=0,"",SUMIFS(再エネ電気・熱!$AH:$AH,再エネ電気・熱!$AR:$AR,ROW()))</f>
        <v/>
      </c>
    </row>
    <row r="54" spans="1:13" ht="35.1" customHeight="1" thickBot="1">
      <c r="A54" s="791"/>
      <c r="B54" s="798"/>
      <c r="C54" s="812" t="s">
        <v>37</v>
      </c>
      <c r="D54" s="813"/>
      <c r="E54" s="814"/>
      <c r="F54" s="831"/>
      <c r="G54" s="832"/>
      <c r="H54" s="337" t="str">
        <f>IF(COUNT(H47:H53)=0,"",SUM(H47:H53))</f>
        <v/>
      </c>
      <c r="I54" s="338" t="str">
        <f t="shared" ref="I54:K54" si="15">IF(COUNT(I47:I53)=0,"",SUM(I47:I53))</f>
        <v/>
      </c>
      <c r="J54" s="339" t="str">
        <f t="shared" si="15"/>
        <v/>
      </c>
      <c r="K54" s="340" t="str">
        <f t="shared" si="15"/>
        <v/>
      </c>
    </row>
    <row r="55" spans="1:13" ht="35.1" customHeight="1" thickTop="1">
      <c r="A55" s="15"/>
      <c r="B55" s="16"/>
      <c r="C55" s="17"/>
      <c r="D55" s="17"/>
      <c r="E55" s="17"/>
      <c r="F55" s="18"/>
      <c r="G55" s="18"/>
      <c r="H55" s="111"/>
      <c r="I55" s="20"/>
      <c r="J55" s="19"/>
      <c r="K55" s="111" t="s">
        <v>271</v>
      </c>
    </row>
    <row r="56" spans="1:13" ht="35.1" customHeight="1" thickBot="1">
      <c r="A56" s="4" t="s">
        <v>269</v>
      </c>
      <c r="B56" s="21"/>
      <c r="C56" s="22"/>
      <c r="D56" s="22"/>
      <c r="E56" s="22"/>
      <c r="F56" s="23"/>
      <c r="G56" s="23"/>
      <c r="H56" s="24"/>
      <c r="I56" s="26"/>
      <c r="J56" s="25"/>
      <c r="K56" s="24"/>
    </row>
    <row r="57" spans="1:13" ht="51.75" customHeight="1">
      <c r="A57" s="863" t="s">
        <v>268</v>
      </c>
      <c r="B57" s="721" t="s">
        <v>1</v>
      </c>
      <c r="C57" s="781"/>
      <c r="D57" s="781"/>
      <c r="E57" s="782"/>
      <c r="F57" s="912" t="s">
        <v>810</v>
      </c>
      <c r="G57" s="787"/>
      <c r="H57" s="8" t="s">
        <v>2</v>
      </c>
      <c r="I57" s="171" t="s">
        <v>51</v>
      </c>
      <c r="J57" s="171" t="s">
        <v>52</v>
      </c>
      <c r="K57" s="117" t="s">
        <v>3</v>
      </c>
    </row>
    <row r="58" spans="1:13" ht="21.75" thickBot="1">
      <c r="A58" s="864"/>
      <c r="B58" s="846"/>
      <c r="C58" s="911"/>
      <c r="D58" s="911"/>
      <c r="E58" s="849"/>
      <c r="F58" s="27"/>
      <c r="G58" s="28"/>
      <c r="H58" s="29" t="s">
        <v>7</v>
      </c>
      <c r="I58" s="30" t="s">
        <v>8</v>
      </c>
      <c r="J58" s="30" t="s">
        <v>8</v>
      </c>
      <c r="K58" s="31" t="s">
        <v>177</v>
      </c>
    </row>
    <row r="59" spans="1:13" ht="30.2" customHeight="1" thickTop="1">
      <c r="A59" s="864"/>
      <c r="B59" s="913" t="s">
        <v>39</v>
      </c>
      <c r="C59" s="754" t="s">
        <v>40</v>
      </c>
      <c r="D59" s="855"/>
      <c r="E59" s="856"/>
      <c r="F59" s="341" t="str">
        <f>IF(COUNTIFS(電気・熱_都市ガス!$AO:$AO,ROW())=0,"",-1*ROUND(SUMIFS(電気・熱_都市ガス!$AL:$AL,電気・熱_都市ガス!$AO:$AO,ROW()),0))</f>
        <v/>
      </c>
      <c r="G59" s="323" t="s">
        <v>7</v>
      </c>
      <c r="H59" s="446" t="str">
        <f>IF(COUNTIFS(電気・熱_都市ガス!$AO:$AO,ROW())=0,"",SUMIFS(電気・熱_都市ガス!$AM:$AM,電気・熱_都市ガス!$AO:$AO,ROW()))</f>
        <v/>
      </c>
      <c r="I59" s="447" t="str">
        <f>IF(H59="","",H59*0.0258)</f>
        <v/>
      </c>
      <c r="J59" s="446" t="str">
        <f>IF(H59="","",H59*0.0258)</f>
        <v/>
      </c>
      <c r="K59" s="342" t="str">
        <f>IF(COUNTIFS(電気・熱_都市ガス!$AO:$AO,ROW())=0,"",SUMIFS(電気・熱_都市ガス!$AN:$AN,電気・熱_都市ガス!$AO:$AO,ROW()))</f>
        <v/>
      </c>
      <c r="M59" s="487" t="str">
        <f>IF(COUNTIFS(電気・熱_都市ガス!$AO:$AO,ROW())=0,"",-1*SUMIFS(電気・熱_都市ガス!$AL:$AL,電気・熱_都市ガス!$AO:$AO,ROW()))</f>
        <v/>
      </c>
    </row>
    <row r="60" spans="1:13" ht="30.2" customHeight="1">
      <c r="A60" s="864"/>
      <c r="B60" s="914"/>
      <c r="C60" s="752" t="s">
        <v>41</v>
      </c>
      <c r="D60" s="859"/>
      <c r="E60" s="860"/>
      <c r="F60" s="343" t="str">
        <f>IF(COUNTIFS(電気・熱_都市ガス!$AO:$AO,ROW())=0,"",-1*ROUND(SUMIFS(電気・熱_都市ガス!$AL:$AL,電気・熱_都市ガス!$AO:$AO,ROW()),0))</f>
        <v/>
      </c>
      <c r="G60" s="315" t="s">
        <v>38</v>
      </c>
      <c r="H60" s="448" t="str">
        <f>IF(COUNTIFS(電気・熱_都市ガス!$AO:$AO,ROW())=0,"",SUMIFS(電気・熱_都市ガス!$AM:$AM,電気・熱_都市ガス!$AO:$AO,ROW()))</f>
        <v/>
      </c>
      <c r="I60" s="449" t="str">
        <f>IF(H60="","",H60*0.0258)</f>
        <v/>
      </c>
      <c r="J60" s="448" t="str">
        <f>IF(H60="","",H60*0.0258)</f>
        <v/>
      </c>
      <c r="K60" s="344" t="str">
        <f>IF(COUNTIFS(電気・熱_都市ガス!$AO:$AO,ROW())=0,"",SUMIFS(電気・熱_都市ガス!$AN:$AN,電気・熱_都市ガス!$AO:$AO,ROW()))</f>
        <v/>
      </c>
      <c r="M60" s="487" t="str">
        <f>IF(COUNTIFS(電気・熱_都市ガス!$AO:$AO,ROW())=0,"",-1*SUMIFS(電気・熱_都市ガス!$AL:$AL,電気・熱_都市ガス!$AO:$AO,ROW()))</f>
        <v/>
      </c>
    </row>
    <row r="61" spans="1:13" ht="31.5" customHeight="1" thickBot="1">
      <c r="A61" s="864"/>
      <c r="B61" s="914"/>
      <c r="C61" s="871" t="s">
        <v>37</v>
      </c>
      <c r="D61" s="872"/>
      <c r="E61" s="873"/>
      <c r="F61" s="909"/>
      <c r="G61" s="910"/>
      <c r="H61" s="450" t="str">
        <f>IF(COUNT(H59:H60)=0,"",SUM(H59:H60))</f>
        <v/>
      </c>
      <c r="I61" s="450" t="str">
        <f t="shared" ref="I61:J61" si="16">IF(COUNT(I59:I60)=0,"",SUM(I59:I60))</f>
        <v/>
      </c>
      <c r="J61" s="450" t="str">
        <f t="shared" si="16"/>
        <v/>
      </c>
      <c r="K61" s="340" t="str">
        <f>IF(COUNT(K59:K60)=0,"",SUM(K59:K60))</f>
        <v/>
      </c>
    </row>
    <row r="62" spans="1:13" ht="30" customHeight="1" thickTop="1">
      <c r="A62" s="864"/>
      <c r="B62" s="923" t="s">
        <v>906</v>
      </c>
      <c r="C62" s="855" t="s">
        <v>59</v>
      </c>
      <c r="D62" s="855"/>
      <c r="E62" s="856"/>
      <c r="F62" s="857"/>
      <c r="G62" s="858"/>
      <c r="H62" s="345"/>
      <c r="I62" s="346"/>
      <c r="J62" s="347"/>
      <c r="K62" s="402" t="str">
        <f>IF(COUNTIFS(証書_森林吸収量!$M$6:$M$58,ROW())=0,"",-1*SUMIFS(証書_森林吸収量!$E$6:$E$58,証書_森林吸収量!$M$6:$M$58,ROW()))</f>
        <v/>
      </c>
      <c r="M62" s="487" t="str">
        <f>IF(COUNTIFS(証書_森林吸収量!$M$6:$M$58,ROW())=0,"",-1*SUMIFS(証書_森林吸収量!$E$6:$E$58,証書_森林吸収量!$M$6:$M$58,ROW()))</f>
        <v/>
      </c>
    </row>
    <row r="63" spans="1:13" ht="30" customHeight="1">
      <c r="A63" s="864"/>
      <c r="B63" s="924"/>
      <c r="C63" s="859" t="s">
        <v>64</v>
      </c>
      <c r="D63" s="859"/>
      <c r="E63" s="860"/>
      <c r="F63" s="861"/>
      <c r="G63" s="862"/>
      <c r="H63" s="349"/>
      <c r="I63" s="350"/>
      <c r="J63" s="351"/>
      <c r="K63" s="330" t="str">
        <f>IF(COUNTIFS(証書_森林吸収量!$M$6:$M$58,ROW())=0,"",-1*SUMIFS(証書_森林吸収量!$E$6:$E$58,証書_森林吸収量!$M$6:$M$58,ROW()))</f>
        <v/>
      </c>
      <c r="M63" s="487" t="str">
        <f>IF(COUNTIFS(証書_森林吸収量!$M$6:$M$58,ROW())=0,"",-1*SUMIFS(証書_森林吸収量!$E$6:$E$58,証書_森林吸収量!$M$6:$M$58,ROW()))</f>
        <v/>
      </c>
    </row>
    <row r="64" spans="1:13" ht="30" customHeight="1">
      <c r="A64" s="864"/>
      <c r="B64" s="924"/>
      <c r="C64" s="859" t="s">
        <v>60</v>
      </c>
      <c r="D64" s="859"/>
      <c r="E64" s="860"/>
      <c r="F64" s="861"/>
      <c r="G64" s="862"/>
      <c r="H64" s="349"/>
      <c r="I64" s="350"/>
      <c r="J64" s="351"/>
      <c r="K64" s="330" t="str">
        <f>IF(COUNTIFS(証書_森林吸収量!$M$6:$M$58,ROW())=0,"",-1*SUMIFS(証書_森林吸収量!$E$6:$E$58,証書_森林吸収量!$M$6:$M$58,ROW()))</f>
        <v/>
      </c>
      <c r="M64" s="487" t="str">
        <f>IF(COUNTIFS(証書_森林吸収量!$M$6:$M$58,ROW())=0,"",-1*SUMIFS(証書_森林吸収量!$E$6:$E$58,証書_森林吸収量!$M$6:$M$58,ROW()))</f>
        <v/>
      </c>
    </row>
    <row r="65" spans="1:13" ht="30" customHeight="1">
      <c r="A65" s="864"/>
      <c r="B65" s="924"/>
      <c r="C65" s="752" t="s">
        <v>61</v>
      </c>
      <c r="D65" s="859"/>
      <c r="E65" s="860"/>
      <c r="F65" s="861"/>
      <c r="G65" s="862"/>
      <c r="H65" s="349"/>
      <c r="I65" s="350"/>
      <c r="J65" s="351"/>
      <c r="K65" s="330" t="str">
        <f>IF(COUNTIFS(証書_森林吸収量!$M$6:$M$58,ROW())=0,"",-1*SUMIFS(証書_森林吸収量!$E$6:$E$58,証書_森林吸収量!$M$6:$M$58,ROW()))</f>
        <v/>
      </c>
      <c r="M65" s="487" t="str">
        <f>IF(COUNTIFS(証書_森林吸収量!$M$6:$M$58,ROW())=0,"",-1*SUMIFS(証書_森林吸収量!$E$6:$E$58,証書_森林吸収量!$M$6:$M$58,ROW()))</f>
        <v/>
      </c>
    </row>
    <row r="66" spans="1:13" ht="46.5" customHeight="1">
      <c r="A66" s="864"/>
      <c r="B66" s="924"/>
      <c r="C66" s="801" t="s">
        <v>286</v>
      </c>
      <c r="D66" s="859"/>
      <c r="E66" s="860"/>
      <c r="F66" s="861"/>
      <c r="G66" s="862"/>
      <c r="H66" s="349"/>
      <c r="I66" s="350"/>
      <c r="J66" s="351"/>
      <c r="K66" s="330" t="str">
        <f>IF(COUNTIFS(証書_森林吸収量!$M$6:$M$58,ROW())=0,"",-1*SUMIFS(証書_森林吸収量!$E$6:$E$58,証書_森林吸収量!$M$6:$M$58,ROW()))</f>
        <v/>
      </c>
      <c r="M66" s="487" t="str">
        <f>IF(COUNTIFS(証書_森林吸収量!$M$6:$M$58,ROW())=0,"",-1*SUMIFS(証書_森林吸収量!$E$6:$E$58,証書_森林吸収量!$M$6:$M$58,ROW()))</f>
        <v/>
      </c>
    </row>
    <row r="67" spans="1:13" ht="54.75" customHeight="1">
      <c r="A67" s="864"/>
      <c r="B67" s="924"/>
      <c r="C67" s="874" t="s">
        <v>62</v>
      </c>
      <c r="D67" s="872"/>
      <c r="E67" s="873"/>
      <c r="F67" s="875"/>
      <c r="G67" s="876"/>
      <c r="H67" s="352"/>
      <c r="I67" s="353"/>
      <c r="J67" s="354"/>
      <c r="K67" s="330" t="str">
        <f>IF(COUNTIFS(証書_森林吸収量!$M$6:$M$58,ROW())=0,"",-1*SUMIFS(証書_森林吸収量!$E$6:$E$58,証書_森林吸収量!$M$6:$M$58,ROW()))</f>
        <v/>
      </c>
      <c r="M67" s="487" t="str">
        <f>IF(COUNTIFS(証書_森林吸収量!$M$6:$M$58,ROW())=0,"",-1*SUMIFS(証書_森林吸収量!$E$6:$E$58,証書_森林吸収量!$M$6:$M$58,ROW()))</f>
        <v/>
      </c>
    </row>
    <row r="68" spans="1:13" ht="33.75" customHeight="1">
      <c r="A68" s="864"/>
      <c r="B68" s="924"/>
      <c r="C68" s="883" t="s">
        <v>37</v>
      </c>
      <c r="D68" s="883"/>
      <c r="E68" s="801"/>
      <c r="F68" s="921"/>
      <c r="G68" s="922"/>
      <c r="H68" s="351"/>
      <c r="I68" s="364"/>
      <c r="J68" s="365"/>
      <c r="K68" s="407" t="str">
        <f>IF(COUNT(K62:K67)=0,"",SUM(K62:K67))</f>
        <v/>
      </c>
    </row>
    <row r="69" spans="1:13" ht="39.950000000000003" customHeight="1" thickBot="1">
      <c r="A69" s="865"/>
      <c r="B69" s="866" t="s">
        <v>42</v>
      </c>
      <c r="C69" s="867"/>
      <c r="D69" s="867"/>
      <c r="E69" s="868"/>
      <c r="F69" s="869"/>
      <c r="G69" s="870"/>
      <c r="H69" s="362" t="str">
        <f>IF(COUNT(H36,H46,H54,H61)=0,"",SUM(H36,H46,H54,H61))</f>
        <v/>
      </c>
      <c r="I69" s="362" t="str">
        <f t="shared" ref="I69:J69" si="17">IF(COUNT(I36,I46,I54,I61)=0,"",SUM(I36,I46,I54,I61))</f>
        <v/>
      </c>
      <c r="J69" s="362" t="str">
        <f t="shared" si="17"/>
        <v/>
      </c>
      <c r="K69" s="363" t="str">
        <f>IF(COUNT(K36,K46,K54,K61,K68)=0,"",IF(SUM(K36,K46,K54,K61,K68)&lt;0,0,SUM(K36,K46,K54,K61,K68)))</f>
        <v/>
      </c>
    </row>
    <row r="70" spans="1:13" ht="18.75" thickBot="1">
      <c r="A70" s="4"/>
      <c r="B70" s="4"/>
      <c r="C70" s="4"/>
      <c r="D70" s="4"/>
      <c r="E70" s="4"/>
      <c r="F70" s="4"/>
      <c r="G70" s="4"/>
      <c r="H70" s="4"/>
      <c r="I70" s="4"/>
      <c r="J70" s="4"/>
      <c r="K70" s="4"/>
    </row>
    <row r="71" spans="1:13" ht="63" customHeight="1">
      <c r="A71" s="842"/>
      <c r="B71" s="721" t="s">
        <v>156</v>
      </c>
      <c r="C71" s="845"/>
      <c r="D71" s="721" t="s">
        <v>73</v>
      </c>
      <c r="E71" s="782"/>
      <c r="F71" s="711" t="s">
        <v>810</v>
      </c>
      <c r="G71" s="850"/>
      <c r="H71" s="119" t="s">
        <v>2</v>
      </c>
      <c r="I71" s="112" t="s">
        <v>51</v>
      </c>
      <c r="J71" s="118"/>
      <c r="K71" s="118"/>
    </row>
    <row r="72" spans="1:13" ht="33" hidden="1" customHeight="1">
      <c r="A72" s="843"/>
      <c r="B72" s="846"/>
      <c r="C72" s="847"/>
      <c r="D72" s="846"/>
      <c r="E72" s="849"/>
      <c r="F72" s="851"/>
      <c r="G72" s="852"/>
      <c r="H72" s="9" t="s">
        <v>6</v>
      </c>
      <c r="I72" s="32" t="s">
        <v>55</v>
      </c>
      <c r="J72" s="118"/>
      <c r="K72" s="118"/>
    </row>
    <row r="73" spans="1:13" ht="19.5" customHeight="1" thickBot="1">
      <c r="A73" s="844"/>
      <c r="B73" s="783"/>
      <c r="C73" s="848"/>
      <c r="D73" s="783"/>
      <c r="E73" s="785"/>
      <c r="F73" s="853"/>
      <c r="G73" s="854"/>
      <c r="H73" s="34" t="s">
        <v>181</v>
      </c>
      <c r="I73" s="35" t="s">
        <v>182</v>
      </c>
      <c r="J73" s="118"/>
      <c r="K73" s="118"/>
    </row>
    <row r="74" spans="1:13" ht="30.2" customHeight="1">
      <c r="A74" s="877" t="s">
        <v>157</v>
      </c>
      <c r="B74" s="915" t="s">
        <v>283</v>
      </c>
      <c r="C74" s="916"/>
      <c r="D74" s="880" t="s">
        <v>88</v>
      </c>
      <c r="E74" s="881"/>
      <c r="F74" s="250" t="str">
        <f>IF(非化石燃料!G8="","",ROUND(非化石燃料!G8,0))</f>
        <v/>
      </c>
      <c r="G74" s="246" t="str">
        <f>非化石燃料!H8</f>
        <v>ｔ</v>
      </c>
      <c r="H74" s="403" t="str">
        <f>IF(非化石燃料!P8="","",非化石燃料!P8)</f>
        <v/>
      </c>
      <c r="I74" s="254" t="str">
        <f>IF(H74="","",H74*0.0258)</f>
        <v/>
      </c>
      <c r="J74" s="4"/>
      <c r="K74" s="4"/>
    </row>
    <row r="75" spans="1:13" ht="30.2" customHeight="1">
      <c r="A75" s="878"/>
      <c r="B75" s="917"/>
      <c r="C75" s="918"/>
      <c r="D75" s="773" t="s">
        <v>89</v>
      </c>
      <c r="E75" s="882"/>
      <c r="F75" s="251" t="str">
        <f>IF(非化石燃料!G9="","",ROUND(非化石燃料!G9,0))</f>
        <v/>
      </c>
      <c r="G75" s="247" t="str">
        <f>非化石燃料!H9</f>
        <v>ｔ</v>
      </c>
      <c r="H75" s="255" t="str">
        <f>IF(非化石燃料!P9="","",非化石燃料!P9)</f>
        <v/>
      </c>
      <c r="I75" s="256" t="str">
        <f t="shared" ref="I75:I97" si="18">IF(H75="","",H75*0.0258)</f>
        <v/>
      </c>
      <c r="J75" s="4"/>
      <c r="K75" s="4"/>
    </row>
    <row r="76" spans="1:13" ht="30.2" customHeight="1">
      <c r="A76" s="878"/>
      <c r="B76" s="917"/>
      <c r="C76" s="918"/>
      <c r="D76" s="773" t="s">
        <v>90</v>
      </c>
      <c r="E76" s="882"/>
      <c r="F76" s="251" t="str">
        <f>IF(非化石燃料!G10="","",ROUND(非化石燃料!G10,0))</f>
        <v/>
      </c>
      <c r="G76" s="247" t="str">
        <f>非化石燃料!H10</f>
        <v>ｔ</v>
      </c>
      <c r="H76" s="255" t="str">
        <f>IF(非化石燃料!P10="","",非化石燃料!P10)</f>
        <v/>
      </c>
      <c r="I76" s="256" t="str">
        <f t="shared" si="18"/>
        <v/>
      </c>
      <c r="J76" s="4"/>
      <c r="K76" s="4"/>
    </row>
    <row r="77" spans="1:13" ht="30.2" customHeight="1">
      <c r="A77" s="878"/>
      <c r="B77" s="917"/>
      <c r="C77" s="918"/>
      <c r="D77" s="773" t="s">
        <v>91</v>
      </c>
      <c r="E77" s="882"/>
      <c r="F77" s="251" t="str">
        <f>IF(非化石燃料!G11="","",ROUND(非化石燃料!G11,0))</f>
        <v/>
      </c>
      <c r="G77" s="247" t="str">
        <f>非化石燃料!H11</f>
        <v>ｔ</v>
      </c>
      <c r="H77" s="255" t="str">
        <f>IF(非化石燃料!P11="","",非化石燃料!P11)</f>
        <v/>
      </c>
      <c r="I77" s="256" t="str">
        <f t="shared" si="18"/>
        <v/>
      </c>
      <c r="J77" s="4"/>
      <c r="K77" s="4"/>
    </row>
    <row r="78" spans="1:13" ht="30.2" customHeight="1">
      <c r="A78" s="878"/>
      <c r="B78" s="917"/>
      <c r="C78" s="918"/>
      <c r="D78" s="773" t="s">
        <v>92</v>
      </c>
      <c r="E78" s="882"/>
      <c r="F78" s="251" t="str">
        <f>IF(非化石燃料!G12="","",ROUND(非化石燃料!G12,0))</f>
        <v/>
      </c>
      <c r="G78" s="247" t="str">
        <f>非化石燃料!H12</f>
        <v>ｔ</v>
      </c>
      <c r="H78" s="255" t="str">
        <f>IF(非化石燃料!P12="","",非化石燃料!P12)</f>
        <v/>
      </c>
      <c r="I78" s="256" t="str">
        <f t="shared" si="18"/>
        <v/>
      </c>
      <c r="J78" s="4"/>
      <c r="K78" s="4"/>
    </row>
    <row r="79" spans="1:13" ht="73.5" customHeight="1">
      <c r="A79" s="878"/>
      <c r="B79" s="917"/>
      <c r="C79" s="918"/>
      <c r="D79" s="773" t="s">
        <v>93</v>
      </c>
      <c r="E79" s="882"/>
      <c r="F79" s="251" t="str">
        <f>IF(非化石燃料!G13="","",ROUND(非化石燃料!G13,0))</f>
        <v/>
      </c>
      <c r="G79" s="247" t="str">
        <f>非化石燃料!H13</f>
        <v>kL</v>
      </c>
      <c r="H79" s="255" t="str">
        <f>IF(非化石燃料!P13="","",非化石燃料!P13)</f>
        <v/>
      </c>
      <c r="I79" s="256" t="str">
        <f t="shared" si="18"/>
        <v/>
      </c>
      <c r="J79" s="4"/>
      <c r="K79" s="4"/>
    </row>
    <row r="80" spans="1:13" ht="45" customHeight="1">
      <c r="A80" s="878"/>
      <c r="B80" s="917"/>
      <c r="C80" s="918"/>
      <c r="D80" s="885" t="s">
        <v>178</v>
      </c>
      <c r="E80" s="882"/>
      <c r="F80" s="251" t="str">
        <f>IF(非化石燃料!G14="","",ROUND(非化石燃料!G14,0))</f>
        <v/>
      </c>
      <c r="G80" s="247" t="str">
        <f>非化石燃料!H14</f>
        <v>kL</v>
      </c>
      <c r="H80" s="255" t="str">
        <f>IF(非化石燃料!P14="","",非化石燃料!P14)</f>
        <v/>
      </c>
      <c r="I80" s="256" t="str">
        <f t="shared" si="18"/>
        <v/>
      </c>
      <c r="J80" s="4"/>
      <c r="K80" s="4"/>
    </row>
    <row r="81" spans="1:11" ht="30.2" customHeight="1">
      <c r="A81" s="878"/>
      <c r="B81" s="917"/>
      <c r="C81" s="918"/>
      <c r="D81" s="773" t="s">
        <v>95</v>
      </c>
      <c r="E81" s="882"/>
      <c r="F81" s="251" t="str">
        <f>IF(非化石燃料!G15="","",ROUND(非化石燃料!G15,0))</f>
        <v/>
      </c>
      <c r="G81" s="247" t="str">
        <f>非化石燃料!H15</f>
        <v>千m3</v>
      </c>
      <c r="H81" s="255" t="str">
        <f>IF(非化石燃料!P15="","",非化石燃料!P15)</f>
        <v/>
      </c>
      <c r="I81" s="256" t="str">
        <f t="shared" si="18"/>
        <v/>
      </c>
      <c r="J81" s="4"/>
      <c r="K81" s="4"/>
    </row>
    <row r="82" spans="1:11" ht="30.2" customHeight="1">
      <c r="A82" s="878"/>
      <c r="B82" s="917"/>
      <c r="C82" s="918"/>
      <c r="D82" s="773" t="s">
        <v>159</v>
      </c>
      <c r="E82" s="882"/>
      <c r="F82" s="251" t="str">
        <f>IF(非化石燃料!G16="","",ROUND(非化石燃料!G16,0))</f>
        <v/>
      </c>
      <c r="G82" s="247" t="str">
        <f>非化石燃料!H16</f>
        <v>t</v>
      </c>
      <c r="H82" s="255" t="str">
        <f>IF(非化石燃料!P16="","",非化石燃料!P16)</f>
        <v/>
      </c>
      <c r="I82" s="256" t="str">
        <f t="shared" si="18"/>
        <v/>
      </c>
      <c r="J82" s="4"/>
      <c r="K82" s="4"/>
    </row>
    <row r="83" spans="1:11" ht="30.2" customHeight="1">
      <c r="A83" s="878"/>
      <c r="B83" s="917"/>
      <c r="C83" s="918"/>
      <c r="D83" s="612" t="str">
        <f>IF(非化石燃料!C17="","廃棄物原燃料　自由記入1",非化石燃料!C17)</f>
        <v>廃棄物原燃料　自由記入1</v>
      </c>
      <c r="E83" s="788"/>
      <c r="F83" s="251" t="str">
        <f>IF(非化石燃料!G17="","",ROUND(非化石燃料!G17,0))</f>
        <v/>
      </c>
      <c r="G83" s="247" t="str">
        <f>非化石燃料!H17</f>
        <v>kg</v>
      </c>
      <c r="H83" s="255" t="str">
        <f>IF(非化石燃料!P17="","",非化石燃料!P17)</f>
        <v/>
      </c>
      <c r="I83" s="256" t="str">
        <f t="shared" si="18"/>
        <v/>
      </c>
      <c r="J83" s="4"/>
      <c r="K83" s="4"/>
    </row>
    <row r="84" spans="1:11" ht="30.2" customHeight="1" thickBot="1">
      <c r="A84" s="878"/>
      <c r="B84" s="919"/>
      <c r="C84" s="920"/>
      <c r="D84" s="828" t="str">
        <f>IF(非化石燃料!C18="","廃棄物原燃料　自由記入2",非化石燃料!C18)</f>
        <v>廃棄物原燃料　自由記入2</v>
      </c>
      <c r="E84" s="830"/>
      <c r="F84" s="252" t="str">
        <f>IF(非化石燃料!G18="","",ROUND(非化石燃料!G18,0))</f>
        <v/>
      </c>
      <c r="G84" s="248" t="str">
        <f>非化石燃料!H18</f>
        <v>kg</v>
      </c>
      <c r="H84" s="255" t="str">
        <f>IF(非化石燃料!P18="","",非化石燃料!P18)</f>
        <v/>
      </c>
      <c r="I84" s="257" t="str">
        <f t="shared" si="18"/>
        <v/>
      </c>
      <c r="J84" s="4"/>
      <c r="K84" s="4"/>
    </row>
    <row r="85" spans="1:11" ht="30.2" customHeight="1" thickTop="1">
      <c r="A85" s="878"/>
      <c r="B85" s="901" t="s">
        <v>160</v>
      </c>
      <c r="C85" s="901"/>
      <c r="D85" s="905" t="s">
        <v>161</v>
      </c>
      <c r="E85" s="906"/>
      <c r="F85" s="253" t="str">
        <f>IF(非化石燃料!G19="","",ROUND(非化石燃料!G19,0))</f>
        <v/>
      </c>
      <c r="G85" s="249" t="str">
        <f>非化石燃料!H19</f>
        <v>t</v>
      </c>
      <c r="H85" s="404" t="str">
        <f>IF(非化石燃料!P19="","",非化石燃料!P19)</f>
        <v/>
      </c>
      <c r="I85" s="258" t="str">
        <f t="shared" si="18"/>
        <v/>
      </c>
      <c r="J85" s="4"/>
      <c r="K85" s="4"/>
    </row>
    <row r="86" spans="1:11" ht="30.2" customHeight="1">
      <c r="A86" s="878"/>
      <c r="B86" s="902"/>
      <c r="C86" s="902"/>
      <c r="D86" s="883" t="s">
        <v>162</v>
      </c>
      <c r="E86" s="884"/>
      <c r="F86" s="251" t="str">
        <f>IF(非化石燃料!G20="","",ROUND(非化石燃料!G20,0))</f>
        <v/>
      </c>
      <c r="G86" s="247" t="str">
        <f>非化石燃料!H20</f>
        <v>t</v>
      </c>
      <c r="H86" s="255" t="str">
        <f>IF(非化石燃料!P20="","",非化石燃料!P20)</f>
        <v/>
      </c>
      <c r="I86" s="256" t="str">
        <f t="shared" si="18"/>
        <v/>
      </c>
      <c r="J86" s="4"/>
      <c r="K86" s="4"/>
    </row>
    <row r="87" spans="1:11" ht="30.2" customHeight="1">
      <c r="A87" s="878"/>
      <c r="B87" s="902"/>
      <c r="C87" s="902"/>
      <c r="D87" s="883" t="s">
        <v>163</v>
      </c>
      <c r="E87" s="884"/>
      <c r="F87" s="251" t="str">
        <f>IF(非化石燃料!G21="","",ROUND(非化石燃料!G21,0))</f>
        <v/>
      </c>
      <c r="G87" s="247" t="str">
        <f>非化石燃料!H21</f>
        <v>t</v>
      </c>
      <c r="H87" s="255" t="str">
        <f>IF(非化石燃料!P21="","",非化石燃料!P21)</f>
        <v/>
      </c>
      <c r="I87" s="256" t="str">
        <f t="shared" si="18"/>
        <v/>
      </c>
      <c r="J87" s="4"/>
      <c r="K87" s="4"/>
    </row>
    <row r="88" spans="1:11" ht="30.2" customHeight="1">
      <c r="A88" s="878"/>
      <c r="B88" s="902"/>
      <c r="C88" s="902"/>
      <c r="D88" s="883" t="s">
        <v>164</v>
      </c>
      <c r="E88" s="884"/>
      <c r="F88" s="251" t="str">
        <f>IF(非化石燃料!G22="","",ROUND(非化石燃料!G22,0))</f>
        <v/>
      </c>
      <c r="G88" s="247" t="str">
        <f>非化石燃料!H22</f>
        <v>kL</v>
      </c>
      <c r="H88" s="255" t="str">
        <f>IF(非化石燃料!P22="","",非化石燃料!P22)</f>
        <v/>
      </c>
      <c r="I88" s="256" t="str">
        <f t="shared" si="18"/>
        <v/>
      </c>
      <c r="J88" s="4"/>
      <c r="K88" s="4"/>
    </row>
    <row r="89" spans="1:11" ht="30.2" customHeight="1">
      <c r="A89" s="878"/>
      <c r="B89" s="902"/>
      <c r="C89" s="902"/>
      <c r="D89" s="883" t="s">
        <v>165</v>
      </c>
      <c r="E89" s="884"/>
      <c r="F89" s="251" t="str">
        <f>IF(非化石燃料!G23="","",ROUND(非化石燃料!G23,0))</f>
        <v/>
      </c>
      <c r="G89" s="247" t="str">
        <f>非化石燃料!H23</f>
        <v>kL</v>
      </c>
      <c r="H89" s="255" t="str">
        <f>IF(非化石燃料!P23="","",非化石燃料!P23)</f>
        <v/>
      </c>
      <c r="I89" s="256" t="str">
        <f t="shared" si="18"/>
        <v/>
      </c>
      <c r="J89" s="4"/>
      <c r="K89" s="4"/>
    </row>
    <row r="90" spans="1:11" ht="30.2" customHeight="1">
      <c r="A90" s="878"/>
      <c r="B90" s="902"/>
      <c r="C90" s="902"/>
      <c r="D90" s="883" t="s">
        <v>166</v>
      </c>
      <c r="E90" s="884"/>
      <c r="F90" s="251" t="str">
        <f>IF(非化石燃料!G24="","",ROUND(非化石燃料!G24,0))</f>
        <v/>
      </c>
      <c r="G90" s="247" t="str">
        <f>非化石燃料!H24</f>
        <v>千m3</v>
      </c>
      <c r="H90" s="255" t="str">
        <f>IF(非化石燃料!P24="","",非化石燃料!P24)</f>
        <v/>
      </c>
      <c r="I90" s="256" t="str">
        <f t="shared" si="18"/>
        <v/>
      </c>
      <c r="J90" s="4"/>
      <c r="K90" s="4"/>
    </row>
    <row r="91" spans="1:11" ht="30.2" customHeight="1">
      <c r="A91" s="878"/>
      <c r="B91" s="903"/>
      <c r="C91" s="903"/>
      <c r="D91" s="801" t="s">
        <v>167</v>
      </c>
      <c r="E91" s="802"/>
      <c r="F91" s="251" t="str">
        <f>IF(非化石燃料!G25="","",ROUND(非化石燃料!G25,0))</f>
        <v/>
      </c>
      <c r="G91" s="247" t="str">
        <f>非化石燃料!H25</f>
        <v>t</v>
      </c>
      <c r="H91" s="255" t="str">
        <f>IF(非化石燃料!P25="","",非化石燃料!P25)</f>
        <v/>
      </c>
      <c r="I91" s="259" t="str">
        <f t="shared" si="18"/>
        <v/>
      </c>
      <c r="J91" s="4"/>
      <c r="K91" s="4"/>
    </row>
    <row r="92" spans="1:11" ht="30.2" customHeight="1">
      <c r="A92" s="878"/>
      <c r="B92" s="903"/>
      <c r="C92" s="903"/>
      <c r="D92" s="801" t="str">
        <f>IF(非化石燃料!C26="","非化石燃料　自由記入1",非化石燃料!C26)</f>
        <v>非化石燃料　自由記入1</v>
      </c>
      <c r="E92" s="802"/>
      <c r="F92" s="251" t="str">
        <f>IF(非化石燃料!G26="","",ROUND(非化石燃料!G26,0))</f>
        <v/>
      </c>
      <c r="G92" s="247" t="str">
        <f>非化石燃料!H26</f>
        <v>L</v>
      </c>
      <c r="H92" s="255" t="str">
        <f>IF(非化石燃料!P26="","",非化石燃料!P26)</f>
        <v/>
      </c>
      <c r="I92" s="259" t="str">
        <f t="shared" si="18"/>
        <v/>
      </c>
      <c r="J92" s="4"/>
      <c r="K92" s="4"/>
    </row>
    <row r="93" spans="1:11" ht="30.2" customHeight="1" thickBot="1">
      <c r="A93" s="878"/>
      <c r="B93" s="904"/>
      <c r="C93" s="904"/>
      <c r="D93" s="896" t="str">
        <f>IF(非化石燃料!C27="","非化石燃料　自由記入2",非化石燃料!C27)</f>
        <v>非化石燃料　自由記入2</v>
      </c>
      <c r="E93" s="897"/>
      <c r="F93" s="252" t="str">
        <f>IF(非化石燃料!G27="","",ROUND(非化石燃料!G27,0))</f>
        <v/>
      </c>
      <c r="G93" s="248" t="str">
        <f>非化石燃料!H27</f>
        <v>kg</v>
      </c>
      <c r="H93" s="255" t="str">
        <f>IF(非化石燃料!P27="","",非化石燃料!P27)</f>
        <v/>
      </c>
      <c r="I93" s="257" t="str">
        <f t="shared" si="18"/>
        <v/>
      </c>
      <c r="J93" s="4"/>
      <c r="K93" s="4"/>
    </row>
    <row r="94" spans="1:11" ht="30.2" customHeight="1" thickTop="1">
      <c r="A94" s="878"/>
      <c r="B94" s="747" t="s">
        <v>168</v>
      </c>
      <c r="C94" s="747"/>
      <c r="D94" s="778" t="s">
        <v>169</v>
      </c>
      <c r="E94" s="898"/>
      <c r="F94" s="253" t="str">
        <f>IF(非化石燃料!G28="","",ROUND(非化石燃料!G28,0))</f>
        <v/>
      </c>
      <c r="G94" s="249" t="str">
        <f>非化石燃料!H28</f>
        <v>t</v>
      </c>
      <c r="H94" s="404" t="str">
        <f>IF(非化石燃料!P28="","",非化石燃料!P28)</f>
        <v/>
      </c>
      <c r="I94" s="258" t="str">
        <f t="shared" si="18"/>
        <v/>
      </c>
      <c r="J94" s="4"/>
      <c r="K94" s="4"/>
    </row>
    <row r="95" spans="1:11" ht="30.2" customHeight="1">
      <c r="A95" s="878"/>
      <c r="B95" s="743"/>
      <c r="C95" s="743"/>
      <c r="D95" s="773" t="s">
        <v>170</v>
      </c>
      <c r="E95" s="882"/>
      <c r="F95" s="251" t="str">
        <f>IF(非化石燃料!G29="","",ROUND(非化石燃料!G29,0))</f>
        <v/>
      </c>
      <c r="G95" s="247" t="str">
        <f>非化石燃料!H29</f>
        <v>t</v>
      </c>
      <c r="H95" s="255" t="str">
        <f>IF(非化石燃料!P29="","",非化石燃料!P29)</f>
        <v/>
      </c>
      <c r="I95" s="256" t="str">
        <f t="shared" si="18"/>
        <v/>
      </c>
      <c r="J95" s="4"/>
      <c r="K95" s="4"/>
    </row>
    <row r="96" spans="1:11" ht="30.2" customHeight="1">
      <c r="A96" s="878"/>
      <c r="B96" s="743"/>
      <c r="C96" s="743"/>
      <c r="D96" s="612" t="str">
        <f>IF(非化石燃料!C30="","その他の非化石燃料　自由記入1",非化石燃料!C30)</f>
        <v>その他の非化石燃料　自由記入1</v>
      </c>
      <c r="E96" s="788"/>
      <c r="F96" s="251" t="str">
        <f>IF(非化石燃料!G30="","",ROUND(非化石燃料!G30,0))</f>
        <v/>
      </c>
      <c r="G96" s="247" t="str">
        <f>非化石燃料!H30</f>
        <v>kg</v>
      </c>
      <c r="H96" s="255" t="str">
        <f>IF(非化石燃料!P30="","",非化石燃料!P30)</f>
        <v/>
      </c>
      <c r="I96" s="256" t="str">
        <f t="shared" si="18"/>
        <v/>
      </c>
      <c r="J96" s="4"/>
      <c r="K96" s="4"/>
    </row>
    <row r="97" spans="1:11" ht="30.2" customHeight="1" thickBot="1">
      <c r="A97" s="878"/>
      <c r="B97" s="818"/>
      <c r="C97" s="818"/>
      <c r="D97" s="899" t="str">
        <f>IF(非化石燃料!C31="","その他の非化石燃料　自由記入2",非化石燃料!C31)</f>
        <v>その他の非化石燃料　自由記入2</v>
      </c>
      <c r="E97" s="900"/>
      <c r="F97" s="252" t="str">
        <f>IF(非化石燃料!G31="","",ROUND(非化石燃料!G31,0))</f>
        <v/>
      </c>
      <c r="G97" s="248" t="str">
        <f>非化石燃料!H31</f>
        <v>kg</v>
      </c>
      <c r="H97" s="255" t="str">
        <f>IF(非化石燃料!P31="","",非化石燃料!P31)</f>
        <v/>
      </c>
      <c r="I97" s="257" t="str">
        <f t="shared" si="18"/>
        <v/>
      </c>
      <c r="J97" s="4"/>
      <c r="K97" s="4"/>
    </row>
    <row r="98" spans="1:11" ht="30.2" customHeight="1" thickTop="1" thickBot="1">
      <c r="A98" s="879"/>
      <c r="B98" s="890" t="s">
        <v>171</v>
      </c>
      <c r="C98" s="890"/>
      <c r="D98" s="890"/>
      <c r="E98" s="891"/>
      <c r="F98" s="892"/>
      <c r="G98" s="893"/>
      <c r="H98" s="260" t="str">
        <f>IF(COUNT(H74:H97)=0,"",SUM(H74:H97))</f>
        <v/>
      </c>
      <c r="I98" s="261" t="str">
        <f>IF(COUNT(I74:I97)=0,"",SUM(I74:I97))</f>
        <v/>
      </c>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ht="18.75" thickBot="1">
      <c r="A101" s="4"/>
      <c r="B101" s="4"/>
      <c r="C101" s="4"/>
      <c r="D101" s="4"/>
      <c r="E101" s="4"/>
      <c r="F101" s="4"/>
      <c r="G101" s="4"/>
      <c r="H101" s="4"/>
      <c r="I101" s="4"/>
      <c r="J101" s="4"/>
      <c r="K101" s="4"/>
    </row>
    <row r="102" spans="1:11" ht="30.2" customHeight="1">
      <c r="A102" s="4"/>
      <c r="B102" s="4"/>
      <c r="C102" s="4"/>
      <c r="D102" s="894" t="s">
        <v>184</v>
      </c>
      <c r="E102" s="895"/>
      <c r="F102" s="895"/>
      <c r="G102" s="895"/>
      <c r="H102" s="409" t="str">
        <f>IF(COUNT(I69,I98)=0,"",ROUND(SUM(I69,I98),0))</f>
        <v/>
      </c>
      <c r="I102" s="262" t="s">
        <v>182</v>
      </c>
      <c r="J102" s="4"/>
      <c r="K102" s="4"/>
    </row>
    <row r="103" spans="1:11" ht="30.2" customHeight="1">
      <c r="A103" s="4"/>
      <c r="B103" s="4"/>
      <c r="C103" s="4"/>
      <c r="D103" s="907" t="s">
        <v>183</v>
      </c>
      <c r="E103" s="908"/>
      <c r="F103" s="908"/>
      <c r="G103" s="908"/>
      <c r="H103" s="410" t="str">
        <f>IF(COUNT(J69)=0,"",ROUND(J69,0))</f>
        <v/>
      </c>
      <c r="I103" s="263" t="s">
        <v>270</v>
      </c>
      <c r="J103" s="4"/>
      <c r="K103" s="4"/>
    </row>
    <row r="104" spans="1:11" ht="30.2" customHeight="1">
      <c r="A104" s="4"/>
      <c r="B104" s="4"/>
      <c r="C104" s="4"/>
      <c r="D104" s="886" t="s">
        <v>285</v>
      </c>
      <c r="E104" s="887"/>
      <c r="F104" s="887"/>
      <c r="G104" s="887"/>
      <c r="H104" s="410" t="str">
        <f>IF(COUNT(K69)=0,"",ROUND(K69,0))</f>
        <v/>
      </c>
      <c r="I104" s="263" t="s">
        <v>814</v>
      </c>
      <c r="J104" s="4"/>
      <c r="K104" s="4"/>
    </row>
    <row r="105" spans="1:11" ht="30.2" customHeight="1" thickBot="1">
      <c r="A105" s="4"/>
      <c r="B105" s="4"/>
      <c r="C105" s="4"/>
      <c r="D105" s="888" t="s">
        <v>289</v>
      </c>
      <c r="E105" s="889"/>
      <c r="F105" s="889"/>
      <c r="G105" s="889"/>
      <c r="H105" s="408" t="str">
        <f>IF(AND(参考!$I$58&lt;&gt;"",$H$104&lt;&gt;""),ROUND(参考!$I$58-IF(SUM(K36,K46,K54,K61)&lt;0,0,ROUND(SUM(K36,K46,K54,K61),0))+IF($K$68="",0,$K$68)*-1,0),"")</f>
        <v/>
      </c>
      <c r="I105" s="264" t="s">
        <v>814</v>
      </c>
      <c r="J105" s="4"/>
      <c r="K105" s="4"/>
    </row>
    <row r="106" spans="1:11">
      <c r="A106" s="4"/>
      <c r="B106" s="4"/>
      <c r="C106" s="4"/>
      <c r="D106" s="4"/>
      <c r="E106" s="4"/>
      <c r="F106" s="4"/>
      <c r="G106" s="4"/>
      <c r="H106" s="4"/>
      <c r="I106" s="4"/>
      <c r="J106" s="4"/>
      <c r="K106" s="4"/>
    </row>
    <row r="107" spans="1:11" ht="24">
      <c r="A107" s="4"/>
      <c r="B107" s="4"/>
      <c r="C107" s="4"/>
      <c r="D107" s="4"/>
      <c r="E107" s="4"/>
      <c r="F107" s="4"/>
      <c r="G107" s="4"/>
      <c r="H107" s="4"/>
      <c r="I107" s="4"/>
      <c r="J107" s="4"/>
      <c r="K107" s="113" t="s">
        <v>271</v>
      </c>
    </row>
    <row r="109" spans="1:11" ht="24">
      <c r="K109" s="431"/>
    </row>
  </sheetData>
  <sheetProtection algorithmName="SHA-512" hashValue="W3L6DBtkdtvAL6YT4XKA8Ku0tQskH9lD0iYCCXmaA4ec82ycoiQq2f9e7YyZQiTSn3MwWcPOJrldPjhaboZdwQ==" saltValue="3x3RHnAtx6HAFRdns7pJQA==" spinCount="100000" sheet="1" objects="1" scenarios="1"/>
  <mergeCells count="129">
    <mergeCell ref="F61:G61"/>
    <mergeCell ref="B57:E58"/>
    <mergeCell ref="F57:G57"/>
    <mergeCell ref="B59:B61"/>
    <mergeCell ref="D52:E52"/>
    <mergeCell ref="D53:E53"/>
    <mergeCell ref="B74:C84"/>
    <mergeCell ref="D83:E83"/>
    <mergeCell ref="D84:E84"/>
    <mergeCell ref="F54:G54"/>
    <mergeCell ref="C48:C53"/>
    <mergeCell ref="C68:E68"/>
    <mergeCell ref="F68:G68"/>
    <mergeCell ref="B62:B68"/>
    <mergeCell ref="D104:G104"/>
    <mergeCell ref="D105:G105"/>
    <mergeCell ref="B98:E98"/>
    <mergeCell ref="F98:G98"/>
    <mergeCell ref="D102:G102"/>
    <mergeCell ref="D90:E90"/>
    <mergeCell ref="D93:E93"/>
    <mergeCell ref="B94:C97"/>
    <mergeCell ref="D94:E94"/>
    <mergeCell ref="D97:E97"/>
    <mergeCell ref="B85:C93"/>
    <mergeCell ref="D85:E85"/>
    <mergeCell ref="D86:E86"/>
    <mergeCell ref="D87:E87"/>
    <mergeCell ref="D88:E88"/>
    <mergeCell ref="D103:G103"/>
    <mergeCell ref="D96:E96"/>
    <mergeCell ref="D91:E91"/>
    <mergeCell ref="D92:E92"/>
    <mergeCell ref="A74:A98"/>
    <mergeCell ref="D74:E74"/>
    <mergeCell ref="D75:E75"/>
    <mergeCell ref="D76:E76"/>
    <mergeCell ref="D89:E89"/>
    <mergeCell ref="D80:E80"/>
    <mergeCell ref="D81:E81"/>
    <mergeCell ref="D82:E82"/>
    <mergeCell ref="D77:E77"/>
    <mergeCell ref="D78:E78"/>
    <mergeCell ref="D79:E79"/>
    <mergeCell ref="D95:E95"/>
    <mergeCell ref="A71:A73"/>
    <mergeCell ref="B71:C73"/>
    <mergeCell ref="D71:E73"/>
    <mergeCell ref="F71:G71"/>
    <mergeCell ref="F72:G72"/>
    <mergeCell ref="F73:G73"/>
    <mergeCell ref="C62:E62"/>
    <mergeCell ref="F62:G62"/>
    <mergeCell ref="C63:E63"/>
    <mergeCell ref="F63:G63"/>
    <mergeCell ref="C64:E64"/>
    <mergeCell ref="F64:G64"/>
    <mergeCell ref="C65:E65"/>
    <mergeCell ref="F65:G65"/>
    <mergeCell ref="A57:A69"/>
    <mergeCell ref="B69:E69"/>
    <mergeCell ref="F69:G69"/>
    <mergeCell ref="C66:E66"/>
    <mergeCell ref="F66:G66"/>
    <mergeCell ref="C61:E61"/>
    <mergeCell ref="C59:E59"/>
    <mergeCell ref="C60:E60"/>
    <mergeCell ref="C67:E67"/>
    <mergeCell ref="F67:G67"/>
    <mergeCell ref="C29:E29"/>
    <mergeCell ref="C30:E30"/>
    <mergeCell ref="C31:E31"/>
    <mergeCell ref="C36:E36"/>
    <mergeCell ref="F36:G36"/>
    <mergeCell ref="F46:G46"/>
    <mergeCell ref="D37:E37"/>
    <mergeCell ref="D38:E38"/>
    <mergeCell ref="D40:E40"/>
    <mergeCell ref="C41:C45"/>
    <mergeCell ref="D41:D42"/>
    <mergeCell ref="D43:D44"/>
    <mergeCell ref="C15:E15"/>
    <mergeCell ref="C16:C17"/>
    <mergeCell ref="A2:E2"/>
    <mergeCell ref="C54:E54"/>
    <mergeCell ref="C27:E27"/>
    <mergeCell ref="C32:E32"/>
    <mergeCell ref="C33:E33"/>
    <mergeCell ref="D16:E16"/>
    <mergeCell ref="D17:E17"/>
    <mergeCell ref="C18:C19"/>
    <mergeCell ref="D18:E18"/>
    <mergeCell ref="D19:E19"/>
    <mergeCell ref="C20:C22"/>
    <mergeCell ref="D20:E20"/>
    <mergeCell ref="D21:E21"/>
    <mergeCell ref="D22:E22"/>
    <mergeCell ref="D39:E39"/>
    <mergeCell ref="D48:D49"/>
    <mergeCell ref="D50:D51"/>
    <mergeCell ref="C46:E46"/>
    <mergeCell ref="C34:C35"/>
    <mergeCell ref="D34:E34"/>
    <mergeCell ref="D35:E35"/>
    <mergeCell ref="C28:E28"/>
    <mergeCell ref="H3:J3"/>
    <mergeCell ref="B4:E5"/>
    <mergeCell ref="F4:G4"/>
    <mergeCell ref="C13:E13"/>
    <mergeCell ref="C14:E14"/>
    <mergeCell ref="A6:A54"/>
    <mergeCell ref="B6:B35"/>
    <mergeCell ref="C6:E6"/>
    <mergeCell ref="C7:E7"/>
    <mergeCell ref="C8:E8"/>
    <mergeCell ref="C9:E9"/>
    <mergeCell ref="C10:E10"/>
    <mergeCell ref="C11:E11"/>
    <mergeCell ref="C12:E12"/>
    <mergeCell ref="C23:C24"/>
    <mergeCell ref="D23:E23"/>
    <mergeCell ref="D24:E24"/>
    <mergeCell ref="C25:E25"/>
    <mergeCell ref="C26:E26"/>
    <mergeCell ref="B47:B54"/>
    <mergeCell ref="D47:E47"/>
    <mergeCell ref="D45:E45"/>
    <mergeCell ref="B37:B46"/>
    <mergeCell ref="C37:C40"/>
  </mergeCells>
  <phoneticPr fontId="5"/>
  <pageMargins left="0.78740157480314965" right="0.59055118110236227" top="0.78740157480314965" bottom="0.59055118110236227" header="0.31496062992125984" footer="0.31496062992125984"/>
  <pageSetup paperSize="9" scale="39" fitToHeight="0" orientation="portrait" r:id="rId1"/>
  <headerFooter>
    <oddHeader>&amp;L別紙1&amp;Cエネ起CO2算定資料</oddHeader>
  </headerFooter>
  <rowBreaks count="1" manualBreakCount="1">
    <brk id="55"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P99"/>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RowHeight="18" outlineLevelCol="1"/>
  <cols>
    <col min="1" max="1" width="6.25" style="64" customWidth="1"/>
    <col min="2" max="2" width="19.75" style="64" customWidth="1"/>
    <col min="3" max="3" width="23.25" style="64" customWidth="1"/>
    <col min="4" max="4" width="16.5" style="64" customWidth="1"/>
    <col min="5" max="5" width="11.5" style="64" customWidth="1"/>
    <col min="6" max="6" width="13.375" style="64" customWidth="1"/>
    <col min="7" max="7" width="11.5" style="64" hidden="1" customWidth="1" outlineLevel="1"/>
    <col min="8" max="8" width="6.5" style="64" hidden="1" customWidth="1" outlineLevel="1"/>
    <col min="9" max="9" width="11.25" style="65" customWidth="1" collapsed="1"/>
    <col min="10" max="10" width="14.5" style="64" customWidth="1"/>
    <col min="11" max="11" width="18.875" style="64" customWidth="1"/>
    <col min="12" max="12" width="9" style="64" customWidth="1"/>
    <col min="13" max="13" width="19" style="64" hidden="1" customWidth="1" outlineLevel="1"/>
    <col min="14" max="14" width="24.5" style="64" hidden="1" customWidth="1" outlineLevel="1"/>
    <col min="15" max="15" width="22.875" style="64" hidden="1" customWidth="1" outlineLevel="1"/>
    <col min="16" max="16" width="9" style="64" customWidth="1" collapsed="1"/>
    <col min="17" max="229" width="9" style="64"/>
    <col min="230" max="230" width="2" style="64" customWidth="1"/>
    <col min="231" max="231" width="6.25" style="64" customWidth="1"/>
    <col min="232" max="232" width="19.75" style="64" customWidth="1"/>
    <col min="233" max="233" width="23.25" style="64" customWidth="1"/>
    <col min="234" max="234" width="14.125" style="64" customWidth="1"/>
    <col min="235" max="235" width="10.5" style="64" customWidth="1"/>
    <col min="236" max="239" width="0" style="64" hidden="1" customWidth="1"/>
    <col min="240" max="252" width="10.625" style="64" customWidth="1"/>
    <col min="253" max="266" width="0" style="64" hidden="1" customWidth="1"/>
    <col min="267" max="268" width="11.25" style="64" customWidth="1"/>
    <col min="269" max="269" width="9" style="64"/>
    <col min="270" max="272" width="0" style="64" hidden="1" customWidth="1"/>
    <col min="273" max="485" width="9" style="64"/>
    <col min="486" max="486" width="2" style="64" customWidth="1"/>
    <col min="487" max="487" width="6.25" style="64" customWidth="1"/>
    <col min="488" max="488" width="19.75" style="64" customWidth="1"/>
    <col min="489" max="489" width="23.25" style="64" customWidth="1"/>
    <col min="490" max="490" width="14.125" style="64" customWidth="1"/>
    <col min="491" max="491" width="10.5" style="64" customWidth="1"/>
    <col min="492" max="495" width="0" style="64" hidden="1" customWidth="1"/>
    <col min="496" max="508" width="10.625" style="64" customWidth="1"/>
    <col min="509" max="522" width="0" style="64" hidden="1" customWidth="1"/>
    <col min="523" max="524" width="11.25" style="64" customWidth="1"/>
    <col min="525" max="525" width="9" style="64"/>
    <col min="526" max="528" width="0" style="64" hidden="1" customWidth="1"/>
    <col min="529" max="741" width="9" style="64"/>
    <col min="742" max="742" width="2" style="64" customWidth="1"/>
    <col min="743" max="743" width="6.25" style="64" customWidth="1"/>
    <col min="744" max="744" width="19.75" style="64" customWidth="1"/>
    <col min="745" max="745" width="23.25" style="64" customWidth="1"/>
    <col min="746" max="746" width="14.125" style="64" customWidth="1"/>
    <col min="747" max="747" width="10.5" style="64" customWidth="1"/>
    <col min="748" max="751" width="0" style="64" hidden="1" customWidth="1"/>
    <col min="752" max="764" width="10.625" style="64" customWidth="1"/>
    <col min="765" max="778" width="0" style="64" hidden="1" customWidth="1"/>
    <col min="779" max="780" width="11.25" style="64" customWidth="1"/>
    <col min="781" max="781" width="9" style="64"/>
    <col min="782" max="784" width="0" style="64" hidden="1" customWidth="1"/>
    <col min="785" max="997" width="9" style="64"/>
    <col min="998" max="998" width="2" style="64" customWidth="1"/>
    <col min="999" max="999" width="6.25" style="64" customWidth="1"/>
    <col min="1000" max="1000" width="19.75" style="64" customWidth="1"/>
    <col min="1001" max="1001" width="23.25" style="64" customWidth="1"/>
    <col min="1002" max="1002" width="14.125" style="64" customWidth="1"/>
    <col min="1003" max="1003" width="10.5" style="64" customWidth="1"/>
    <col min="1004" max="1007" width="0" style="64" hidden="1" customWidth="1"/>
    <col min="1008" max="1020" width="10.625" style="64" customWidth="1"/>
    <col min="1021" max="1034" width="0" style="64" hidden="1" customWidth="1"/>
    <col min="1035" max="1036" width="11.25" style="64" customWidth="1"/>
    <col min="1037" max="1037" width="9" style="64"/>
    <col min="1038" max="1040" width="0" style="64" hidden="1" customWidth="1"/>
    <col min="1041" max="1253" width="9" style="64"/>
    <col min="1254" max="1254" width="2" style="64" customWidth="1"/>
    <col min="1255" max="1255" width="6.25" style="64" customWidth="1"/>
    <col min="1256" max="1256" width="19.75" style="64" customWidth="1"/>
    <col min="1257" max="1257" width="23.25" style="64" customWidth="1"/>
    <col min="1258" max="1258" width="14.125" style="64" customWidth="1"/>
    <col min="1259" max="1259" width="10.5" style="64" customWidth="1"/>
    <col min="1260" max="1263" width="0" style="64" hidden="1" customWidth="1"/>
    <col min="1264" max="1276" width="10.625" style="64" customWidth="1"/>
    <col min="1277" max="1290" width="0" style="64" hidden="1" customWidth="1"/>
    <col min="1291" max="1292" width="11.25" style="64" customWidth="1"/>
    <col min="1293" max="1293" width="9" style="64"/>
    <col min="1294" max="1296" width="0" style="64" hidden="1" customWidth="1"/>
    <col min="1297" max="1509" width="9" style="64"/>
    <col min="1510" max="1510" width="2" style="64" customWidth="1"/>
    <col min="1511" max="1511" width="6.25" style="64" customWidth="1"/>
    <col min="1512" max="1512" width="19.75" style="64" customWidth="1"/>
    <col min="1513" max="1513" width="23.25" style="64" customWidth="1"/>
    <col min="1514" max="1514" width="14.125" style="64" customWidth="1"/>
    <col min="1515" max="1515" width="10.5" style="64" customWidth="1"/>
    <col min="1516" max="1519" width="0" style="64" hidden="1" customWidth="1"/>
    <col min="1520" max="1532" width="10.625" style="64" customWidth="1"/>
    <col min="1533" max="1546" width="0" style="64" hidden="1" customWidth="1"/>
    <col min="1547" max="1548" width="11.25" style="64" customWidth="1"/>
    <col min="1549" max="1549" width="9" style="64"/>
    <col min="1550" max="1552" width="0" style="64" hidden="1" customWidth="1"/>
    <col min="1553" max="1765" width="9" style="64"/>
    <col min="1766" max="1766" width="2" style="64" customWidth="1"/>
    <col min="1767" max="1767" width="6.25" style="64" customWidth="1"/>
    <col min="1768" max="1768" width="19.75" style="64" customWidth="1"/>
    <col min="1769" max="1769" width="23.25" style="64" customWidth="1"/>
    <col min="1770" max="1770" width="14.125" style="64" customWidth="1"/>
    <col min="1771" max="1771" width="10.5" style="64" customWidth="1"/>
    <col min="1772" max="1775" width="0" style="64" hidden="1" customWidth="1"/>
    <col min="1776" max="1788" width="10.625" style="64" customWidth="1"/>
    <col min="1789" max="1802" width="0" style="64" hidden="1" customWidth="1"/>
    <col min="1803" max="1804" width="11.25" style="64" customWidth="1"/>
    <col min="1805" max="1805" width="9" style="64"/>
    <col min="1806" max="1808" width="0" style="64" hidden="1" customWidth="1"/>
    <col min="1809" max="2021" width="9" style="64"/>
    <col min="2022" max="2022" width="2" style="64" customWidth="1"/>
    <col min="2023" max="2023" width="6.25" style="64" customWidth="1"/>
    <col min="2024" max="2024" width="19.75" style="64" customWidth="1"/>
    <col min="2025" max="2025" width="23.25" style="64" customWidth="1"/>
    <col min="2026" max="2026" width="14.125" style="64" customWidth="1"/>
    <col min="2027" max="2027" width="10.5" style="64" customWidth="1"/>
    <col min="2028" max="2031" width="0" style="64" hidden="1" customWidth="1"/>
    <col min="2032" max="2044" width="10.625" style="64" customWidth="1"/>
    <col min="2045" max="2058" width="0" style="64" hidden="1" customWidth="1"/>
    <col min="2059" max="2060" width="11.25" style="64" customWidth="1"/>
    <col min="2061" max="2061" width="9" style="64"/>
    <col min="2062" max="2064" width="0" style="64" hidden="1" customWidth="1"/>
    <col min="2065" max="2277" width="9" style="64"/>
    <col min="2278" max="2278" width="2" style="64" customWidth="1"/>
    <col min="2279" max="2279" width="6.25" style="64" customWidth="1"/>
    <col min="2280" max="2280" width="19.75" style="64" customWidth="1"/>
    <col min="2281" max="2281" width="23.25" style="64" customWidth="1"/>
    <col min="2282" max="2282" width="14.125" style="64" customWidth="1"/>
    <col min="2283" max="2283" width="10.5" style="64" customWidth="1"/>
    <col min="2284" max="2287" width="0" style="64" hidden="1" customWidth="1"/>
    <col min="2288" max="2300" width="10.625" style="64" customWidth="1"/>
    <col min="2301" max="2314" width="0" style="64" hidden="1" customWidth="1"/>
    <col min="2315" max="2316" width="11.25" style="64" customWidth="1"/>
    <col min="2317" max="2317" width="9" style="64"/>
    <col min="2318" max="2320" width="0" style="64" hidden="1" customWidth="1"/>
    <col min="2321" max="2533" width="9" style="64"/>
    <col min="2534" max="2534" width="2" style="64" customWidth="1"/>
    <col min="2535" max="2535" width="6.25" style="64" customWidth="1"/>
    <col min="2536" max="2536" width="19.75" style="64" customWidth="1"/>
    <col min="2537" max="2537" width="23.25" style="64" customWidth="1"/>
    <col min="2538" max="2538" width="14.125" style="64" customWidth="1"/>
    <col min="2539" max="2539" width="10.5" style="64" customWidth="1"/>
    <col min="2540" max="2543" width="0" style="64" hidden="1" customWidth="1"/>
    <col min="2544" max="2556" width="10.625" style="64" customWidth="1"/>
    <col min="2557" max="2570" width="0" style="64" hidden="1" customWidth="1"/>
    <col min="2571" max="2572" width="11.25" style="64" customWidth="1"/>
    <col min="2573" max="2573" width="9" style="64"/>
    <col min="2574" max="2576" width="0" style="64" hidden="1" customWidth="1"/>
    <col min="2577" max="2789" width="9" style="64"/>
    <col min="2790" max="2790" width="2" style="64" customWidth="1"/>
    <col min="2791" max="2791" width="6.25" style="64" customWidth="1"/>
    <col min="2792" max="2792" width="19.75" style="64" customWidth="1"/>
    <col min="2793" max="2793" width="23.25" style="64" customWidth="1"/>
    <col min="2794" max="2794" width="14.125" style="64" customWidth="1"/>
    <col min="2795" max="2795" width="10.5" style="64" customWidth="1"/>
    <col min="2796" max="2799" width="0" style="64" hidden="1" customWidth="1"/>
    <col min="2800" max="2812" width="10.625" style="64" customWidth="1"/>
    <col min="2813" max="2826" width="0" style="64" hidden="1" customWidth="1"/>
    <col min="2827" max="2828" width="11.25" style="64" customWidth="1"/>
    <col min="2829" max="2829" width="9" style="64"/>
    <col min="2830" max="2832" width="0" style="64" hidden="1" customWidth="1"/>
    <col min="2833" max="3045" width="9" style="64"/>
    <col min="3046" max="3046" width="2" style="64" customWidth="1"/>
    <col min="3047" max="3047" width="6.25" style="64" customWidth="1"/>
    <col min="3048" max="3048" width="19.75" style="64" customWidth="1"/>
    <col min="3049" max="3049" width="23.25" style="64" customWidth="1"/>
    <col min="3050" max="3050" width="14.125" style="64" customWidth="1"/>
    <col min="3051" max="3051" width="10.5" style="64" customWidth="1"/>
    <col min="3052" max="3055" width="0" style="64" hidden="1" customWidth="1"/>
    <col min="3056" max="3068" width="10.625" style="64" customWidth="1"/>
    <col min="3069" max="3082" width="0" style="64" hidden="1" customWidth="1"/>
    <col min="3083" max="3084" width="11.25" style="64" customWidth="1"/>
    <col min="3085" max="3085" width="9" style="64"/>
    <col min="3086" max="3088" width="0" style="64" hidden="1" customWidth="1"/>
    <col min="3089" max="3301" width="9" style="64"/>
    <col min="3302" max="3302" width="2" style="64" customWidth="1"/>
    <col min="3303" max="3303" width="6.25" style="64" customWidth="1"/>
    <col min="3304" max="3304" width="19.75" style="64" customWidth="1"/>
    <col min="3305" max="3305" width="23.25" style="64" customWidth="1"/>
    <col min="3306" max="3306" width="14.125" style="64" customWidth="1"/>
    <col min="3307" max="3307" width="10.5" style="64" customWidth="1"/>
    <col min="3308" max="3311" width="0" style="64" hidden="1" customWidth="1"/>
    <col min="3312" max="3324" width="10.625" style="64" customWidth="1"/>
    <col min="3325" max="3338" width="0" style="64" hidden="1" customWidth="1"/>
    <col min="3339" max="3340" width="11.25" style="64" customWidth="1"/>
    <col min="3341" max="3341" width="9" style="64"/>
    <col min="3342" max="3344" width="0" style="64" hidden="1" customWidth="1"/>
    <col min="3345" max="3557" width="9" style="64"/>
    <col min="3558" max="3558" width="2" style="64" customWidth="1"/>
    <col min="3559" max="3559" width="6.25" style="64" customWidth="1"/>
    <col min="3560" max="3560" width="19.75" style="64" customWidth="1"/>
    <col min="3561" max="3561" width="23.25" style="64" customWidth="1"/>
    <col min="3562" max="3562" width="14.125" style="64" customWidth="1"/>
    <col min="3563" max="3563" width="10.5" style="64" customWidth="1"/>
    <col min="3564" max="3567" width="0" style="64" hidden="1" customWidth="1"/>
    <col min="3568" max="3580" width="10.625" style="64" customWidth="1"/>
    <col min="3581" max="3594" width="0" style="64" hidden="1" customWidth="1"/>
    <col min="3595" max="3596" width="11.25" style="64" customWidth="1"/>
    <col min="3597" max="3597" width="9" style="64"/>
    <col min="3598" max="3600" width="0" style="64" hidden="1" customWidth="1"/>
    <col min="3601" max="3813" width="9" style="64"/>
    <col min="3814" max="3814" width="2" style="64" customWidth="1"/>
    <col min="3815" max="3815" width="6.25" style="64" customWidth="1"/>
    <col min="3816" max="3816" width="19.75" style="64" customWidth="1"/>
    <col min="3817" max="3817" width="23.25" style="64" customWidth="1"/>
    <col min="3818" max="3818" width="14.125" style="64" customWidth="1"/>
    <col min="3819" max="3819" width="10.5" style="64" customWidth="1"/>
    <col min="3820" max="3823" width="0" style="64" hidden="1" customWidth="1"/>
    <col min="3824" max="3836" width="10.625" style="64" customWidth="1"/>
    <col min="3837" max="3850" width="0" style="64" hidden="1" customWidth="1"/>
    <col min="3851" max="3852" width="11.25" style="64" customWidth="1"/>
    <col min="3853" max="3853" width="9" style="64"/>
    <col min="3854" max="3856" width="0" style="64" hidden="1" customWidth="1"/>
    <col min="3857" max="4069" width="9" style="64"/>
    <col min="4070" max="4070" width="2" style="64" customWidth="1"/>
    <col min="4071" max="4071" width="6.25" style="64" customWidth="1"/>
    <col min="4072" max="4072" width="19.75" style="64" customWidth="1"/>
    <col min="4073" max="4073" width="23.25" style="64" customWidth="1"/>
    <col min="4074" max="4074" width="14.125" style="64" customWidth="1"/>
    <col min="4075" max="4075" width="10.5" style="64" customWidth="1"/>
    <col min="4076" max="4079" width="0" style="64" hidden="1" customWidth="1"/>
    <col min="4080" max="4092" width="10.625" style="64" customWidth="1"/>
    <col min="4093" max="4106" width="0" style="64" hidden="1" customWidth="1"/>
    <col min="4107" max="4108" width="11.25" style="64" customWidth="1"/>
    <col min="4109" max="4109" width="9" style="64"/>
    <col min="4110" max="4112" width="0" style="64" hidden="1" customWidth="1"/>
    <col min="4113" max="4325" width="9" style="64"/>
    <col min="4326" max="4326" width="2" style="64" customWidth="1"/>
    <col min="4327" max="4327" width="6.25" style="64" customWidth="1"/>
    <col min="4328" max="4328" width="19.75" style="64" customWidth="1"/>
    <col min="4329" max="4329" width="23.25" style="64" customWidth="1"/>
    <col min="4330" max="4330" width="14.125" style="64" customWidth="1"/>
    <col min="4331" max="4331" width="10.5" style="64" customWidth="1"/>
    <col min="4332" max="4335" width="0" style="64" hidden="1" customWidth="1"/>
    <col min="4336" max="4348" width="10.625" style="64" customWidth="1"/>
    <col min="4349" max="4362" width="0" style="64" hidden="1" customWidth="1"/>
    <col min="4363" max="4364" width="11.25" style="64" customWidth="1"/>
    <col min="4365" max="4365" width="9" style="64"/>
    <col min="4366" max="4368" width="0" style="64" hidden="1" customWidth="1"/>
    <col min="4369" max="4581" width="9" style="64"/>
    <col min="4582" max="4582" width="2" style="64" customWidth="1"/>
    <col min="4583" max="4583" width="6.25" style="64" customWidth="1"/>
    <col min="4584" max="4584" width="19.75" style="64" customWidth="1"/>
    <col min="4585" max="4585" width="23.25" style="64" customWidth="1"/>
    <col min="4586" max="4586" width="14.125" style="64" customWidth="1"/>
    <col min="4587" max="4587" width="10.5" style="64" customWidth="1"/>
    <col min="4588" max="4591" width="0" style="64" hidden="1" customWidth="1"/>
    <col min="4592" max="4604" width="10.625" style="64" customWidth="1"/>
    <col min="4605" max="4618" width="0" style="64" hidden="1" customWidth="1"/>
    <col min="4619" max="4620" width="11.25" style="64" customWidth="1"/>
    <col min="4621" max="4621" width="9" style="64"/>
    <col min="4622" max="4624" width="0" style="64" hidden="1" customWidth="1"/>
    <col min="4625" max="4837" width="9" style="64"/>
    <col min="4838" max="4838" width="2" style="64" customWidth="1"/>
    <col min="4839" max="4839" width="6.25" style="64" customWidth="1"/>
    <col min="4840" max="4840" width="19.75" style="64" customWidth="1"/>
    <col min="4841" max="4841" width="23.25" style="64" customWidth="1"/>
    <col min="4842" max="4842" width="14.125" style="64" customWidth="1"/>
    <col min="4843" max="4843" width="10.5" style="64" customWidth="1"/>
    <col min="4844" max="4847" width="0" style="64" hidden="1" customWidth="1"/>
    <col min="4848" max="4860" width="10.625" style="64" customWidth="1"/>
    <col min="4861" max="4874" width="0" style="64" hidden="1" customWidth="1"/>
    <col min="4875" max="4876" width="11.25" style="64" customWidth="1"/>
    <col min="4877" max="4877" width="9" style="64"/>
    <col min="4878" max="4880" width="0" style="64" hidden="1" customWidth="1"/>
    <col min="4881" max="5093" width="9" style="64"/>
    <col min="5094" max="5094" width="2" style="64" customWidth="1"/>
    <col min="5095" max="5095" width="6.25" style="64" customWidth="1"/>
    <col min="5096" max="5096" width="19.75" style="64" customWidth="1"/>
    <col min="5097" max="5097" width="23.25" style="64" customWidth="1"/>
    <col min="5098" max="5098" width="14.125" style="64" customWidth="1"/>
    <col min="5099" max="5099" width="10.5" style="64" customWidth="1"/>
    <col min="5100" max="5103" width="0" style="64" hidden="1" customWidth="1"/>
    <col min="5104" max="5116" width="10.625" style="64" customWidth="1"/>
    <col min="5117" max="5130" width="0" style="64" hidden="1" customWidth="1"/>
    <col min="5131" max="5132" width="11.25" style="64" customWidth="1"/>
    <col min="5133" max="5133" width="9" style="64"/>
    <col min="5134" max="5136" width="0" style="64" hidden="1" customWidth="1"/>
    <col min="5137" max="5349" width="9" style="64"/>
    <col min="5350" max="5350" width="2" style="64" customWidth="1"/>
    <col min="5351" max="5351" width="6.25" style="64" customWidth="1"/>
    <col min="5352" max="5352" width="19.75" style="64" customWidth="1"/>
    <col min="5353" max="5353" width="23.25" style="64" customWidth="1"/>
    <col min="5354" max="5354" width="14.125" style="64" customWidth="1"/>
    <col min="5355" max="5355" width="10.5" style="64" customWidth="1"/>
    <col min="5356" max="5359" width="0" style="64" hidden="1" customWidth="1"/>
    <col min="5360" max="5372" width="10.625" style="64" customWidth="1"/>
    <col min="5373" max="5386" width="0" style="64" hidden="1" customWidth="1"/>
    <col min="5387" max="5388" width="11.25" style="64" customWidth="1"/>
    <col min="5389" max="5389" width="9" style="64"/>
    <col min="5390" max="5392" width="0" style="64" hidden="1" customWidth="1"/>
    <col min="5393" max="5605" width="9" style="64"/>
    <col min="5606" max="5606" width="2" style="64" customWidth="1"/>
    <col min="5607" max="5607" width="6.25" style="64" customWidth="1"/>
    <col min="5608" max="5608" width="19.75" style="64" customWidth="1"/>
    <col min="5609" max="5609" width="23.25" style="64" customWidth="1"/>
    <col min="5610" max="5610" width="14.125" style="64" customWidth="1"/>
    <col min="5611" max="5611" width="10.5" style="64" customWidth="1"/>
    <col min="5612" max="5615" width="0" style="64" hidden="1" customWidth="1"/>
    <col min="5616" max="5628" width="10.625" style="64" customWidth="1"/>
    <col min="5629" max="5642" width="0" style="64" hidden="1" customWidth="1"/>
    <col min="5643" max="5644" width="11.25" style="64" customWidth="1"/>
    <col min="5645" max="5645" width="9" style="64"/>
    <col min="5646" max="5648" width="0" style="64" hidden="1" customWidth="1"/>
    <col min="5649" max="5861" width="9" style="64"/>
    <col min="5862" max="5862" width="2" style="64" customWidth="1"/>
    <col min="5863" max="5863" width="6.25" style="64" customWidth="1"/>
    <col min="5864" max="5864" width="19.75" style="64" customWidth="1"/>
    <col min="5865" max="5865" width="23.25" style="64" customWidth="1"/>
    <col min="5866" max="5866" width="14.125" style="64" customWidth="1"/>
    <col min="5867" max="5867" width="10.5" style="64" customWidth="1"/>
    <col min="5868" max="5871" width="0" style="64" hidden="1" customWidth="1"/>
    <col min="5872" max="5884" width="10.625" style="64" customWidth="1"/>
    <col min="5885" max="5898" width="0" style="64" hidden="1" customWidth="1"/>
    <col min="5899" max="5900" width="11.25" style="64" customWidth="1"/>
    <col min="5901" max="5901" width="9" style="64"/>
    <col min="5902" max="5904" width="0" style="64" hidden="1" customWidth="1"/>
    <col min="5905" max="6117" width="9" style="64"/>
    <col min="6118" max="6118" width="2" style="64" customWidth="1"/>
    <col min="6119" max="6119" width="6.25" style="64" customWidth="1"/>
    <col min="6120" max="6120" width="19.75" style="64" customWidth="1"/>
    <col min="6121" max="6121" width="23.25" style="64" customWidth="1"/>
    <col min="6122" max="6122" width="14.125" style="64" customWidth="1"/>
    <col min="6123" max="6123" width="10.5" style="64" customWidth="1"/>
    <col min="6124" max="6127" width="0" style="64" hidden="1" customWidth="1"/>
    <col min="6128" max="6140" width="10.625" style="64" customWidth="1"/>
    <col min="6141" max="6154" width="0" style="64" hidden="1" customWidth="1"/>
    <col min="6155" max="6156" width="11.25" style="64" customWidth="1"/>
    <col min="6157" max="6157" width="9" style="64"/>
    <col min="6158" max="6160" width="0" style="64" hidden="1" customWidth="1"/>
    <col min="6161" max="6373" width="9" style="64"/>
    <col min="6374" max="6374" width="2" style="64" customWidth="1"/>
    <col min="6375" max="6375" width="6.25" style="64" customWidth="1"/>
    <col min="6376" max="6376" width="19.75" style="64" customWidth="1"/>
    <col min="6377" max="6377" width="23.25" style="64" customWidth="1"/>
    <col min="6378" max="6378" width="14.125" style="64" customWidth="1"/>
    <col min="6379" max="6379" width="10.5" style="64" customWidth="1"/>
    <col min="6380" max="6383" width="0" style="64" hidden="1" customWidth="1"/>
    <col min="6384" max="6396" width="10.625" style="64" customWidth="1"/>
    <col min="6397" max="6410" width="0" style="64" hidden="1" customWidth="1"/>
    <col min="6411" max="6412" width="11.25" style="64" customWidth="1"/>
    <col min="6413" max="6413" width="9" style="64"/>
    <col min="6414" max="6416" width="0" style="64" hidden="1" customWidth="1"/>
    <col min="6417" max="6629" width="9" style="64"/>
    <col min="6630" max="6630" width="2" style="64" customWidth="1"/>
    <col min="6631" max="6631" width="6.25" style="64" customWidth="1"/>
    <col min="6632" max="6632" width="19.75" style="64" customWidth="1"/>
    <col min="6633" max="6633" width="23.25" style="64" customWidth="1"/>
    <col min="6634" max="6634" width="14.125" style="64" customWidth="1"/>
    <col min="6635" max="6635" width="10.5" style="64" customWidth="1"/>
    <col min="6636" max="6639" width="0" style="64" hidden="1" customWidth="1"/>
    <col min="6640" max="6652" width="10.625" style="64" customWidth="1"/>
    <col min="6653" max="6666" width="0" style="64" hidden="1" customWidth="1"/>
    <col min="6667" max="6668" width="11.25" style="64" customWidth="1"/>
    <col min="6669" max="6669" width="9" style="64"/>
    <col min="6670" max="6672" width="0" style="64" hidden="1" customWidth="1"/>
    <col min="6673" max="6885" width="9" style="64"/>
    <col min="6886" max="6886" width="2" style="64" customWidth="1"/>
    <col min="6887" max="6887" width="6.25" style="64" customWidth="1"/>
    <col min="6888" max="6888" width="19.75" style="64" customWidth="1"/>
    <col min="6889" max="6889" width="23.25" style="64" customWidth="1"/>
    <col min="6890" max="6890" width="14.125" style="64" customWidth="1"/>
    <col min="6891" max="6891" width="10.5" style="64" customWidth="1"/>
    <col min="6892" max="6895" width="0" style="64" hidden="1" customWidth="1"/>
    <col min="6896" max="6908" width="10.625" style="64" customWidth="1"/>
    <col min="6909" max="6922" width="0" style="64" hidden="1" customWidth="1"/>
    <col min="6923" max="6924" width="11.25" style="64" customWidth="1"/>
    <col min="6925" max="6925" width="9" style="64"/>
    <col min="6926" max="6928" width="0" style="64" hidden="1" customWidth="1"/>
    <col min="6929" max="7141" width="9" style="64"/>
    <col min="7142" max="7142" width="2" style="64" customWidth="1"/>
    <col min="7143" max="7143" width="6.25" style="64" customWidth="1"/>
    <col min="7144" max="7144" width="19.75" style="64" customWidth="1"/>
    <col min="7145" max="7145" width="23.25" style="64" customWidth="1"/>
    <col min="7146" max="7146" width="14.125" style="64" customWidth="1"/>
    <col min="7147" max="7147" width="10.5" style="64" customWidth="1"/>
    <col min="7148" max="7151" width="0" style="64" hidden="1" customWidth="1"/>
    <col min="7152" max="7164" width="10.625" style="64" customWidth="1"/>
    <col min="7165" max="7178" width="0" style="64" hidden="1" customWidth="1"/>
    <col min="7179" max="7180" width="11.25" style="64" customWidth="1"/>
    <col min="7181" max="7181" width="9" style="64"/>
    <col min="7182" max="7184" width="0" style="64" hidden="1" customWidth="1"/>
    <col min="7185" max="7397" width="9" style="64"/>
    <col min="7398" max="7398" width="2" style="64" customWidth="1"/>
    <col min="7399" max="7399" width="6.25" style="64" customWidth="1"/>
    <col min="7400" max="7400" width="19.75" style="64" customWidth="1"/>
    <col min="7401" max="7401" width="23.25" style="64" customWidth="1"/>
    <col min="7402" max="7402" width="14.125" style="64" customWidth="1"/>
    <col min="7403" max="7403" width="10.5" style="64" customWidth="1"/>
    <col min="7404" max="7407" width="0" style="64" hidden="1" customWidth="1"/>
    <col min="7408" max="7420" width="10.625" style="64" customWidth="1"/>
    <col min="7421" max="7434" width="0" style="64" hidden="1" customWidth="1"/>
    <col min="7435" max="7436" width="11.25" style="64" customWidth="1"/>
    <col min="7437" max="7437" width="9" style="64"/>
    <col min="7438" max="7440" width="0" style="64" hidden="1" customWidth="1"/>
    <col min="7441" max="7653" width="9" style="64"/>
    <col min="7654" max="7654" width="2" style="64" customWidth="1"/>
    <col min="7655" max="7655" width="6.25" style="64" customWidth="1"/>
    <col min="7656" max="7656" width="19.75" style="64" customWidth="1"/>
    <col min="7657" max="7657" width="23.25" style="64" customWidth="1"/>
    <col min="7658" max="7658" width="14.125" style="64" customWidth="1"/>
    <col min="7659" max="7659" width="10.5" style="64" customWidth="1"/>
    <col min="7660" max="7663" width="0" style="64" hidden="1" customWidth="1"/>
    <col min="7664" max="7676" width="10.625" style="64" customWidth="1"/>
    <col min="7677" max="7690" width="0" style="64" hidden="1" customWidth="1"/>
    <col min="7691" max="7692" width="11.25" style="64" customWidth="1"/>
    <col min="7693" max="7693" width="9" style="64"/>
    <col min="7694" max="7696" width="0" style="64" hidden="1" customWidth="1"/>
    <col min="7697" max="7909" width="9" style="64"/>
    <col min="7910" max="7910" width="2" style="64" customWidth="1"/>
    <col min="7911" max="7911" width="6.25" style="64" customWidth="1"/>
    <col min="7912" max="7912" width="19.75" style="64" customWidth="1"/>
    <col min="7913" max="7913" width="23.25" style="64" customWidth="1"/>
    <col min="7914" max="7914" width="14.125" style="64" customWidth="1"/>
    <col min="7915" max="7915" width="10.5" style="64" customWidth="1"/>
    <col min="7916" max="7919" width="0" style="64" hidden="1" customWidth="1"/>
    <col min="7920" max="7932" width="10.625" style="64" customWidth="1"/>
    <col min="7933" max="7946" width="0" style="64" hidden="1" customWidth="1"/>
    <col min="7947" max="7948" width="11.25" style="64" customWidth="1"/>
    <col min="7949" max="7949" width="9" style="64"/>
    <col min="7950" max="7952" width="0" style="64" hidden="1" customWidth="1"/>
    <col min="7953" max="8165" width="9" style="64"/>
    <col min="8166" max="8166" width="2" style="64" customWidth="1"/>
    <col min="8167" max="8167" width="6.25" style="64" customWidth="1"/>
    <col min="8168" max="8168" width="19.75" style="64" customWidth="1"/>
    <col min="8169" max="8169" width="23.25" style="64" customWidth="1"/>
    <col min="8170" max="8170" width="14.125" style="64" customWidth="1"/>
    <col min="8171" max="8171" width="10.5" style="64" customWidth="1"/>
    <col min="8172" max="8175" width="0" style="64" hidden="1" customWidth="1"/>
    <col min="8176" max="8188" width="10.625" style="64" customWidth="1"/>
    <col min="8189" max="8202" width="0" style="64" hidden="1" customWidth="1"/>
    <col min="8203" max="8204" width="11.25" style="64" customWidth="1"/>
    <col min="8205" max="8205" width="9" style="64"/>
    <col min="8206" max="8208" width="0" style="64" hidden="1" customWidth="1"/>
    <col min="8209" max="8421" width="9" style="64"/>
    <col min="8422" max="8422" width="2" style="64" customWidth="1"/>
    <col min="8423" max="8423" width="6.25" style="64" customWidth="1"/>
    <col min="8424" max="8424" width="19.75" style="64" customWidth="1"/>
    <col min="8425" max="8425" width="23.25" style="64" customWidth="1"/>
    <col min="8426" max="8426" width="14.125" style="64" customWidth="1"/>
    <col min="8427" max="8427" width="10.5" style="64" customWidth="1"/>
    <col min="8428" max="8431" width="0" style="64" hidden="1" customWidth="1"/>
    <col min="8432" max="8444" width="10.625" style="64" customWidth="1"/>
    <col min="8445" max="8458" width="0" style="64" hidden="1" customWidth="1"/>
    <col min="8459" max="8460" width="11.25" style="64" customWidth="1"/>
    <col min="8461" max="8461" width="9" style="64"/>
    <col min="8462" max="8464" width="0" style="64" hidden="1" customWidth="1"/>
    <col min="8465" max="8677" width="9" style="64"/>
    <col min="8678" max="8678" width="2" style="64" customWidth="1"/>
    <col min="8679" max="8679" width="6.25" style="64" customWidth="1"/>
    <col min="8680" max="8680" width="19.75" style="64" customWidth="1"/>
    <col min="8681" max="8681" width="23.25" style="64" customWidth="1"/>
    <col min="8682" max="8682" width="14.125" style="64" customWidth="1"/>
    <col min="8683" max="8683" width="10.5" style="64" customWidth="1"/>
    <col min="8684" max="8687" width="0" style="64" hidden="1" customWidth="1"/>
    <col min="8688" max="8700" width="10.625" style="64" customWidth="1"/>
    <col min="8701" max="8714" width="0" style="64" hidden="1" customWidth="1"/>
    <col min="8715" max="8716" width="11.25" style="64" customWidth="1"/>
    <col min="8717" max="8717" width="9" style="64"/>
    <col min="8718" max="8720" width="0" style="64" hidden="1" customWidth="1"/>
    <col min="8721" max="8933" width="9" style="64"/>
    <col min="8934" max="8934" width="2" style="64" customWidth="1"/>
    <col min="8935" max="8935" width="6.25" style="64" customWidth="1"/>
    <col min="8936" max="8936" width="19.75" style="64" customWidth="1"/>
    <col min="8937" max="8937" width="23.25" style="64" customWidth="1"/>
    <col min="8938" max="8938" width="14.125" style="64" customWidth="1"/>
    <col min="8939" max="8939" width="10.5" style="64" customWidth="1"/>
    <col min="8940" max="8943" width="0" style="64" hidden="1" customWidth="1"/>
    <col min="8944" max="8956" width="10.625" style="64" customWidth="1"/>
    <col min="8957" max="8970" width="0" style="64" hidden="1" customWidth="1"/>
    <col min="8971" max="8972" width="11.25" style="64" customWidth="1"/>
    <col min="8973" max="8973" width="9" style="64"/>
    <col min="8974" max="8976" width="0" style="64" hidden="1" customWidth="1"/>
    <col min="8977" max="9189" width="9" style="64"/>
    <col min="9190" max="9190" width="2" style="64" customWidth="1"/>
    <col min="9191" max="9191" width="6.25" style="64" customWidth="1"/>
    <col min="9192" max="9192" width="19.75" style="64" customWidth="1"/>
    <col min="9193" max="9193" width="23.25" style="64" customWidth="1"/>
    <col min="9194" max="9194" width="14.125" style="64" customWidth="1"/>
    <col min="9195" max="9195" width="10.5" style="64" customWidth="1"/>
    <col min="9196" max="9199" width="0" style="64" hidden="1" customWidth="1"/>
    <col min="9200" max="9212" width="10.625" style="64" customWidth="1"/>
    <col min="9213" max="9226" width="0" style="64" hidden="1" customWidth="1"/>
    <col min="9227" max="9228" width="11.25" style="64" customWidth="1"/>
    <col min="9229" max="9229" width="9" style="64"/>
    <col min="9230" max="9232" width="0" style="64" hidden="1" customWidth="1"/>
    <col min="9233" max="9445" width="9" style="64"/>
    <col min="9446" max="9446" width="2" style="64" customWidth="1"/>
    <col min="9447" max="9447" width="6.25" style="64" customWidth="1"/>
    <col min="9448" max="9448" width="19.75" style="64" customWidth="1"/>
    <col min="9449" max="9449" width="23.25" style="64" customWidth="1"/>
    <col min="9450" max="9450" width="14.125" style="64" customWidth="1"/>
    <col min="9451" max="9451" width="10.5" style="64" customWidth="1"/>
    <col min="9452" max="9455" width="0" style="64" hidden="1" customWidth="1"/>
    <col min="9456" max="9468" width="10.625" style="64" customWidth="1"/>
    <col min="9469" max="9482" width="0" style="64" hidden="1" customWidth="1"/>
    <col min="9483" max="9484" width="11.25" style="64" customWidth="1"/>
    <col min="9485" max="9485" width="9" style="64"/>
    <col min="9486" max="9488" width="0" style="64" hidden="1" customWidth="1"/>
    <col min="9489" max="9701" width="9" style="64"/>
    <col min="9702" max="9702" width="2" style="64" customWidth="1"/>
    <col min="9703" max="9703" width="6.25" style="64" customWidth="1"/>
    <col min="9704" max="9704" width="19.75" style="64" customWidth="1"/>
    <col min="9705" max="9705" width="23.25" style="64" customWidth="1"/>
    <col min="9706" max="9706" width="14.125" style="64" customWidth="1"/>
    <col min="9707" max="9707" width="10.5" style="64" customWidth="1"/>
    <col min="9708" max="9711" width="0" style="64" hidden="1" customWidth="1"/>
    <col min="9712" max="9724" width="10.625" style="64" customWidth="1"/>
    <col min="9725" max="9738" width="0" style="64" hidden="1" customWidth="1"/>
    <col min="9739" max="9740" width="11.25" style="64" customWidth="1"/>
    <col min="9741" max="9741" width="9" style="64"/>
    <col min="9742" max="9744" width="0" style="64" hidden="1" customWidth="1"/>
    <col min="9745" max="9957" width="9" style="64"/>
    <col min="9958" max="9958" width="2" style="64" customWidth="1"/>
    <col min="9959" max="9959" width="6.25" style="64" customWidth="1"/>
    <col min="9960" max="9960" width="19.75" style="64" customWidth="1"/>
    <col min="9961" max="9961" width="23.25" style="64" customWidth="1"/>
    <col min="9962" max="9962" width="14.125" style="64" customWidth="1"/>
    <col min="9963" max="9963" width="10.5" style="64" customWidth="1"/>
    <col min="9964" max="9967" width="0" style="64" hidden="1" customWidth="1"/>
    <col min="9968" max="9980" width="10.625" style="64" customWidth="1"/>
    <col min="9981" max="9994" width="0" style="64" hidden="1" customWidth="1"/>
    <col min="9995" max="9996" width="11.25" style="64" customWidth="1"/>
    <col min="9997" max="9997" width="9" style="64"/>
    <col min="9998" max="10000" width="0" style="64" hidden="1" customWidth="1"/>
    <col min="10001" max="10213" width="9" style="64"/>
    <col min="10214" max="10214" width="2" style="64" customWidth="1"/>
    <col min="10215" max="10215" width="6.25" style="64" customWidth="1"/>
    <col min="10216" max="10216" width="19.75" style="64" customWidth="1"/>
    <col min="10217" max="10217" width="23.25" style="64" customWidth="1"/>
    <col min="10218" max="10218" width="14.125" style="64" customWidth="1"/>
    <col min="10219" max="10219" width="10.5" style="64" customWidth="1"/>
    <col min="10220" max="10223" width="0" style="64" hidden="1" customWidth="1"/>
    <col min="10224" max="10236" width="10.625" style="64" customWidth="1"/>
    <col min="10237" max="10250" width="0" style="64" hidden="1" customWidth="1"/>
    <col min="10251" max="10252" width="11.25" style="64" customWidth="1"/>
    <col min="10253" max="10253" width="9" style="64"/>
    <col min="10254" max="10256" width="0" style="64" hidden="1" customWidth="1"/>
    <col min="10257" max="10469" width="9" style="64"/>
    <col min="10470" max="10470" width="2" style="64" customWidth="1"/>
    <col min="10471" max="10471" width="6.25" style="64" customWidth="1"/>
    <col min="10472" max="10472" width="19.75" style="64" customWidth="1"/>
    <col min="10473" max="10473" width="23.25" style="64" customWidth="1"/>
    <col min="10474" max="10474" width="14.125" style="64" customWidth="1"/>
    <col min="10475" max="10475" width="10.5" style="64" customWidth="1"/>
    <col min="10476" max="10479" width="0" style="64" hidden="1" customWidth="1"/>
    <col min="10480" max="10492" width="10.625" style="64" customWidth="1"/>
    <col min="10493" max="10506" width="0" style="64" hidden="1" customWidth="1"/>
    <col min="10507" max="10508" width="11.25" style="64" customWidth="1"/>
    <col min="10509" max="10509" width="9" style="64"/>
    <col min="10510" max="10512" width="0" style="64" hidden="1" customWidth="1"/>
    <col min="10513" max="10725" width="9" style="64"/>
    <col min="10726" max="10726" width="2" style="64" customWidth="1"/>
    <col min="10727" max="10727" width="6.25" style="64" customWidth="1"/>
    <col min="10728" max="10728" width="19.75" style="64" customWidth="1"/>
    <col min="10729" max="10729" width="23.25" style="64" customWidth="1"/>
    <col min="10730" max="10730" width="14.125" style="64" customWidth="1"/>
    <col min="10731" max="10731" width="10.5" style="64" customWidth="1"/>
    <col min="10732" max="10735" width="0" style="64" hidden="1" customWidth="1"/>
    <col min="10736" max="10748" width="10.625" style="64" customWidth="1"/>
    <col min="10749" max="10762" width="0" style="64" hidden="1" customWidth="1"/>
    <col min="10763" max="10764" width="11.25" style="64" customWidth="1"/>
    <col min="10765" max="10765" width="9" style="64"/>
    <col min="10766" max="10768" width="0" style="64" hidden="1" customWidth="1"/>
    <col min="10769" max="10981" width="9" style="64"/>
    <col min="10982" max="10982" width="2" style="64" customWidth="1"/>
    <col min="10983" max="10983" width="6.25" style="64" customWidth="1"/>
    <col min="10984" max="10984" width="19.75" style="64" customWidth="1"/>
    <col min="10985" max="10985" width="23.25" style="64" customWidth="1"/>
    <col min="10986" max="10986" width="14.125" style="64" customWidth="1"/>
    <col min="10987" max="10987" width="10.5" style="64" customWidth="1"/>
    <col min="10988" max="10991" width="0" style="64" hidden="1" customWidth="1"/>
    <col min="10992" max="11004" width="10.625" style="64" customWidth="1"/>
    <col min="11005" max="11018" width="0" style="64" hidden="1" customWidth="1"/>
    <col min="11019" max="11020" width="11.25" style="64" customWidth="1"/>
    <col min="11021" max="11021" width="9" style="64"/>
    <col min="11022" max="11024" width="0" style="64" hidden="1" customWidth="1"/>
    <col min="11025" max="11237" width="9" style="64"/>
    <col min="11238" max="11238" width="2" style="64" customWidth="1"/>
    <col min="11239" max="11239" width="6.25" style="64" customWidth="1"/>
    <col min="11240" max="11240" width="19.75" style="64" customWidth="1"/>
    <col min="11241" max="11241" width="23.25" style="64" customWidth="1"/>
    <col min="11242" max="11242" width="14.125" style="64" customWidth="1"/>
    <col min="11243" max="11243" width="10.5" style="64" customWidth="1"/>
    <col min="11244" max="11247" width="0" style="64" hidden="1" customWidth="1"/>
    <col min="11248" max="11260" width="10.625" style="64" customWidth="1"/>
    <col min="11261" max="11274" width="0" style="64" hidden="1" customWidth="1"/>
    <col min="11275" max="11276" width="11.25" style="64" customWidth="1"/>
    <col min="11277" max="11277" width="9" style="64"/>
    <col min="11278" max="11280" width="0" style="64" hidden="1" customWidth="1"/>
    <col min="11281" max="11493" width="9" style="64"/>
    <col min="11494" max="11494" width="2" style="64" customWidth="1"/>
    <col min="11495" max="11495" width="6.25" style="64" customWidth="1"/>
    <col min="11496" max="11496" width="19.75" style="64" customWidth="1"/>
    <col min="11497" max="11497" width="23.25" style="64" customWidth="1"/>
    <col min="11498" max="11498" width="14.125" style="64" customWidth="1"/>
    <col min="11499" max="11499" width="10.5" style="64" customWidth="1"/>
    <col min="11500" max="11503" width="0" style="64" hidden="1" customWidth="1"/>
    <col min="11504" max="11516" width="10.625" style="64" customWidth="1"/>
    <col min="11517" max="11530" width="0" style="64" hidden="1" customWidth="1"/>
    <col min="11531" max="11532" width="11.25" style="64" customWidth="1"/>
    <col min="11533" max="11533" width="9" style="64"/>
    <col min="11534" max="11536" width="0" style="64" hidden="1" customWidth="1"/>
    <col min="11537" max="11749" width="9" style="64"/>
    <col min="11750" max="11750" width="2" style="64" customWidth="1"/>
    <col min="11751" max="11751" width="6.25" style="64" customWidth="1"/>
    <col min="11752" max="11752" width="19.75" style="64" customWidth="1"/>
    <col min="11753" max="11753" width="23.25" style="64" customWidth="1"/>
    <col min="11754" max="11754" width="14.125" style="64" customWidth="1"/>
    <col min="11755" max="11755" width="10.5" style="64" customWidth="1"/>
    <col min="11756" max="11759" width="0" style="64" hidden="1" customWidth="1"/>
    <col min="11760" max="11772" width="10.625" style="64" customWidth="1"/>
    <col min="11773" max="11786" width="0" style="64" hidden="1" customWidth="1"/>
    <col min="11787" max="11788" width="11.25" style="64" customWidth="1"/>
    <col min="11789" max="11789" width="9" style="64"/>
    <col min="11790" max="11792" width="0" style="64" hidden="1" customWidth="1"/>
    <col min="11793" max="12005" width="9" style="64"/>
    <col min="12006" max="12006" width="2" style="64" customWidth="1"/>
    <col min="12007" max="12007" width="6.25" style="64" customWidth="1"/>
    <col min="12008" max="12008" width="19.75" style="64" customWidth="1"/>
    <col min="12009" max="12009" width="23.25" style="64" customWidth="1"/>
    <col min="12010" max="12010" width="14.125" style="64" customWidth="1"/>
    <col min="12011" max="12011" width="10.5" style="64" customWidth="1"/>
    <col min="12012" max="12015" width="0" style="64" hidden="1" customWidth="1"/>
    <col min="12016" max="12028" width="10.625" style="64" customWidth="1"/>
    <col min="12029" max="12042" width="0" style="64" hidden="1" customWidth="1"/>
    <col min="12043" max="12044" width="11.25" style="64" customWidth="1"/>
    <col min="12045" max="12045" width="9" style="64"/>
    <col min="12046" max="12048" width="0" style="64" hidden="1" customWidth="1"/>
    <col min="12049" max="12261" width="9" style="64"/>
    <col min="12262" max="12262" width="2" style="64" customWidth="1"/>
    <col min="12263" max="12263" width="6.25" style="64" customWidth="1"/>
    <col min="12264" max="12264" width="19.75" style="64" customWidth="1"/>
    <col min="12265" max="12265" width="23.25" style="64" customWidth="1"/>
    <col min="12266" max="12266" width="14.125" style="64" customWidth="1"/>
    <col min="12267" max="12267" width="10.5" style="64" customWidth="1"/>
    <col min="12268" max="12271" width="0" style="64" hidden="1" customWidth="1"/>
    <col min="12272" max="12284" width="10.625" style="64" customWidth="1"/>
    <col min="12285" max="12298" width="0" style="64" hidden="1" customWidth="1"/>
    <col min="12299" max="12300" width="11.25" style="64" customWidth="1"/>
    <col min="12301" max="12301" width="9" style="64"/>
    <col min="12302" max="12304" width="0" style="64" hidden="1" customWidth="1"/>
    <col min="12305" max="12517" width="9" style="64"/>
    <col min="12518" max="12518" width="2" style="64" customWidth="1"/>
    <col min="12519" max="12519" width="6.25" style="64" customWidth="1"/>
    <col min="12520" max="12520" width="19.75" style="64" customWidth="1"/>
    <col min="12521" max="12521" width="23.25" style="64" customWidth="1"/>
    <col min="12522" max="12522" width="14.125" style="64" customWidth="1"/>
    <col min="12523" max="12523" width="10.5" style="64" customWidth="1"/>
    <col min="12524" max="12527" width="0" style="64" hidden="1" customWidth="1"/>
    <col min="12528" max="12540" width="10.625" style="64" customWidth="1"/>
    <col min="12541" max="12554" width="0" style="64" hidden="1" customWidth="1"/>
    <col min="12555" max="12556" width="11.25" style="64" customWidth="1"/>
    <col min="12557" max="12557" width="9" style="64"/>
    <col min="12558" max="12560" width="0" style="64" hidden="1" customWidth="1"/>
    <col min="12561" max="12773" width="9" style="64"/>
    <col min="12774" max="12774" width="2" style="64" customWidth="1"/>
    <col min="12775" max="12775" width="6.25" style="64" customWidth="1"/>
    <col min="12776" max="12776" width="19.75" style="64" customWidth="1"/>
    <col min="12777" max="12777" width="23.25" style="64" customWidth="1"/>
    <col min="12778" max="12778" width="14.125" style="64" customWidth="1"/>
    <col min="12779" max="12779" width="10.5" style="64" customWidth="1"/>
    <col min="12780" max="12783" width="0" style="64" hidden="1" customWidth="1"/>
    <col min="12784" max="12796" width="10.625" style="64" customWidth="1"/>
    <col min="12797" max="12810" width="0" style="64" hidden="1" customWidth="1"/>
    <col min="12811" max="12812" width="11.25" style="64" customWidth="1"/>
    <col min="12813" max="12813" width="9" style="64"/>
    <col min="12814" max="12816" width="0" style="64" hidden="1" customWidth="1"/>
    <col min="12817" max="13029" width="9" style="64"/>
    <col min="13030" max="13030" width="2" style="64" customWidth="1"/>
    <col min="13031" max="13031" width="6.25" style="64" customWidth="1"/>
    <col min="13032" max="13032" width="19.75" style="64" customWidth="1"/>
    <col min="13033" max="13033" width="23.25" style="64" customWidth="1"/>
    <col min="13034" max="13034" width="14.125" style="64" customWidth="1"/>
    <col min="13035" max="13035" width="10.5" style="64" customWidth="1"/>
    <col min="13036" max="13039" width="0" style="64" hidden="1" customWidth="1"/>
    <col min="13040" max="13052" width="10.625" style="64" customWidth="1"/>
    <col min="13053" max="13066" width="0" style="64" hidden="1" customWidth="1"/>
    <col min="13067" max="13068" width="11.25" style="64" customWidth="1"/>
    <col min="13069" max="13069" width="9" style="64"/>
    <col min="13070" max="13072" width="0" style="64" hidden="1" customWidth="1"/>
    <col min="13073" max="13285" width="9" style="64"/>
    <col min="13286" max="13286" width="2" style="64" customWidth="1"/>
    <col min="13287" max="13287" width="6.25" style="64" customWidth="1"/>
    <col min="13288" max="13288" width="19.75" style="64" customWidth="1"/>
    <col min="13289" max="13289" width="23.25" style="64" customWidth="1"/>
    <col min="13290" max="13290" width="14.125" style="64" customWidth="1"/>
    <col min="13291" max="13291" width="10.5" style="64" customWidth="1"/>
    <col min="13292" max="13295" width="0" style="64" hidden="1" customWidth="1"/>
    <col min="13296" max="13308" width="10.625" style="64" customWidth="1"/>
    <col min="13309" max="13322" width="0" style="64" hidden="1" customWidth="1"/>
    <col min="13323" max="13324" width="11.25" style="64" customWidth="1"/>
    <col min="13325" max="13325" width="9" style="64"/>
    <col min="13326" max="13328" width="0" style="64" hidden="1" customWidth="1"/>
    <col min="13329" max="13541" width="9" style="64"/>
    <col min="13542" max="13542" width="2" style="64" customWidth="1"/>
    <col min="13543" max="13543" width="6.25" style="64" customWidth="1"/>
    <col min="13544" max="13544" width="19.75" style="64" customWidth="1"/>
    <col min="13545" max="13545" width="23.25" style="64" customWidth="1"/>
    <col min="13546" max="13546" width="14.125" style="64" customWidth="1"/>
    <col min="13547" max="13547" width="10.5" style="64" customWidth="1"/>
    <col min="13548" max="13551" width="0" style="64" hidden="1" customWidth="1"/>
    <col min="13552" max="13564" width="10.625" style="64" customWidth="1"/>
    <col min="13565" max="13578" width="0" style="64" hidden="1" customWidth="1"/>
    <col min="13579" max="13580" width="11.25" style="64" customWidth="1"/>
    <col min="13581" max="13581" width="9" style="64"/>
    <col min="13582" max="13584" width="0" style="64" hidden="1" customWidth="1"/>
    <col min="13585" max="13797" width="9" style="64"/>
    <col min="13798" max="13798" width="2" style="64" customWidth="1"/>
    <col min="13799" max="13799" width="6.25" style="64" customWidth="1"/>
    <col min="13800" max="13800" width="19.75" style="64" customWidth="1"/>
    <col min="13801" max="13801" width="23.25" style="64" customWidth="1"/>
    <col min="13802" max="13802" width="14.125" style="64" customWidth="1"/>
    <col min="13803" max="13803" width="10.5" style="64" customWidth="1"/>
    <col min="13804" max="13807" width="0" style="64" hidden="1" customWidth="1"/>
    <col min="13808" max="13820" width="10.625" style="64" customWidth="1"/>
    <col min="13821" max="13834" width="0" style="64" hidden="1" customWidth="1"/>
    <col min="13835" max="13836" width="11.25" style="64" customWidth="1"/>
    <col min="13837" max="13837" width="9" style="64"/>
    <col min="13838" max="13840" width="0" style="64" hidden="1" customWidth="1"/>
    <col min="13841" max="14053" width="9" style="64"/>
    <col min="14054" max="14054" width="2" style="64" customWidth="1"/>
    <col min="14055" max="14055" width="6.25" style="64" customWidth="1"/>
    <col min="14056" max="14056" width="19.75" style="64" customWidth="1"/>
    <col min="14057" max="14057" width="23.25" style="64" customWidth="1"/>
    <col min="14058" max="14058" width="14.125" style="64" customWidth="1"/>
    <col min="14059" max="14059" width="10.5" style="64" customWidth="1"/>
    <col min="14060" max="14063" width="0" style="64" hidden="1" customWidth="1"/>
    <col min="14064" max="14076" width="10.625" style="64" customWidth="1"/>
    <col min="14077" max="14090" width="0" style="64" hidden="1" customWidth="1"/>
    <col min="14091" max="14092" width="11.25" style="64" customWidth="1"/>
    <col min="14093" max="14093" width="9" style="64"/>
    <col min="14094" max="14096" width="0" style="64" hidden="1" customWidth="1"/>
    <col min="14097" max="14309" width="9" style="64"/>
    <col min="14310" max="14310" width="2" style="64" customWidth="1"/>
    <col min="14311" max="14311" width="6.25" style="64" customWidth="1"/>
    <col min="14312" max="14312" width="19.75" style="64" customWidth="1"/>
    <col min="14313" max="14313" width="23.25" style="64" customWidth="1"/>
    <col min="14314" max="14314" width="14.125" style="64" customWidth="1"/>
    <col min="14315" max="14315" width="10.5" style="64" customWidth="1"/>
    <col min="14316" max="14319" width="0" style="64" hidden="1" customWidth="1"/>
    <col min="14320" max="14332" width="10.625" style="64" customWidth="1"/>
    <col min="14333" max="14346" width="0" style="64" hidden="1" customWidth="1"/>
    <col min="14347" max="14348" width="11.25" style="64" customWidth="1"/>
    <col min="14349" max="14349" width="9" style="64"/>
    <col min="14350" max="14352" width="0" style="64" hidden="1" customWidth="1"/>
    <col min="14353" max="14565" width="9" style="64"/>
    <col min="14566" max="14566" width="2" style="64" customWidth="1"/>
    <col min="14567" max="14567" width="6.25" style="64" customWidth="1"/>
    <col min="14568" max="14568" width="19.75" style="64" customWidth="1"/>
    <col min="14569" max="14569" width="23.25" style="64" customWidth="1"/>
    <col min="14570" max="14570" width="14.125" style="64" customWidth="1"/>
    <col min="14571" max="14571" width="10.5" style="64" customWidth="1"/>
    <col min="14572" max="14575" width="0" style="64" hidden="1" customWidth="1"/>
    <col min="14576" max="14588" width="10.625" style="64" customWidth="1"/>
    <col min="14589" max="14602" width="0" style="64" hidden="1" customWidth="1"/>
    <col min="14603" max="14604" width="11.25" style="64" customWidth="1"/>
    <col min="14605" max="14605" width="9" style="64"/>
    <col min="14606" max="14608" width="0" style="64" hidden="1" customWidth="1"/>
    <col min="14609" max="14821" width="9" style="64"/>
    <col min="14822" max="14822" width="2" style="64" customWidth="1"/>
    <col min="14823" max="14823" width="6.25" style="64" customWidth="1"/>
    <col min="14824" max="14824" width="19.75" style="64" customWidth="1"/>
    <col min="14825" max="14825" width="23.25" style="64" customWidth="1"/>
    <col min="14826" max="14826" width="14.125" style="64" customWidth="1"/>
    <col min="14827" max="14827" width="10.5" style="64" customWidth="1"/>
    <col min="14828" max="14831" width="0" style="64" hidden="1" customWidth="1"/>
    <col min="14832" max="14844" width="10.625" style="64" customWidth="1"/>
    <col min="14845" max="14858" width="0" style="64" hidden="1" customWidth="1"/>
    <col min="14859" max="14860" width="11.25" style="64" customWidth="1"/>
    <col min="14861" max="14861" width="9" style="64"/>
    <col min="14862" max="14864" width="0" style="64" hidden="1" customWidth="1"/>
    <col min="14865" max="15077" width="9" style="64"/>
    <col min="15078" max="15078" width="2" style="64" customWidth="1"/>
    <col min="15079" max="15079" width="6.25" style="64" customWidth="1"/>
    <col min="15080" max="15080" width="19.75" style="64" customWidth="1"/>
    <col min="15081" max="15081" width="23.25" style="64" customWidth="1"/>
    <col min="15082" max="15082" width="14.125" style="64" customWidth="1"/>
    <col min="15083" max="15083" width="10.5" style="64" customWidth="1"/>
    <col min="15084" max="15087" width="0" style="64" hidden="1" customWidth="1"/>
    <col min="15088" max="15100" width="10.625" style="64" customWidth="1"/>
    <col min="15101" max="15114" width="0" style="64" hidden="1" customWidth="1"/>
    <col min="15115" max="15116" width="11.25" style="64" customWidth="1"/>
    <col min="15117" max="15117" width="9" style="64"/>
    <col min="15118" max="15120" width="0" style="64" hidden="1" customWidth="1"/>
    <col min="15121" max="15333" width="9" style="64"/>
    <col min="15334" max="15334" width="2" style="64" customWidth="1"/>
    <col min="15335" max="15335" width="6.25" style="64" customWidth="1"/>
    <col min="15336" max="15336" width="19.75" style="64" customWidth="1"/>
    <col min="15337" max="15337" width="23.25" style="64" customWidth="1"/>
    <col min="15338" max="15338" width="14.125" style="64" customWidth="1"/>
    <col min="15339" max="15339" width="10.5" style="64" customWidth="1"/>
    <col min="15340" max="15343" width="0" style="64" hidden="1" customWidth="1"/>
    <col min="15344" max="15356" width="10.625" style="64" customWidth="1"/>
    <col min="15357" max="15370" width="0" style="64" hidden="1" customWidth="1"/>
    <col min="15371" max="15372" width="11.25" style="64" customWidth="1"/>
    <col min="15373" max="15373" width="9" style="64"/>
    <col min="15374" max="15376" width="0" style="64" hidden="1" customWidth="1"/>
    <col min="15377" max="15589" width="9" style="64"/>
    <col min="15590" max="15590" width="2" style="64" customWidth="1"/>
    <col min="15591" max="15591" width="6.25" style="64" customWidth="1"/>
    <col min="15592" max="15592" width="19.75" style="64" customWidth="1"/>
    <col min="15593" max="15593" width="23.25" style="64" customWidth="1"/>
    <col min="15594" max="15594" width="14.125" style="64" customWidth="1"/>
    <col min="15595" max="15595" width="10.5" style="64" customWidth="1"/>
    <col min="15596" max="15599" width="0" style="64" hidden="1" customWidth="1"/>
    <col min="15600" max="15612" width="10.625" style="64" customWidth="1"/>
    <col min="15613" max="15626" width="0" style="64" hidden="1" customWidth="1"/>
    <col min="15627" max="15628" width="11.25" style="64" customWidth="1"/>
    <col min="15629" max="15629" width="9" style="64"/>
    <col min="15630" max="15632" width="0" style="64" hidden="1" customWidth="1"/>
    <col min="15633" max="15845" width="9" style="64"/>
    <col min="15846" max="15846" width="2" style="64" customWidth="1"/>
    <col min="15847" max="15847" width="6.25" style="64" customWidth="1"/>
    <col min="15848" max="15848" width="19.75" style="64" customWidth="1"/>
    <col min="15849" max="15849" width="23.25" style="64" customWidth="1"/>
    <col min="15850" max="15850" width="14.125" style="64" customWidth="1"/>
    <col min="15851" max="15851" width="10.5" style="64" customWidth="1"/>
    <col min="15852" max="15855" width="0" style="64" hidden="1" customWidth="1"/>
    <col min="15856" max="15868" width="10.625" style="64" customWidth="1"/>
    <col min="15869" max="15882" width="0" style="64" hidden="1" customWidth="1"/>
    <col min="15883" max="15884" width="11.25" style="64" customWidth="1"/>
    <col min="15885" max="15885" width="9" style="64"/>
    <col min="15886" max="15888" width="0" style="64" hidden="1" customWidth="1"/>
    <col min="15889" max="16101" width="9" style="64"/>
    <col min="16102" max="16102" width="2" style="64" customWidth="1"/>
    <col min="16103" max="16103" width="6.25" style="64" customWidth="1"/>
    <col min="16104" max="16104" width="19.75" style="64" customWidth="1"/>
    <col min="16105" max="16105" width="23.25" style="64" customWidth="1"/>
    <col min="16106" max="16106" width="14.125" style="64" customWidth="1"/>
    <col min="16107" max="16107" width="10.5" style="64" customWidth="1"/>
    <col min="16108" max="16111" width="0" style="64" hidden="1" customWidth="1"/>
    <col min="16112" max="16124" width="10.625" style="64" customWidth="1"/>
    <col min="16125" max="16138" width="0" style="64" hidden="1" customWidth="1"/>
    <col min="16139" max="16140" width="11.25" style="64" customWidth="1"/>
    <col min="16141" max="16141" width="9" style="64"/>
    <col min="16142" max="16144" width="0" style="64" hidden="1" customWidth="1"/>
    <col min="16145" max="16384" width="9" style="64"/>
  </cols>
  <sheetData>
    <row r="1" spans="1:15">
      <c r="A1" s="3" t="s">
        <v>951</v>
      </c>
      <c r="B1" s="52"/>
      <c r="C1" s="3"/>
      <c r="D1" s="3"/>
      <c r="E1" s="3"/>
      <c r="F1" s="3"/>
      <c r="G1" s="64" t="s">
        <v>825</v>
      </c>
      <c r="H1" s="64" t="s">
        <v>825</v>
      </c>
      <c r="I1" s="36" t="s">
        <v>0</v>
      </c>
      <c r="J1" s="765" t="str">
        <f>IF(事業所概要_算定体制!D13="","",事業所概要_算定体制!D13)</f>
        <v/>
      </c>
      <c r="K1" s="766"/>
    </row>
    <row r="2" spans="1:15" ht="25.5" customHeight="1" thickBot="1">
      <c r="A2" s="52" t="s">
        <v>946</v>
      </c>
      <c r="B2" s="52"/>
      <c r="C2" s="3"/>
      <c r="D2" s="3"/>
      <c r="E2" s="3"/>
      <c r="F2" s="3"/>
      <c r="G2" s="196"/>
      <c r="H2" s="196"/>
      <c r="I2" s="37">
        <v>0</v>
      </c>
      <c r="J2" s="38"/>
      <c r="K2" s="38" t="str">
        <f>CONCATENATE(事業所概要_算定体制!$B$3,事業所概要_算定体制!$C$3,"年度")</f>
        <v>令和７年度</v>
      </c>
    </row>
    <row r="3" spans="1:15" ht="13.5" customHeight="1">
      <c r="A3" s="951"/>
      <c r="B3" s="954" t="s">
        <v>72</v>
      </c>
      <c r="C3" s="954" t="s">
        <v>73</v>
      </c>
      <c r="D3" s="954"/>
      <c r="E3" s="954" t="s">
        <v>74</v>
      </c>
      <c r="F3" s="665" t="s">
        <v>75</v>
      </c>
      <c r="G3" s="928" t="s">
        <v>76</v>
      </c>
      <c r="H3" s="929"/>
      <c r="I3" s="954" t="s">
        <v>813</v>
      </c>
      <c r="J3" s="954"/>
      <c r="K3" s="947" t="s">
        <v>272</v>
      </c>
      <c r="N3" s="654" t="s">
        <v>807</v>
      </c>
      <c r="O3" s="927" t="s">
        <v>817</v>
      </c>
    </row>
    <row r="4" spans="1:15" ht="18.75" customHeight="1">
      <c r="A4" s="952"/>
      <c r="B4" s="955"/>
      <c r="C4" s="955"/>
      <c r="D4" s="955"/>
      <c r="E4" s="955"/>
      <c r="F4" s="925"/>
      <c r="G4" s="930"/>
      <c r="H4" s="931"/>
      <c r="I4" s="955"/>
      <c r="J4" s="955"/>
      <c r="K4" s="948"/>
      <c r="N4" s="654"/>
      <c r="O4" s="927"/>
    </row>
    <row r="5" spans="1:15" ht="24.95" customHeight="1" thickBot="1">
      <c r="A5" s="953"/>
      <c r="B5" s="956"/>
      <c r="C5" s="956"/>
      <c r="D5" s="956"/>
      <c r="E5" s="956"/>
      <c r="F5" s="926"/>
      <c r="G5" s="932"/>
      <c r="H5" s="933"/>
      <c r="I5" s="956"/>
      <c r="J5" s="956"/>
      <c r="K5" s="188" t="s">
        <v>177</v>
      </c>
      <c r="N5" s="694"/>
      <c r="O5" s="927"/>
    </row>
    <row r="6" spans="1:15" ht="33.75" customHeight="1">
      <c r="A6" s="950" t="s">
        <v>275</v>
      </c>
      <c r="B6" s="964" t="s">
        <v>79</v>
      </c>
      <c r="C6" s="747" t="s">
        <v>198</v>
      </c>
      <c r="D6" s="747"/>
      <c r="E6" s="382" t="s">
        <v>380</v>
      </c>
      <c r="F6" s="48"/>
      <c r="G6" s="274" t="str">
        <f>IF(E6="","",IF(F6="","",F6/O6))</f>
        <v/>
      </c>
      <c r="H6" s="277" t="s">
        <v>823</v>
      </c>
      <c r="I6" s="280">
        <v>2.93</v>
      </c>
      <c r="J6" s="193" t="s">
        <v>808</v>
      </c>
      <c r="K6" s="1" t="str">
        <f>IF(G6="","",IF(I6="","",G6*I6))</f>
        <v/>
      </c>
      <c r="M6" s="432" t="str">
        <f>非_単位!B88</f>
        <v>廃棄物の焼却：廃油（植物性のもの及び動物性のもの並びに特定有害産業廃棄物を除く）</v>
      </c>
      <c r="N6" s="432" t="str">
        <f>"非_単位!$C$"&amp;MATCH(M6,非_単位!B:B,0)&amp;":$D$"&amp;MATCH(M6,非_単位!B:B,0)</f>
        <v>非_単位!$C$88:$D$88</v>
      </c>
      <c r="O6" s="432">
        <f>IF(E6="","",VLOOKUP(E6,非_単位補正換算!$B$3:$C$16,2,FALSE))</f>
        <v>1000</v>
      </c>
    </row>
    <row r="7" spans="1:15" ht="24">
      <c r="A7" s="950"/>
      <c r="B7" s="965"/>
      <c r="C7" s="885" t="s">
        <v>80</v>
      </c>
      <c r="D7" s="885"/>
      <c r="E7" s="382" t="s">
        <v>380</v>
      </c>
      <c r="F7" s="39"/>
      <c r="G7" s="275" t="str">
        <f t="shared" ref="G7:G49" si="0">IF(E7="","",IF(F7="","",F7/O7))</f>
        <v/>
      </c>
      <c r="H7" s="278" t="s">
        <v>823</v>
      </c>
      <c r="I7" s="281">
        <v>1.02</v>
      </c>
      <c r="J7" s="195" t="s">
        <v>808</v>
      </c>
      <c r="K7" s="330" t="str">
        <f t="shared" ref="K7:K49" si="1">IF(G7="","",IF(I7="","",G7*I7))</f>
        <v/>
      </c>
      <c r="M7" s="432" t="str">
        <f>非_単位!B89</f>
        <v xml:space="preserve">廃棄物の焼却：廃油（特定有害産業廃棄物に限る。） </v>
      </c>
      <c r="N7" s="432" t="str">
        <f>"非_単位!$C$"&amp;MATCH(M7,非_単位!B:B,0)&amp;":$D$"&amp;MATCH(M7,非_単位!B:B,0)</f>
        <v>非_単位!$C$89:$D$89</v>
      </c>
      <c r="O7" s="432">
        <f>IF(E7="","",VLOOKUP(E7,非_単位補正換算!$B$3:$C$16,2,FALSE))</f>
        <v>1000</v>
      </c>
    </row>
    <row r="8" spans="1:15" ht="20.25" customHeight="1">
      <c r="A8" s="950"/>
      <c r="B8" s="885"/>
      <c r="C8" s="773" t="s">
        <v>81</v>
      </c>
      <c r="D8" s="773"/>
      <c r="E8" s="382" t="s">
        <v>380</v>
      </c>
      <c r="F8" s="39"/>
      <c r="G8" s="275" t="str">
        <f t="shared" si="0"/>
        <v/>
      </c>
      <c r="H8" s="278" t="s">
        <v>823</v>
      </c>
      <c r="I8" s="282">
        <v>2.31</v>
      </c>
      <c r="J8" s="195" t="s">
        <v>808</v>
      </c>
      <c r="K8" s="330" t="str">
        <f t="shared" si="1"/>
        <v/>
      </c>
      <c r="L8" s="272"/>
      <c r="M8" s="432" t="str">
        <f>非_単位!B90</f>
        <v>廃棄物の焼却：合成繊維</v>
      </c>
      <c r="N8" s="432" t="str">
        <f>"非_単位!$C$"&amp;MATCH(M8,非_単位!B:B,0)&amp;":$D$"&amp;MATCH(M8,非_単位!B:B,0)</f>
        <v>非_単位!$C$90:$D$90</v>
      </c>
      <c r="O8" s="432">
        <f>IF(E8="","",VLOOKUP(E8,非_単位補正換算!$B$3:$C$16,2,FALSE))</f>
        <v>1000</v>
      </c>
    </row>
    <row r="9" spans="1:15" ht="20.25" customHeight="1">
      <c r="A9" s="950"/>
      <c r="B9" s="885"/>
      <c r="C9" s="773" t="s">
        <v>172</v>
      </c>
      <c r="D9" s="773"/>
      <c r="E9" s="382" t="s">
        <v>380</v>
      </c>
      <c r="F9" s="39"/>
      <c r="G9" s="275" t="str">
        <f t="shared" si="0"/>
        <v/>
      </c>
      <c r="H9" s="278" t="s">
        <v>823</v>
      </c>
      <c r="I9" s="282">
        <v>1.64</v>
      </c>
      <c r="J9" s="195" t="s">
        <v>808</v>
      </c>
      <c r="K9" s="330" t="str">
        <f t="shared" si="1"/>
        <v/>
      </c>
      <c r="M9" s="432" t="str">
        <f>非_単位!B91</f>
        <v>廃棄物の焼却：廃タイヤ</v>
      </c>
      <c r="N9" s="432" t="str">
        <f>"非_単位!$C$"&amp;MATCH(M9,非_単位!B:B,0)&amp;":$D$"&amp;MATCH(M9,非_単位!B:B,0)</f>
        <v>非_単位!$C$91:$D$91</v>
      </c>
      <c r="O9" s="432">
        <f>IF(E9="","",VLOOKUP(E9,非_単位補正換算!$B$3:$C$16,2,FALSE))</f>
        <v>1000</v>
      </c>
    </row>
    <row r="10" spans="1:15" ht="44.25" customHeight="1">
      <c r="A10" s="950"/>
      <c r="B10" s="885"/>
      <c r="C10" s="966" t="s">
        <v>82</v>
      </c>
      <c r="D10" s="773"/>
      <c r="E10" s="382" t="s">
        <v>380</v>
      </c>
      <c r="F10" s="39"/>
      <c r="G10" s="275" t="str">
        <f t="shared" si="0"/>
        <v/>
      </c>
      <c r="H10" s="278" t="s">
        <v>823</v>
      </c>
      <c r="I10" s="282">
        <v>2.56</v>
      </c>
      <c r="J10" s="195" t="s">
        <v>808</v>
      </c>
      <c r="K10" s="330" t="str">
        <f t="shared" si="1"/>
        <v/>
      </c>
      <c r="M10" s="432" t="str">
        <f>非_単位!B92</f>
        <v>廃棄物の焼却：合成繊維及び廃ﾀｲﾔ以外の廃ﾌﾟﾗｽﾁｯｸ類（産業廃棄物）</v>
      </c>
      <c r="N10" s="432" t="str">
        <f>"非_単位!$C$"&amp;MATCH(M10,非_単位!B:B,0)&amp;":$D$"&amp;MATCH(M10,非_単位!B:B,0)</f>
        <v>非_単位!$C$92:$D$92</v>
      </c>
      <c r="O10" s="432">
        <f>IF(E10="","",VLOOKUP(E10,非_単位補正換算!$B$3:$C$16,2,FALSE))</f>
        <v>1000</v>
      </c>
    </row>
    <row r="11" spans="1:15" ht="24">
      <c r="A11" s="950"/>
      <c r="B11" s="885"/>
      <c r="C11" s="966" t="s">
        <v>83</v>
      </c>
      <c r="D11" s="773"/>
      <c r="E11" s="382" t="s">
        <v>380</v>
      </c>
      <c r="F11" s="39"/>
      <c r="G11" s="275" t="str">
        <f t="shared" si="0"/>
        <v/>
      </c>
      <c r="H11" s="278" t="s">
        <v>823</v>
      </c>
      <c r="I11" s="282">
        <v>2.27</v>
      </c>
      <c r="J11" s="195" t="s">
        <v>808</v>
      </c>
      <c r="K11" s="330" t="str">
        <f t="shared" si="1"/>
        <v/>
      </c>
      <c r="M11" s="432" t="str">
        <f>非_単位!B93</f>
        <v>廃棄物の焼却：ポリエチレンテレフタレート製の容器</v>
      </c>
      <c r="N11" s="432" t="str">
        <f>"非_単位!$C$"&amp;MATCH(M11,非_単位!B:B,0)&amp;":$D$"&amp;MATCH(M11,非_単位!B:B,0)</f>
        <v>非_単位!$C$93:$D$93</v>
      </c>
      <c r="O11" s="432">
        <f>IF(E11="","",VLOOKUP(E11,非_単位補正換算!$B$3:$C$16,2,FALSE))</f>
        <v>1000</v>
      </c>
    </row>
    <row r="12" spans="1:15" ht="84" customHeight="1">
      <c r="A12" s="950"/>
      <c r="B12" s="885"/>
      <c r="C12" s="773" t="s">
        <v>84</v>
      </c>
      <c r="D12" s="773"/>
      <c r="E12" s="382" t="s">
        <v>380</v>
      </c>
      <c r="F12" s="39"/>
      <c r="G12" s="275" t="str">
        <f t="shared" si="0"/>
        <v/>
      </c>
      <c r="H12" s="278" t="s">
        <v>823</v>
      </c>
      <c r="I12" s="282">
        <v>2.76</v>
      </c>
      <c r="J12" s="195" t="s">
        <v>808</v>
      </c>
      <c r="K12" s="330" t="str">
        <f t="shared" si="1"/>
        <v/>
      </c>
      <c r="M12" s="432" t="str">
        <f>非_単位!B94</f>
        <v>廃棄物の焼却：廃プラスチック類（合成繊維、廃タイヤ、廃プラスチック類（産業廃棄物であるものに限る。）及びポリエチレンテレフタレート製の容器を除く。）</v>
      </c>
      <c r="N12" s="432" t="str">
        <f>"非_単位!$C$"&amp;MATCH(M12,非_単位!B:B,0)&amp;":$D$"&amp;MATCH(M12,非_単位!B:B,0)</f>
        <v>非_単位!$C$94:$D$94</v>
      </c>
      <c r="O12" s="432">
        <f>IF(E12="","",VLOOKUP(E12,非_単位補正換算!$B$3:$C$16,2,FALSE))</f>
        <v>1000</v>
      </c>
    </row>
    <row r="13" spans="1:15" ht="20.25" customHeight="1">
      <c r="A13" s="950"/>
      <c r="B13" s="885"/>
      <c r="C13" s="612" t="s">
        <v>85</v>
      </c>
      <c r="D13" s="614"/>
      <c r="E13" s="382" t="s">
        <v>380</v>
      </c>
      <c r="F13" s="39"/>
      <c r="G13" s="275" t="str">
        <f t="shared" si="0"/>
        <v/>
      </c>
      <c r="H13" s="278" t="s">
        <v>823</v>
      </c>
      <c r="I13" s="283">
        <v>0.14399999999999999</v>
      </c>
      <c r="J13" s="195" t="s">
        <v>808</v>
      </c>
      <c r="K13" s="330" t="str">
        <f t="shared" si="1"/>
        <v/>
      </c>
      <c r="M13" s="432" t="str">
        <f>非_単位!B95</f>
        <v>廃棄物の焼却：紙くず</v>
      </c>
      <c r="N13" s="432" t="str">
        <f>"非_単位!$C$"&amp;MATCH(M13,非_単位!B:B,0)&amp;":$D$"&amp;MATCH(M13,非_単位!B:B,0)</f>
        <v>非_単位!$C$95:$D$95</v>
      </c>
      <c r="O13" s="432">
        <f>IF(E13="","",VLOOKUP(E13,非_単位補正換算!$B$3:$C$16,2,FALSE))</f>
        <v>1000</v>
      </c>
    </row>
    <row r="14" spans="1:15" ht="20.25" customHeight="1">
      <c r="A14" s="950"/>
      <c r="B14" s="885"/>
      <c r="C14" s="612" t="s">
        <v>86</v>
      </c>
      <c r="D14" s="614"/>
      <c r="E14" s="382" t="s">
        <v>380</v>
      </c>
      <c r="F14" s="39"/>
      <c r="G14" s="275" t="str">
        <f t="shared" si="0"/>
        <v/>
      </c>
      <c r="H14" s="278" t="s">
        <v>823</v>
      </c>
      <c r="I14" s="282">
        <v>1.22</v>
      </c>
      <c r="J14" s="195" t="s">
        <v>808</v>
      </c>
      <c r="K14" s="330" t="str">
        <f t="shared" si="1"/>
        <v/>
      </c>
      <c r="M14" s="432" t="str">
        <f>非_単位!B96</f>
        <v>廃棄物の焼却：紙おむつ</v>
      </c>
      <c r="N14" s="432" t="str">
        <f>"非_単位!$C$"&amp;MATCH(M14,非_単位!B:B,0)&amp;":$D$"&amp;MATCH(M14,非_単位!B:B,0)</f>
        <v>非_単位!$C$96:$D$96</v>
      </c>
      <c r="O14" s="432">
        <f>IF(E14="","",VLOOKUP(E14,非_単位補正換算!$B$3:$C$16,2,FALSE))</f>
        <v>1000</v>
      </c>
    </row>
    <row r="15" spans="1:15" ht="20.25" customHeight="1">
      <c r="A15" s="950"/>
      <c r="B15" s="818" t="s">
        <v>87</v>
      </c>
      <c r="C15" s="612" t="s">
        <v>88</v>
      </c>
      <c r="D15" s="614"/>
      <c r="E15" s="195" t="str">
        <f>IF(非化石燃料!E8="","",非化石燃料!E8)</f>
        <v>kg</v>
      </c>
      <c r="F15" s="505" t="str">
        <f>IF(非化石燃料!F8="","",非化石燃料!F8)</f>
        <v/>
      </c>
      <c r="G15" s="275" t="str">
        <f t="shared" si="0"/>
        <v/>
      </c>
      <c r="H15" s="278" t="s">
        <v>823</v>
      </c>
      <c r="I15" s="282">
        <v>1.07</v>
      </c>
      <c r="J15" s="195" t="s">
        <v>808</v>
      </c>
      <c r="K15" s="330" t="str">
        <f t="shared" si="1"/>
        <v/>
      </c>
      <c r="O15" s="422">
        <f>IF(E15="","",VLOOKUP(E15,非_単位補正換算!$B$3:$C$16,2,FALSE))</f>
        <v>1000</v>
      </c>
    </row>
    <row r="16" spans="1:15" ht="20.25" customHeight="1">
      <c r="A16" s="950"/>
      <c r="B16" s="743"/>
      <c r="C16" s="612" t="s">
        <v>89</v>
      </c>
      <c r="D16" s="614"/>
      <c r="E16" s="195" t="str">
        <f>IF(非化石燃料!E9="","",非化石燃料!E9)</f>
        <v>kg</v>
      </c>
      <c r="F16" s="505" t="str">
        <f>IF(非化石燃料!F9="","",非化石燃料!F9)</f>
        <v/>
      </c>
      <c r="G16" s="275" t="str">
        <f t="shared" si="0"/>
        <v/>
      </c>
      <c r="H16" s="278" t="s">
        <v>823</v>
      </c>
      <c r="I16" s="282">
        <v>1.64</v>
      </c>
      <c r="J16" s="195" t="s">
        <v>808</v>
      </c>
      <c r="K16" s="330" t="str">
        <f t="shared" si="1"/>
        <v/>
      </c>
      <c r="O16" s="422">
        <f>IF(E16="","",VLOOKUP(E16,非_単位補正換算!$B$3:$C$16,2,FALSE))</f>
        <v>1000</v>
      </c>
    </row>
    <row r="17" spans="1:15" ht="20.25" customHeight="1">
      <c r="A17" s="950"/>
      <c r="B17" s="743"/>
      <c r="C17" s="612" t="s">
        <v>90</v>
      </c>
      <c r="D17" s="614"/>
      <c r="E17" s="195" t="str">
        <f>IF(非化石燃料!E10="","",非化石燃料!E10)</f>
        <v>kg</v>
      </c>
      <c r="F17" s="505" t="str">
        <f>IF(非化石燃料!F10="","",非化石燃料!F10)</f>
        <v/>
      </c>
      <c r="G17" s="275" t="str">
        <f t="shared" si="0"/>
        <v/>
      </c>
      <c r="H17" s="278" t="s">
        <v>823</v>
      </c>
      <c r="I17" s="282">
        <v>1.64</v>
      </c>
      <c r="J17" s="195" t="s">
        <v>808</v>
      </c>
      <c r="K17" s="330" t="str">
        <f t="shared" si="1"/>
        <v/>
      </c>
      <c r="O17" s="422">
        <f>IF(E17="","",VLOOKUP(E17,非_単位補正換算!$B$3:$C$16,2,FALSE))</f>
        <v>1000</v>
      </c>
    </row>
    <row r="18" spans="1:15" ht="20.25" customHeight="1">
      <c r="A18" s="950"/>
      <c r="B18" s="743"/>
      <c r="C18" s="612" t="s">
        <v>91</v>
      </c>
      <c r="D18" s="614"/>
      <c r="E18" s="195" t="str">
        <f>IF(非化石燃料!E11="","",非化石燃料!E11)</f>
        <v>kg</v>
      </c>
      <c r="F18" s="505" t="str">
        <f>IF(非化石燃料!F11="","",非化石燃料!F11)</f>
        <v/>
      </c>
      <c r="G18" s="275" t="str">
        <f t="shared" si="0"/>
        <v/>
      </c>
      <c r="H18" s="278" t="s">
        <v>823</v>
      </c>
      <c r="I18" s="282">
        <v>2.76</v>
      </c>
      <c r="J18" s="195" t="s">
        <v>808</v>
      </c>
      <c r="K18" s="330" t="str">
        <f t="shared" si="1"/>
        <v/>
      </c>
      <c r="O18" s="422">
        <f>IF(E18="","",VLOOKUP(E18,非_単位補正換算!$B$3:$C$16,2,FALSE))</f>
        <v>1000</v>
      </c>
    </row>
    <row r="19" spans="1:15" ht="20.25" customHeight="1">
      <c r="A19" s="950"/>
      <c r="B19" s="743"/>
      <c r="C19" s="612" t="s">
        <v>92</v>
      </c>
      <c r="D19" s="614"/>
      <c r="E19" s="195" t="str">
        <f>IF(非化石燃料!E12="","",非化石燃料!E12)</f>
        <v>kg</v>
      </c>
      <c r="F19" s="505" t="str">
        <f>IF(非化石燃料!F12="","",非化石燃料!F12)</f>
        <v/>
      </c>
      <c r="G19" s="275" t="str">
        <f t="shared" si="0"/>
        <v/>
      </c>
      <c r="H19" s="278" t="s">
        <v>823</v>
      </c>
      <c r="I19" s="282">
        <v>2.57</v>
      </c>
      <c r="J19" s="195" t="s">
        <v>808</v>
      </c>
      <c r="K19" s="330" t="str">
        <f t="shared" si="1"/>
        <v/>
      </c>
      <c r="O19" s="422">
        <f>IF(E19="","",VLOOKUP(E19,非_単位補正換算!$B$3:$C$16,2,FALSE))</f>
        <v>1000</v>
      </c>
    </row>
    <row r="20" spans="1:15" ht="54.75" customHeight="1">
      <c r="A20" s="950"/>
      <c r="B20" s="743"/>
      <c r="C20" s="967" t="s">
        <v>93</v>
      </c>
      <c r="D20" s="968"/>
      <c r="E20" s="195" t="str">
        <f>IF(非化石燃料!E13="","",非化石燃料!E13)</f>
        <v>L</v>
      </c>
      <c r="F20" s="505" t="str">
        <f>IF(非化石燃料!F13="","",非化石燃料!F13)</f>
        <v/>
      </c>
      <c r="G20" s="275" t="str">
        <f t="shared" si="0"/>
        <v/>
      </c>
      <c r="H20" s="278" t="s">
        <v>824</v>
      </c>
      <c r="I20" s="282">
        <v>2.64</v>
      </c>
      <c r="J20" s="195" t="s">
        <v>809</v>
      </c>
      <c r="K20" s="330" t="str">
        <f t="shared" si="1"/>
        <v/>
      </c>
      <c r="O20" s="422">
        <f>IF(E20="","",VLOOKUP(E20,非_単位補正換算!$B$3:$C$16,2,FALSE))</f>
        <v>1000</v>
      </c>
    </row>
    <row r="21" spans="1:15" ht="39" customHeight="1">
      <c r="A21" s="950"/>
      <c r="B21" s="743"/>
      <c r="C21" s="612" t="s">
        <v>94</v>
      </c>
      <c r="D21" s="614"/>
      <c r="E21" s="195" t="str">
        <f>IF(非化石燃料!E14="","",非化石燃料!E14)</f>
        <v>L</v>
      </c>
      <c r="F21" s="505" t="str">
        <f>IF(非化石燃料!F14="","",非化石燃料!F14)</f>
        <v/>
      </c>
      <c r="G21" s="275" t="str">
        <f t="shared" si="0"/>
        <v/>
      </c>
      <c r="H21" s="278" t="s">
        <v>824</v>
      </c>
      <c r="I21" s="282">
        <v>2.62</v>
      </c>
      <c r="J21" s="195" t="s">
        <v>809</v>
      </c>
      <c r="K21" s="330" t="str">
        <f t="shared" si="1"/>
        <v/>
      </c>
      <c r="O21" s="422">
        <f>IF(E21="","",VLOOKUP(E21,非_単位補正換算!$B$3:$C$16,2,FALSE))</f>
        <v>1000</v>
      </c>
    </row>
    <row r="22" spans="1:15" ht="24">
      <c r="A22" s="950"/>
      <c r="B22" s="743"/>
      <c r="C22" s="612" t="str">
        <f>IF(非化石燃料!C17="","",非化石燃料!C17)</f>
        <v/>
      </c>
      <c r="D22" s="614"/>
      <c r="E22" s="195" t="str">
        <f>IF(非化石燃料!E17="","",非化石燃料!E17)</f>
        <v>kg</v>
      </c>
      <c r="F22" s="505" t="str">
        <f>IF(非化石燃料!F17="","",非化石燃料!F17)</f>
        <v/>
      </c>
      <c r="G22" s="275" t="str">
        <f t="shared" si="0"/>
        <v/>
      </c>
      <c r="H22" s="278" t="str">
        <f>E22</f>
        <v>kg</v>
      </c>
      <c r="I22" s="282" t="str">
        <f>IF(非化石燃料!K17="","",非化石燃料!K17)</f>
        <v/>
      </c>
      <c r="J22" s="40" t="str">
        <f>非化石燃料!L17</f>
        <v>t-CO2/kg</v>
      </c>
      <c r="K22" s="330" t="str">
        <f t="shared" si="1"/>
        <v/>
      </c>
      <c r="O22" s="422">
        <f>IF(E22="","",VLOOKUP(E22,非_単位補正換算!$B$3:$C$16,2,FALSE))</f>
        <v>1000</v>
      </c>
    </row>
    <row r="23" spans="1:15" ht="24">
      <c r="A23" s="950"/>
      <c r="B23" s="747"/>
      <c r="C23" s="612" t="str">
        <f>IF(非化石燃料!C18="","",非化石燃料!C18)</f>
        <v/>
      </c>
      <c r="D23" s="614"/>
      <c r="E23" s="195" t="str">
        <f>IF(非化石燃料!E18="","",非化石燃料!E18)</f>
        <v>kg</v>
      </c>
      <c r="F23" s="505" t="str">
        <f>IF(非化石燃料!F18="","",非化石燃料!F18)</f>
        <v/>
      </c>
      <c r="G23" s="275" t="str">
        <f t="shared" si="0"/>
        <v/>
      </c>
      <c r="H23" s="278" t="str">
        <f>E23</f>
        <v>kg</v>
      </c>
      <c r="I23" s="282" t="str">
        <f>IF(非化石燃料!K18="","",非化石燃料!K18)</f>
        <v/>
      </c>
      <c r="J23" s="40" t="str">
        <f>非化石燃料!L18</f>
        <v>t-CO2/kg</v>
      </c>
      <c r="K23" s="330" t="str">
        <f t="shared" si="1"/>
        <v/>
      </c>
      <c r="O23" s="422">
        <f>IF(E23="","",VLOOKUP(E23,非_単位補正換算!$B$3:$C$16,2,FALSE))</f>
        <v>1000</v>
      </c>
    </row>
    <row r="24" spans="1:15" ht="20.25" customHeight="1">
      <c r="A24" s="950"/>
      <c r="B24" s="773" t="s">
        <v>96</v>
      </c>
      <c r="C24" s="773"/>
      <c r="D24" s="773"/>
      <c r="E24" s="382" t="s">
        <v>380</v>
      </c>
      <c r="F24" s="39"/>
      <c r="G24" s="275" t="str">
        <f t="shared" si="0"/>
        <v/>
      </c>
      <c r="H24" s="278" t="s">
        <v>823</v>
      </c>
      <c r="I24" s="284">
        <v>0.51500000000000001</v>
      </c>
      <c r="J24" s="194" t="s">
        <v>808</v>
      </c>
      <c r="K24" s="330" t="str">
        <f t="shared" si="1"/>
        <v/>
      </c>
      <c r="M24" s="432" t="str">
        <f>非_単位!B97</f>
        <v>セメントクリンカーの製造</v>
      </c>
      <c r="N24" s="432" t="str">
        <f>"非_単位!$C$"&amp;MATCH(M24,非_単位!B:B,0)&amp;":$D$"&amp;MATCH(M24,非_単位!B:B,0)</f>
        <v>非_単位!$C$97:$D$97</v>
      </c>
      <c r="O24" s="432">
        <f>IF(E24="","",VLOOKUP(E24,非_単位補正換算!$B$3:$C$16,2,FALSE))</f>
        <v>1000</v>
      </c>
    </row>
    <row r="25" spans="1:15" ht="20.25" customHeight="1">
      <c r="A25" s="950"/>
      <c r="B25" s="885" t="s">
        <v>97</v>
      </c>
      <c r="C25" s="773" t="s">
        <v>98</v>
      </c>
      <c r="D25" s="773"/>
      <c r="E25" s="382" t="s">
        <v>380</v>
      </c>
      <c r="F25" s="39"/>
      <c r="G25" s="275" t="str">
        <f t="shared" si="0"/>
        <v/>
      </c>
      <c r="H25" s="278" t="s">
        <v>823</v>
      </c>
      <c r="I25" s="284">
        <v>0.42799999999999999</v>
      </c>
      <c r="J25" s="194" t="s">
        <v>808</v>
      </c>
      <c r="K25" s="330" t="str">
        <f t="shared" si="1"/>
        <v/>
      </c>
      <c r="M25" s="432" t="str">
        <f>非_単位!B98</f>
        <v>生石灰の製造:石灰石</v>
      </c>
      <c r="N25" s="432" t="str">
        <f>"非_単位!$C$"&amp;MATCH(M25,非_単位!B:B,0)&amp;":$D$"&amp;MATCH(M25,非_単位!B:B,0)</f>
        <v>非_単位!$C$98:$D$98</v>
      </c>
      <c r="O25" s="432">
        <f>IF(E25="","",VLOOKUP(E25,非_単位補正換算!$B$3:$C$16,2,FALSE))</f>
        <v>1000</v>
      </c>
    </row>
    <row r="26" spans="1:15" ht="20.25" customHeight="1">
      <c r="A26" s="950"/>
      <c r="B26" s="773"/>
      <c r="C26" s="773" t="s">
        <v>99</v>
      </c>
      <c r="D26" s="773"/>
      <c r="E26" s="382" t="s">
        <v>380</v>
      </c>
      <c r="F26" s="39"/>
      <c r="G26" s="275" t="str">
        <f t="shared" si="0"/>
        <v/>
      </c>
      <c r="H26" s="278" t="s">
        <v>823</v>
      </c>
      <c r="I26" s="284">
        <v>0.44900000000000001</v>
      </c>
      <c r="J26" s="194" t="s">
        <v>808</v>
      </c>
      <c r="K26" s="330" t="str">
        <f t="shared" si="1"/>
        <v/>
      </c>
      <c r="M26" s="432" t="str">
        <f>非_単位!B99</f>
        <v>生石灰の製造:ドロマイト</v>
      </c>
      <c r="N26" s="432" t="str">
        <f>"非_単位!$C$"&amp;MATCH(M26,非_単位!B:B,0)&amp;":$D$"&amp;MATCH(M26,非_単位!B:B,0)</f>
        <v>非_単位!$C$99:$D$99</v>
      </c>
      <c r="O26" s="432">
        <f>IF(E26="","",VLOOKUP(E26,非_単位補正換算!$B$3:$C$16,2,FALSE))</f>
        <v>1000</v>
      </c>
    </row>
    <row r="27" spans="1:15" ht="20.25" customHeight="1">
      <c r="A27" s="950"/>
      <c r="B27" s="960" t="s">
        <v>100</v>
      </c>
      <c r="C27" s="773" t="s">
        <v>98</v>
      </c>
      <c r="D27" s="773"/>
      <c r="E27" s="382" t="s">
        <v>380</v>
      </c>
      <c r="F27" s="39"/>
      <c r="G27" s="275" t="str">
        <f t="shared" si="0"/>
        <v/>
      </c>
      <c r="H27" s="278" t="s">
        <v>823</v>
      </c>
      <c r="I27" s="284">
        <v>0.44</v>
      </c>
      <c r="J27" s="194" t="s">
        <v>808</v>
      </c>
      <c r="K27" s="330" t="str">
        <f t="shared" si="1"/>
        <v/>
      </c>
      <c r="M27" s="432" t="str">
        <f>非_単位!B100</f>
        <v>ソーダ石灰ガラスの製造:石灰石</v>
      </c>
      <c r="N27" s="432" t="str">
        <f>"非_単位!$C$"&amp;MATCH(M27,非_単位!B:B,0)&amp;":$D$"&amp;MATCH(M27,非_単位!B:B,0)</f>
        <v>非_単位!$C$100:$D$100</v>
      </c>
      <c r="O27" s="432">
        <f>IF(E27="","",VLOOKUP(E27,非_単位補正換算!$B$3:$C$16,2,FALSE))</f>
        <v>1000</v>
      </c>
    </row>
    <row r="28" spans="1:15" ht="20.25" customHeight="1">
      <c r="A28" s="950"/>
      <c r="B28" s="961"/>
      <c r="C28" s="773" t="s">
        <v>99</v>
      </c>
      <c r="D28" s="773"/>
      <c r="E28" s="382" t="s">
        <v>380</v>
      </c>
      <c r="F28" s="39"/>
      <c r="G28" s="275" t="str">
        <f t="shared" si="0"/>
        <v/>
      </c>
      <c r="H28" s="278" t="s">
        <v>823</v>
      </c>
      <c r="I28" s="284">
        <v>0.47099999999999997</v>
      </c>
      <c r="J28" s="194" t="s">
        <v>808</v>
      </c>
      <c r="K28" s="330" t="str">
        <f t="shared" si="1"/>
        <v/>
      </c>
      <c r="M28" s="432" t="str">
        <f>非_単位!B101</f>
        <v>ソーダ石灰ガラスの製造:ドロマイト</v>
      </c>
      <c r="N28" s="432" t="str">
        <f>"非_単位!$C$"&amp;MATCH(M28,非_単位!B:B,0)&amp;":$D$"&amp;MATCH(M28,非_単位!B:B,0)</f>
        <v>非_単位!$C$101:$D$101</v>
      </c>
      <c r="O28" s="432">
        <f>IF(E28="","",VLOOKUP(E28,非_単位補正換算!$B$3:$C$16,2,FALSE))</f>
        <v>1000</v>
      </c>
    </row>
    <row r="29" spans="1:15" ht="20.25" customHeight="1">
      <c r="A29" s="950"/>
      <c r="B29" s="961"/>
      <c r="C29" s="612" t="s">
        <v>101</v>
      </c>
      <c r="D29" s="614"/>
      <c r="E29" s="382" t="s">
        <v>380</v>
      </c>
      <c r="F29" s="39"/>
      <c r="G29" s="275" t="str">
        <f t="shared" si="0"/>
        <v/>
      </c>
      <c r="H29" s="278" t="s">
        <v>823</v>
      </c>
      <c r="I29" s="284">
        <v>0.41299999999999998</v>
      </c>
      <c r="J29" s="194" t="s">
        <v>808</v>
      </c>
      <c r="K29" s="330" t="str">
        <f t="shared" si="1"/>
        <v/>
      </c>
      <c r="M29" s="432" t="str">
        <f>非_単位!B102</f>
        <v>ソーダ石灰ガラスの製造:ソーダ灰（国内産）</v>
      </c>
      <c r="N29" s="432" t="str">
        <f>"非_単位!$C$"&amp;MATCH(M29,非_単位!B:B,0)&amp;":$D$"&amp;MATCH(M29,非_単位!B:B,0)</f>
        <v>非_単位!$C$102:$D$102</v>
      </c>
      <c r="O29" s="432">
        <f>IF(E29="","",VLOOKUP(E29,非_単位補正換算!$B$3:$C$16,2,FALSE))</f>
        <v>1000</v>
      </c>
    </row>
    <row r="30" spans="1:15" ht="20.25" customHeight="1">
      <c r="A30" s="950"/>
      <c r="B30" s="961"/>
      <c r="C30" s="612" t="s">
        <v>102</v>
      </c>
      <c r="D30" s="614"/>
      <c r="E30" s="382" t="s">
        <v>380</v>
      </c>
      <c r="F30" s="39"/>
      <c r="G30" s="275" t="str">
        <f t="shared" si="0"/>
        <v/>
      </c>
      <c r="H30" s="278" t="s">
        <v>823</v>
      </c>
      <c r="I30" s="284">
        <v>0.41499999999999998</v>
      </c>
      <c r="J30" s="194" t="s">
        <v>808</v>
      </c>
      <c r="K30" s="330" t="str">
        <f t="shared" si="1"/>
        <v/>
      </c>
      <c r="M30" s="432" t="str">
        <f>非_単位!B103</f>
        <v>ソーダ石灰ガラスの製造:ソーダ灰（輸入）</v>
      </c>
      <c r="N30" s="432" t="str">
        <f>"非_単位!$C$"&amp;MATCH(M30,非_単位!B:B,0)&amp;":$D$"&amp;MATCH(M30,非_単位!B:B,0)</f>
        <v>非_単位!$C$103:$D$103</v>
      </c>
      <c r="O30" s="432">
        <f>IF(E30="","",VLOOKUP(E30,非_単位補正換算!$B$3:$C$16,2,FALSE))</f>
        <v>1000</v>
      </c>
    </row>
    <row r="31" spans="1:15" ht="20.25" customHeight="1">
      <c r="A31" s="950"/>
      <c r="B31" s="961"/>
      <c r="C31" s="612" t="s">
        <v>103</v>
      </c>
      <c r="D31" s="614"/>
      <c r="E31" s="382" t="s">
        <v>380</v>
      </c>
      <c r="F31" s="39"/>
      <c r="G31" s="275" t="str">
        <f t="shared" si="0"/>
        <v/>
      </c>
      <c r="H31" s="278" t="s">
        <v>823</v>
      </c>
      <c r="I31" s="282">
        <v>0.22</v>
      </c>
      <c r="J31" s="194" t="s">
        <v>808</v>
      </c>
      <c r="K31" s="330" t="str">
        <f t="shared" si="1"/>
        <v/>
      </c>
      <c r="M31" s="432" t="str">
        <f>非_単位!B104</f>
        <v>ソーダ石灰ガラスの製造:炭酸バリウム</v>
      </c>
      <c r="N31" s="432" t="str">
        <f>"非_単位!$C$"&amp;MATCH(M31,非_単位!B:B,0)&amp;":$D$"&amp;MATCH(M31,非_単位!B:B,0)</f>
        <v>非_単位!$C$104:$D$104</v>
      </c>
      <c r="O31" s="432">
        <f>IF(E31="","",VLOOKUP(E31,非_単位補正換算!$B$3:$C$16,2,FALSE))</f>
        <v>1000</v>
      </c>
    </row>
    <row r="32" spans="1:15" ht="20.25" customHeight="1">
      <c r="A32" s="950"/>
      <c r="B32" s="961"/>
      <c r="C32" s="612" t="s">
        <v>104</v>
      </c>
      <c r="D32" s="614"/>
      <c r="E32" s="382" t="s">
        <v>380</v>
      </c>
      <c r="F32" s="39"/>
      <c r="G32" s="275" t="str">
        <f t="shared" si="0"/>
        <v/>
      </c>
      <c r="H32" s="278" t="s">
        <v>823</v>
      </c>
      <c r="I32" s="282">
        <v>0.32</v>
      </c>
      <c r="J32" s="194" t="s">
        <v>808</v>
      </c>
      <c r="K32" s="330" t="str">
        <f t="shared" si="1"/>
        <v/>
      </c>
      <c r="M32" s="432" t="str">
        <f>非_単位!B105</f>
        <v>ソーダ石灰ガラスの製造:炭酸カリウム</v>
      </c>
      <c r="N32" s="432" t="str">
        <f>"非_単位!$C$"&amp;MATCH(M32,非_単位!B:B,0)&amp;":$D$"&amp;MATCH(M32,非_単位!B:B,0)</f>
        <v>非_単位!$C$105:$D$105</v>
      </c>
      <c r="O32" s="432">
        <f>IF(E32="","",VLOOKUP(E32,非_単位補正換算!$B$3:$C$16,2,FALSE))</f>
        <v>1000</v>
      </c>
    </row>
    <row r="33" spans="1:15" ht="20.25" customHeight="1">
      <c r="A33" s="950"/>
      <c r="B33" s="961"/>
      <c r="C33" s="612" t="s">
        <v>105</v>
      </c>
      <c r="D33" s="614"/>
      <c r="E33" s="382" t="s">
        <v>380</v>
      </c>
      <c r="F33" s="39"/>
      <c r="G33" s="275" t="str">
        <f t="shared" si="0"/>
        <v/>
      </c>
      <c r="H33" s="278" t="s">
        <v>823</v>
      </c>
      <c r="I33" s="282">
        <v>0.3</v>
      </c>
      <c r="J33" s="194" t="s">
        <v>808</v>
      </c>
      <c r="K33" s="330" t="str">
        <f t="shared" si="1"/>
        <v/>
      </c>
      <c r="M33" s="432" t="str">
        <f>非_単位!B106</f>
        <v>ソーダ石灰ガラスの製造:炭酸ストロンチウム</v>
      </c>
      <c r="N33" s="432" t="str">
        <f>"非_単位!$C$"&amp;MATCH(M33,非_単位!B:B,0)&amp;":$D$"&amp;MATCH(M33,非_単位!B:B,0)</f>
        <v>非_単位!$C$106:$D$106</v>
      </c>
      <c r="O33" s="432">
        <f>IF(E33="","",VLOOKUP(E33,非_単位補正換算!$B$3:$C$16,2,FALSE))</f>
        <v>1000</v>
      </c>
    </row>
    <row r="34" spans="1:15" ht="20.25" customHeight="1">
      <c r="A34" s="950"/>
      <c r="B34" s="962"/>
      <c r="C34" s="612" t="s">
        <v>106</v>
      </c>
      <c r="D34" s="614"/>
      <c r="E34" s="382" t="s">
        <v>380</v>
      </c>
      <c r="F34" s="39"/>
      <c r="G34" s="275" t="str">
        <f t="shared" si="0"/>
        <v/>
      </c>
      <c r="H34" s="278" t="s">
        <v>823</v>
      </c>
      <c r="I34" s="282">
        <v>0.6</v>
      </c>
      <c r="J34" s="194" t="s">
        <v>808</v>
      </c>
      <c r="K34" s="330" t="str">
        <f t="shared" si="1"/>
        <v/>
      </c>
      <c r="M34" s="432" t="str">
        <f>非_単位!B107</f>
        <v>ソーダ石灰ガラスの製造:炭酸リチウム</v>
      </c>
      <c r="N34" s="432" t="str">
        <f>"非_単位!$C$"&amp;MATCH(M34,非_単位!B:B,0)&amp;":$D$"&amp;MATCH(M34,非_単位!B:B,0)</f>
        <v>非_単位!$C$107:$D$107</v>
      </c>
      <c r="O34" s="432">
        <f>IF(E34="","",VLOOKUP(E34,非_単位補正換算!$B$3:$C$16,2,FALSE))</f>
        <v>1000</v>
      </c>
    </row>
    <row r="35" spans="1:15" ht="20.25" customHeight="1">
      <c r="A35" s="950"/>
      <c r="B35" s="773" t="s">
        <v>107</v>
      </c>
      <c r="C35" s="773"/>
      <c r="D35" s="773"/>
      <c r="E35" s="382" t="s">
        <v>380</v>
      </c>
      <c r="F35" s="39"/>
      <c r="G35" s="275" t="str">
        <f t="shared" si="0"/>
        <v/>
      </c>
      <c r="H35" s="278" t="s">
        <v>823</v>
      </c>
      <c r="I35" s="285">
        <v>1</v>
      </c>
      <c r="J35" s="194" t="s">
        <v>808</v>
      </c>
      <c r="K35" s="330" t="str">
        <f t="shared" si="1"/>
        <v/>
      </c>
      <c r="M35" s="432" t="str">
        <f>非_単位!B108</f>
        <v>ソーダ灰の製造</v>
      </c>
      <c r="N35" s="432" t="str">
        <f>"非_単位!$C$"&amp;MATCH(M35,非_単位!B:B,0)&amp;":$D$"&amp;MATCH(M35,非_単位!B:B,0)</f>
        <v>非_単位!$C$108:$D$108</v>
      </c>
      <c r="O35" s="432">
        <f>IF(E35="","",VLOOKUP(E35,非_単位補正換算!$B$3:$C$16,2,FALSE))</f>
        <v>1000</v>
      </c>
    </row>
    <row r="36" spans="1:15" ht="20.25" customHeight="1">
      <c r="A36" s="950"/>
      <c r="B36" s="809" t="s">
        <v>108</v>
      </c>
      <c r="C36" s="612" t="s">
        <v>109</v>
      </c>
      <c r="D36" s="614"/>
      <c r="E36" s="382" t="s">
        <v>380</v>
      </c>
      <c r="F36" s="39"/>
      <c r="G36" s="275" t="str">
        <f t="shared" si="0"/>
        <v/>
      </c>
      <c r="H36" s="278" t="s">
        <v>823</v>
      </c>
      <c r="I36" s="284">
        <v>0.44</v>
      </c>
      <c r="J36" s="194" t="s">
        <v>808</v>
      </c>
      <c r="K36" s="330" t="str">
        <f t="shared" si="1"/>
        <v/>
      </c>
      <c r="M36" s="432" t="str">
        <f>非_単位!B109</f>
        <v>その他用途・プロセスでの炭酸塩の使用:石灰石</v>
      </c>
      <c r="N36" s="432" t="str">
        <f>"非_単位!$C$"&amp;MATCH(M36,非_単位!B:B,0)&amp;":$D$"&amp;MATCH(M36,非_単位!B:B,0)</f>
        <v>非_単位!$C$109:$D$109</v>
      </c>
      <c r="O36" s="432">
        <f>IF(E36="","",VLOOKUP(E36,非_単位補正換算!$B$3:$C$16,2,FALSE))</f>
        <v>1000</v>
      </c>
    </row>
    <row r="37" spans="1:15" ht="20.25" customHeight="1">
      <c r="A37" s="950"/>
      <c r="B37" s="939"/>
      <c r="C37" s="612" t="s">
        <v>110</v>
      </c>
      <c r="D37" s="614"/>
      <c r="E37" s="382" t="s">
        <v>380</v>
      </c>
      <c r="F37" s="39"/>
      <c r="G37" s="275" t="str">
        <f t="shared" si="0"/>
        <v/>
      </c>
      <c r="H37" s="278" t="s">
        <v>823</v>
      </c>
      <c r="I37" s="284">
        <v>0.47099999999999997</v>
      </c>
      <c r="J37" s="194" t="s">
        <v>808</v>
      </c>
      <c r="K37" s="330" t="str">
        <f t="shared" si="1"/>
        <v/>
      </c>
      <c r="M37" s="432" t="str">
        <f>非_単位!B110</f>
        <v>その他用途・プロセスでの炭酸塩の使用:ドロマイト</v>
      </c>
      <c r="N37" s="432" t="str">
        <f>"非_単位!$C$"&amp;MATCH(M37,非_単位!B:B,0)&amp;":$D$"&amp;MATCH(M37,非_単位!B:B,0)</f>
        <v>非_単位!$C$110:$D$110</v>
      </c>
      <c r="O37" s="432">
        <f>IF(E37="","",VLOOKUP(E37,非_単位補正換算!$B$3:$C$16,2,FALSE))</f>
        <v>1000</v>
      </c>
    </row>
    <row r="38" spans="1:15" ht="20.25" customHeight="1">
      <c r="A38" s="950"/>
      <c r="B38" s="939"/>
      <c r="C38" s="612" t="s">
        <v>111</v>
      </c>
      <c r="D38" s="614"/>
      <c r="E38" s="382" t="s">
        <v>380</v>
      </c>
      <c r="F38" s="39"/>
      <c r="G38" s="275" t="str">
        <f t="shared" si="0"/>
        <v/>
      </c>
      <c r="H38" s="278" t="s">
        <v>823</v>
      </c>
      <c r="I38" s="284">
        <v>0.41299999999999998</v>
      </c>
      <c r="J38" s="194" t="s">
        <v>808</v>
      </c>
      <c r="K38" s="330" t="str">
        <f t="shared" si="1"/>
        <v/>
      </c>
      <c r="M38" s="432" t="str">
        <f>非_単位!B111</f>
        <v>その他用途・プロセスでの炭酸塩の使用:ソーダ灰（国内産）</v>
      </c>
      <c r="N38" s="432" t="str">
        <f>"非_単位!$C$"&amp;MATCH(M38,非_単位!B:B,0)&amp;":$D$"&amp;MATCH(M38,非_単位!B:B,0)</f>
        <v>非_単位!$C$111:$D$111</v>
      </c>
      <c r="O38" s="432">
        <f>IF(E38="","",VLOOKUP(E38,非_単位補正換算!$B$3:$C$16,2,FALSE))</f>
        <v>1000</v>
      </c>
    </row>
    <row r="39" spans="1:15" ht="20.25" customHeight="1">
      <c r="A39" s="950"/>
      <c r="B39" s="939"/>
      <c r="C39" s="612" t="s">
        <v>112</v>
      </c>
      <c r="D39" s="614"/>
      <c r="E39" s="382" t="s">
        <v>380</v>
      </c>
      <c r="F39" s="39"/>
      <c r="G39" s="275" t="str">
        <f t="shared" si="0"/>
        <v/>
      </c>
      <c r="H39" s="278" t="s">
        <v>823</v>
      </c>
      <c r="I39" s="284">
        <v>0.41499999999999998</v>
      </c>
      <c r="J39" s="194" t="s">
        <v>808</v>
      </c>
      <c r="K39" s="330" t="str">
        <f t="shared" si="1"/>
        <v/>
      </c>
      <c r="M39" s="432" t="str">
        <f>非_単位!B112</f>
        <v>その他用途・プロセスでの炭酸塩の使用:ソーダ灰（輸入）</v>
      </c>
      <c r="N39" s="432" t="str">
        <f>"非_単位!$C$"&amp;MATCH(M39,非_単位!B:B,0)&amp;":$D$"&amp;MATCH(M39,非_単位!B:B,0)</f>
        <v>非_単位!$C$112:$D$112</v>
      </c>
      <c r="O39" s="432">
        <f>IF(E39="","",VLOOKUP(E39,非_単位補正換算!$B$3:$C$16,2,FALSE))</f>
        <v>1000</v>
      </c>
    </row>
    <row r="40" spans="1:15" ht="20.25" customHeight="1">
      <c r="A40" s="950"/>
      <c r="B40" s="773" t="s">
        <v>113</v>
      </c>
      <c r="C40" s="773" t="s">
        <v>68</v>
      </c>
      <c r="D40" s="773"/>
      <c r="E40" s="382" t="s">
        <v>380</v>
      </c>
      <c r="F40" s="39"/>
      <c r="G40" s="275" t="str">
        <f t="shared" si="0"/>
        <v/>
      </c>
      <c r="H40" s="278" t="s">
        <v>823</v>
      </c>
      <c r="I40" s="286">
        <v>2.33</v>
      </c>
      <c r="J40" s="194" t="s">
        <v>808</v>
      </c>
      <c r="K40" s="330" t="str">
        <f t="shared" si="1"/>
        <v/>
      </c>
      <c r="M40" s="432" t="str">
        <f>非_単位!B113</f>
        <v>アンモニアの製造:石炭</v>
      </c>
      <c r="N40" s="432" t="str">
        <f>"非_単位!$C$"&amp;MATCH(M40,非_単位!B:B,0)&amp;":$D$"&amp;MATCH(M40,非_単位!B:B,0)</f>
        <v>非_単位!$C$113:$D$113</v>
      </c>
      <c r="O40" s="432">
        <f>IF(E40="","",VLOOKUP(E40,非_単位補正換算!$B$3:$C$16,2,FALSE))</f>
        <v>1000</v>
      </c>
    </row>
    <row r="41" spans="1:15" ht="20.25" customHeight="1">
      <c r="A41" s="950"/>
      <c r="B41" s="773"/>
      <c r="C41" s="773" t="s">
        <v>114</v>
      </c>
      <c r="D41" s="773"/>
      <c r="E41" s="382" t="s">
        <v>380</v>
      </c>
      <c r="F41" s="39"/>
      <c r="G41" s="275" t="str">
        <f t="shared" si="0"/>
        <v/>
      </c>
      <c r="H41" s="278" t="s">
        <v>823</v>
      </c>
      <c r="I41" s="286">
        <v>3.06</v>
      </c>
      <c r="J41" s="194" t="s">
        <v>808</v>
      </c>
      <c r="K41" s="330" t="str">
        <f t="shared" si="1"/>
        <v/>
      </c>
      <c r="M41" s="432" t="str">
        <f>非_単位!B114</f>
        <v>アンモニアの製造:石油コークス</v>
      </c>
      <c r="N41" s="432" t="str">
        <f>"非_単位!$C$"&amp;MATCH(M41,非_単位!B:B,0)&amp;":$D$"&amp;MATCH(M41,非_単位!B:B,0)</f>
        <v>非_単位!$C$114:$D$114</v>
      </c>
      <c r="O41" s="432">
        <f>IF(E41="","",VLOOKUP(E41,非_単位補正換算!$B$3:$C$16,2,FALSE))</f>
        <v>1000</v>
      </c>
    </row>
    <row r="42" spans="1:15" ht="20.25" customHeight="1">
      <c r="A42" s="950"/>
      <c r="B42" s="773"/>
      <c r="C42" s="773" t="s">
        <v>13</v>
      </c>
      <c r="D42" s="773"/>
      <c r="E42" s="382" t="s">
        <v>379</v>
      </c>
      <c r="F42" s="39"/>
      <c r="G42" s="275" t="str">
        <f t="shared" si="0"/>
        <v/>
      </c>
      <c r="H42" s="278" t="s">
        <v>824</v>
      </c>
      <c r="I42" s="286">
        <v>2.27</v>
      </c>
      <c r="J42" s="194" t="s">
        <v>809</v>
      </c>
      <c r="K42" s="330" t="str">
        <f t="shared" si="1"/>
        <v/>
      </c>
      <c r="M42" s="432" t="str">
        <f>非_単位!B115</f>
        <v>アンモニアの製造:ナフサ</v>
      </c>
      <c r="N42" s="432" t="str">
        <f>"非_単位!$C$"&amp;MATCH(M42,非_単位!B:B,0)&amp;":$D$"&amp;MATCH(M42,非_単位!B:B,0)</f>
        <v>非_単位!$C$115:$D$115</v>
      </c>
      <c r="O42" s="432">
        <f>IF(E42="","",VLOOKUP(E42,非_単位補正換算!$B$3:$C$16,2,FALSE))</f>
        <v>1000</v>
      </c>
    </row>
    <row r="43" spans="1:15" ht="20.25" customHeight="1">
      <c r="A43" s="950"/>
      <c r="B43" s="773"/>
      <c r="C43" s="773" t="s">
        <v>115</v>
      </c>
      <c r="D43" s="773"/>
      <c r="E43" s="382" t="s">
        <v>380</v>
      </c>
      <c r="F43" s="39"/>
      <c r="G43" s="275" t="str">
        <f t="shared" si="0"/>
        <v/>
      </c>
      <c r="H43" s="278" t="s">
        <v>823</v>
      </c>
      <c r="I43" s="286">
        <v>2.79</v>
      </c>
      <c r="J43" s="194" t="s">
        <v>808</v>
      </c>
      <c r="K43" s="330" t="str">
        <f t="shared" si="1"/>
        <v/>
      </c>
      <c r="M43" s="432" t="str">
        <f>非_単位!B116</f>
        <v>アンモニアの製造:液化天然ガス（LNG)</v>
      </c>
      <c r="N43" s="432" t="str">
        <f>"非_単位!$C$"&amp;MATCH(M43,非_単位!B:B,0)&amp;":$D$"&amp;MATCH(M43,非_単位!B:B,0)</f>
        <v>非_単位!$C$116:$D$116</v>
      </c>
      <c r="O43" s="432">
        <f>IF(E43="","",VLOOKUP(E43,非_単位補正換算!$B$3:$C$16,2,FALSE))</f>
        <v>1000</v>
      </c>
    </row>
    <row r="44" spans="1:15" ht="45" customHeight="1">
      <c r="A44" s="950"/>
      <c r="B44" s="773"/>
      <c r="C44" s="885" t="s">
        <v>116</v>
      </c>
      <c r="D44" s="773"/>
      <c r="E44" s="382" t="s">
        <v>382</v>
      </c>
      <c r="F44" s="39"/>
      <c r="G44" s="275" t="str">
        <f t="shared" si="0"/>
        <v/>
      </c>
      <c r="H44" s="278" t="s">
        <v>826</v>
      </c>
      <c r="I44" s="286">
        <v>1.96</v>
      </c>
      <c r="J44" s="192" t="s">
        <v>815</v>
      </c>
      <c r="K44" s="330" t="str">
        <f t="shared" si="1"/>
        <v/>
      </c>
      <c r="M44" s="432" t="str">
        <f>非_単位!B117</f>
        <v>アンモニアの製造:天然ガス（液化天然ガス（LNG)を除く）</v>
      </c>
      <c r="N44" s="432" t="str">
        <f>"非_単位!$C$"&amp;MATCH(M44,非_単位!B:B,0)&amp;":$D$"&amp;MATCH(M44,非_単位!B:B,0)</f>
        <v>非_単位!$C$117:$D$117</v>
      </c>
      <c r="O44" s="432">
        <f>IF(E44="","",VLOOKUP(E44,非_単位補正換算!$B$3:$C$16,2,FALSE))</f>
        <v>1000</v>
      </c>
    </row>
    <row r="45" spans="1:15" ht="20.25" customHeight="1">
      <c r="A45" s="950"/>
      <c r="B45" s="773" t="s">
        <v>173</v>
      </c>
      <c r="C45" s="773"/>
      <c r="D45" s="773"/>
      <c r="E45" s="382" t="s">
        <v>380</v>
      </c>
      <c r="F45" s="39"/>
      <c r="G45" s="275" t="str">
        <f t="shared" si="0"/>
        <v/>
      </c>
      <c r="H45" s="278" t="s">
        <v>823</v>
      </c>
      <c r="I45" s="286">
        <v>2.2999999999999998</v>
      </c>
      <c r="J45" s="194" t="s">
        <v>808</v>
      </c>
      <c r="K45" s="330" t="str">
        <f t="shared" si="1"/>
        <v/>
      </c>
      <c r="M45" s="432" t="str">
        <f>非_単位!B118</f>
        <v>炭化けい素の製造</v>
      </c>
      <c r="N45" s="432" t="str">
        <f>"非_単位!$C$"&amp;MATCH(M45,非_単位!B:B,0)&amp;":$D$"&amp;MATCH(M45,非_単位!B:B,0)</f>
        <v>非_単位!$C$118:$D$118</v>
      </c>
      <c r="O45" s="432">
        <f>IF(E45="","",VLOOKUP(E45,非_単位補正換算!$B$3:$C$16,2,FALSE))</f>
        <v>1000</v>
      </c>
    </row>
    <row r="46" spans="1:15" ht="32.25" customHeight="1">
      <c r="A46" s="950"/>
      <c r="B46" s="885" t="s">
        <v>174</v>
      </c>
      <c r="C46" s="773" t="s">
        <v>117</v>
      </c>
      <c r="D46" s="773"/>
      <c r="E46" s="382" t="s">
        <v>380</v>
      </c>
      <c r="F46" s="39"/>
      <c r="G46" s="275" t="str">
        <f t="shared" si="0"/>
        <v/>
      </c>
      <c r="H46" s="278" t="s">
        <v>823</v>
      </c>
      <c r="I46" s="286">
        <v>0.76</v>
      </c>
      <c r="J46" s="194" t="s">
        <v>808</v>
      </c>
      <c r="K46" s="330" t="str">
        <f t="shared" si="1"/>
        <v/>
      </c>
      <c r="M46" s="432" t="str">
        <f>非_単位!B119</f>
        <v>炭化カルシウムの製造:製造された生石灰を炭化カルシウムの原料として使用した場合の生石灰の製造</v>
      </c>
      <c r="N46" s="432" t="str">
        <f>"非_単位!$C$"&amp;MATCH(M46,非_単位!B:B,0)&amp;":$D$"&amp;MATCH(M46,非_単位!B:B,0)</f>
        <v>非_単位!$C$119:$D$119</v>
      </c>
      <c r="O46" s="432">
        <f>IF(E46="","",VLOOKUP(E46,非_単位補正換算!$B$3:$C$16,2,FALSE))</f>
        <v>1000</v>
      </c>
    </row>
    <row r="47" spans="1:15" ht="32.25" customHeight="1">
      <c r="A47" s="950"/>
      <c r="B47" s="773"/>
      <c r="C47" s="773" t="s">
        <v>118</v>
      </c>
      <c r="D47" s="773"/>
      <c r="E47" s="382" t="s">
        <v>380</v>
      </c>
      <c r="F47" s="39"/>
      <c r="G47" s="275" t="str">
        <f t="shared" si="0"/>
        <v/>
      </c>
      <c r="H47" s="278" t="s">
        <v>823</v>
      </c>
      <c r="I47" s="286">
        <v>1.0900000000000001</v>
      </c>
      <c r="J47" s="194" t="s">
        <v>808</v>
      </c>
      <c r="K47" s="330" t="str">
        <f t="shared" si="1"/>
        <v/>
      </c>
      <c r="M47" s="432" t="str">
        <f>非_単位!B120</f>
        <v>炭化カルシウムの製造:炭化カルシウムの製造</v>
      </c>
      <c r="N47" s="432" t="str">
        <f>"非_単位!$C$"&amp;MATCH(M47,非_単位!B:B,0)&amp;":$D$"&amp;MATCH(M47,非_単位!B:B,0)</f>
        <v>非_単位!$C$120:$D$120</v>
      </c>
      <c r="O47" s="432">
        <f>IF(E47="","",VLOOKUP(E47,非_単位補正換算!$B$3:$C$16,2,FALSE))</f>
        <v>1000</v>
      </c>
    </row>
    <row r="48" spans="1:15" ht="32.25" customHeight="1">
      <c r="A48" s="950"/>
      <c r="B48" s="941" t="s">
        <v>119</v>
      </c>
      <c r="C48" s="612" t="s">
        <v>120</v>
      </c>
      <c r="D48" s="614"/>
      <c r="E48" s="382" t="s">
        <v>380</v>
      </c>
      <c r="F48" s="39"/>
      <c r="G48" s="275" t="str">
        <f t="shared" si="0"/>
        <v/>
      </c>
      <c r="H48" s="278" t="s">
        <v>823</v>
      </c>
      <c r="I48" s="286">
        <v>1.43</v>
      </c>
      <c r="J48" s="194" t="s">
        <v>808</v>
      </c>
      <c r="K48" s="330" t="str">
        <f t="shared" si="1"/>
        <v/>
      </c>
      <c r="M48" s="432" t="str">
        <f>非_単位!B121</f>
        <v>二酸化チタンの製造:二酸化チタンをルチルから分離させる方法</v>
      </c>
      <c r="N48" s="432" t="str">
        <f>"非_単位!$C$"&amp;MATCH(M48,非_単位!B:B,0)&amp;":$D$"&amp;MATCH(M48,非_単位!B:B,0)</f>
        <v>非_単位!$C$121:$D$121</v>
      </c>
      <c r="O48" s="432">
        <f>IF(E48="","",VLOOKUP(E48,非_単位補正換算!$B$3:$C$16,2,FALSE))</f>
        <v>1000</v>
      </c>
    </row>
    <row r="49" spans="1:15" ht="32.25" customHeight="1" thickBot="1">
      <c r="A49" s="963"/>
      <c r="B49" s="959"/>
      <c r="C49" s="603" t="s">
        <v>121</v>
      </c>
      <c r="D49" s="605"/>
      <c r="E49" s="383" t="s">
        <v>380</v>
      </c>
      <c r="F49" s="47"/>
      <c r="G49" s="276" t="str">
        <f t="shared" si="0"/>
        <v/>
      </c>
      <c r="H49" s="279" t="s">
        <v>823</v>
      </c>
      <c r="I49" s="287">
        <v>1.34</v>
      </c>
      <c r="J49" s="266" t="s">
        <v>808</v>
      </c>
      <c r="K49" s="391" t="str">
        <f t="shared" si="1"/>
        <v/>
      </c>
      <c r="M49" s="432" t="str">
        <f>非_単位!B122</f>
        <v>二酸化チタンの製造:塩化チタンと酸素を化学反応させる方法</v>
      </c>
      <c r="N49" s="432" t="str">
        <f>"非_単位!$C$"&amp;MATCH(M49,非_単位!B:B,0)&amp;":$D$"&amp;MATCH(M49,非_単位!B:B,0)</f>
        <v>非_単位!$C$122:$D$122</v>
      </c>
      <c r="O49" s="432">
        <f>IF(E49="","",VLOOKUP(E49,非_単位補正換算!$B$3:$C$16,2,FALSE))</f>
        <v>1000</v>
      </c>
    </row>
    <row r="50" spans="1:15" ht="24">
      <c r="A50" s="42"/>
      <c r="B50" s="43"/>
      <c r="C50" s="43"/>
      <c r="D50" s="43"/>
      <c r="E50" s="265"/>
      <c r="F50" s="44"/>
      <c r="G50" s="272"/>
      <c r="H50" s="273"/>
      <c r="I50" s="45"/>
      <c r="J50" s="43"/>
      <c r="K50" s="3" t="s">
        <v>122</v>
      </c>
    </row>
    <row r="51" spans="1:15" ht="18" customHeight="1" thickBot="1">
      <c r="A51" s="42"/>
      <c r="B51" s="43"/>
      <c r="C51" s="43"/>
      <c r="D51" s="43"/>
      <c r="E51" s="265"/>
      <c r="F51" s="44"/>
      <c r="G51" s="272"/>
      <c r="H51" s="273"/>
      <c r="I51" s="45"/>
      <c r="J51" s="43"/>
      <c r="K51" s="3"/>
    </row>
    <row r="52" spans="1:15" ht="18" customHeight="1">
      <c r="A52" s="951"/>
      <c r="B52" s="954" t="s">
        <v>72</v>
      </c>
      <c r="C52" s="954" t="s">
        <v>73</v>
      </c>
      <c r="D52" s="954"/>
      <c r="E52" s="954" t="s">
        <v>74</v>
      </c>
      <c r="F52" s="665" t="s">
        <v>75</v>
      </c>
      <c r="G52" s="928" t="s">
        <v>76</v>
      </c>
      <c r="H52" s="929"/>
      <c r="I52" s="954" t="s">
        <v>813</v>
      </c>
      <c r="J52" s="954"/>
      <c r="K52" s="947" t="s">
        <v>272</v>
      </c>
    </row>
    <row r="53" spans="1:15" ht="18.75" customHeight="1">
      <c r="A53" s="952"/>
      <c r="B53" s="955"/>
      <c r="C53" s="955"/>
      <c r="D53" s="955"/>
      <c r="E53" s="955"/>
      <c r="F53" s="925"/>
      <c r="G53" s="930"/>
      <c r="H53" s="931"/>
      <c r="I53" s="955"/>
      <c r="J53" s="955"/>
      <c r="K53" s="948"/>
    </row>
    <row r="54" spans="1:15" ht="32.25" customHeight="1" thickBot="1">
      <c r="A54" s="953"/>
      <c r="B54" s="956"/>
      <c r="C54" s="956"/>
      <c r="D54" s="956"/>
      <c r="E54" s="956"/>
      <c r="F54" s="926"/>
      <c r="G54" s="932"/>
      <c r="H54" s="933"/>
      <c r="I54" s="956"/>
      <c r="J54" s="956"/>
      <c r="K54" s="188" t="s">
        <v>177</v>
      </c>
    </row>
    <row r="55" spans="1:15" ht="20.25" customHeight="1">
      <c r="A55" s="949" t="s">
        <v>274</v>
      </c>
      <c r="B55" s="742" t="s">
        <v>175</v>
      </c>
      <c r="C55" s="794" t="s">
        <v>123</v>
      </c>
      <c r="D55" s="626"/>
      <c r="E55" s="382" t="s">
        <v>380</v>
      </c>
      <c r="F55" s="49"/>
      <c r="G55" s="275" t="str">
        <f t="shared" ref="G55:G84" si="2">IF(E55="","",IF(F55="","",F55/O55))</f>
        <v/>
      </c>
      <c r="H55" s="277" t="s">
        <v>823</v>
      </c>
      <c r="I55" s="288">
        <v>1.56</v>
      </c>
      <c r="J55" s="267" t="s">
        <v>808</v>
      </c>
      <c r="K55" s="392" t="str">
        <f t="shared" ref="K55:K84" si="3">IF(G55="","",IF(I55="","",G55*I55))</f>
        <v/>
      </c>
      <c r="M55" s="432" t="str">
        <f>非_単位!B123</f>
        <v>エチレン等の製造:エチレン（ナフサからの製造）</v>
      </c>
      <c r="N55" s="432" t="str">
        <f>"非_単位!$C$"&amp;MATCH(M55,非_単位!B:B,0)&amp;":$D$"&amp;MATCH(M55,非_単位!B:B,0)</f>
        <v>非_単位!$C$123:$D$123</v>
      </c>
      <c r="O55" s="432">
        <f>IF(E55="","",VLOOKUP(E55,非_単位補正換算!$B$3:$C$16,2,FALSE))</f>
        <v>1000</v>
      </c>
    </row>
    <row r="56" spans="1:15" ht="20.25" customHeight="1">
      <c r="A56" s="950"/>
      <c r="B56" s="743"/>
      <c r="C56" s="612" t="s">
        <v>124</v>
      </c>
      <c r="D56" s="614"/>
      <c r="E56" s="382" t="s">
        <v>380</v>
      </c>
      <c r="F56" s="39"/>
      <c r="G56" s="275" t="str">
        <f t="shared" si="2"/>
        <v/>
      </c>
      <c r="H56" s="278" t="s">
        <v>823</v>
      </c>
      <c r="I56" s="286">
        <v>2.06</v>
      </c>
      <c r="J56" s="194" t="s">
        <v>808</v>
      </c>
      <c r="K56" s="330" t="str">
        <f t="shared" si="3"/>
        <v/>
      </c>
      <c r="M56" s="432" t="str">
        <f>非_単位!B124</f>
        <v>エチレン等の製造:エチレン（軽油からの製造）</v>
      </c>
      <c r="N56" s="432" t="str">
        <f>"非_単位!$C$"&amp;MATCH(M56,非_単位!B:B,0)&amp;":$D$"&amp;MATCH(M56,非_単位!B:B,0)</f>
        <v>非_単位!$C$124:$D$124</v>
      </c>
      <c r="O56" s="432">
        <f>IF(E56="","",VLOOKUP(E56,非_単位補正換算!$B$3:$C$16,2,FALSE))</f>
        <v>1000</v>
      </c>
    </row>
    <row r="57" spans="1:15" ht="20.25" customHeight="1">
      <c r="A57" s="950"/>
      <c r="B57" s="743"/>
      <c r="C57" s="612" t="s">
        <v>125</v>
      </c>
      <c r="D57" s="614"/>
      <c r="E57" s="382" t="s">
        <v>380</v>
      </c>
      <c r="F57" s="39"/>
      <c r="G57" s="275" t="str">
        <f t="shared" si="2"/>
        <v/>
      </c>
      <c r="H57" s="278" t="s">
        <v>823</v>
      </c>
      <c r="I57" s="286">
        <v>0.86</v>
      </c>
      <c r="J57" s="194" t="s">
        <v>808</v>
      </c>
      <c r="K57" s="330" t="str">
        <f t="shared" si="3"/>
        <v/>
      </c>
      <c r="M57" s="432" t="str">
        <f>非_単位!B125</f>
        <v>エチレン等の製造:エチレン（エタンからの製造）</v>
      </c>
      <c r="N57" s="432" t="str">
        <f>"非_単位!$C$"&amp;MATCH(M57,非_単位!B:B,0)&amp;":$D$"&amp;MATCH(M57,非_単位!B:B,0)</f>
        <v>非_単位!$C$125:$D$125</v>
      </c>
      <c r="O57" s="432">
        <f>IF(E57="","",VLOOKUP(E57,非_単位補正換算!$B$3:$C$16,2,FALSE))</f>
        <v>1000</v>
      </c>
    </row>
    <row r="58" spans="1:15" ht="20.25" customHeight="1">
      <c r="A58" s="950"/>
      <c r="B58" s="743"/>
      <c r="C58" s="612" t="s">
        <v>126</v>
      </c>
      <c r="D58" s="614"/>
      <c r="E58" s="382" t="s">
        <v>380</v>
      </c>
      <c r="F58" s="39"/>
      <c r="G58" s="275" t="str">
        <f t="shared" si="2"/>
        <v/>
      </c>
      <c r="H58" s="278" t="s">
        <v>823</v>
      </c>
      <c r="I58" s="286">
        <v>0.94</v>
      </c>
      <c r="J58" s="194" t="s">
        <v>808</v>
      </c>
      <c r="K58" s="330" t="str">
        <f t="shared" si="3"/>
        <v/>
      </c>
      <c r="M58" s="432" t="str">
        <f>非_単位!B126</f>
        <v>エチレン等の製造:エチレン（プロパンからの製造）</v>
      </c>
      <c r="N58" s="432" t="str">
        <f>"非_単位!$C$"&amp;MATCH(M58,非_単位!B:B,0)&amp;":$D$"&amp;MATCH(M58,非_単位!B:B,0)</f>
        <v>非_単位!$C$126:$D$126</v>
      </c>
      <c r="O58" s="432">
        <f>IF(E58="","",VLOOKUP(E58,非_単位補正換算!$B$3:$C$16,2,FALSE))</f>
        <v>1000</v>
      </c>
    </row>
    <row r="59" spans="1:15" ht="20.25" customHeight="1">
      <c r="A59" s="950"/>
      <c r="B59" s="743"/>
      <c r="C59" s="612" t="s">
        <v>127</v>
      </c>
      <c r="D59" s="614"/>
      <c r="E59" s="382" t="s">
        <v>380</v>
      </c>
      <c r="F59" s="39"/>
      <c r="G59" s="275" t="str">
        <f t="shared" si="2"/>
        <v/>
      </c>
      <c r="H59" s="278" t="s">
        <v>823</v>
      </c>
      <c r="I59" s="286">
        <v>0.96</v>
      </c>
      <c r="J59" s="194" t="s">
        <v>808</v>
      </c>
      <c r="K59" s="330" t="str">
        <f t="shared" si="3"/>
        <v/>
      </c>
      <c r="M59" s="432" t="str">
        <f>非_単位!B127</f>
        <v>エチレン等の製造:エチレン（ブタンからの製造）</v>
      </c>
      <c r="N59" s="432" t="str">
        <f>"非_単位!$C$"&amp;MATCH(M59,非_単位!B:B,0)&amp;":$D$"&amp;MATCH(M59,非_単位!B:B,0)</f>
        <v>非_単位!$C$127:$D$127</v>
      </c>
      <c r="O59" s="432">
        <f>IF(E59="","",VLOOKUP(E59,非_単位補正換算!$B$3:$C$16,2,FALSE))</f>
        <v>1000</v>
      </c>
    </row>
    <row r="60" spans="1:15" ht="20.25" customHeight="1">
      <c r="A60" s="950"/>
      <c r="B60" s="743"/>
      <c r="C60" s="612" t="s">
        <v>128</v>
      </c>
      <c r="D60" s="614"/>
      <c r="E60" s="382" t="s">
        <v>380</v>
      </c>
      <c r="F60" s="39"/>
      <c r="G60" s="275" t="str">
        <f t="shared" si="2"/>
        <v/>
      </c>
      <c r="H60" s="278" t="s">
        <v>823</v>
      </c>
      <c r="I60" s="286">
        <v>1.56</v>
      </c>
      <c r="J60" s="194" t="s">
        <v>808</v>
      </c>
      <c r="K60" s="330" t="str">
        <f t="shared" si="3"/>
        <v/>
      </c>
      <c r="M60" s="432" t="str">
        <f>非_単位!B128</f>
        <v>エチレン等の製造:エチレン（その他原料からの製造）</v>
      </c>
      <c r="N60" s="432" t="str">
        <f>"非_単位!$C$"&amp;MATCH(M60,非_単位!B:B,0)&amp;":$D$"&amp;MATCH(M60,非_単位!B:B,0)</f>
        <v>非_単位!$C$128:$D$128</v>
      </c>
      <c r="O60" s="432">
        <f>IF(E60="","",VLOOKUP(E60,非_単位補正換算!$B$3:$C$16,2,FALSE))</f>
        <v>1000</v>
      </c>
    </row>
    <row r="61" spans="1:15" ht="20.25" customHeight="1">
      <c r="A61" s="950"/>
      <c r="B61" s="743"/>
      <c r="C61" s="612" t="s">
        <v>129</v>
      </c>
      <c r="D61" s="614"/>
      <c r="E61" s="382" t="s">
        <v>380</v>
      </c>
      <c r="F61" s="39"/>
      <c r="G61" s="275" t="str">
        <f t="shared" si="2"/>
        <v/>
      </c>
      <c r="H61" s="278" t="s">
        <v>823</v>
      </c>
      <c r="I61" s="286">
        <v>6.5000000000000002E-2</v>
      </c>
      <c r="J61" s="194" t="s">
        <v>808</v>
      </c>
      <c r="K61" s="330" t="str">
        <f t="shared" si="3"/>
        <v/>
      </c>
      <c r="M61" s="432" t="str">
        <f>非_単位!B129</f>
        <v>エチレン等の製造:クロロエチレン</v>
      </c>
      <c r="N61" s="432" t="str">
        <f>"非_単位!$C$"&amp;MATCH(M61,非_単位!B:B,0)&amp;":$D$"&amp;MATCH(M61,非_単位!B:B,0)</f>
        <v>非_単位!$C$129:$D$129</v>
      </c>
      <c r="O61" s="432">
        <f>IF(E61="","",VLOOKUP(E61,非_単位補正換算!$B$3:$C$16,2,FALSE))</f>
        <v>1000</v>
      </c>
    </row>
    <row r="62" spans="1:15" ht="20.25" customHeight="1">
      <c r="A62" s="950"/>
      <c r="B62" s="743"/>
      <c r="C62" s="612" t="s">
        <v>130</v>
      </c>
      <c r="D62" s="614"/>
      <c r="E62" s="382" t="s">
        <v>380</v>
      </c>
      <c r="F62" s="39"/>
      <c r="G62" s="275" t="str">
        <f t="shared" si="2"/>
        <v/>
      </c>
      <c r="H62" s="278" t="s">
        <v>823</v>
      </c>
      <c r="I62" s="286">
        <v>0.33</v>
      </c>
      <c r="J62" s="194" t="s">
        <v>808</v>
      </c>
      <c r="K62" s="330" t="str">
        <f t="shared" si="3"/>
        <v/>
      </c>
      <c r="M62" s="432" t="str">
        <f>非_単位!B130</f>
        <v>エチレン等の製造:酸化エチレン</v>
      </c>
      <c r="N62" s="432" t="str">
        <f>"非_単位!$C$"&amp;MATCH(M62,非_単位!B:B,0)&amp;":$D$"&amp;MATCH(M62,非_単位!B:B,0)</f>
        <v>非_単位!$C$130:$D$130</v>
      </c>
      <c r="O62" s="432">
        <f>IF(E62="","",VLOOKUP(E62,非_単位補正換算!$B$3:$C$16,2,FALSE))</f>
        <v>1000</v>
      </c>
    </row>
    <row r="63" spans="1:15" ht="20.25" customHeight="1">
      <c r="A63" s="950"/>
      <c r="B63" s="743"/>
      <c r="C63" s="612" t="s">
        <v>131</v>
      </c>
      <c r="D63" s="614"/>
      <c r="E63" s="382" t="s">
        <v>380</v>
      </c>
      <c r="F63" s="39"/>
      <c r="G63" s="275" t="str">
        <f t="shared" si="2"/>
        <v/>
      </c>
      <c r="H63" s="278" t="s">
        <v>823</v>
      </c>
      <c r="I63" s="286">
        <v>0.73</v>
      </c>
      <c r="J63" s="194" t="s">
        <v>808</v>
      </c>
      <c r="K63" s="330" t="str">
        <f t="shared" si="3"/>
        <v/>
      </c>
      <c r="M63" s="432" t="str">
        <f>非_単位!B131</f>
        <v>エチレン等の製造:アクリロニトリル</v>
      </c>
      <c r="N63" s="432" t="str">
        <f>"非_単位!$C$"&amp;MATCH(M63,非_単位!B:B,0)&amp;":$D$"&amp;MATCH(M63,非_単位!B:B,0)</f>
        <v>非_単位!$C$131:$D$131</v>
      </c>
      <c r="O63" s="432">
        <f>IF(E63="","",VLOOKUP(E63,非_単位補正換算!$B$3:$C$16,2,FALSE))</f>
        <v>1000</v>
      </c>
    </row>
    <row r="64" spans="1:15" ht="20.25" customHeight="1">
      <c r="A64" s="950"/>
      <c r="B64" s="743"/>
      <c r="C64" s="612" t="s">
        <v>132</v>
      </c>
      <c r="D64" s="614"/>
      <c r="E64" s="382" t="s">
        <v>380</v>
      </c>
      <c r="F64" s="39"/>
      <c r="G64" s="275" t="str">
        <f t="shared" si="2"/>
        <v/>
      </c>
      <c r="H64" s="278" t="s">
        <v>823</v>
      </c>
      <c r="I64" s="286">
        <v>2.1</v>
      </c>
      <c r="J64" s="194" t="s">
        <v>808</v>
      </c>
      <c r="K64" s="330" t="str">
        <f t="shared" si="3"/>
        <v/>
      </c>
      <c r="M64" s="432" t="str">
        <f>非_単位!B132</f>
        <v>エチレン等の製造:カーボンブラック</v>
      </c>
      <c r="N64" s="432" t="str">
        <f>"非_単位!$C$"&amp;MATCH(M64,非_単位!B:B,0)&amp;":$D$"&amp;MATCH(M64,非_単位!B:B,0)</f>
        <v>非_単位!$C$132:$D$132</v>
      </c>
      <c r="O64" s="432">
        <f>IF(E64="","",VLOOKUP(E64,非_単位補正換算!$B$3:$C$16,2,FALSE))</f>
        <v>1000</v>
      </c>
    </row>
    <row r="65" spans="1:15" ht="20.25" customHeight="1">
      <c r="A65" s="950"/>
      <c r="B65" s="743"/>
      <c r="C65" s="612" t="s">
        <v>133</v>
      </c>
      <c r="D65" s="614"/>
      <c r="E65" s="382" t="s">
        <v>380</v>
      </c>
      <c r="F65" s="39"/>
      <c r="G65" s="275" t="str">
        <f t="shared" si="2"/>
        <v/>
      </c>
      <c r="H65" s="278" t="s">
        <v>823</v>
      </c>
      <c r="I65" s="286">
        <v>0.37</v>
      </c>
      <c r="J65" s="194" t="s">
        <v>808</v>
      </c>
      <c r="K65" s="330" t="str">
        <f t="shared" si="3"/>
        <v/>
      </c>
      <c r="M65" s="432" t="str">
        <f>非_単位!B133</f>
        <v>エチレン等の製造:無水フタル酸</v>
      </c>
      <c r="N65" s="432" t="str">
        <f>"非_単位!$C$"&amp;MATCH(M65,非_単位!B:B,0)&amp;":$D$"&amp;MATCH(M65,非_単位!B:B,0)</f>
        <v>非_単位!$C$133:$D$133</v>
      </c>
      <c r="O65" s="432">
        <f>IF(E65="","",VLOOKUP(E65,非_単位補正換算!$B$3:$C$16,2,FALSE))</f>
        <v>1000</v>
      </c>
    </row>
    <row r="66" spans="1:15" ht="20.25" customHeight="1">
      <c r="A66" s="950"/>
      <c r="B66" s="743"/>
      <c r="C66" s="612" t="s">
        <v>134</v>
      </c>
      <c r="D66" s="614"/>
      <c r="E66" s="382" t="s">
        <v>380</v>
      </c>
      <c r="F66" s="39"/>
      <c r="G66" s="275" t="str">
        <f t="shared" si="2"/>
        <v/>
      </c>
      <c r="H66" s="278" t="s">
        <v>823</v>
      </c>
      <c r="I66" s="286">
        <v>1.1000000000000001</v>
      </c>
      <c r="J66" s="194" t="s">
        <v>808</v>
      </c>
      <c r="K66" s="330" t="str">
        <f t="shared" si="3"/>
        <v/>
      </c>
      <c r="M66" s="432" t="str">
        <f>非_単位!B134</f>
        <v>エチレン等の製造:無水マレイン酸</v>
      </c>
      <c r="N66" s="432" t="str">
        <f>"非_単位!$C$"&amp;MATCH(M66,非_単位!B:B,0)&amp;":$D$"&amp;MATCH(M66,非_単位!B:B,0)</f>
        <v>非_単位!$C$134:$D$134</v>
      </c>
      <c r="O66" s="432">
        <f>IF(E66="","",VLOOKUP(E66,非_単位補正換算!$B$3:$C$16,2,FALSE))</f>
        <v>1000</v>
      </c>
    </row>
    <row r="67" spans="1:15" ht="20.25" customHeight="1">
      <c r="A67" s="950"/>
      <c r="B67" s="747"/>
      <c r="C67" s="612" t="s">
        <v>135</v>
      </c>
      <c r="D67" s="614"/>
      <c r="E67" s="382" t="s">
        <v>384</v>
      </c>
      <c r="F67" s="39"/>
      <c r="G67" s="275" t="str">
        <f t="shared" si="2"/>
        <v/>
      </c>
      <c r="H67" s="278" t="s">
        <v>827</v>
      </c>
      <c r="I67" s="286">
        <v>8.4999999999999995E-4</v>
      </c>
      <c r="J67" s="192" t="s">
        <v>816</v>
      </c>
      <c r="K67" s="330" t="str">
        <f t="shared" si="3"/>
        <v/>
      </c>
      <c r="M67" s="432" t="str">
        <f>非_単位!B135</f>
        <v>エチレン等の製造:水素</v>
      </c>
      <c r="N67" s="432" t="str">
        <f>"非_単位!$C$"&amp;MATCH(M67,非_単位!B:B,0)&amp;":$D$"&amp;MATCH(M67,非_単位!B:B,0)</f>
        <v>非_単位!$C$135:$D$135</v>
      </c>
      <c r="O67" s="432">
        <f>IF(E67="","",VLOOKUP(E67,非_単位補正換算!$B$3:$C$16,2,FALSE))</f>
        <v>1000</v>
      </c>
    </row>
    <row r="68" spans="1:15" ht="30" customHeight="1">
      <c r="A68" s="950"/>
      <c r="B68" s="885" t="s">
        <v>136</v>
      </c>
      <c r="C68" s="773"/>
      <c r="D68" s="773"/>
      <c r="E68" s="382" t="s">
        <v>380</v>
      </c>
      <c r="F68" s="39"/>
      <c r="G68" s="275" t="str">
        <f t="shared" si="2"/>
        <v/>
      </c>
      <c r="H68" s="278" t="s">
        <v>823</v>
      </c>
      <c r="I68" s="286">
        <v>3.38</v>
      </c>
      <c r="J68" s="194" t="s">
        <v>808</v>
      </c>
      <c r="K68" s="330" t="str">
        <f t="shared" si="3"/>
        <v/>
      </c>
      <c r="M68" s="432" t="str">
        <f>非_単位!B136</f>
        <v>カルシウムカーバイドを原料としたアセチレンの使用</v>
      </c>
      <c r="N68" s="432" t="str">
        <f>"非_単位!$C$"&amp;MATCH(M68,非_単位!B:B,0)&amp;":$D$"&amp;MATCH(M68,非_単位!B:B,0)</f>
        <v>非_単位!$C$136:$D$136</v>
      </c>
      <c r="O68" s="432">
        <f>IF(E68="","",VLOOKUP(E68,非_単位補正換算!$B$3:$C$16,2,FALSE))</f>
        <v>1000</v>
      </c>
    </row>
    <row r="69" spans="1:15" ht="20.25" customHeight="1">
      <c r="A69" s="950"/>
      <c r="B69" s="837" t="s">
        <v>137</v>
      </c>
      <c r="C69" s="957"/>
      <c r="D69" s="958"/>
      <c r="E69" s="382" t="s">
        <v>380</v>
      </c>
      <c r="F69" s="39"/>
      <c r="G69" s="275" t="str">
        <f t="shared" si="2"/>
        <v/>
      </c>
      <c r="H69" s="278" t="s">
        <v>823</v>
      </c>
      <c r="I69" s="292">
        <f>44/12</f>
        <v>3.6666666666666665</v>
      </c>
      <c r="J69" s="194" t="s">
        <v>808</v>
      </c>
      <c r="K69" s="330" t="str">
        <f t="shared" si="3"/>
        <v/>
      </c>
      <c r="M69" s="432" t="str">
        <f>非_単位!B137</f>
        <v>電気炉における炭素電極の使用</v>
      </c>
      <c r="N69" s="432" t="str">
        <f>"非_単位!$C$"&amp;MATCH(M69,非_単位!B:B,0)&amp;":$D$"&amp;MATCH(M69,非_単位!B:B,0)</f>
        <v>非_単位!$C$137:$D$137</v>
      </c>
      <c r="O69" s="432">
        <f>IF(E69="","",VLOOKUP(E69,非_単位補正換算!$B$3:$C$16,2,FALSE))</f>
        <v>1000</v>
      </c>
    </row>
    <row r="70" spans="1:15" ht="24.75" customHeight="1">
      <c r="A70" s="950"/>
      <c r="B70" s="885" t="s">
        <v>138</v>
      </c>
      <c r="C70" s="773" t="s">
        <v>139</v>
      </c>
      <c r="D70" s="773"/>
      <c r="E70" s="382" t="s">
        <v>380</v>
      </c>
      <c r="F70" s="39"/>
      <c r="G70" s="275" t="str">
        <f t="shared" si="2"/>
        <v/>
      </c>
      <c r="H70" s="278" t="s">
        <v>823</v>
      </c>
      <c r="I70" s="289">
        <v>0.44</v>
      </c>
      <c r="J70" s="194" t="s">
        <v>808</v>
      </c>
      <c r="K70" s="330" t="str">
        <f t="shared" si="3"/>
        <v/>
      </c>
      <c r="M70" s="432" t="str">
        <f>非_単位!B138</f>
        <v>鉄鋼の製造における鉱物の使用:石灰石</v>
      </c>
      <c r="N70" s="432" t="str">
        <f>"非_単位!$C$"&amp;MATCH(M70,非_単位!B:B,0)&amp;":$D$"&amp;MATCH(M70,非_単位!B:B,0)</f>
        <v>非_単位!$C$138:$D$138</v>
      </c>
      <c r="O70" s="432">
        <f>IF(E70="","",VLOOKUP(E70,非_単位補正換算!$B$3:$C$16,2,FALSE))</f>
        <v>1000</v>
      </c>
    </row>
    <row r="71" spans="1:15" ht="24.75" customHeight="1">
      <c r="A71" s="950"/>
      <c r="B71" s="885"/>
      <c r="C71" s="773" t="s">
        <v>140</v>
      </c>
      <c r="D71" s="773"/>
      <c r="E71" s="382" t="s">
        <v>380</v>
      </c>
      <c r="F71" s="39"/>
      <c r="G71" s="275" t="str">
        <f t="shared" si="2"/>
        <v/>
      </c>
      <c r="H71" s="278" t="s">
        <v>823</v>
      </c>
      <c r="I71" s="286">
        <v>0.47099999999999997</v>
      </c>
      <c r="J71" s="194" t="s">
        <v>808</v>
      </c>
      <c r="K71" s="330" t="str">
        <f t="shared" si="3"/>
        <v/>
      </c>
      <c r="M71" s="432" t="str">
        <f>非_単位!B139</f>
        <v>鉄鋼の製造における鉱物の使用:ドロマイト</v>
      </c>
      <c r="N71" s="432" t="str">
        <f>"非_単位!$C$"&amp;MATCH(M71,非_単位!B:B,0)&amp;":$D$"&amp;MATCH(M71,非_単位!B:B,0)</f>
        <v>非_単位!$C$139:$D$139</v>
      </c>
      <c r="O71" s="432">
        <f>IF(E71="","",VLOOKUP(E71,非_単位補正換算!$B$3:$C$16,2,FALSE))</f>
        <v>1000</v>
      </c>
    </row>
    <row r="72" spans="1:15" ht="39.950000000000003" customHeight="1">
      <c r="A72" s="950"/>
      <c r="B72" s="885" t="s">
        <v>141</v>
      </c>
      <c r="C72" s="885" t="s">
        <v>288</v>
      </c>
      <c r="D72" s="885"/>
      <c r="E72" s="382" t="s">
        <v>382</v>
      </c>
      <c r="F72" s="39"/>
      <c r="G72" s="275" t="str">
        <f t="shared" si="2"/>
        <v/>
      </c>
      <c r="H72" s="278" t="s">
        <v>826</v>
      </c>
      <c r="I72" s="286">
        <v>0.313</v>
      </c>
      <c r="J72" s="192" t="s">
        <v>815</v>
      </c>
      <c r="K72" s="330" t="str">
        <f t="shared" si="3"/>
        <v/>
      </c>
      <c r="M72" s="432" t="str">
        <f>非_単位!B140</f>
        <v>鉄鋼の製造において生じるガスの燃焼（フレアリング）:高炉がス</v>
      </c>
      <c r="N72" s="432" t="str">
        <f>"非_単位!$C$"&amp;MATCH(M72,非_単位!B:B,0)&amp;":$D$"&amp;MATCH(M72,非_単位!B:B,0)</f>
        <v>非_単位!$C$140:$D$140</v>
      </c>
      <c r="O72" s="432">
        <f>IF(E72="","",VLOOKUP(E72,非_単位補正換算!$B$3:$C$16,2,FALSE))</f>
        <v>1000</v>
      </c>
    </row>
    <row r="73" spans="1:15" ht="39.950000000000003" customHeight="1">
      <c r="A73" s="950"/>
      <c r="B73" s="885"/>
      <c r="C73" s="885" t="s">
        <v>142</v>
      </c>
      <c r="D73" s="885"/>
      <c r="E73" s="382" t="s">
        <v>382</v>
      </c>
      <c r="F73" s="39"/>
      <c r="G73" s="275" t="str">
        <f t="shared" si="2"/>
        <v/>
      </c>
      <c r="H73" s="278" t="s">
        <v>826</v>
      </c>
      <c r="I73" s="286">
        <v>1.1599999999999999</v>
      </c>
      <c r="J73" s="192" t="s">
        <v>815</v>
      </c>
      <c r="K73" s="330" t="str">
        <f t="shared" si="3"/>
        <v/>
      </c>
      <c r="M73" s="432" t="str">
        <f>非_単位!B141</f>
        <v>鉄鋼の製造において生じるガスの燃焼（フレアリング）:転炉ガス</v>
      </c>
      <c r="N73" s="432" t="str">
        <f>"非_単位!$C$"&amp;MATCH(M73,非_単位!B:B,0)&amp;":$D$"&amp;MATCH(M73,非_単位!B:B,0)</f>
        <v>非_単位!$C$141:$D$141</v>
      </c>
      <c r="O73" s="432">
        <f>IF(E73="","",VLOOKUP(E73,非_単位補正換算!$B$3:$C$16,2,FALSE))</f>
        <v>1000</v>
      </c>
    </row>
    <row r="74" spans="1:15" ht="20.25" customHeight="1">
      <c r="A74" s="950"/>
      <c r="B74" s="885" t="s">
        <v>143</v>
      </c>
      <c r="C74" s="885" t="s">
        <v>144</v>
      </c>
      <c r="D74" s="885"/>
      <c r="E74" s="382" t="s">
        <v>379</v>
      </c>
      <c r="F74" s="39"/>
      <c r="G74" s="275" t="str">
        <f t="shared" si="2"/>
        <v/>
      </c>
      <c r="H74" s="278" t="s">
        <v>824</v>
      </c>
      <c r="I74" s="286">
        <v>0.58699999999999997</v>
      </c>
      <c r="J74" s="194" t="s">
        <v>809</v>
      </c>
      <c r="K74" s="330" t="str">
        <f t="shared" si="3"/>
        <v/>
      </c>
      <c r="M74" s="432" t="str">
        <f>非_単位!B142</f>
        <v>潤滑油等の使用:潤滑油</v>
      </c>
      <c r="N74" s="432" t="str">
        <f>"非_単位!$C$"&amp;MATCH(M74,非_単位!B:B,0)&amp;":$D$"&amp;MATCH(M74,非_単位!B:B,0)</f>
        <v>非_単位!$C$142:$D$142</v>
      </c>
      <c r="O74" s="432">
        <f>IF(E74="","",VLOOKUP(E74,非_単位補正換算!$B$3:$C$16,2,FALSE))</f>
        <v>1000</v>
      </c>
    </row>
    <row r="75" spans="1:15" ht="20.25" customHeight="1">
      <c r="A75" s="950"/>
      <c r="B75" s="885"/>
      <c r="C75" s="885" t="s">
        <v>145</v>
      </c>
      <c r="D75" s="885"/>
      <c r="E75" s="382" t="s">
        <v>380</v>
      </c>
      <c r="F75" s="39"/>
      <c r="G75" s="275" t="str">
        <f t="shared" si="2"/>
        <v/>
      </c>
      <c r="H75" s="278" t="s">
        <v>823</v>
      </c>
      <c r="I75" s="290">
        <v>0.15</v>
      </c>
      <c r="J75" s="194" t="s">
        <v>808</v>
      </c>
      <c r="K75" s="330" t="str">
        <f t="shared" si="3"/>
        <v/>
      </c>
      <c r="M75" s="432" t="str">
        <f>非_単位!B143</f>
        <v>潤滑油等の使用:グリース</v>
      </c>
      <c r="N75" s="432" t="str">
        <f>"非_単位!$C$"&amp;MATCH(M75,非_単位!B:B,0)&amp;":$D$"&amp;MATCH(M75,非_単位!B:B,0)</f>
        <v>非_単位!$C$143:$D$143</v>
      </c>
      <c r="O75" s="432">
        <f>IF(E75="","",VLOOKUP(E75,非_単位補正換算!$B$3:$C$16,2,FALSE))</f>
        <v>1000</v>
      </c>
    </row>
    <row r="76" spans="1:15" ht="20.25" customHeight="1">
      <c r="A76" s="950"/>
      <c r="B76" s="885"/>
      <c r="C76" s="885" t="s">
        <v>146</v>
      </c>
      <c r="D76" s="885"/>
      <c r="E76" s="382" t="s">
        <v>380</v>
      </c>
      <c r="F76" s="39"/>
      <c r="G76" s="275" t="str">
        <f t="shared" si="2"/>
        <v/>
      </c>
      <c r="H76" s="278" t="s">
        <v>823</v>
      </c>
      <c r="I76" s="286">
        <v>0.59799999999999998</v>
      </c>
      <c r="J76" s="194" t="s">
        <v>808</v>
      </c>
      <c r="K76" s="330" t="str">
        <f t="shared" si="3"/>
        <v/>
      </c>
      <c r="M76" s="432" t="str">
        <f>非_単位!B144</f>
        <v>潤滑油等の使用:パラフィンろう</v>
      </c>
      <c r="N76" s="432" t="str">
        <f>"非_単位!$C$"&amp;MATCH(M76,非_単位!B:B,0)&amp;":$D$"&amp;MATCH(M76,非_単位!B:B,0)</f>
        <v>非_単位!$C$144:$D$144</v>
      </c>
      <c r="O76" s="432">
        <f>IF(E76="","",VLOOKUP(E76,非_単位補正換算!$B$3:$C$16,2,FALSE))</f>
        <v>1000</v>
      </c>
    </row>
    <row r="77" spans="1:15" ht="20.25" customHeight="1">
      <c r="A77" s="950"/>
      <c r="B77" s="885" t="s">
        <v>147</v>
      </c>
      <c r="C77" s="885"/>
      <c r="D77" s="885"/>
      <c r="E77" s="382" t="s">
        <v>380</v>
      </c>
      <c r="F77" s="39"/>
      <c r="G77" s="275" t="str">
        <f t="shared" si="2"/>
        <v/>
      </c>
      <c r="H77" s="278" t="s">
        <v>823</v>
      </c>
      <c r="I77" s="286">
        <v>2.35</v>
      </c>
      <c r="J77" s="194" t="s">
        <v>808</v>
      </c>
      <c r="K77" s="330" t="str">
        <f t="shared" si="3"/>
        <v/>
      </c>
      <c r="M77" s="432" t="str">
        <f>非_単位!B145</f>
        <v>非メタン揮発性有機化合物（NMVOC)を含む溶剤の焼却</v>
      </c>
      <c r="N77" s="432" t="str">
        <f>"非_単位!$C$"&amp;MATCH(M77,非_単位!B:B,0)&amp;":$D$"&amp;MATCH(M77,非_単位!B:B,0)</f>
        <v>非_単位!$C$145:$D$145</v>
      </c>
      <c r="O77" s="432">
        <f>IF(E77="","",VLOOKUP(E77,非_単位補正換算!$B$3:$C$16,2,FALSE))</f>
        <v>1000</v>
      </c>
    </row>
    <row r="78" spans="1:15" ht="20.25" customHeight="1">
      <c r="A78" s="950"/>
      <c r="B78" s="885" t="s">
        <v>148</v>
      </c>
      <c r="C78" s="885"/>
      <c r="D78" s="885"/>
      <c r="E78" s="382" t="s">
        <v>380</v>
      </c>
      <c r="F78" s="39"/>
      <c r="G78" s="275" t="str">
        <f t="shared" si="2"/>
        <v/>
      </c>
      <c r="H78" s="278" t="s">
        <v>823</v>
      </c>
      <c r="I78" s="286">
        <v>1</v>
      </c>
      <c r="J78" s="194" t="s">
        <v>808</v>
      </c>
      <c r="K78" s="330" t="str">
        <f t="shared" si="3"/>
        <v/>
      </c>
      <c r="M78" s="432" t="str">
        <f>非_単位!B146</f>
        <v>ドライアイスの製造</v>
      </c>
      <c r="N78" s="432" t="str">
        <f>"非_単位!$C$"&amp;MATCH(M78,非_単位!B:B,0)&amp;":$D$"&amp;MATCH(M78,非_単位!B:B,0)</f>
        <v>非_単位!$C$146:$D$146</v>
      </c>
      <c r="O78" s="432">
        <f>IF(E78="","",VLOOKUP(E78,非_単位補正換算!$B$3:$C$16,2,FALSE))</f>
        <v>1000</v>
      </c>
    </row>
    <row r="79" spans="1:15" ht="20.25" customHeight="1">
      <c r="A79" s="950"/>
      <c r="B79" s="885" t="s">
        <v>176</v>
      </c>
      <c r="C79" s="773"/>
      <c r="D79" s="773"/>
      <c r="E79" s="382" t="s">
        <v>380</v>
      </c>
      <c r="F79" s="39"/>
      <c r="G79" s="275" t="str">
        <f t="shared" si="2"/>
        <v/>
      </c>
      <c r="H79" s="278" t="s">
        <v>823</v>
      </c>
      <c r="I79" s="286">
        <v>1</v>
      </c>
      <c r="J79" s="194" t="s">
        <v>808</v>
      </c>
      <c r="K79" s="330" t="str">
        <f t="shared" si="3"/>
        <v/>
      </c>
      <c r="M79" s="432" t="str">
        <f>非_単位!B147</f>
        <v>ドライアイスの使用</v>
      </c>
      <c r="N79" s="432" t="str">
        <f>"非_単位!$C$"&amp;MATCH(M79,非_単位!B:B,0)&amp;":$D$"&amp;MATCH(M79,非_単位!B:B,0)</f>
        <v>非_単位!$C$147:$D$147</v>
      </c>
      <c r="O79" s="432">
        <f>IF(E79="","",VLOOKUP(E79,非_単位補正換算!$B$3:$C$16,2,FALSE))</f>
        <v>1000</v>
      </c>
    </row>
    <row r="80" spans="1:15" ht="20.25" customHeight="1">
      <c r="A80" s="950"/>
      <c r="B80" s="885" t="s">
        <v>149</v>
      </c>
      <c r="C80" s="773"/>
      <c r="D80" s="773"/>
      <c r="E80" s="382" t="s">
        <v>380</v>
      </c>
      <c r="F80" s="39"/>
      <c r="G80" s="275" t="str">
        <f t="shared" si="2"/>
        <v/>
      </c>
      <c r="H80" s="278" t="s">
        <v>823</v>
      </c>
      <c r="I80" s="286">
        <v>1</v>
      </c>
      <c r="J80" s="194" t="s">
        <v>808</v>
      </c>
      <c r="K80" s="330" t="str">
        <f t="shared" si="3"/>
        <v/>
      </c>
      <c r="M80" s="432" t="str">
        <f>非_単位!B148</f>
        <v>炭酸ガスのボンベへの封入</v>
      </c>
      <c r="N80" s="432" t="str">
        <f>"非_単位!$C$"&amp;MATCH(M80,非_単位!B:B,0)&amp;":$D$"&amp;MATCH(M80,非_単位!B:B,0)</f>
        <v>非_単位!$C$148:$D$148</v>
      </c>
      <c r="O80" s="432">
        <f>IF(E80="","",VLOOKUP(E80,非_単位補正換算!$B$3:$C$16,2,FALSE))</f>
        <v>1000</v>
      </c>
    </row>
    <row r="81" spans="1:15" ht="20.25" customHeight="1">
      <c r="A81" s="950"/>
      <c r="B81" s="885" t="s">
        <v>199</v>
      </c>
      <c r="C81" s="773"/>
      <c r="D81" s="773"/>
      <c r="E81" s="382" t="s">
        <v>380</v>
      </c>
      <c r="F81" s="39"/>
      <c r="G81" s="275" t="str">
        <f t="shared" si="2"/>
        <v/>
      </c>
      <c r="H81" s="278" t="s">
        <v>823</v>
      </c>
      <c r="I81" s="286">
        <v>1</v>
      </c>
      <c r="J81" s="194" t="s">
        <v>808</v>
      </c>
      <c r="K81" s="330" t="str">
        <f t="shared" si="3"/>
        <v/>
      </c>
      <c r="M81" s="432" t="str">
        <f>非_単位!B149</f>
        <v xml:space="preserve">炭酸ガスの使用に伴い排出されたCO2の量 </v>
      </c>
      <c r="N81" s="432" t="str">
        <f>"非_単位!$C$"&amp;MATCH(M81,非_単位!B:B,0)&amp;":$D$"&amp;MATCH(M81,非_単位!B:B,0)</f>
        <v>非_単位!$C$149:$D$149</v>
      </c>
      <c r="O81" s="432">
        <f>IF(E81="","",VLOOKUP(E81,非_単位補正換算!$B$3:$C$16,2,FALSE))</f>
        <v>1000</v>
      </c>
    </row>
    <row r="82" spans="1:15" ht="20.25" customHeight="1">
      <c r="A82" s="950"/>
      <c r="B82" s="940"/>
      <c r="C82" s="940"/>
      <c r="D82" s="940"/>
      <c r="E82" s="382" t="s">
        <v>380</v>
      </c>
      <c r="F82" s="39"/>
      <c r="G82" s="275" t="str">
        <f t="shared" si="2"/>
        <v/>
      </c>
      <c r="H82" s="278" t="str">
        <f>E82</f>
        <v>kg</v>
      </c>
      <c r="I82" s="291"/>
      <c r="J82" s="268" t="str">
        <f>IF(E82="","","t-CO2/"&amp;E82)</f>
        <v>t-CO2/kg</v>
      </c>
      <c r="K82" s="330" t="str">
        <f t="shared" si="3"/>
        <v/>
      </c>
      <c r="M82" s="432" t="str">
        <f>非_単位!B150</f>
        <v>その他活動によるCO2排出量1</v>
      </c>
      <c r="N82" s="432" t="str">
        <f>"非_単位!$C$"&amp;MATCH(M82,非_単位!B:B,0)&amp;":$H$"&amp;MATCH(M82,非_単位!B:B,0)</f>
        <v>非_単位!$C$150:$H$150</v>
      </c>
      <c r="O82" s="432">
        <f>IF(E82="","",VLOOKUP(E82,非_単位補正換算!$B$3:$C$16,2,FALSE))</f>
        <v>1000</v>
      </c>
    </row>
    <row r="83" spans="1:15" ht="20.25" customHeight="1">
      <c r="A83" s="950"/>
      <c r="B83" s="940"/>
      <c r="C83" s="940"/>
      <c r="D83" s="940"/>
      <c r="E83" s="382" t="s">
        <v>380</v>
      </c>
      <c r="F83" s="39"/>
      <c r="G83" s="275" t="str">
        <f t="shared" si="2"/>
        <v/>
      </c>
      <c r="H83" s="278" t="str">
        <f>E83</f>
        <v>kg</v>
      </c>
      <c r="I83" s="291"/>
      <c r="J83" s="268" t="str">
        <f>IF(E83="","","t-CO2/"&amp;E83)</f>
        <v>t-CO2/kg</v>
      </c>
      <c r="K83" s="330" t="str">
        <f t="shared" si="3"/>
        <v/>
      </c>
      <c r="M83" s="432" t="str">
        <f>非_単位!B151</f>
        <v>その他活動によるCO2排出量2</v>
      </c>
      <c r="N83" s="432" t="str">
        <f>"非_単位!$C$"&amp;MATCH(M83,非_単位!B:B,0)&amp;":$H$"&amp;MATCH(M83,非_単位!B:B,0)</f>
        <v>非_単位!$C$151:$H$151</v>
      </c>
      <c r="O83" s="432">
        <f>IF(E83="","",VLOOKUP(E83,非_単位補正換算!$B$3:$C$16,2,FALSE))</f>
        <v>1000</v>
      </c>
    </row>
    <row r="84" spans="1:15" ht="20.25" customHeight="1">
      <c r="A84" s="950"/>
      <c r="B84" s="940"/>
      <c r="C84" s="940"/>
      <c r="D84" s="940"/>
      <c r="E84" s="382" t="s">
        <v>380</v>
      </c>
      <c r="F84" s="39"/>
      <c r="G84" s="275" t="str">
        <f t="shared" si="2"/>
        <v/>
      </c>
      <c r="H84" s="278" t="str">
        <f>E84</f>
        <v>kg</v>
      </c>
      <c r="I84" s="291"/>
      <c r="J84" s="268" t="str">
        <f>IF(E84="","","t-CO2/"&amp;E84)</f>
        <v>t-CO2/kg</v>
      </c>
      <c r="K84" s="330" t="str">
        <f t="shared" si="3"/>
        <v/>
      </c>
      <c r="M84" s="432" t="str">
        <f>非_単位!B152</f>
        <v>その他活動によるCO2排出量3</v>
      </c>
      <c r="N84" s="432" t="str">
        <f>"非_単位!$C$"&amp;MATCH(M84,非_単位!B:B,0)&amp;":$H$"&amp;MATCH(M84,非_単位!B:B,0)</f>
        <v>非_単位!$C$152:$H$152</v>
      </c>
      <c r="O84" s="432">
        <f>IF(E84="","",VLOOKUP(E84,非_単位補正換算!$B$3:$C$16,2,FALSE))</f>
        <v>1000</v>
      </c>
    </row>
    <row r="85" spans="1:15" ht="28.5" customHeight="1" thickBot="1">
      <c r="A85" s="950"/>
      <c r="B85" s="941" t="s">
        <v>150</v>
      </c>
      <c r="C85" s="634"/>
      <c r="D85" s="635"/>
      <c r="E85" s="942"/>
      <c r="F85" s="942"/>
      <c r="G85" s="942"/>
      <c r="H85" s="942"/>
      <c r="I85" s="942"/>
      <c r="J85" s="942"/>
      <c r="K85" s="393" t="str">
        <f>IF(COUNT($K$6:$K$49,$K$55:$K$84)=0,"",SUM($K$6:$K$49,$K$55:$K$84))</f>
        <v/>
      </c>
    </row>
    <row r="86" spans="1:15" ht="31.5" customHeight="1" thickTop="1">
      <c r="A86" s="943" t="s">
        <v>273</v>
      </c>
      <c r="B86" s="778" t="s">
        <v>151</v>
      </c>
      <c r="C86" s="778"/>
      <c r="D86" s="778"/>
      <c r="E86" s="50" t="s">
        <v>200</v>
      </c>
      <c r="F86" s="296"/>
      <c r="G86" s="293" t="str">
        <f>IF(F86="","",F86)</f>
        <v/>
      </c>
      <c r="H86" s="53" t="s">
        <v>830</v>
      </c>
      <c r="I86" s="51">
        <v>28</v>
      </c>
      <c r="J86" s="269" t="s">
        <v>819</v>
      </c>
      <c r="K86" s="348" t="str">
        <f>IF(G86="","",IF(I86="","",G86*I86))</f>
        <v/>
      </c>
    </row>
    <row r="87" spans="1:15" ht="27.75" customHeight="1">
      <c r="A87" s="878"/>
      <c r="B87" s="773" t="s">
        <v>152</v>
      </c>
      <c r="C87" s="773"/>
      <c r="D87" s="773"/>
      <c r="E87" s="192" t="s">
        <v>201</v>
      </c>
      <c r="F87" s="297"/>
      <c r="G87" s="294" t="str">
        <f>IF(F87="","",F87)</f>
        <v/>
      </c>
      <c r="H87" s="54" t="s">
        <v>831</v>
      </c>
      <c r="I87" s="36">
        <v>265</v>
      </c>
      <c r="J87" s="270" t="s">
        <v>820</v>
      </c>
      <c r="K87" s="330" t="str">
        <f t="shared" ref="K87:K95" si="4">IF(G87="","",IF(I87="","",G87*I87))</f>
        <v/>
      </c>
    </row>
    <row r="88" spans="1:15" ht="20.25" customHeight="1">
      <c r="A88" s="878"/>
      <c r="B88" s="809" t="s">
        <v>153</v>
      </c>
      <c r="C88" s="773"/>
      <c r="D88" s="773"/>
      <c r="E88" s="46"/>
      <c r="F88" s="298"/>
      <c r="G88" s="55"/>
      <c r="H88" s="55"/>
      <c r="I88" s="938"/>
      <c r="J88" s="938"/>
      <c r="K88" s="330" t="str">
        <f>IF(COUNT(K89:K90)=0,"",SUM(K89:K90))</f>
        <v/>
      </c>
    </row>
    <row r="89" spans="1:15" ht="20.25" customHeight="1">
      <c r="A89" s="878"/>
      <c r="B89" s="939"/>
      <c r="C89" s="937"/>
      <c r="D89" s="937"/>
      <c r="E89" s="36" t="str">
        <f>"t-"&amp;C89</f>
        <v>t-</v>
      </c>
      <c r="F89" s="297"/>
      <c r="G89" s="295" t="str">
        <f>IF(F89="","",F89)</f>
        <v/>
      </c>
      <c r="H89" s="56" t="str">
        <f>E89</f>
        <v>t-</v>
      </c>
      <c r="I89" s="387"/>
      <c r="J89" s="36" t="str">
        <f>"t-CO2/t-"&amp;C89</f>
        <v>t-CO2/t-</v>
      </c>
      <c r="K89" s="330" t="str">
        <f t="shared" si="4"/>
        <v/>
      </c>
    </row>
    <row r="90" spans="1:15" ht="20.25" customHeight="1">
      <c r="A90" s="878"/>
      <c r="B90" s="810"/>
      <c r="C90" s="937"/>
      <c r="D90" s="937"/>
      <c r="E90" s="36" t="str">
        <f>"t-"&amp;C90</f>
        <v>t-</v>
      </c>
      <c r="F90" s="297"/>
      <c r="G90" s="295" t="str">
        <f>IF(F90="","",F90)</f>
        <v/>
      </c>
      <c r="H90" s="56" t="str">
        <f>E90</f>
        <v>t-</v>
      </c>
      <c r="I90" s="387"/>
      <c r="J90" s="36" t="str">
        <f>"t-CO2/t-"&amp;C90</f>
        <v>t-CO2/t-</v>
      </c>
      <c r="K90" s="330" t="str">
        <f t="shared" si="4"/>
        <v/>
      </c>
    </row>
    <row r="91" spans="1:15" ht="20.25" customHeight="1">
      <c r="A91" s="878"/>
      <c r="B91" s="809" t="s">
        <v>154</v>
      </c>
      <c r="C91" s="773"/>
      <c r="D91" s="773"/>
      <c r="E91" s="46"/>
      <c r="F91" s="298"/>
      <c r="G91" s="55"/>
      <c r="H91" s="55"/>
      <c r="I91" s="938"/>
      <c r="J91" s="938"/>
      <c r="K91" s="330" t="str">
        <f>IF(COUNT(K92:K93)=0,"",SUM(K92:K93))</f>
        <v/>
      </c>
    </row>
    <row r="92" spans="1:15" ht="20.25" customHeight="1">
      <c r="A92" s="878"/>
      <c r="B92" s="939"/>
      <c r="C92" s="937"/>
      <c r="D92" s="937"/>
      <c r="E92" s="36" t="str">
        <f>"t-"&amp;C92</f>
        <v>t-</v>
      </c>
      <c r="F92" s="297"/>
      <c r="G92" s="295" t="str">
        <f t="shared" ref="G92:G95" si="5">IF(F92="","",F92)</f>
        <v/>
      </c>
      <c r="H92" s="56" t="str">
        <f>E92</f>
        <v>t-</v>
      </c>
      <c r="I92" s="387"/>
      <c r="J92" s="36" t="str">
        <f>"t-CO2/t-"&amp;C92</f>
        <v>t-CO2/t-</v>
      </c>
      <c r="K92" s="330" t="str">
        <f t="shared" si="4"/>
        <v/>
      </c>
    </row>
    <row r="93" spans="1:15" ht="20.25" customHeight="1">
      <c r="A93" s="878"/>
      <c r="B93" s="810"/>
      <c r="C93" s="937"/>
      <c r="D93" s="937"/>
      <c r="E93" s="36" t="str">
        <f>"t-"&amp;C93</f>
        <v>t-</v>
      </c>
      <c r="F93" s="297"/>
      <c r="G93" s="295" t="str">
        <f t="shared" si="5"/>
        <v/>
      </c>
      <c r="H93" s="56" t="str">
        <f>E93</f>
        <v>t-</v>
      </c>
      <c r="I93" s="387"/>
      <c r="J93" s="36" t="str">
        <f>"t-CO2/t-"&amp;C93</f>
        <v>t-CO2/t-</v>
      </c>
      <c r="K93" s="330" t="str">
        <f t="shared" si="4"/>
        <v/>
      </c>
    </row>
    <row r="94" spans="1:15" ht="31.5" customHeight="1">
      <c r="A94" s="878"/>
      <c r="B94" s="773" t="s">
        <v>977</v>
      </c>
      <c r="C94" s="773"/>
      <c r="D94" s="773"/>
      <c r="E94" s="192" t="s">
        <v>202</v>
      </c>
      <c r="F94" s="297"/>
      <c r="G94" s="295" t="str">
        <f t="shared" si="5"/>
        <v/>
      </c>
      <c r="H94" s="54" t="s">
        <v>828</v>
      </c>
      <c r="I94" s="36">
        <v>23500</v>
      </c>
      <c r="J94" s="270" t="s">
        <v>821</v>
      </c>
      <c r="K94" s="330" t="str">
        <f t="shared" si="4"/>
        <v/>
      </c>
    </row>
    <row r="95" spans="1:15" ht="31.5" customHeight="1">
      <c r="A95" s="878"/>
      <c r="B95" s="773" t="s">
        <v>155</v>
      </c>
      <c r="C95" s="773"/>
      <c r="D95" s="773"/>
      <c r="E95" s="192" t="s">
        <v>203</v>
      </c>
      <c r="F95" s="297"/>
      <c r="G95" s="295" t="str">
        <f t="shared" si="5"/>
        <v/>
      </c>
      <c r="H95" s="54" t="s">
        <v>829</v>
      </c>
      <c r="I95" s="36">
        <v>16100</v>
      </c>
      <c r="J95" s="271" t="s">
        <v>822</v>
      </c>
      <c r="K95" s="330" t="str">
        <f t="shared" si="4"/>
        <v/>
      </c>
    </row>
    <row r="96" spans="1:15" ht="30.75" customHeight="1" thickBot="1">
      <c r="A96" s="944"/>
      <c r="B96" s="828" t="s">
        <v>150</v>
      </c>
      <c r="C96" s="829"/>
      <c r="D96" s="946"/>
      <c r="E96" s="945"/>
      <c r="F96" s="945"/>
      <c r="G96" s="945"/>
      <c r="H96" s="945"/>
      <c r="I96" s="945"/>
      <c r="J96" s="945"/>
      <c r="K96" s="394" t="str">
        <f>IF(COUNT(K86:K88,K91,K94:K95)=0,"",SUM(K86:K88,K91,K94:K95))</f>
        <v/>
      </c>
    </row>
    <row r="97" spans="1:11" ht="34.5" customHeight="1" thickTop="1" thickBot="1">
      <c r="A97" s="934" t="s">
        <v>42</v>
      </c>
      <c r="B97" s="935"/>
      <c r="C97" s="935"/>
      <c r="D97" s="935"/>
      <c r="E97" s="936"/>
      <c r="F97" s="936"/>
      <c r="G97" s="936"/>
      <c r="H97" s="936"/>
      <c r="I97" s="936"/>
      <c r="J97" s="936"/>
      <c r="K97" s="395" t="str">
        <f>IF(COUNT(K85,K96)=0,"",ROUND(SUM(K85,K96),0))</f>
        <v/>
      </c>
    </row>
    <row r="98" spans="1:11">
      <c r="A98" s="3"/>
      <c r="B98" s="3"/>
      <c r="C98" s="3"/>
      <c r="D98" s="3"/>
      <c r="E98" s="3"/>
      <c r="F98" s="3"/>
      <c r="I98" s="38"/>
      <c r="J98" s="3"/>
      <c r="K98" s="3"/>
    </row>
    <row r="99" spans="1:11">
      <c r="A99" s="3"/>
      <c r="B99" s="3"/>
      <c r="C99" s="3"/>
      <c r="D99" s="3"/>
      <c r="E99" s="3"/>
      <c r="F99" s="3"/>
      <c r="I99" s="38"/>
      <c r="J99" s="3"/>
      <c r="K99" s="3" t="s">
        <v>122</v>
      </c>
    </row>
  </sheetData>
  <sheetProtection algorithmName="SHA-512" hashValue="Suo8PpRcjAvQc0UWh31QGWFxC6MVRyGbazu1qW/VHpYgHEyasCdwpTU4G6GLeAOv2iccRwMj9KLp9ZgYBm3mww==" saltValue="WzJ9zhUZfY9kTqSD/Xv0Wg==" spinCount="100000" sheet="1" objects="1" scenarios="1"/>
  <mergeCells count="128">
    <mergeCell ref="C20:D20"/>
    <mergeCell ref="C21:D21"/>
    <mergeCell ref="B24:D24"/>
    <mergeCell ref="B25:B26"/>
    <mergeCell ref="C25:D25"/>
    <mergeCell ref="C26:D26"/>
    <mergeCell ref="B15:B23"/>
    <mergeCell ref="C22:D22"/>
    <mergeCell ref="J1:K1"/>
    <mergeCell ref="A3:A5"/>
    <mergeCell ref="B3:B5"/>
    <mergeCell ref="C3:D5"/>
    <mergeCell ref="E3:E5"/>
    <mergeCell ref="I3:J5"/>
    <mergeCell ref="K3:K4"/>
    <mergeCell ref="F3:F5"/>
    <mergeCell ref="A6:A49"/>
    <mergeCell ref="B6:B1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3:D23"/>
    <mergeCell ref="B27:B34"/>
    <mergeCell ref="C27:D27"/>
    <mergeCell ref="C28:D28"/>
    <mergeCell ref="C29:D29"/>
    <mergeCell ref="C30:D30"/>
    <mergeCell ref="C31:D31"/>
    <mergeCell ref="C32:D32"/>
    <mergeCell ref="C33:D33"/>
    <mergeCell ref="C34:D34"/>
    <mergeCell ref="B35:D35"/>
    <mergeCell ref="B36:B39"/>
    <mergeCell ref="C36:D36"/>
    <mergeCell ref="C37:D37"/>
    <mergeCell ref="C38:D38"/>
    <mergeCell ref="C39:D39"/>
    <mergeCell ref="B45:D45"/>
    <mergeCell ref="B46:B47"/>
    <mergeCell ref="C46:D46"/>
    <mergeCell ref="C47:D47"/>
    <mergeCell ref="B48:B49"/>
    <mergeCell ref="C48:D48"/>
    <mergeCell ref="C49:D49"/>
    <mergeCell ref="B40:B44"/>
    <mergeCell ref="C40:D40"/>
    <mergeCell ref="C41:D41"/>
    <mergeCell ref="C42:D42"/>
    <mergeCell ref="C43:D43"/>
    <mergeCell ref="C44:D44"/>
    <mergeCell ref="K52:K53"/>
    <mergeCell ref="A55:A85"/>
    <mergeCell ref="B55:B67"/>
    <mergeCell ref="C55:D55"/>
    <mergeCell ref="C56:D56"/>
    <mergeCell ref="C57:D57"/>
    <mergeCell ref="C58:D58"/>
    <mergeCell ref="C59:D59"/>
    <mergeCell ref="C60:D60"/>
    <mergeCell ref="A52:A54"/>
    <mergeCell ref="B52:B54"/>
    <mergeCell ref="C52:D54"/>
    <mergeCell ref="E52:E54"/>
    <mergeCell ref="I52:J54"/>
    <mergeCell ref="C67:D67"/>
    <mergeCell ref="B68:D68"/>
    <mergeCell ref="B69:D69"/>
    <mergeCell ref="B70:B71"/>
    <mergeCell ref="C70:D70"/>
    <mergeCell ref="C71:D71"/>
    <mergeCell ref="C61:D61"/>
    <mergeCell ref="C62:D62"/>
    <mergeCell ref="C63:D63"/>
    <mergeCell ref="C64:D64"/>
    <mergeCell ref="C65:D65"/>
    <mergeCell ref="C66:D66"/>
    <mergeCell ref="B77:D77"/>
    <mergeCell ref="B78:D78"/>
    <mergeCell ref="B79:D79"/>
    <mergeCell ref="B80:D80"/>
    <mergeCell ref="B81:D81"/>
    <mergeCell ref="B95:D95"/>
    <mergeCell ref="B96:D96"/>
    <mergeCell ref="E96:J96"/>
    <mergeCell ref="B82:D82"/>
    <mergeCell ref="B72:B73"/>
    <mergeCell ref="C72:D72"/>
    <mergeCell ref="C73:D73"/>
    <mergeCell ref="B74:B76"/>
    <mergeCell ref="C74:D74"/>
    <mergeCell ref="C75:D75"/>
    <mergeCell ref="C76:D76"/>
    <mergeCell ref="B83:D83"/>
    <mergeCell ref="F52:F54"/>
    <mergeCell ref="N3:N5"/>
    <mergeCell ref="O3:O5"/>
    <mergeCell ref="G3:H5"/>
    <mergeCell ref="G52:H54"/>
    <mergeCell ref="A97:D97"/>
    <mergeCell ref="E97:J97"/>
    <mergeCell ref="C89:D89"/>
    <mergeCell ref="C90:D90"/>
    <mergeCell ref="B91:D91"/>
    <mergeCell ref="I91:J91"/>
    <mergeCell ref="B92:B93"/>
    <mergeCell ref="C92:D92"/>
    <mergeCell ref="C93:D93"/>
    <mergeCell ref="B84:D84"/>
    <mergeCell ref="B85:D85"/>
    <mergeCell ref="E85:J85"/>
    <mergeCell ref="A86:A96"/>
    <mergeCell ref="B86:D86"/>
    <mergeCell ref="B87:D87"/>
    <mergeCell ref="B88:D88"/>
    <mergeCell ref="I88:J88"/>
    <mergeCell ref="B89:B90"/>
    <mergeCell ref="B94:D94"/>
  </mergeCells>
  <phoneticPr fontId="5"/>
  <dataValidations count="8">
    <dataValidation type="list" allowBlank="1" showInputMessage="1" showErrorMessage="1" sqref="IE65585:IE65623 SA65585:SA65623 ABW65585:ABW65623 ALS65585:ALS65623 AVO65585:AVO65623 BFK65585:BFK65623 BPG65585:BPG65623 BZC65585:BZC65623 CIY65585:CIY65623 CSU65585:CSU65623 DCQ65585:DCQ65623 DMM65585:DMM65623 DWI65585:DWI65623 EGE65585:EGE65623 EQA65585:EQA65623 EZW65585:EZW65623 FJS65585:FJS65623 FTO65585:FTO65623 GDK65585:GDK65623 GNG65585:GNG65623 GXC65585:GXC65623 HGY65585:HGY65623 HQU65585:HQU65623 IAQ65585:IAQ65623 IKM65585:IKM65623 IUI65585:IUI65623 JEE65585:JEE65623 JOA65585:JOA65623 JXW65585:JXW65623 KHS65585:KHS65623 KRO65585:KRO65623 LBK65585:LBK65623 LLG65585:LLG65623 LVC65585:LVC65623 MEY65585:MEY65623 MOU65585:MOU65623 MYQ65585:MYQ65623 NIM65585:NIM65623 NSI65585:NSI65623 OCE65585:OCE65623 OMA65585:OMA65623 OVW65585:OVW65623 PFS65585:PFS65623 PPO65585:PPO65623 PZK65585:PZK65623 QJG65585:QJG65623 QTC65585:QTC65623 RCY65585:RCY65623 RMU65585:RMU65623 RWQ65585:RWQ65623 SGM65585:SGM65623 SQI65585:SQI65623 TAE65585:TAE65623 TKA65585:TKA65623 TTW65585:TTW65623 UDS65585:UDS65623 UNO65585:UNO65623 UXK65585:UXK65623 VHG65585:VHG65623 VRC65585:VRC65623 WAY65585:WAY65623 WKU65585:WKU65623 WUQ65585:WUQ65623 IE131121:IE131159 SA131121:SA131159 ABW131121:ABW131159 ALS131121:ALS131159 AVO131121:AVO131159 BFK131121:BFK131159 BPG131121:BPG131159 BZC131121:BZC131159 CIY131121:CIY131159 CSU131121:CSU131159 DCQ131121:DCQ131159 DMM131121:DMM131159 DWI131121:DWI131159 EGE131121:EGE131159 EQA131121:EQA131159 EZW131121:EZW131159 FJS131121:FJS131159 FTO131121:FTO131159 GDK131121:GDK131159 GNG131121:GNG131159 GXC131121:GXC131159 HGY131121:HGY131159 HQU131121:HQU131159 IAQ131121:IAQ131159 IKM131121:IKM131159 IUI131121:IUI131159 JEE131121:JEE131159 JOA131121:JOA131159 JXW131121:JXW131159 KHS131121:KHS131159 KRO131121:KRO131159 LBK131121:LBK131159 LLG131121:LLG131159 LVC131121:LVC131159 MEY131121:MEY131159 MOU131121:MOU131159 MYQ131121:MYQ131159 NIM131121:NIM131159 NSI131121:NSI131159 OCE131121:OCE131159 OMA131121:OMA131159 OVW131121:OVW131159 PFS131121:PFS131159 PPO131121:PPO131159 PZK131121:PZK131159 QJG131121:QJG131159 QTC131121:QTC131159 RCY131121:RCY131159 RMU131121:RMU131159 RWQ131121:RWQ131159 SGM131121:SGM131159 SQI131121:SQI131159 TAE131121:TAE131159 TKA131121:TKA131159 TTW131121:TTW131159 UDS131121:UDS131159 UNO131121:UNO131159 UXK131121:UXK131159 VHG131121:VHG131159 VRC131121:VRC131159 WAY131121:WAY131159 WKU131121:WKU131159 WUQ131121:WUQ131159 IE196657:IE196695 SA196657:SA196695 ABW196657:ABW196695 ALS196657:ALS196695 AVO196657:AVO196695 BFK196657:BFK196695 BPG196657:BPG196695 BZC196657:BZC196695 CIY196657:CIY196695 CSU196657:CSU196695 DCQ196657:DCQ196695 DMM196657:DMM196695 DWI196657:DWI196695 EGE196657:EGE196695 EQA196657:EQA196695 EZW196657:EZW196695 FJS196657:FJS196695 FTO196657:FTO196695 GDK196657:GDK196695 GNG196657:GNG196695 GXC196657:GXC196695 HGY196657:HGY196695 HQU196657:HQU196695 IAQ196657:IAQ196695 IKM196657:IKM196695 IUI196657:IUI196695 JEE196657:JEE196695 JOA196657:JOA196695 JXW196657:JXW196695 KHS196657:KHS196695 KRO196657:KRO196695 LBK196657:LBK196695 LLG196657:LLG196695 LVC196657:LVC196695 MEY196657:MEY196695 MOU196657:MOU196695 MYQ196657:MYQ196695 NIM196657:NIM196695 NSI196657:NSI196695 OCE196657:OCE196695 OMA196657:OMA196695 OVW196657:OVW196695 PFS196657:PFS196695 PPO196657:PPO196695 PZK196657:PZK196695 QJG196657:QJG196695 QTC196657:QTC196695 RCY196657:RCY196695 RMU196657:RMU196695 RWQ196657:RWQ196695 SGM196657:SGM196695 SQI196657:SQI196695 TAE196657:TAE196695 TKA196657:TKA196695 TTW196657:TTW196695 UDS196657:UDS196695 UNO196657:UNO196695 UXK196657:UXK196695 VHG196657:VHG196695 VRC196657:VRC196695 WAY196657:WAY196695 WKU196657:WKU196695 WUQ196657:WUQ196695 IE262193:IE262231 SA262193:SA262231 ABW262193:ABW262231 ALS262193:ALS262231 AVO262193:AVO262231 BFK262193:BFK262231 BPG262193:BPG262231 BZC262193:BZC262231 CIY262193:CIY262231 CSU262193:CSU262231 DCQ262193:DCQ262231 DMM262193:DMM262231 DWI262193:DWI262231 EGE262193:EGE262231 EQA262193:EQA262231 EZW262193:EZW262231 FJS262193:FJS262231 FTO262193:FTO262231 GDK262193:GDK262231 GNG262193:GNG262231 GXC262193:GXC262231 HGY262193:HGY262231 HQU262193:HQU262231 IAQ262193:IAQ262231 IKM262193:IKM262231 IUI262193:IUI262231 JEE262193:JEE262231 JOA262193:JOA262231 JXW262193:JXW262231 KHS262193:KHS262231 KRO262193:KRO262231 LBK262193:LBK262231 LLG262193:LLG262231 LVC262193:LVC262231 MEY262193:MEY262231 MOU262193:MOU262231 MYQ262193:MYQ262231 NIM262193:NIM262231 NSI262193:NSI262231 OCE262193:OCE262231 OMA262193:OMA262231 OVW262193:OVW262231 PFS262193:PFS262231 PPO262193:PPO262231 PZK262193:PZK262231 QJG262193:QJG262231 QTC262193:QTC262231 RCY262193:RCY262231 RMU262193:RMU262231 RWQ262193:RWQ262231 SGM262193:SGM262231 SQI262193:SQI262231 TAE262193:TAE262231 TKA262193:TKA262231 TTW262193:TTW262231 UDS262193:UDS262231 UNO262193:UNO262231 UXK262193:UXK262231 VHG262193:VHG262231 VRC262193:VRC262231 WAY262193:WAY262231 WKU262193:WKU262231 WUQ262193:WUQ262231 IE327729:IE327767 SA327729:SA327767 ABW327729:ABW327767 ALS327729:ALS327767 AVO327729:AVO327767 BFK327729:BFK327767 BPG327729:BPG327767 BZC327729:BZC327767 CIY327729:CIY327767 CSU327729:CSU327767 DCQ327729:DCQ327767 DMM327729:DMM327767 DWI327729:DWI327767 EGE327729:EGE327767 EQA327729:EQA327767 EZW327729:EZW327767 FJS327729:FJS327767 FTO327729:FTO327767 GDK327729:GDK327767 GNG327729:GNG327767 GXC327729:GXC327767 HGY327729:HGY327767 HQU327729:HQU327767 IAQ327729:IAQ327767 IKM327729:IKM327767 IUI327729:IUI327767 JEE327729:JEE327767 JOA327729:JOA327767 JXW327729:JXW327767 KHS327729:KHS327767 KRO327729:KRO327767 LBK327729:LBK327767 LLG327729:LLG327767 LVC327729:LVC327767 MEY327729:MEY327767 MOU327729:MOU327767 MYQ327729:MYQ327767 NIM327729:NIM327767 NSI327729:NSI327767 OCE327729:OCE327767 OMA327729:OMA327767 OVW327729:OVW327767 PFS327729:PFS327767 PPO327729:PPO327767 PZK327729:PZK327767 QJG327729:QJG327767 QTC327729:QTC327767 RCY327729:RCY327767 RMU327729:RMU327767 RWQ327729:RWQ327767 SGM327729:SGM327767 SQI327729:SQI327767 TAE327729:TAE327767 TKA327729:TKA327767 TTW327729:TTW327767 UDS327729:UDS327767 UNO327729:UNO327767 UXK327729:UXK327767 VHG327729:VHG327767 VRC327729:VRC327767 WAY327729:WAY327767 WKU327729:WKU327767 WUQ327729:WUQ327767 IE393265:IE393303 SA393265:SA393303 ABW393265:ABW393303 ALS393265:ALS393303 AVO393265:AVO393303 BFK393265:BFK393303 BPG393265:BPG393303 BZC393265:BZC393303 CIY393265:CIY393303 CSU393265:CSU393303 DCQ393265:DCQ393303 DMM393265:DMM393303 DWI393265:DWI393303 EGE393265:EGE393303 EQA393265:EQA393303 EZW393265:EZW393303 FJS393265:FJS393303 FTO393265:FTO393303 GDK393265:GDK393303 GNG393265:GNG393303 GXC393265:GXC393303 HGY393265:HGY393303 HQU393265:HQU393303 IAQ393265:IAQ393303 IKM393265:IKM393303 IUI393265:IUI393303 JEE393265:JEE393303 JOA393265:JOA393303 JXW393265:JXW393303 KHS393265:KHS393303 KRO393265:KRO393303 LBK393265:LBK393303 LLG393265:LLG393303 LVC393265:LVC393303 MEY393265:MEY393303 MOU393265:MOU393303 MYQ393265:MYQ393303 NIM393265:NIM393303 NSI393265:NSI393303 OCE393265:OCE393303 OMA393265:OMA393303 OVW393265:OVW393303 PFS393265:PFS393303 PPO393265:PPO393303 PZK393265:PZK393303 QJG393265:QJG393303 QTC393265:QTC393303 RCY393265:RCY393303 RMU393265:RMU393303 RWQ393265:RWQ393303 SGM393265:SGM393303 SQI393265:SQI393303 TAE393265:TAE393303 TKA393265:TKA393303 TTW393265:TTW393303 UDS393265:UDS393303 UNO393265:UNO393303 UXK393265:UXK393303 VHG393265:VHG393303 VRC393265:VRC393303 WAY393265:WAY393303 WKU393265:WKU393303 WUQ393265:WUQ393303 IE458801:IE458839 SA458801:SA458839 ABW458801:ABW458839 ALS458801:ALS458839 AVO458801:AVO458839 BFK458801:BFK458839 BPG458801:BPG458839 BZC458801:BZC458839 CIY458801:CIY458839 CSU458801:CSU458839 DCQ458801:DCQ458839 DMM458801:DMM458839 DWI458801:DWI458839 EGE458801:EGE458839 EQA458801:EQA458839 EZW458801:EZW458839 FJS458801:FJS458839 FTO458801:FTO458839 GDK458801:GDK458839 GNG458801:GNG458839 GXC458801:GXC458839 HGY458801:HGY458839 HQU458801:HQU458839 IAQ458801:IAQ458839 IKM458801:IKM458839 IUI458801:IUI458839 JEE458801:JEE458839 JOA458801:JOA458839 JXW458801:JXW458839 KHS458801:KHS458839 KRO458801:KRO458839 LBK458801:LBK458839 LLG458801:LLG458839 LVC458801:LVC458839 MEY458801:MEY458839 MOU458801:MOU458839 MYQ458801:MYQ458839 NIM458801:NIM458839 NSI458801:NSI458839 OCE458801:OCE458839 OMA458801:OMA458839 OVW458801:OVW458839 PFS458801:PFS458839 PPO458801:PPO458839 PZK458801:PZK458839 QJG458801:QJG458839 QTC458801:QTC458839 RCY458801:RCY458839 RMU458801:RMU458839 RWQ458801:RWQ458839 SGM458801:SGM458839 SQI458801:SQI458839 TAE458801:TAE458839 TKA458801:TKA458839 TTW458801:TTW458839 UDS458801:UDS458839 UNO458801:UNO458839 UXK458801:UXK458839 VHG458801:VHG458839 VRC458801:VRC458839 WAY458801:WAY458839 WKU458801:WKU458839 WUQ458801:WUQ458839 IE524337:IE524375 SA524337:SA524375 ABW524337:ABW524375 ALS524337:ALS524375 AVO524337:AVO524375 BFK524337:BFK524375 BPG524337:BPG524375 BZC524337:BZC524375 CIY524337:CIY524375 CSU524337:CSU524375 DCQ524337:DCQ524375 DMM524337:DMM524375 DWI524337:DWI524375 EGE524337:EGE524375 EQA524337:EQA524375 EZW524337:EZW524375 FJS524337:FJS524375 FTO524337:FTO524375 GDK524337:GDK524375 GNG524337:GNG524375 GXC524337:GXC524375 HGY524337:HGY524375 HQU524337:HQU524375 IAQ524337:IAQ524375 IKM524337:IKM524375 IUI524337:IUI524375 JEE524337:JEE524375 JOA524337:JOA524375 JXW524337:JXW524375 KHS524337:KHS524375 KRO524337:KRO524375 LBK524337:LBK524375 LLG524337:LLG524375 LVC524337:LVC524375 MEY524337:MEY524375 MOU524337:MOU524375 MYQ524337:MYQ524375 NIM524337:NIM524375 NSI524337:NSI524375 OCE524337:OCE524375 OMA524337:OMA524375 OVW524337:OVW524375 PFS524337:PFS524375 PPO524337:PPO524375 PZK524337:PZK524375 QJG524337:QJG524375 QTC524337:QTC524375 RCY524337:RCY524375 RMU524337:RMU524375 RWQ524337:RWQ524375 SGM524337:SGM524375 SQI524337:SQI524375 TAE524337:TAE524375 TKA524337:TKA524375 TTW524337:TTW524375 UDS524337:UDS524375 UNO524337:UNO524375 UXK524337:UXK524375 VHG524337:VHG524375 VRC524337:VRC524375 WAY524337:WAY524375 WKU524337:WKU524375 WUQ524337:WUQ524375 IE589873:IE589911 SA589873:SA589911 ABW589873:ABW589911 ALS589873:ALS589911 AVO589873:AVO589911 BFK589873:BFK589911 BPG589873:BPG589911 BZC589873:BZC589911 CIY589873:CIY589911 CSU589873:CSU589911 DCQ589873:DCQ589911 DMM589873:DMM589911 DWI589873:DWI589911 EGE589873:EGE589911 EQA589873:EQA589911 EZW589873:EZW589911 FJS589873:FJS589911 FTO589873:FTO589911 GDK589873:GDK589911 GNG589873:GNG589911 GXC589873:GXC589911 HGY589873:HGY589911 HQU589873:HQU589911 IAQ589873:IAQ589911 IKM589873:IKM589911 IUI589873:IUI589911 JEE589873:JEE589911 JOA589873:JOA589911 JXW589873:JXW589911 KHS589873:KHS589911 KRO589873:KRO589911 LBK589873:LBK589911 LLG589873:LLG589911 LVC589873:LVC589911 MEY589873:MEY589911 MOU589873:MOU589911 MYQ589873:MYQ589911 NIM589873:NIM589911 NSI589873:NSI589911 OCE589873:OCE589911 OMA589873:OMA589911 OVW589873:OVW589911 PFS589873:PFS589911 PPO589873:PPO589911 PZK589873:PZK589911 QJG589873:QJG589911 QTC589873:QTC589911 RCY589873:RCY589911 RMU589873:RMU589911 RWQ589873:RWQ589911 SGM589873:SGM589911 SQI589873:SQI589911 TAE589873:TAE589911 TKA589873:TKA589911 TTW589873:TTW589911 UDS589873:UDS589911 UNO589873:UNO589911 UXK589873:UXK589911 VHG589873:VHG589911 VRC589873:VRC589911 WAY589873:WAY589911 WKU589873:WKU589911 WUQ589873:WUQ589911 IE655409:IE655447 SA655409:SA655447 ABW655409:ABW655447 ALS655409:ALS655447 AVO655409:AVO655447 BFK655409:BFK655447 BPG655409:BPG655447 BZC655409:BZC655447 CIY655409:CIY655447 CSU655409:CSU655447 DCQ655409:DCQ655447 DMM655409:DMM655447 DWI655409:DWI655447 EGE655409:EGE655447 EQA655409:EQA655447 EZW655409:EZW655447 FJS655409:FJS655447 FTO655409:FTO655447 GDK655409:GDK655447 GNG655409:GNG655447 GXC655409:GXC655447 HGY655409:HGY655447 HQU655409:HQU655447 IAQ655409:IAQ655447 IKM655409:IKM655447 IUI655409:IUI655447 JEE655409:JEE655447 JOA655409:JOA655447 JXW655409:JXW655447 KHS655409:KHS655447 KRO655409:KRO655447 LBK655409:LBK655447 LLG655409:LLG655447 LVC655409:LVC655447 MEY655409:MEY655447 MOU655409:MOU655447 MYQ655409:MYQ655447 NIM655409:NIM655447 NSI655409:NSI655447 OCE655409:OCE655447 OMA655409:OMA655447 OVW655409:OVW655447 PFS655409:PFS655447 PPO655409:PPO655447 PZK655409:PZK655447 QJG655409:QJG655447 QTC655409:QTC655447 RCY655409:RCY655447 RMU655409:RMU655447 RWQ655409:RWQ655447 SGM655409:SGM655447 SQI655409:SQI655447 TAE655409:TAE655447 TKA655409:TKA655447 TTW655409:TTW655447 UDS655409:UDS655447 UNO655409:UNO655447 UXK655409:UXK655447 VHG655409:VHG655447 VRC655409:VRC655447 WAY655409:WAY655447 WKU655409:WKU655447 WUQ655409:WUQ655447 IE720945:IE720983 SA720945:SA720983 ABW720945:ABW720983 ALS720945:ALS720983 AVO720945:AVO720983 BFK720945:BFK720983 BPG720945:BPG720983 BZC720945:BZC720983 CIY720945:CIY720983 CSU720945:CSU720983 DCQ720945:DCQ720983 DMM720945:DMM720983 DWI720945:DWI720983 EGE720945:EGE720983 EQA720945:EQA720983 EZW720945:EZW720983 FJS720945:FJS720983 FTO720945:FTO720983 GDK720945:GDK720983 GNG720945:GNG720983 GXC720945:GXC720983 HGY720945:HGY720983 HQU720945:HQU720983 IAQ720945:IAQ720983 IKM720945:IKM720983 IUI720945:IUI720983 JEE720945:JEE720983 JOA720945:JOA720983 JXW720945:JXW720983 KHS720945:KHS720983 KRO720945:KRO720983 LBK720945:LBK720983 LLG720945:LLG720983 LVC720945:LVC720983 MEY720945:MEY720983 MOU720945:MOU720983 MYQ720945:MYQ720983 NIM720945:NIM720983 NSI720945:NSI720983 OCE720945:OCE720983 OMA720945:OMA720983 OVW720945:OVW720983 PFS720945:PFS720983 PPO720945:PPO720983 PZK720945:PZK720983 QJG720945:QJG720983 QTC720945:QTC720983 RCY720945:RCY720983 RMU720945:RMU720983 RWQ720945:RWQ720983 SGM720945:SGM720983 SQI720945:SQI720983 TAE720945:TAE720983 TKA720945:TKA720983 TTW720945:TTW720983 UDS720945:UDS720983 UNO720945:UNO720983 UXK720945:UXK720983 VHG720945:VHG720983 VRC720945:VRC720983 WAY720945:WAY720983 WKU720945:WKU720983 WUQ720945:WUQ720983 IE786481:IE786519 SA786481:SA786519 ABW786481:ABW786519 ALS786481:ALS786519 AVO786481:AVO786519 BFK786481:BFK786519 BPG786481:BPG786519 BZC786481:BZC786519 CIY786481:CIY786519 CSU786481:CSU786519 DCQ786481:DCQ786519 DMM786481:DMM786519 DWI786481:DWI786519 EGE786481:EGE786519 EQA786481:EQA786519 EZW786481:EZW786519 FJS786481:FJS786519 FTO786481:FTO786519 GDK786481:GDK786519 GNG786481:GNG786519 GXC786481:GXC786519 HGY786481:HGY786519 HQU786481:HQU786519 IAQ786481:IAQ786519 IKM786481:IKM786519 IUI786481:IUI786519 JEE786481:JEE786519 JOA786481:JOA786519 JXW786481:JXW786519 KHS786481:KHS786519 KRO786481:KRO786519 LBK786481:LBK786519 LLG786481:LLG786519 LVC786481:LVC786519 MEY786481:MEY786519 MOU786481:MOU786519 MYQ786481:MYQ786519 NIM786481:NIM786519 NSI786481:NSI786519 OCE786481:OCE786519 OMA786481:OMA786519 OVW786481:OVW786519 PFS786481:PFS786519 PPO786481:PPO786519 PZK786481:PZK786519 QJG786481:QJG786519 QTC786481:QTC786519 RCY786481:RCY786519 RMU786481:RMU786519 RWQ786481:RWQ786519 SGM786481:SGM786519 SQI786481:SQI786519 TAE786481:TAE786519 TKA786481:TKA786519 TTW786481:TTW786519 UDS786481:UDS786519 UNO786481:UNO786519 UXK786481:UXK786519 VHG786481:VHG786519 VRC786481:VRC786519 WAY786481:WAY786519 WKU786481:WKU786519 WUQ786481:WUQ786519 IE852017:IE852055 SA852017:SA852055 ABW852017:ABW852055 ALS852017:ALS852055 AVO852017:AVO852055 BFK852017:BFK852055 BPG852017:BPG852055 BZC852017:BZC852055 CIY852017:CIY852055 CSU852017:CSU852055 DCQ852017:DCQ852055 DMM852017:DMM852055 DWI852017:DWI852055 EGE852017:EGE852055 EQA852017:EQA852055 EZW852017:EZW852055 FJS852017:FJS852055 FTO852017:FTO852055 GDK852017:GDK852055 GNG852017:GNG852055 GXC852017:GXC852055 HGY852017:HGY852055 HQU852017:HQU852055 IAQ852017:IAQ852055 IKM852017:IKM852055 IUI852017:IUI852055 JEE852017:JEE852055 JOA852017:JOA852055 JXW852017:JXW852055 KHS852017:KHS852055 KRO852017:KRO852055 LBK852017:LBK852055 LLG852017:LLG852055 LVC852017:LVC852055 MEY852017:MEY852055 MOU852017:MOU852055 MYQ852017:MYQ852055 NIM852017:NIM852055 NSI852017:NSI852055 OCE852017:OCE852055 OMA852017:OMA852055 OVW852017:OVW852055 PFS852017:PFS852055 PPO852017:PPO852055 PZK852017:PZK852055 QJG852017:QJG852055 QTC852017:QTC852055 RCY852017:RCY852055 RMU852017:RMU852055 RWQ852017:RWQ852055 SGM852017:SGM852055 SQI852017:SQI852055 TAE852017:TAE852055 TKA852017:TKA852055 TTW852017:TTW852055 UDS852017:UDS852055 UNO852017:UNO852055 UXK852017:UXK852055 VHG852017:VHG852055 VRC852017:VRC852055 WAY852017:WAY852055 WKU852017:WKU852055 WUQ852017:WUQ852055 IE917553:IE917591 SA917553:SA917591 ABW917553:ABW917591 ALS917553:ALS917591 AVO917553:AVO917591 BFK917553:BFK917591 BPG917553:BPG917591 BZC917553:BZC917591 CIY917553:CIY917591 CSU917553:CSU917591 DCQ917553:DCQ917591 DMM917553:DMM917591 DWI917553:DWI917591 EGE917553:EGE917591 EQA917553:EQA917591 EZW917553:EZW917591 FJS917553:FJS917591 FTO917553:FTO917591 GDK917553:GDK917591 GNG917553:GNG917591 GXC917553:GXC917591 HGY917553:HGY917591 HQU917553:HQU917591 IAQ917553:IAQ917591 IKM917553:IKM917591 IUI917553:IUI917591 JEE917553:JEE917591 JOA917553:JOA917591 JXW917553:JXW917591 KHS917553:KHS917591 KRO917553:KRO917591 LBK917553:LBK917591 LLG917553:LLG917591 LVC917553:LVC917591 MEY917553:MEY917591 MOU917553:MOU917591 MYQ917553:MYQ917591 NIM917553:NIM917591 NSI917553:NSI917591 OCE917553:OCE917591 OMA917553:OMA917591 OVW917553:OVW917591 PFS917553:PFS917591 PPO917553:PPO917591 PZK917553:PZK917591 QJG917553:QJG917591 QTC917553:QTC917591 RCY917553:RCY917591 RMU917553:RMU917591 RWQ917553:RWQ917591 SGM917553:SGM917591 SQI917553:SQI917591 TAE917553:TAE917591 TKA917553:TKA917591 TTW917553:TTW917591 UDS917553:UDS917591 UNO917553:UNO917591 UXK917553:UXK917591 VHG917553:VHG917591 VRC917553:VRC917591 WAY917553:WAY917591 WKU917553:WKU917591 WUQ917553:WUQ917591 IE983089:IE983127 SA983089:SA983127 ABW983089:ABW983127 ALS983089:ALS983127 AVO983089:AVO983127 BFK983089:BFK983127 BPG983089:BPG983127 BZC983089:BZC983127 CIY983089:CIY983127 CSU983089:CSU983127 DCQ983089:DCQ983127 DMM983089:DMM983127 DWI983089:DWI983127 EGE983089:EGE983127 EQA983089:EQA983127 EZW983089:EZW983127 FJS983089:FJS983127 FTO983089:FTO983127 GDK983089:GDK983127 GNG983089:GNG983127 GXC983089:GXC983127 HGY983089:HGY983127 HQU983089:HQU983127 IAQ983089:IAQ983127 IKM983089:IKM983127 IUI983089:IUI983127 JEE983089:JEE983127 JOA983089:JOA983127 JXW983089:JXW983127 KHS983089:KHS983127 KRO983089:KRO983127 LBK983089:LBK983127 LLG983089:LLG983127 LVC983089:LVC983127 MEY983089:MEY983127 MOU983089:MOU983127 MYQ983089:MYQ983127 NIM983089:NIM983127 NSI983089:NSI983127 OCE983089:OCE983127 OMA983089:OMA983127 OVW983089:OVW983127 PFS983089:PFS983127 PPO983089:PPO983127 PZK983089:PZK983127 QJG983089:QJG983127 QTC983089:QTC983127 RCY983089:RCY983127 RMU983089:RMU983127 RWQ983089:RWQ983127 SGM983089:SGM983127 SQI983089:SQI983127 TAE983089:TAE983127 TKA983089:TKA983127 TTW983089:TTW983127 UDS983089:UDS983127 UNO983089:UNO983127 UXK983089:UXK983127 VHG983089:VHG983127 VRC983089:VRC983127 WAY983089:WAY983127 WKU983089:WKU983127 WUQ983089:WUQ983127 IE89:IE90 SA89:SA90 ABW89:ABW90 ALS89:ALS90 AVO89:AVO90 BFK89:BFK90 BPG89:BPG90 BZC89:BZC90 CIY89:CIY90 CSU89:CSU90 DCQ89:DCQ90 DMM89:DMM90 DWI89:DWI90 EGE89:EGE90 EQA89:EQA90 EZW89:EZW90 FJS89:FJS90 FTO89:FTO90 GDK89:GDK90 GNG89:GNG90 GXC89:GXC90 HGY89:HGY90 HQU89:HQU90 IAQ89:IAQ90 IKM89:IKM90 IUI89:IUI90 JEE89:JEE90 JOA89:JOA90 JXW89:JXW90 KHS89:KHS90 KRO89:KRO90 LBK89:LBK90 LLG89:LLG90 LVC89:LVC90 MEY89:MEY90 MOU89:MOU90 MYQ89:MYQ90 NIM89:NIM90 NSI89:NSI90 OCE89:OCE90 OMA89:OMA90 OVW89:OVW90 PFS89:PFS90 PPO89:PPO90 PZK89:PZK90 QJG89:QJG90 QTC89:QTC90 RCY89:RCY90 RMU89:RMU90 RWQ89:RWQ90 SGM89:SGM90 SQI89:SQI90 TAE89:TAE90 TKA89:TKA90 TTW89:TTW90 UDS89:UDS90 UNO89:UNO90 UXK89:UXK90 VHG89:VHG90 VRC89:VRC90 WAY89:WAY90 WKU89:WKU90 WUQ89:WUQ90 IE65625:IE65626 SA65625:SA65626 ABW65625:ABW65626 ALS65625:ALS65626 AVO65625:AVO65626 BFK65625:BFK65626 BPG65625:BPG65626 BZC65625:BZC65626 CIY65625:CIY65626 CSU65625:CSU65626 DCQ65625:DCQ65626 DMM65625:DMM65626 DWI65625:DWI65626 EGE65625:EGE65626 EQA65625:EQA65626 EZW65625:EZW65626 FJS65625:FJS65626 FTO65625:FTO65626 GDK65625:GDK65626 GNG65625:GNG65626 GXC65625:GXC65626 HGY65625:HGY65626 HQU65625:HQU65626 IAQ65625:IAQ65626 IKM65625:IKM65626 IUI65625:IUI65626 JEE65625:JEE65626 JOA65625:JOA65626 JXW65625:JXW65626 KHS65625:KHS65626 KRO65625:KRO65626 LBK65625:LBK65626 LLG65625:LLG65626 LVC65625:LVC65626 MEY65625:MEY65626 MOU65625:MOU65626 MYQ65625:MYQ65626 NIM65625:NIM65626 NSI65625:NSI65626 OCE65625:OCE65626 OMA65625:OMA65626 OVW65625:OVW65626 PFS65625:PFS65626 PPO65625:PPO65626 PZK65625:PZK65626 QJG65625:QJG65626 QTC65625:QTC65626 RCY65625:RCY65626 RMU65625:RMU65626 RWQ65625:RWQ65626 SGM65625:SGM65626 SQI65625:SQI65626 TAE65625:TAE65626 TKA65625:TKA65626 TTW65625:TTW65626 UDS65625:UDS65626 UNO65625:UNO65626 UXK65625:UXK65626 VHG65625:VHG65626 VRC65625:VRC65626 WAY65625:WAY65626 WKU65625:WKU65626 WUQ65625:WUQ65626 IE131161:IE131162 SA131161:SA131162 ABW131161:ABW131162 ALS131161:ALS131162 AVO131161:AVO131162 BFK131161:BFK131162 BPG131161:BPG131162 BZC131161:BZC131162 CIY131161:CIY131162 CSU131161:CSU131162 DCQ131161:DCQ131162 DMM131161:DMM131162 DWI131161:DWI131162 EGE131161:EGE131162 EQA131161:EQA131162 EZW131161:EZW131162 FJS131161:FJS131162 FTO131161:FTO131162 GDK131161:GDK131162 GNG131161:GNG131162 GXC131161:GXC131162 HGY131161:HGY131162 HQU131161:HQU131162 IAQ131161:IAQ131162 IKM131161:IKM131162 IUI131161:IUI131162 JEE131161:JEE131162 JOA131161:JOA131162 JXW131161:JXW131162 KHS131161:KHS131162 KRO131161:KRO131162 LBK131161:LBK131162 LLG131161:LLG131162 LVC131161:LVC131162 MEY131161:MEY131162 MOU131161:MOU131162 MYQ131161:MYQ131162 NIM131161:NIM131162 NSI131161:NSI131162 OCE131161:OCE131162 OMA131161:OMA131162 OVW131161:OVW131162 PFS131161:PFS131162 PPO131161:PPO131162 PZK131161:PZK131162 QJG131161:QJG131162 QTC131161:QTC131162 RCY131161:RCY131162 RMU131161:RMU131162 RWQ131161:RWQ131162 SGM131161:SGM131162 SQI131161:SQI131162 TAE131161:TAE131162 TKA131161:TKA131162 TTW131161:TTW131162 UDS131161:UDS131162 UNO131161:UNO131162 UXK131161:UXK131162 VHG131161:VHG131162 VRC131161:VRC131162 WAY131161:WAY131162 WKU131161:WKU131162 WUQ131161:WUQ131162 IE196697:IE196698 SA196697:SA196698 ABW196697:ABW196698 ALS196697:ALS196698 AVO196697:AVO196698 BFK196697:BFK196698 BPG196697:BPG196698 BZC196697:BZC196698 CIY196697:CIY196698 CSU196697:CSU196698 DCQ196697:DCQ196698 DMM196697:DMM196698 DWI196697:DWI196698 EGE196697:EGE196698 EQA196697:EQA196698 EZW196697:EZW196698 FJS196697:FJS196698 FTO196697:FTO196698 GDK196697:GDK196698 GNG196697:GNG196698 GXC196697:GXC196698 HGY196697:HGY196698 HQU196697:HQU196698 IAQ196697:IAQ196698 IKM196697:IKM196698 IUI196697:IUI196698 JEE196697:JEE196698 JOA196697:JOA196698 JXW196697:JXW196698 KHS196697:KHS196698 KRO196697:KRO196698 LBK196697:LBK196698 LLG196697:LLG196698 LVC196697:LVC196698 MEY196697:MEY196698 MOU196697:MOU196698 MYQ196697:MYQ196698 NIM196697:NIM196698 NSI196697:NSI196698 OCE196697:OCE196698 OMA196697:OMA196698 OVW196697:OVW196698 PFS196697:PFS196698 PPO196697:PPO196698 PZK196697:PZK196698 QJG196697:QJG196698 QTC196697:QTC196698 RCY196697:RCY196698 RMU196697:RMU196698 RWQ196697:RWQ196698 SGM196697:SGM196698 SQI196697:SQI196698 TAE196697:TAE196698 TKA196697:TKA196698 TTW196697:TTW196698 UDS196697:UDS196698 UNO196697:UNO196698 UXK196697:UXK196698 VHG196697:VHG196698 VRC196697:VRC196698 WAY196697:WAY196698 WKU196697:WKU196698 WUQ196697:WUQ196698 IE262233:IE262234 SA262233:SA262234 ABW262233:ABW262234 ALS262233:ALS262234 AVO262233:AVO262234 BFK262233:BFK262234 BPG262233:BPG262234 BZC262233:BZC262234 CIY262233:CIY262234 CSU262233:CSU262234 DCQ262233:DCQ262234 DMM262233:DMM262234 DWI262233:DWI262234 EGE262233:EGE262234 EQA262233:EQA262234 EZW262233:EZW262234 FJS262233:FJS262234 FTO262233:FTO262234 GDK262233:GDK262234 GNG262233:GNG262234 GXC262233:GXC262234 HGY262233:HGY262234 HQU262233:HQU262234 IAQ262233:IAQ262234 IKM262233:IKM262234 IUI262233:IUI262234 JEE262233:JEE262234 JOA262233:JOA262234 JXW262233:JXW262234 KHS262233:KHS262234 KRO262233:KRO262234 LBK262233:LBK262234 LLG262233:LLG262234 LVC262233:LVC262234 MEY262233:MEY262234 MOU262233:MOU262234 MYQ262233:MYQ262234 NIM262233:NIM262234 NSI262233:NSI262234 OCE262233:OCE262234 OMA262233:OMA262234 OVW262233:OVW262234 PFS262233:PFS262234 PPO262233:PPO262234 PZK262233:PZK262234 QJG262233:QJG262234 QTC262233:QTC262234 RCY262233:RCY262234 RMU262233:RMU262234 RWQ262233:RWQ262234 SGM262233:SGM262234 SQI262233:SQI262234 TAE262233:TAE262234 TKA262233:TKA262234 TTW262233:TTW262234 UDS262233:UDS262234 UNO262233:UNO262234 UXK262233:UXK262234 VHG262233:VHG262234 VRC262233:VRC262234 WAY262233:WAY262234 WKU262233:WKU262234 WUQ262233:WUQ262234 IE327769:IE327770 SA327769:SA327770 ABW327769:ABW327770 ALS327769:ALS327770 AVO327769:AVO327770 BFK327769:BFK327770 BPG327769:BPG327770 BZC327769:BZC327770 CIY327769:CIY327770 CSU327769:CSU327770 DCQ327769:DCQ327770 DMM327769:DMM327770 DWI327769:DWI327770 EGE327769:EGE327770 EQA327769:EQA327770 EZW327769:EZW327770 FJS327769:FJS327770 FTO327769:FTO327770 GDK327769:GDK327770 GNG327769:GNG327770 GXC327769:GXC327770 HGY327769:HGY327770 HQU327769:HQU327770 IAQ327769:IAQ327770 IKM327769:IKM327770 IUI327769:IUI327770 JEE327769:JEE327770 JOA327769:JOA327770 JXW327769:JXW327770 KHS327769:KHS327770 KRO327769:KRO327770 LBK327769:LBK327770 LLG327769:LLG327770 LVC327769:LVC327770 MEY327769:MEY327770 MOU327769:MOU327770 MYQ327769:MYQ327770 NIM327769:NIM327770 NSI327769:NSI327770 OCE327769:OCE327770 OMA327769:OMA327770 OVW327769:OVW327770 PFS327769:PFS327770 PPO327769:PPO327770 PZK327769:PZK327770 QJG327769:QJG327770 QTC327769:QTC327770 RCY327769:RCY327770 RMU327769:RMU327770 RWQ327769:RWQ327770 SGM327769:SGM327770 SQI327769:SQI327770 TAE327769:TAE327770 TKA327769:TKA327770 TTW327769:TTW327770 UDS327769:UDS327770 UNO327769:UNO327770 UXK327769:UXK327770 VHG327769:VHG327770 VRC327769:VRC327770 WAY327769:WAY327770 WKU327769:WKU327770 WUQ327769:WUQ327770 IE393305:IE393306 SA393305:SA393306 ABW393305:ABW393306 ALS393305:ALS393306 AVO393305:AVO393306 BFK393305:BFK393306 BPG393305:BPG393306 BZC393305:BZC393306 CIY393305:CIY393306 CSU393305:CSU393306 DCQ393305:DCQ393306 DMM393305:DMM393306 DWI393305:DWI393306 EGE393305:EGE393306 EQA393305:EQA393306 EZW393305:EZW393306 FJS393305:FJS393306 FTO393305:FTO393306 GDK393305:GDK393306 GNG393305:GNG393306 GXC393305:GXC393306 HGY393305:HGY393306 HQU393305:HQU393306 IAQ393305:IAQ393306 IKM393305:IKM393306 IUI393305:IUI393306 JEE393305:JEE393306 JOA393305:JOA393306 JXW393305:JXW393306 KHS393305:KHS393306 KRO393305:KRO393306 LBK393305:LBK393306 LLG393305:LLG393306 LVC393305:LVC393306 MEY393305:MEY393306 MOU393305:MOU393306 MYQ393305:MYQ393306 NIM393305:NIM393306 NSI393305:NSI393306 OCE393305:OCE393306 OMA393305:OMA393306 OVW393305:OVW393306 PFS393305:PFS393306 PPO393305:PPO393306 PZK393305:PZK393306 QJG393305:QJG393306 QTC393305:QTC393306 RCY393305:RCY393306 RMU393305:RMU393306 RWQ393305:RWQ393306 SGM393305:SGM393306 SQI393305:SQI393306 TAE393305:TAE393306 TKA393305:TKA393306 TTW393305:TTW393306 UDS393305:UDS393306 UNO393305:UNO393306 UXK393305:UXK393306 VHG393305:VHG393306 VRC393305:VRC393306 WAY393305:WAY393306 WKU393305:WKU393306 WUQ393305:WUQ393306 IE458841:IE458842 SA458841:SA458842 ABW458841:ABW458842 ALS458841:ALS458842 AVO458841:AVO458842 BFK458841:BFK458842 BPG458841:BPG458842 BZC458841:BZC458842 CIY458841:CIY458842 CSU458841:CSU458842 DCQ458841:DCQ458842 DMM458841:DMM458842 DWI458841:DWI458842 EGE458841:EGE458842 EQA458841:EQA458842 EZW458841:EZW458842 FJS458841:FJS458842 FTO458841:FTO458842 GDK458841:GDK458842 GNG458841:GNG458842 GXC458841:GXC458842 HGY458841:HGY458842 HQU458841:HQU458842 IAQ458841:IAQ458842 IKM458841:IKM458842 IUI458841:IUI458842 JEE458841:JEE458842 JOA458841:JOA458842 JXW458841:JXW458842 KHS458841:KHS458842 KRO458841:KRO458842 LBK458841:LBK458842 LLG458841:LLG458842 LVC458841:LVC458842 MEY458841:MEY458842 MOU458841:MOU458842 MYQ458841:MYQ458842 NIM458841:NIM458842 NSI458841:NSI458842 OCE458841:OCE458842 OMA458841:OMA458842 OVW458841:OVW458842 PFS458841:PFS458842 PPO458841:PPO458842 PZK458841:PZK458842 QJG458841:QJG458842 QTC458841:QTC458842 RCY458841:RCY458842 RMU458841:RMU458842 RWQ458841:RWQ458842 SGM458841:SGM458842 SQI458841:SQI458842 TAE458841:TAE458842 TKA458841:TKA458842 TTW458841:TTW458842 UDS458841:UDS458842 UNO458841:UNO458842 UXK458841:UXK458842 VHG458841:VHG458842 VRC458841:VRC458842 WAY458841:WAY458842 WKU458841:WKU458842 WUQ458841:WUQ458842 IE524377:IE524378 SA524377:SA524378 ABW524377:ABW524378 ALS524377:ALS524378 AVO524377:AVO524378 BFK524377:BFK524378 BPG524377:BPG524378 BZC524377:BZC524378 CIY524377:CIY524378 CSU524377:CSU524378 DCQ524377:DCQ524378 DMM524377:DMM524378 DWI524377:DWI524378 EGE524377:EGE524378 EQA524377:EQA524378 EZW524377:EZW524378 FJS524377:FJS524378 FTO524377:FTO524378 GDK524377:GDK524378 GNG524377:GNG524378 GXC524377:GXC524378 HGY524377:HGY524378 HQU524377:HQU524378 IAQ524377:IAQ524378 IKM524377:IKM524378 IUI524377:IUI524378 JEE524377:JEE524378 JOA524377:JOA524378 JXW524377:JXW524378 KHS524377:KHS524378 KRO524377:KRO524378 LBK524377:LBK524378 LLG524377:LLG524378 LVC524377:LVC524378 MEY524377:MEY524378 MOU524377:MOU524378 MYQ524377:MYQ524378 NIM524377:NIM524378 NSI524377:NSI524378 OCE524377:OCE524378 OMA524377:OMA524378 OVW524377:OVW524378 PFS524377:PFS524378 PPO524377:PPO524378 PZK524377:PZK524378 QJG524377:QJG524378 QTC524377:QTC524378 RCY524377:RCY524378 RMU524377:RMU524378 RWQ524377:RWQ524378 SGM524377:SGM524378 SQI524377:SQI524378 TAE524377:TAE524378 TKA524377:TKA524378 TTW524377:TTW524378 UDS524377:UDS524378 UNO524377:UNO524378 UXK524377:UXK524378 VHG524377:VHG524378 VRC524377:VRC524378 WAY524377:WAY524378 WKU524377:WKU524378 WUQ524377:WUQ524378 IE589913:IE589914 SA589913:SA589914 ABW589913:ABW589914 ALS589913:ALS589914 AVO589913:AVO589914 BFK589913:BFK589914 BPG589913:BPG589914 BZC589913:BZC589914 CIY589913:CIY589914 CSU589913:CSU589914 DCQ589913:DCQ589914 DMM589913:DMM589914 DWI589913:DWI589914 EGE589913:EGE589914 EQA589913:EQA589914 EZW589913:EZW589914 FJS589913:FJS589914 FTO589913:FTO589914 GDK589913:GDK589914 GNG589913:GNG589914 GXC589913:GXC589914 HGY589913:HGY589914 HQU589913:HQU589914 IAQ589913:IAQ589914 IKM589913:IKM589914 IUI589913:IUI589914 JEE589913:JEE589914 JOA589913:JOA589914 JXW589913:JXW589914 KHS589913:KHS589914 KRO589913:KRO589914 LBK589913:LBK589914 LLG589913:LLG589914 LVC589913:LVC589914 MEY589913:MEY589914 MOU589913:MOU589914 MYQ589913:MYQ589914 NIM589913:NIM589914 NSI589913:NSI589914 OCE589913:OCE589914 OMA589913:OMA589914 OVW589913:OVW589914 PFS589913:PFS589914 PPO589913:PPO589914 PZK589913:PZK589914 QJG589913:QJG589914 QTC589913:QTC589914 RCY589913:RCY589914 RMU589913:RMU589914 RWQ589913:RWQ589914 SGM589913:SGM589914 SQI589913:SQI589914 TAE589913:TAE589914 TKA589913:TKA589914 TTW589913:TTW589914 UDS589913:UDS589914 UNO589913:UNO589914 UXK589913:UXK589914 VHG589913:VHG589914 VRC589913:VRC589914 WAY589913:WAY589914 WKU589913:WKU589914 WUQ589913:WUQ589914 IE655449:IE655450 SA655449:SA655450 ABW655449:ABW655450 ALS655449:ALS655450 AVO655449:AVO655450 BFK655449:BFK655450 BPG655449:BPG655450 BZC655449:BZC655450 CIY655449:CIY655450 CSU655449:CSU655450 DCQ655449:DCQ655450 DMM655449:DMM655450 DWI655449:DWI655450 EGE655449:EGE655450 EQA655449:EQA655450 EZW655449:EZW655450 FJS655449:FJS655450 FTO655449:FTO655450 GDK655449:GDK655450 GNG655449:GNG655450 GXC655449:GXC655450 HGY655449:HGY655450 HQU655449:HQU655450 IAQ655449:IAQ655450 IKM655449:IKM655450 IUI655449:IUI655450 JEE655449:JEE655450 JOA655449:JOA655450 JXW655449:JXW655450 KHS655449:KHS655450 KRO655449:KRO655450 LBK655449:LBK655450 LLG655449:LLG655450 LVC655449:LVC655450 MEY655449:MEY655450 MOU655449:MOU655450 MYQ655449:MYQ655450 NIM655449:NIM655450 NSI655449:NSI655450 OCE655449:OCE655450 OMA655449:OMA655450 OVW655449:OVW655450 PFS655449:PFS655450 PPO655449:PPO655450 PZK655449:PZK655450 QJG655449:QJG655450 QTC655449:QTC655450 RCY655449:RCY655450 RMU655449:RMU655450 RWQ655449:RWQ655450 SGM655449:SGM655450 SQI655449:SQI655450 TAE655449:TAE655450 TKA655449:TKA655450 TTW655449:TTW655450 UDS655449:UDS655450 UNO655449:UNO655450 UXK655449:UXK655450 VHG655449:VHG655450 VRC655449:VRC655450 WAY655449:WAY655450 WKU655449:WKU655450 WUQ655449:WUQ655450 IE720985:IE720986 SA720985:SA720986 ABW720985:ABW720986 ALS720985:ALS720986 AVO720985:AVO720986 BFK720985:BFK720986 BPG720985:BPG720986 BZC720985:BZC720986 CIY720985:CIY720986 CSU720985:CSU720986 DCQ720985:DCQ720986 DMM720985:DMM720986 DWI720985:DWI720986 EGE720985:EGE720986 EQA720985:EQA720986 EZW720985:EZW720986 FJS720985:FJS720986 FTO720985:FTO720986 GDK720985:GDK720986 GNG720985:GNG720986 GXC720985:GXC720986 HGY720985:HGY720986 HQU720985:HQU720986 IAQ720985:IAQ720986 IKM720985:IKM720986 IUI720985:IUI720986 JEE720985:JEE720986 JOA720985:JOA720986 JXW720985:JXW720986 KHS720985:KHS720986 KRO720985:KRO720986 LBK720985:LBK720986 LLG720985:LLG720986 LVC720985:LVC720986 MEY720985:MEY720986 MOU720985:MOU720986 MYQ720985:MYQ720986 NIM720985:NIM720986 NSI720985:NSI720986 OCE720985:OCE720986 OMA720985:OMA720986 OVW720985:OVW720986 PFS720985:PFS720986 PPO720985:PPO720986 PZK720985:PZK720986 QJG720985:QJG720986 QTC720985:QTC720986 RCY720985:RCY720986 RMU720985:RMU720986 RWQ720985:RWQ720986 SGM720985:SGM720986 SQI720985:SQI720986 TAE720985:TAE720986 TKA720985:TKA720986 TTW720985:TTW720986 UDS720985:UDS720986 UNO720985:UNO720986 UXK720985:UXK720986 VHG720985:VHG720986 VRC720985:VRC720986 WAY720985:WAY720986 WKU720985:WKU720986 WUQ720985:WUQ720986 IE786521:IE786522 SA786521:SA786522 ABW786521:ABW786522 ALS786521:ALS786522 AVO786521:AVO786522 BFK786521:BFK786522 BPG786521:BPG786522 BZC786521:BZC786522 CIY786521:CIY786522 CSU786521:CSU786522 DCQ786521:DCQ786522 DMM786521:DMM786522 DWI786521:DWI786522 EGE786521:EGE786522 EQA786521:EQA786522 EZW786521:EZW786522 FJS786521:FJS786522 FTO786521:FTO786522 GDK786521:GDK786522 GNG786521:GNG786522 GXC786521:GXC786522 HGY786521:HGY786522 HQU786521:HQU786522 IAQ786521:IAQ786522 IKM786521:IKM786522 IUI786521:IUI786522 JEE786521:JEE786522 JOA786521:JOA786522 JXW786521:JXW786522 KHS786521:KHS786522 KRO786521:KRO786522 LBK786521:LBK786522 LLG786521:LLG786522 LVC786521:LVC786522 MEY786521:MEY786522 MOU786521:MOU786522 MYQ786521:MYQ786522 NIM786521:NIM786522 NSI786521:NSI786522 OCE786521:OCE786522 OMA786521:OMA786522 OVW786521:OVW786522 PFS786521:PFS786522 PPO786521:PPO786522 PZK786521:PZK786522 QJG786521:QJG786522 QTC786521:QTC786522 RCY786521:RCY786522 RMU786521:RMU786522 RWQ786521:RWQ786522 SGM786521:SGM786522 SQI786521:SQI786522 TAE786521:TAE786522 TKA786521:TKA786522 TTW786521:TTW786522 UDS786521:UDS786522 UNO786521:UNO786522 UXK786521:UXK786522 VHG786521:VHG786522 VRC786521:VRC786522 WAY786521:WAY786522 WKU786521:WKU786522 WUQ786521:WUQ786522 IE852057:IE852058 SA852057:SA852058 ABW852057:ABW852058 ALS852057:ALS852058 AVO852057:AVO852058 BFK852057:BFK852058 BPG852057:BPG852058 BZC852057:BZC852058 CIY852057:CIY852058 CSU852057:CSU852058 DCQ852057:DCQ852058 DMM852057:DMM852058 DWI852057:DWI852058 EGE852057:EGE852058 EQA852057:EQA852058 EZW852057:EZW852058 FJS852057:FJS852058 FTO852057:FTO852058 GDK852057:GDK852058 GNG852057:GNG852058 GXC852057:GXC852058 HGY852057:HGY852058 HQU852057:HQU852058 IAQ852057:IAQ852058 IKM852057:IKM852058 IUI852057:IUI852058 JEE852057:JEE852058 JOA852057:JOA852058 JXW852057:JXW852058 KHS852057:KHS852058 KRO852057:KRO852058 LBK852057:LBK852058 LLG852057:LLG852058 LVC852057:LVC852058 MEY852057:MEY852058 MOU852057:MOU852058 MYQ852057:MYQ852058 NIM852057:NIM852058 NSI852057:NSI852058 OCE852057:OCE852058 OMA852057:OMA852058 OVW852057:OVW852058 PFS852057:PFS852058 PPO852057:PPO852058 PZK852057:PZK852058 QJG852057:QJG852058 QTC852057:QTC852058 RCY852057:RCY852058 RMU852057:RMU852058 RWQ852057:RWQ852058 SGM852057:SGM852058 SQI852057:SQI852058 TAE852057:TAE852058 TKA852057:TKA852058 TTW852057:TTW852058 UDS852057:UDS852058 UNO852057:UNO852058 UXK852057:UXK852058 VHG852057:VHG852058 VRC852057:VRC852058 WAY852057:WAY852058 WKU852057:WKU852058 WUQ852057:WUQ852058 IE917593:IE917594 SA917593:SA917594 ABW917593:ABW917594 ALS917593:ALS917594 AVO917593:AVO917594 BFK917593:BFK917594 BPG917593:BPG917594 BZC917593:BZC917594 CIY917593:CIY917594 CSU917593:CSU917594 DCQ917593:DCQ917594 DMM917593:DMM917594 DWI917593:DWI917594 EGE917593:EGE917594 EQA917593:EQA917594 EZW917593:EZW917594 FJS917593:FJS917594 FTO917593:FTO917594 GDK917593:GDK917594 GNG917593:GNG917594 GXC917593:GXC917594 HGY917593:HGY917594 HQU917593:HQU917594 IAQ917593:IAQ917594 IKM917593:IKM917594 IUI917593:IUI917594 JEE917593:JEE917594 JOA917593:JOA917594 JXW917593:JXW917594 KHS917593:KHS917594 KRO917593:KRO917594 LBK917593:LBK917594 LLG917593:LLG917594 LVC917593:LVC917594 MEY917593:MEY917594 MOU917593:MOU917594 MYQ917593:MYQ917594 NIM917593:NIM917594 NSI917593:NSI917594 OCE917593:OCE917594 OMA917593:OMA917594 OVW917593:OVW917594 PFS917593:PFS917594 PPO917593:PPO917594 PZK917593:PZK917594 QJG917593:QJG917594 QTC917593:QTC917594 RCY917593:RCY917594 RMU917593:RMU917594 RWQ917593:RWQ917594 SGM917593:SGM917594 SQI917593:SQI917594 TAE917593:TAE917594 TKA917593:TKA917594 TTW917593:TTW917594 UDS917593:UDS917594 UNO917593:UNO917594 UXK917593:UXK917594 VHG917593:VHG917594 VRC917593:VRC917594 WAY917593:WAY917594 WKU917593:WKU917594 WUQ917593:WUQ917594 IE983129:IE983130 SA983129:SA983130 ABW983129:ABW983130 ALS983129:ALS983130 AVO983129:AVO983130 BFK983129:BFK983130 BPG983129:BPG983130 BZC983129:BZC983130 CIY983129:CIY983130 CSU983129:CSU983130 DCQ983129:DCQ983130 DMM983129:DMM983130 DWI983129:DWI983130 EGE983129:EGE983130 EQA983129:EQA983130 EZW983129:EZW983130 FJS983129:FJS983130 FTO983129:FTO983130 GDK983129:GDK983130 GNG983129:GNG983130 GXC983129:GXC983130 HGY983129:HGY983130 HQU983129:HQU983130 IAQ983129:IAQ983130 IKM983129:IKM983130 IUI983129:IUI983130 JEE983129:JEE983130 JOA983129:JOA983130 JXW983129:JXW983130 KHS983129:KHS983130 KRO983129:KRO983130 LBK983129:LBK983130 LLG983129:LLG983130 LVC983129:LVC983130 MEY983129:MEY983130 MOU983129:MOU983130 MYQ983129:MYQ983130 NIM983129:NIM983130 NSI983129:NSI983130 OCE983129:OCE983130 OMA983129:OMA983130 OVW983129:OVW983130 PFS983129:PFS983130 PPO983129:PPO983130 PZK983129:PZK983130 QJG983129:QJG983130 QTC983129:QTC983130 RCY983129:RCY983130 RMU983129:RMU983130 RWQ983129:RWQ983130 SGM983129:SGM983130 SQI983129:SQI983130 TAE983129:TAE983130 TKA983129:TKA983130 TTW983129:TTW983130 UDS983129:UDS983130 UNO983129:UNO983130 UXK983129:UXK983130 VHG983129:VHG983130 VRC983129:VRC983130 WAY983129:WAY983130 WKU983129:WKU983130 WUQ983129:WUQ983130 SA92:SA95 ABW92:ABW95 ALS92:ALS95 AVO92:AVO95 BFK92:BFK95 BPG92:BPG95 BZC92:BZC95 CIY92:CIY95 CSU92:CSU95 DCQ92:DCQ95 DMM92:DMM95 DWI92:DWI95 EGE92:EGE95 EQA92:EQA95 EZW92:EZW95 FJS92:FJS95 FTO92:FTO95 GDK92:GDK95 GNG92:GNG95 GXC92:GXC95 HGY92:HGY95 HQU92:HQU95 IAQ92:IAQ95 IKM92:IKM95 IUI92:IUI95 JEE92:JEE95 JOA92:JOA95 JXW92:JXW95 KHS92:KHS95 KRO92:KRO95 LBK92:LBK95 LLG92:LLG95 LVC92:LVC95 MEY92:MEY95 MOU92:MOU95 MYQ92:MYQ95 NIM92:NIM95 NSI92:NSI95 OCE92:OCE95 OMA92:OMA95 OVW92:OVW95 PFS92:PFS95 PPO92:PPO95 PZK92:PZK95 QJG92:QJG95 QTC92:QTC95 RCY92:RCY95 RMU92:RMU95 RWQ92:RWQ95 SGM92:SGM95 SQI92:SQI95 TAE92:TAE95 TKA92:TKA95 TTW92:TTW95 UDS92:UDS95 UNO92:UNO95 UXK92:UXK95 VHG92:VHG95 VRC92:VRC95 WAY92:WAY95 WKU92:WKU95 WUQ92:WUQ95 IE65628:IE65630 SA65628:SA65630 ABW65628:ABW65630 ALS65628:ALS65630 AVO65628:AVO65630 BFK65628:BFK65630 BPG65628:BPG65630 BZC65628:BZC65630 CIY65628:CIY65630 CSU65628:CSU65630 DCQ65628:DCQ65630 DMM65628:DMM65630 DWI65628:DWI65630 EGE65628:EGE65630 EQA65628:EQA65630 EZW65628:EZW65630 FJS65628:FJS65630 FTO65628:FTO65630 GDK65628:GDK65630 GNG65628:GNG65630 GXC65628:GXC65630 HGY65628:HGY65630 HQU65628:HQU65630 IAQ65628:IAQ65630 IKM65628:IKM65630 IUI65628:IUI65630 JEE65628:JEE65630 JOA65628:JOA65630 JXW65628:JXW65630 KHS65628:KHS65630 KRO65628:KRO65630 LBK65628:LBK65630 LLG65628:LLG65630 LVC65628:LVC65630 MEY65628:MEY65630 MOU65628:MOU65630 MYQ65628:MYQ65630 NIM65628:NIM65630 NSI65628:NSI65630 OCE65628:OCE65630 OMA65628:OMA65630 OVW65628:OVW65630 PFS65628:PFS65630 PPO65628:PPO65630 PZK65628:PZK65630 QJG65628:QJG65630 QTC65628:QTC65630 RCY65628:RCY65630 RMU65628:RMU65630 RWQ65628:RWQ65630 SGM65628:SGM65630 SQI65628:SQI65630 TAE65628:TAE65630 TKA65628:TKA65630 TTW65628:TTW65630 UDS65628:UDS65630 UNO65628:UNO65630 UXK65628:UXK65630 VHG65628:VHG65630 VRC65628:VRC65630 WAY65628:WAY65630 WKU65628:WKU65630 WUQ65628:WUQ65630 IE131164:IE131166 SA131164:SA131166 ABW131164:ABW131166 ALS131164:ALS131166 AVO131164:AVO131166 BFK131164:BFK131166 BPG131164:BPG131166 BZC131164:BZC131166 CIY131164:CIY131166 CSU131164:CSU131166 DCQ131164:DCQ131166 DMM131164:DMM131166 DWI131164:DWI131166 EGE131164:EGE131166 EQA131164:EQA131166 EZW131164:EZW131166 FJS131164:FJS131166 FTO131164:FTO131166 GDK131164:GDK131166 GNG131164:GNG131166 GXC131164:GXC131166 HGY131164:HGY131166 HQU131164:HQU131166 IAQ131164:IAQ131166 IKM131164:IKM131166 IUI131164:IUI131166 JEE131164:JEE131166 JOA131164:JOA131166 JXW131164:JXW131166 KHS131164:KHS131166 KRO131164:KRO131166 LBK131164:LBK131166 LLG131164:LLG131166 LVC131164:LVC131166 MEY131164:MEY131166 MOU131164:MOU131166 MYQ131164:MYQ131166 NIM131164:NIM131166 NSI131164:NSI131166 OCE131164:OCE131166 OMA131164:OMA131166 OVW131164:OVW131166 PFS131164:PFS131166 PPO131164:PPO131166 PZK131164:PZK131166 QJG131164:QJG131166 QTC131164:QTC131166 RCY131164:RCY131166 RMU131164:RMU131166 RWQ131164:RWQ131166 SGM131164:SGM131166 SQI131164:SQI131166 TAE131164:TAE131166 TKA131164:TKA131166 TTW131164:TTW131166 UDS131164:UDS131166 UNO131164:UNO131166 UXK131164:UXK131166 VHG131164:VHG131166 VRC131164:VRC131166 WAY131164:WAY131166 WKU131164:WKU131166 WUQ131164:WUQ131166 IE196700:IE196702 SA196700:SA196702 ABW196700:ABW196702 ALS196700:ALS196702 AVO196700:AVO196702 BFK196700:BFK196702 BPG196700:BPG196702 BZC196700:BZC196702 CIY196700:CIY196702 CSU196700:CSU196702 DCQ196700:DCQ196702 DMM196700:DMM196702 DWI196700:DWI196702 EGE196700:EGE196702 EQA196700:EQA196702 EZW196700:EZW196702 FJS196700:FJS196702 FTO196700:FTO196702 GDK196700:GDK196702 GNG196700:GNG196702 GXC196700:GXC196702 HGY196700:HGY196702 HQU196700:HQU196702 IAQ196700:IAQ196702 IKM196700:IKM196702 IUI196700:IUI196702 JEE196700:JEE196702 JOA196700:JOA196702 JXW196700:JXW196702 KHS196700:KHS196702 KRO196700:KRO196702 LBK196700:LBK196702 LLG196700:LLG196702 LVC196700:LVC196702 MEY196700:MEY196702 MOU196700:MOU196702 MYQ196700:MYQ196702 NIM196700:NIM196702 NSI196700:NSI196702 OCE196700:OCE196702 OMA196700:OMA196702 OVW196700:OVW196702 PFS196700:PFS196702 PPO196700:PPO196702 PZK196700:PZK196702 QJG196700:QJG196702 QTC196700:QTC196702 RCY196700:RCY196702 RMU196700:RMU196702 RWQ196700:RWQ196702 SGM196700:SGM196702 SQI196700:SQI196702 TAE196700:TAE196702 TKA196700:TKA196702 TTW196700:TTW196702 UDS196700:UDS196702 UNO196700:UNO196702 UXK196700:UXK196702 VHG196700:VHG196702 VRC196700:VRC196702 WAY196700:WAY196702 WKU196700:WKU196702 WUQ196700:WUQ196702 IE262236:IE262238 SA262236:SA262238 ABW262236:ABW262238 ALS262236:ALS262238 AVO262236:AVO262238 BFK262236:BFK262238 BPG262236:BPG262238 BZC262236:BZC262238 CIY262236:CIY262238 CSU262236:CSU262238 DCQ262236:DCQ262238 DMM262236:DMM262238 DWI262236:DWI262238 EGE262236:EGE262238 EQA262236:EQA262238 EZW262236:EZW262238 FJS262236:FJS262238 FTO262236:FTO262238 GDK262236:GDK262238 GNG262236:GNG262238 GXC262236:GXC262238 HGY262236:HGY262238 HQU262236:HQU262238 IAQ262236:IAQ262238 IKM262236:IKM262238 IUI262236:IUI262238 JEE262236:JEE262238 JOA262236:JOA262238 JXW262236:JXW262238 KHS262236:KHS262238 KRO262236:KRO262238 LBK262236:LBK262238 LLG262236:LLG262238 LVC262236:LVC262238 MEY262236:MEY262238 MOU262236:MOU262238 MYQ262236:MYQ262238 NIM262236:NIM262238 NSI262236:NSI262238 OCE262236:OCE262238 OMA262236:OMA262238 OVW262236:OVW262238 PFS262236:PFS262238 PPO262236:PPO262238 PZK262236:PZK262238 QJG262236:QJG262238 QTC262236:QTC262238 RCY262236:RCY262238 RMU262236:RMU262238 RWQ262236:RWQ262238 SGM262236:SGM262238 SQI262236:SQI262238 TAE262236:TAE262238 TKA262236:TKA262238 TTW262236:TTW262238 UDS262236:UDS262238 UNO262236:UNO262238 UXK262236:UXK262238 VHG262236:VHG262238 VRC262236:VRC262238 WAY262236:WAY262238 WKU262236:WKU262238 WUQ262236:WUQ262238 IE327772:IE327774 SA327772:SA327774 ABW327772:ABW327774 ALS327772:ALS327774 AVO327772:AVO327774 BFK327772:BFK327774 BPG327772:BPG327774 BZC327772:BZC327774 CIY327772:CIY327774 CSU327772:CSU327774 DCQ327772:DCQ327774 DMM327772:DMM327774 DWI327772:DWI327774 EGE327772:EGE327774 EQA327772:EQA327774 EZW327772:EZW327774 FJS327772:FJS327774 FTO327772:FTO327774 GDK327772:GDK327774 GNG327772:GNG327774 GXC327772:GXC327774 HGY327772:HGY327774 HQU327772:HQU327774 IAQ327772:IAQ327774 IKM327772:IKM327774 IUI327772:IUI327774 JEE327772:JEE327774 JOA327772:JOA327774 JXW327772:JXW327774 KHS327772:KHS327774 KRO327772:KRO327774 LBK327772:LBK327774 LLG327772:LLG327774 LVC327772:LVC327774 MEY327772:MEY327774 MOU327772:MOU327774 MYQ327772:MYQ327774 NIM327772:NIM327774 NSI327772:NSI327774 OCE327772:OCE327774 OMA327772:OMA327774 OVW327772:OVW327774 PFS327772:PFS327774 PPO327772:PPO327774 PZK327772:PZK327774 QJG327772:QJG327774 QTC327772:QTC327774 RCY327772:RCY327774 RMU327772:RMU327774 RWQ327772:RWQ327774 SGM327772:SGM327774 SQI327772:SQI327774 TAE327772:TAE327774 TKA327772:TKA327774 TTW327772:TTW327774 UDS327772:UDS327774 UNO327772:UNO327774 UXK327772:UXK327774 VHG327772:VHG327774 VRC327772:VRC327774 WAY327772:WAY327774 WKU327772:WKU327774 WUQ327772:WUQ327774 IE393308:IE393310 SA393308:SA393310 ABW393308:ABW393310 ALS393308:ALS393310 AVO393308:AVO393310 BFK393308:BFK393310 BPG393308:BPG393310 BZC393308:BZC393310 CIY393308:CIY393310 CSU393308:CSU393310 DCQ393308:DCQ393310 DMM393308:DMM393310 DWI393308:DWI393310 EGE393308:EGE393310 EQA393308:EQA393310 EZW393308:EZW393310 FJS393308:FJS393310 FTO393308:FTO393310 GDK393308:GDK393310 GNG393308:GNG393310 GXC393308:GXC393310 HGY393308:HGY393310 HQU393308:HQU393310 IAQ393308:IAQ393310 IKM393308:IKM393310 IUI393308:IUI393310 JEE393308:JEE393310 JOA393308:JOA393310 JXW393308:JXW393310 KHS393308:KHS393310 KRO393308:KRO393310 LBK393308:LBK393310 LLG393308:LLG393310 LVC393308:LVC393310 MEY393308:MEY393310 MOU393308:MOU393310 MYQ393308:MYQ393310 NIM393308:NIM393310 NSI393308:NSI393310 OCE393308:OCE393310 OMA393308:OMA393310 OVW393308:OVW393310 PFS393308:PFS393310 PPO393308:PPO393310 PZK393308:PZK393310 QJG393308:QJG393310 QTC393308:QTC393310 RCY393308:RCY393310 RMU393308:RMU393310 RWQ393308:RWQ393310 SGM393308:SGM393310 SQI393308:SQI393310 TAE393308:TAE393310 TKA393308:TKA393310 TTW393308:TTW393310 UDS393308:UDS393310 UNO393308:UNO393310 UXK393308:UXK393310 VHG393308:VHG393310 VRC393308:VRC393310 WAY393308:WAY393310 WKU393308:WKU393310 WUQ393308:WUQ393310 IE458844:IE458846 SA458844:SA458846 ABW458844:ABW458846 ALS458844:ALS458846 AVO458844:AVO458846 BFK458844:BFK458846 BPG458844:BPG458846 BZC458844:BZC458846 CIY458844:CIY458846 CSU458844:CSU458846 DCQ458844:DCQ458846 DMM458844:DMM458846 DWI458844:DWI458846 EGE458844:EGE458846 EQA458844:EQA458846 EZW458844:EZW458846 FJS458844:FJS458846 FTO458844:FTO458846 GDK458844:GDK458846 GNG458844:GNG458846 GXC458844:GXC458846 HGY458844:HGY458846 HQU458844:HQU458846 IAQ458844:IAQ458846 IKM458844:IKM458846 IUI458844:IUI458846 JEE458844:JEE458846 JOA458844:JOA458846 JXW458844:JXW458846 KHS458844:KHS458846 KRO458844:KRO458846 LBK458844:LBK458846 LLG458844:LLG458846 LVC458844:LVC458846 MEY458844:MEY458846 MOU458844:MOU458846 MYQ458844:MYQ458846 NIM458844:NIM458846 NSI458844:NSI458846 OCE458844:OCE458846 OMA458844:OMA458846 OVW458844:OVW458846 PFS458844:PFS458846 PPO458844:PPO458846 PZK458844:PZK458846 QJG458844:QJG458846 QTC458844:QTC458846 RCY458844:RCY458846 RMU458844:RMU458846 RWQ458844:RWQ458846 SGM458844:SGM458846 SQI458844:SQI458846 TAE458844:TAE458846 TKA458844:TKA458846 TTW458844:TTW458846 UDS458844:UDS458846 UNO458844:UNO458846 UXK458844:UXK458846 VHG458844:VHG458846 VRC458844:VRC458846 WAY458844:WAY458846 WKU458844:WKU458846 WUQ458844:WUQ458846 IE524380:IE524382 SA524380:SA524382 ABW524380:ABW524382 ALS524380:ALS524382 AVO524380:AVO524382 BFK524380:BFK524382 BPG524380:BPG524382 BZC524380:BZC524382 CIY524380:CIY524382 CSU524380:CSU524382 DCQ524380:DCQ524382 DMM524380:DMM524382 DWI524380:DWI524382 EGE524380:EGE524382 EQA524380:EQA524382 EZW524380:EZW524382 FJS524380:FJS524382 FTO524380:FTO524382 GDK524380:GDK524382 GNG524380:GNG524382 GXC524380:GXC524382 HGY524380:HGY524382 HQU524380:HQU524382 IAQ524380:IAQ524382 IKM524380:IKM524382 IUI524380:IUI524382 JEE524380:JEE524382 JOA524380:JOA524382 JXW524380:JXW524382 KHS524380:KHS524382 KRO524380:KRO524382 LBK524380:LBK524382 LLG524380:LLG524382 LVC524380:LVC524382 MEY524380:MEY524382 MOU524380:MOU524382 MYQ524380:MYQ524382 NIM524380:NIM524382 NSI524380:NSI524382 OCE524380:OCE524382 OMA524380:OMA524382 OVW524380:OVW524382 PFS524380:PFS524382 PPO524380:PPO524382 PZK524380:PZK524382 QJG524380:QJG524382 QTC524380:QTC524382 RCY524380:RCY524382 RMU524380:RMU524382 RWQ524380:RWQ524382 SGM524380:SGM524382 SQI524380:SQI524382 TAE524380:TAE524382 TKA524380:TKA524382 TTW524380:TTW524382 UDS524380:UDS524382 UNO524380:UNO524382 UXK524380:UXK524382 VHG524380:VHG524382 VRC524380:VRC524382 WAY524380:WAY524382 WKU524380:WKU524382 WUQ524380:WUQ524382 IE589916:IE589918 SA589916:SA589918 ABW589916:ABW589918 ALS589916:ALS589918 AVO589916:AVO589918 BFK589916:BFK589918 BPG589916:BPG589918 BZC589916:BZC589918 CIY589916:CIY589918 CSU589916:CSU589918 DCQ589916:DCQ589918 DMM589916:DMM589918 DWI589916:DWI589918 EGE589916:EGE589918 EQA589916:EQA589918 EZW589916:EZW589918 FJS589916:FJS589918 FTO589916:FTO589918 GDK589916:GDK589918 GNG589916:GNG589918 GXC589916:GXC589918 HGY589916:HGY589918 HQU589916:HQU589918 IAQ589916:IAQ589918 IKM589916:IKM589918 IUI589916:IUI589918 JEE589916:JEE589918 JOA589916:JOA589918 JXW589916:JXW589918 KHS589916:KHS589918 KRO589916:KRO589918 LBK589916:LBK589918 LLG589916:LLG589918 LVC589916:LVC589918 MEY589916:MEY589918 MOU589916:MOU589918 MYQ589916:MYQ589918 NIM589916:NIM589918 NSI589916:NSI589918 OCE589916:OCE589918 OMA589916:OMA589918 OVW589916:OVW589918 PFS589916:PFS589918 PPO589916:PPO589918 PZK589916:PZK589918 QJG589916:QJG589918 QTC589916:QTC589918 RCY589916:RCY589918 RMU589916:RMU589918 RWQ589916:RWQ589918 SGM589916:SGM589918 SQI589916:SQI589918 TAE589916:TAE589918 TKA589916:TKA589918 TTW589916:TTW589918 UDS589916:UDS589918 UNO589916:UNO589918 UXK589916:UXK589918 VHG589916:VHG589918 VRC589916:VRC589918 WAY589916:WAY589918 WKU589916:WKU589918 WUQ589916:WUQ589918 IE655452:IE655454 SA655452:SA655454 ABW655452:ABW655454 ALS655452:ALS655454 AVO655452:AVO655454 BFK655452:BFK655454 BPG655452:BPG655454 BZC655452:BZC655454 CIY655452:CIY655454 CSU655452:CSU655454 DCQ655452:DCQ655454 DMM655452:DMM655454 DWI655452:DWI655454 EGE655452:EGE655454 EQA655452:EQA655454 EZW655452:EZW655454 FJS655452:FJS655454 FTO655452:FTO655454 GDK655452:GDK655454 GNG655452:GNG655454 GXC655452:GXC655454 HGY655452:HGY655454 HQU655452:HQU655454 IAQ655452:IAQ655454 IKM655452:IKM655454 IUI655452:IUI655454 JEE655452:JEE655454 JOA655452:JOA655454 JXW655452:JXW655454 KHS655452:KHS655454 KRO655452:KRO655454 LBK655452:LBK655454 LLG655452:LLG655454 LVC655452:LVC655454 MEY655452:MEY655454 MOU655452:MOU655454 MYQ655452:MYQ655454 NIM655452:NIM655454 NSI655452:NSI655454 OCE655452:OCE655454 OMA655452:OMA655454 OVW655452:OVW655454 PFS655452:PFS655454 PPO655452:PPO655454 PZK655452:PZK655454 QJG655452:QJG655454 QTC655452:QTC655454 RCY655452:RCY655454 RMU655452:RMU655454 RWQ655452:RWQ655454 SGM655452:SGM655454 SQI655452:SQI655454 TAE655452:TAE655454 TKA655452:TKA655454 TTW655452:TTW655454 UDS655452:UDS655454 UNO655452:UNO655454 UXK655452:UXK655454 VHG655452:VHG655454 VRC655452:VRC655454 WAY655452:WAY655454 WKU655452:WKU655454 WUQ655452:WUQ655454 IE720988:IE720990 SA720988:SA720990 ABW720988:ABW720990 ALS720988:ALS720990 AVO720988:AVO720990 BFK720988:BFK720990 BPG720988:BPG720990 BZC720988:BZC720990 CIY720988:CIY720990 CSU720988:CSU720990 DCQ720988:DCQ720990 DMM720988:DMM720990 DWI720988:DWI720990 EGE720988:EGE720990 EQA720988:EQA720990 EZW720988:EZW720990 FJS720988:FJS720990 FTO720988:FTO720990 GDK720988:GDK720990 GNG720988:GNG720990 GXC720988:GXC720990 HGY720988:HGY720990 HQU720988:HQU720990 IAQ720988:IAQ720990 IKM720988:IKM720990 IUI720988:IUI720990 JEE720988:JEE720990 JOA720988:JOA720990 JXW720988:JXW720990 KHS720988:KHS720990 KRO720988:KRO720990 LBK720988:LBK720990 LLG720988:LLG720990 LVC720988:LVC720990 MEY720988:MEY720990 MOU720988:MOU720990 MYQ720988:MYQ720990 NIM720988:NIM720990 NSI720988:NSI720990 OCE720988:OCE720990 OMA720988:OMA720990 OVW720988:OVW720990 PFS720988:PFS720990 PPO720988:PPO720990 PZK720988:PZK720990 QJG720988:QJG720990 QTC720988:QTC720990 RCY720988:RCY720990 RMU720988:RMU720990 RWQ720988:RWQ720990 SGM720988:SGM720990 SQI720988:SQI720990 TAE720988:TAE720990 TKA720988:TKA720990 TTW720988:TTW720990 UDS720988:UDS720990 UNO720988:UNO720990 UXK720988:UXK720990 VHG720988:VHG720990 VRC720988:VRC720990 WAY720988:WAY720990 WKU720988:WKU720990 WUQ720988:WUQ720990 IE786524:IE786526 SA786524:SA786526 ABW786524:ABW786526 ALS786524:ALS786526 AVO786524:AVO786526 BFK786524:BFK786526 BPG786524:BPG786526 BZC786524:BZC786526 CIY786524:CIY786526 CSU786524:CSU786526 DCQ786524:DCQ786526 DMM786524:DMM786526 DWI786524:DWI786526 EGE786524:EGE786526 EQA786524:EQA786526 EZW786524:EZW786526 FJS786524:FJS786526 FTO786524:FTO786526 GDK786524:GDK786526 GNG786524:GNG786526 GXC786524:GXC786526 HGY786524:HGY786526 HQU786524:HQU786526 IAQ786524:IAQ786526 IKM786524:IKM786526 IUI786524:IUI786526 JEE786524:JEE786526 JOA786524:JOA786526 JXW786524:JXW786526 KHS786524:KHS786526 KRO786524:KRO786526 LBK786524:LBK786526 LLG786524:LLG786526 LVC786524:LVC786526 MEY786524:MEY786526 MOU786524:MOU786526 MYQ786524:MYQ786526 NIM786524:NIM786526 NSI786524:NSI786526 OCE786524:OCE786526 OMA786524:OMA786526 OVW786524:OVW786526 PFS786524:PFS786526 PPO786524:PPO786526 PZK786524:PZK786526 QJG786524:QJG786526 QTC786524:QTC786526 RCY786524:RCY786526 RMU786524:RMU786526 RWQ786524:RWQ786526 SGM786524:SGM786526 SQI786524:SQI786526 TAE786524:TAE786526 TKA786524:TKA786526 TTW786524:TTW786526 UDS786524:UDS786526 UNO786524:UNO786526 UXK786524:UXK786526 VHG786524:VHG786526 VRC786524:VRC786526 WAY786524:WAY786526 WKU786524:WKU786526 WUQ786524:WUQ786526 IE852060:IE852062 SA852060:SA852062 ABW852060:ABW852062 ALS852060:ALS852062 AVO852060:AVO852062 BFK852060:BFK852062 BPG852060:BPG852062 BZC852060:BZC852062 CIY852060:CIY852062 CSU852060:CSU852062 DCQ852060:DCQ852062 DMM852060:DMM852062 DWI852060:DWI852062 EGE852060:EGE852062 EQA852060:EQA852062 EZW852060:EZW852062 FJS852060:FJS852062 FTO852060:FTO852062 GDK852060:GDK852062 GNG852060:GNG852062 GXC852060:GXC852062 HGY852060:HGY852062 HQU852060:HQU852062 IAQ852060:IAQ852062 IKM852060:IKM852062 IUI852060:IUI852062 JEE852060:JEE852062 JOA852060:JOA852062 JXW852060:JXW852062 KHS852060:KHS852062 KRO852060:KRO852062 LBK852060:LBK852062 LLG852060:LLG852062 LVC852060:LVC852062 MEY852060:MEY852062 MOU852060:MOU852062 MYQ852060:MYQ852062 NIM852060:NIM852062 NSI852060:NSI852062 OCE852060:OCE852062 OMA852060:OMA852062 OVW852060:OVW852062 PFS852060:PFS852062 PPO852060:PPO852062 PZK852060:PZK852062 QJG852060:QJG852062 QTC852060:QTC852062 RCY852060:RCY852062 RMU852060:RMU852062 RWQ852060:RWQ852062 SGM852060:SGM852062 SQI852060:SQI852062 TAE852060:TAE852062 TKA852060:TKA852062 TTW852060:TTW852062 UDS852060:UDS852062 UNO852060:UNO852062 UXK852060:UXK852062 VHG852060:VHG852062 VRC852060:VRC852062 WAY852060:WAY852062 WKU852060:WKU852062 WUQ852060:WUQ852062 IE917596:IE917598 SA917596:SA917598 ABW917596:ABW917598 ALS917596:ALS917598 AVO917596:AVO917598 BFK917596:BFK917598 BPG917596:BPG917598 BZC917596:BZC917598 CIY917596:CIY917598 CSU917596:CSU917598 DCQ917596:DCQ917598 DMM917596:DMM917598 DWI917596:DWI917598 EGE917596:EGE917598 EQA917596:EQA917598 EZW917596:EZW917598 FJS917596:FJS917598 FTO917596:FTO917598 GDK917596:GDK917598 GNG917596:GNG917598 GXC917596:GXC917598 HGY917596:HGY917598 HQU917596:HQU917598 IAQ917596:IAQ917598 IKM917596:IKM917598 IUI917596:IUI917598 JEE917596:JEE917598 JOA917596:JOA917598 JXW917596:JXW917598 KHS917596:KHS917598 KRO917596:KRO917598 LBK917596:LBK917598 LLG917596:LLG917598 LVC917596:LVC917598 MEY917596:MEY917598 MOU917596:MOU917598 MYQ917596:MYQ917598 NIM917596:NIM917598 NSI917596:NSI917598 OCE917596:OCE917598 OMA917596:OMA917598 OVW917596:OVW917598 PFS917596:PFS917598 PPO917596:PPO917598 PZK917596:PZK917598 QJG917596:QJG917598 QTC917596:QTC917598 RCY917596:RCY917598 RMU917596:RMU917598 RWQ917596:RWQ917598 SGM917596:SGM917598 SQI917596:SQI917598 TAE917596:TAE917598 TKA917596:TKA917598 TTW917596:TTW917598 UDS917596:UDS917598 UNO917596:UNO917598 UXK917596:UXK917598 VHG917596:VHG917598 VRC917596:VRC917598 WAY917596:WAY917598 WKU917596:WKU917598 WUQ917596:WUQ917598 IE983132:IE983134 SA983132:SA983134 ABW983132:ABW983134 ALS983132:ALS983134 AVO983132:AVO983134 BFK983132:BFK983134 BPG983132:BPG983134 BZC983132:BZC983134 CIY983132:CIY983134 CSU983132:CSU983134 DCQ983132:DCQ983134 DMM983132:DMM983134 DWI983132:DWI983134 EGE983132:EGE983134 EQA983132:EQA983134 EZW983132:EZW983134 FJS983132:FJS983134 FTO983132:FTO983134 GDK983132:GDK983134 GNG983132:GNG983134 GXC983132:GXC983134 HGY983132:HGY983134 HQU983132:HQU983134 IAQ983132:IAQ983134 IKM983132:IKM983134 IUI983132:IUI983134 JEE983132:JEE983134 JOA983132:JOA983134 JXW983132:JXW983134 KHS983132:KHS983134 KRO983132:KRO983134 LBK983132:LBK983134 LLG983132:LLG983134 LVC983132:LVC983134 MEY983132:MEY983134 MOU983132:MOU983134 MYQ983132:MYQ983134 NIM983132:NIM983134 NSI983132:NSI983134 OCE983132:OCE983134 OMA983132:OMA983134 OVW983132:OVW983134 PFS983132:PFS983134 PPO983132:PPO983134 PZK983132:PZK983134 QJG983132:QJG983134 QTC983132:QTC983134 RCY983132:RCY983134 RMU983132:RMU983134 RWQ983132:RWQ983134 SGM983132:SGM983134 SQI983132:SQI983134 TAE983132:TAE983134 TKA983132:TKA983134 TTW983132:TTW983134 UDS983132:UDS983134 UNO983132:UNO983134 UXK983132:UXK983134 VHG983132:VHG983134 VRC983132:VRC983134 WAY983132:WAY983134 WKU983132:WKU983134 WUQ983132:WUQ983134 IE92:IE95 IE6:IE87 WUQ6:WUQ87 WKU6:WKU87 WAY6:WAY87 VRC6:VRC87 VHG6:VHG87 UXK6:UXK87 UNO6:UNO87 UDS6:UDS87 TTW6:TTW87 TKA6:TKA87 TAE6:TAE87 SQI6:SQI87 SGM6:SGM87 RWQ6:RWQ87 RMU6:RMU87 RCY6:RCY87 QTC6:QTC87 QJG6:QJG87 PZK6:PZK87 PPO6:PPO87 PFS6:PFS87 OVW6:OVW87 OMA6:OMA87 OCE6:OCE87 NSI6:NSI87 NIM6:NIM87 MYQ6:MYQ87 MOU6:MOU87 MEY6:MEY87 LVC6:LVC87 LLG6:LLG87 LBK6:LBK87 KRO6:KRO87 KHS6:KHS87 JXW6:JXW87 JOA6:JOA87 JEE6:JEE87 IUI6:IUI87 IKM6:IKM87 IAQ6:IAQ87 HQU6:HQU87 HGY6:HGY87 GXC6:GXC87 GNG6:GNG87 GDK6:GDK87 FTO6:FTO87 FJS6:FJS87 EZW6:EZW87 EQA6:EQA87 EGE6:EGE87 DWI6:DWI87 DMM6:DMM87 DCQ6:DCQ87 CSU6:CSU87 CIY6:CIY87 BZC6:BZC87 BPG6:BPG87 BFK6:BFK87 AVO6:AVO87 ALS6:ALS87 ABW6:ABW87 SA6:SA87" xr:uid="{00000000-0002-0000-0A00-000000000000}">
      <formula1>"転記,自動"</formula1>
    </dataValidation>
    <dataValidation type="list" allowBlank="1" showInputMessage="1" showErrorMessage="1" sqref="ID65585:ID65623 RZ65585:RZ65623 ABV65585:ABV65623 ALR65585:ALR65623 AVN65585:AVN65623 BFJ65585:BFJ65623 BPF65585:BPF65623 BZB65585:BZB65623 CIX65585:CIX65623 CST65585:CST65623 DCP65585:DCP65623 DML65585:DML65623 DWH65585:DWH65623 EGD65585:EGD65623 EPZ65585:EPZ65623 EZV65585:EZV65623 FJR65585:FJR65623 FTN65585:FTN65623 GDJ65585:GDJ65623 GNF65585:GNF65623 GXB65585:GXB65623 HGX65585:HGX65623 HQT65585:HQT65623 IAP65585:IAP65623 IKL65585:IKL65623 IUH65585:IUH65623 JED65585:JED65623 JNZ65585:JNZ65623 JXV65585:JXV65623 KHR65585:KHR65623 KRN65585:KRN65623 LBJ65585:LBJ65623 LLF65585:LLF65623 LVB65585:LVB65623 MEX65585:MEX65623 MOT65585:MOT65623 MYP65585:MYP65623 NIL65585:NIL65623 NSH65585:NSH65623 OCD65585:OCD65623 OLZ65585:OLZ65623 OVV65585:OVV65623 PFR65585:PFR65623 PPN65585:PPN65623 PZJ65585:PZJ65623 QJF65585:QJF65623 QTB65585:QTB65623 RCX65585:RCX65623 RMT65585:RMT65623 RWP65585:RWP65623 SGL65585:SGL65623 SQH65585:SQH65623 TAD65585:TAD65623 TJZ65585:TJZ65623 TTV65585:TTV65623 UDR65585:UDR65623 UNN65585:UNN65623 UXJ65585:UXJ65623 VHF65585:VHF65623 VRB65585:VRB65623 WAX65585:WAX65623 WKT65585:WKT65623 WUP65585:WUP65623 ID131121:ID131159 RZ131121:RZ131159 ABV131121:ABV131159 ALR131121:ALR131159 AVN131121:AVN131159 BFJ131121:BFJ131159 BPF131121:BPF131159 BZB131121:BZB131159 CIX131121:CIX131159 CST131121:CST131159 DCP131121:DCP131159 DML131121:DML131159 DWH131121:DWH131159 EGD131121:EGD131159 EPZ131121:EPZ131159 EZV131121:EZV131159 FJR131121:FJR131159 FTN131121:FTN131159 GDJ131121:GDJ131159 GNF131121:GNF131159 GXB131121:GXB131159 HGX131121:HGX131159 HQT131121:HQT131159 IAP131121:IAP131159 IKL131121:IKL131159 IUH131121:IUH131159 JED131121:JED131159 JNZ131121:JNZ131159 JXV131121:JXV131159 KHR131121:KHR131159 KRN131121:KRN131159 LBJ131121:LBJ131159 LLF131121:LLF131159 LVB131121:LVB131159 MEX131121:MEX131159 MOT131121:MOT131159 MYP131121:MYP131159 NIL131121:NIL131159 NSH131121:NSH131159 OCD131121:OCD131159 OLZ131121:OLZ131159 OVV131121:OVV131159 PFR131121:PFR131159 PPN131121:PPN131159 PZJ131121:PZJ131159 QJF131121:QJF131159 QTB131121:QTB131159 RCX131121:RCX131159 RMT131121:RMT131159 RWP131121:RWP131159 SGL131121:SGL131159 SQH131121:SQH131159 TAD131121:TAD131159 TJZ131121:TJZ131159 TTV131121:TTV131159 UDR131121:UDR131159 UNN131121:UNN131159 UXJ131121:UXJ131159 VHF131121:VHF131159 VRB131121:VRB131159 WAX131121:WAX131159 WKT131121:WKT131159 WUP131121:WUP131159 ID196657:ID196695 RZ196657:RZ196695 ABV196657:ABV196695 ALR196657:ALR196695 AVN196657:AVN196695 BFJ196657:BFJ196695 BPF196657:BPF196695 BZB196657:BZB196695 CIX196657:CIX196695 CST196657:CST196695 DCP196657:DCP196695 DML196657:DML196695 DWH196657:DWH196695 EGD196657:EGD196695 EPZ196657:EPZ196695 EZV196657:EZV196695 FJR196657:FJR196695 FTN196657:FTN196695 GDJ196657:GDJ196695 GNF196657:GNF196695 GXB196657:GXB196695 HGX196657:HGX196695 HQT196657:HQT196695 IAP196657:IAP196695 IKL196657:IKL196695 IUH196657:IUH196695 JED196657:JED196695 JNZ196657:JNZ196695 JXV196657:JXV196695 KHR196657:KHR196695 KRN196657:KRN196695 LBJ196657:LBJ196695 LLF196657:LLF196695 LVB196657:LVB196695 MEX196657:MEX196695 MOT196657:MOT196695 MYP196657:MYP196695 NIL196657:NIL196695 NSH196657:NSH196695 OCD196657:OCD196695 OLZ196657:OLZ196695 OVV196657:OVV196695 PFR196657:PFR196695 PPN196657:PPN196695 PZJ196657:PZJ196695 QJF196657:QJF196695 QTB196657:QTB196695 RCX196657:RCX196695 RMT196657:RMT196695 RWP196657:RWP196695 SGL196657:SGL196695 SQH196657:SQH196695 TAD196657:TAD196695 TJZ196657:TJZ196695 TTV196657:TTV196695 UDR196657:UDR196695 UNN196657:UNN196695 UXJ196657:UXJ196695 VHF196657:VHF196695 VRB196657:VRB196695 WAX196657:WAX196695 WKT196657:WKT196695 WUP196657:WUP196695 ID262193:ID262231 RZ262193:RZ262231 ABV262193:ABV262231 ALR262193:ALR262231 AVN262193:AVN262231 BFJ262193:BFJ262231 BPF262193:BPF262231 BZB262193:BZB262231 CIX262193:CIX262231 CST262193:CST262231 DCP262193:DCP262231 DML262193:DML262231 DWH262193:DWH262231 EGD262193:EGD262231 EPZ262193:EPZ262231 EZV262193:EZV262231 FJR262193:FJR262231 FTN262193:FTN262231 GDJ262193:GDJ262231 GNF262193:GNF262231 GXB262193:GXB262231 HGX262193:HGX262231 HQT262193:HQT262231 IAP262193:IAP262231 IKL262193:IKL262231 IUH262193:IUH262231 JED262193:JED262231 JNZ262193:JNZ262231 JXV262193:JXV262231 KHR262193:KHR262231 KRN262193:KRN262231 LBJ262193:LBJ262231 LLF262193:LLF262231 LVB262193:LVB262231 MEX262193:MEX262231 MOT262193:MOT262231 MYP262193:MYP262231 NIL262193:NIL262231 NSH262193:NSH262231 OCD262193:OCD262231 OLZ262193:OLZ262231 OVV262193:OVV262231 PFR262193:PFR262231 PPN262193:PPN262231 PZJ262193:PZJ262231 QJF262193:QJF262231 QTB262193:QTB262231 RCX262193:RCX262231 RMT262193:RMT262231 RWP262193:RWP262231 SGL262193:SGL262231 SQH262193:SQH262231 TAD262193:TAD262231 TJZ262193:TJZ262231 TTV262193:TTV262231 UDR262193:UDR262231 UNN262193:UNN262231 UXJ262193:UXJ262231 VHF262193:VHF262231 VRB262193:VRB262231 WAX262193:WAX262231 WKT262193:WKT262231 WUP262193:WUP262231 ID327729:ID327767 RZ327729:RZ327767 ABV327729:ABV327767 ALR327729:ALR327767 AVN327729:AVN327767 BFJ327729:BFJ327767 BPF327729:BPF327767 BZB327729:BZB327767 CIX327729:CIX327767 CST327729:CST327767 DCP327729:DCP327767 DML327729:DML327767 DWH327729:DWH327767 EGD327729:EGD327767 EPZ327729:EPZ327767 EZV327729:EZV327767 FJR327729:FJR327767 FTN327729:FTN327767 GDJ327729:GDJ327767 GNF327729:GNF327767 GXB327729:GXB327767 HGX327729:HGX327767 HQT327729:HQT327767 IAP327729:IAP327767 IKL327729:IKL327767 IUH327729:IUH327767 JED327729:JED327767 JNZ327729:JNZ327767 JXV327729:JXV327767 KHR327729:KHR327767 KRN327729:KRN327767 LBJ327729:LBJ327767 LLF327729:LLF327767 LVB327729:LVB327767 MEX327729:MEX327767 MOT327729:MOT327767 MYP327729:MYP327767 NIL327729:NIL327767 NSH327729:NSH327767 OCD327729:OCD327767 OLZ327729:OLZ327767 OVV327729:OVV327767 PFR327729:PFR327767 PPN327729:PPN327767 PZJ327729:PZJ327767 QJF327729:QJF327767 QTB327729:QTB327767 RCX327729:RCX327767 RMT327729:RMT327767 RWP327729:RWP327767 SGL327729:SGL327767 SQH327729:SQH327767 TAD327729:TAD327767 TJZ327729:TJZ327767 TTV327729:TTV327767 UDR327729:UDR327767 UNN327729:UNN327767 UXJ327729:UXJ327767 VHF327729:VHF327767 VRB327729:VRB327767 WAX327729:WAX327767 WKT327729:WKT327767 WUP327729:WUP327767 ID393265:ID393303 RZ393265:RZ393303 ABV393265:ABV393303 ALR393265:ALR393303 AVN393265:AVN393303 BFJ393265:BFJ393303 BPF393265:BPF393303 BZB393265:BZB393303 CIX393265:CIX393303 CST393265:CST393303 DCP393265:DCP393303 DML393265:DML393303 DWH393265:DWH393303 EGD393265:EGD393303 EPZ393265:EPZ393303 EZV393265:EZV393303 FJR393265:FJR393303 FTN393265:FTN393303 GDJ393265:GDJ393303 GNF393265:GNF393303 GXB393265:GXB393303 HGX393265:HGX393303 HQT393265:HQT393303 IAP393265:IAP393303 IKL393265:IKL393303 IUH393265:IUH393303 JED393265:JED393303 JNZ393265:JNZ393303 JXV393265:JXV393303 KHR393265:KHR393303 KRN393265:KRN393303 LBJ393265:LBJ393303 LLF393265:LLF393303 LVB393265:LVB393303 MEX393265:MEX393303 MOT393265:MOT393303 MYP393265:MYP393303 NIL393265:NIL393303 NSH393265:NSH393303 OCD393265:OCD393303 OLZ393265:OLZ393303 OVV393265:OVV393303 PFR393265:PFR393303 PPN393265:PPN393303 PZJ393265:PZJ393303 QJF393265:QJF393303 QTB393265:QTB393303 RCX393265:RCX393303 RMT393265:RMT393303 RWP393265:RWP393303 SGL393265:SGL393303 SQH393265:SQH393303 TAD393265:TAD393303 TJZ393265:TJZ393303 TTV393265:TTV393303 UDR393265:UDR393303 UNN393265:UNN393303 UXJ393265:UXJ393303 VHF393265:VHF393303 VRB393265:VRB393303 WAX393265:WAX393303 WKT393265:WKT393303 WUP393265:WUP393303 ID458801:ID458839 RZ458801:RZ458839 ABV458801:ABV458839 ALR458801:ALR458839 AVN458801:AVN458839 BFJ458801:BFJ458839 BPF458801:BPF458839 BZB458801:BZB458839 CIX458801:CIX458839 CST458801:CST458839 DCP458801:DCP458839 DML458801:DML458839 DWH458801:DWH458839 EGD458801:EGD458839 EPZ458801:EPZ458839 EZV458801:EZV458839 FJR458801:FJR458839 FTN458801:FTN458839 GDJ458801:GDJ458839 GNF458801:GNF458839 GXB458801:GXB458839 HGX458801:HGX458839 HQT458801:HQT458839 IAP458801:IAP458839 IKL458801:IKL458839 IUH458801:IUH458839 JED458801:JED458839 JNZ458801:JNZ458839 JXV458801:JXV458839 KHR458801:KHR458839 KRN458801:KRN458839 LBJ458801:LBJ458839 LLF458801:LLF458839 LVB458801:LVB458839 MEX458801:MEX458839 MOT458801:MOT458839 MYP458801:MYP458839 NIL458801:NIL458839 NSH458801:NSH458839 OCD458801:OCD458839 OLZ458801:OLZ458839 OVV458801:OVV458839 PFR458801:PFR458839 PPN458801:PPN458839 PZJ458801:PZJ458839 QJF458801:QJF458839 QTB458801:QTB458839 RCX458801:RCX458839 RMT458801:RMT458839 RWP458801:RWP458839 SGL458801:SGL458839 SQH458801:SQH458839 TAD458801:TAD458839 TJZ458801:TJZ458839 TTV458801:TTV458839 UDR458801:UDR458839 UNN458801:UNN458839 UXJ458801:UXJ458839 VHF458801:VHF458839 VRB458801:VRB458839 WAX458801:WAX458839 WKT458801:WKT458839 WUP458801:WUP458839 ID524337:ID524375 RZ524337:RZ524375 ABV524337:ABV524375 ALR524337:ALR524375 AVN524337:AVN524375 BFJ524337:BFJ524375 BPF524337:BPF524375 BZB524337:BZB524375 CIX524337:CIX524375 CST524337:CST524375 DCP524337:DCP524375 DML524337:DML524375 DWH524337:DWH524375 EGD524337:EGD524375 EPZ524337:EPZ524375 EZV524337:EZV524375 FJR524337:FJR524375 FTN524337:FTN524375 GDJ524337:GDJ524375 GNF524337:GNF524375 GXB524337:GXB524375 HGX524337:HGX524375 HQT524337:HQT524375 IAP524337:IAP524375 IKL524337:IKL524375 IUH524337:IUH524375 JED524337:JED524375 JNZ524337:JNZ524375 JXV524337:JXV524375 KHR524337:KHR524375 KRN524337:KRN524375 LBJ524337:LBJ524375 LLF524337:LLF524375 LVB524337:LVB524375 MEX524337:MEX524375 MOT524337:MOT524375 MYP524337:MYP524375 NIL524337:NIL524375 NSH524337:NSH524375 OCD524337:OCD524375 OLZ524337:OLZ524375 OVV524337:OVV524375 PFR524337:PFR524375 PPN524337:PPN524375 PZJ524337:PZJ524375 QJF524337:QJF524375 QTB524337:QTB524375 RCX524337:RCX524375 RMT524337:RMT524375 RWP524337:RWP524375 SGL524337:SGL524375 SQH524337:SQH524375 TAD524337:TAD524375 TJZ524337:TJZ524375 TTV524337:TTV524375 UDR524337:UDR524375 UNN524337:UNN524375 UXJ524337:UXJ524375 VHF524337:VHF524375 VRB524337:VRB524375 WAX524337:WAX524375 WKT524337:WKT524375 WUP524337:WUP524375 ID589873:ID589911 RZ589873:RZ589911 ABV589873:ABV589911 ALR589873:ALR589911 AVN589873:AVN589911 BFJ589873:BFJ589911 BPF589873:BPF589911 BZB589873:BZB589911 CIX589873:CIX589911 CST589873:CST589911 DCP589873:DCP589911 DML589873:DML589911 DWH589873:DWH589911 EGD589873:EGD589911 EPZ589873:EPZ589911 EZV589873:EZV589911 FJR589873:FJR589911 FTN589873:FTN589911 GDJ589873:GDJ589911 GNF589873:GNF589911 GXB589873:GXB589911 HGX589873:HGX589911 HQT589873:HQT589911 IAP589873:IAP589911 IKL589873:IKL589911 IUH589873:IUH589911 JED589873:JED589911 JNZ589873:JNZ589911 JXV589873:JXV589911 KHR589873:KHR589911 KRN589873:KRN589911 LBJ589873:LBJ589911 LLF589873:LLF589911 LVB589873:LVB589911 MEX589873:MEX589911 MOT589873:MOT589911 MYP589873:MYP589911 NIL589873:NIL589911 NSH589873:NSH589911 OCD589873:OCD589911 OLZ589873:OLZ589911 OVV589873:OVV589911 PFR589873:PFR589911 PPN589873:PPN589911 PZJ589873:PZJ589911 QJF589873:QJF589911 QTB589873:QTB589911 RCX589873:RCX589911 RMT589873:RMT589911 RWP589873:RWP589911 SGL589873:SGL589911 SQH589873:SQH589911 TAD589873:TAD589911 TJZ589873:TJZ589911 TTV589873:TTV589911 UDR589873:UDR589911 UNN589873:UNN589911 UXJ589873:UXJ589911 VHF589873:VHF589911 VRB589873:VRB589911 WAX589873:WAX589911 WKT589873:WKT589911 WUP589873:WUP589911 ID655409:ID655447 RZ655409:RZ655447 ABV655409:ABV655447 ALR655409:ALR655447 AVN655409:AVN655447 BFJ655409:BFJ655447 BPF655409:BPF655447 BZB655409:BZB655447 CIX655409:CIX655447 CST655409:CST655447 DCP655409:DCP655447 DML655409:DML655447 DWH655409:DWH655447 EGD655409:EGD655447 EPZ655409:EPZ655447 EZV655409:EZV655447 FJR655409:FJR655447 FTN655409:FTN655447 GDJ655409:GDJ655447 GNF655409:GNF655447 GXB655409:GXB655447 HGX655409:HGX655447 HQT655409:HQT655447 IAP655409:IAP655447 IKL655409:IKL655447 IUH655409:IUH655447 JED655409:JED655447 JNZ655409:JNZ655447 JXV655409:JXV655447 KHR655409:KHR655447 KRN655409:KRN655447 LBJ655409:LBJ655447 LLF655409:LLF655447 LVB655409:LVB655447 MEX655409:MEX655447 MOT655409:MOT655447 MYP655409:MYP655447 NIL655409:NIL655447 NSH655409:NSH655447 OCD655409:OCD655447 OLZ655409:OLZ655447 OVV655409:OVV655447 PFR655409:PFR655447 PPN655409:PPN655447 PZJ655409:PZJ655447 QJF655409:QJF655447 QTB655409:QTB655447 RCX655409:RCX655447 RMT655409:RMT655447 RWP655409:RWP655447 SGL655409:SGL655447 SQH655409:SQH655447 TAD655409:TAD655447 TJZ655409:TJZ655447 TTV655409:TTV655447 UDR655409:UDR655447 UNN655409:UNN655447 UXJ655409:UXJ655447 VHF655409:VHF655447 VRB655409:VRB655447 WAX655409:WAX655447 WKT655409:WKT655447 WUP655409:WUP655447 ID720945:ID720983 RZ720945:RZ720983 ABV720945:ABV720983 ALR720945:ALR720983 AVN720945:AVN720983 BFJ720945:BFJ720983 BPF720945:BPF720983 BZB720945:BZB720983 CIX720945:CIX720983 CST720945:CST720983 DCP720945:DCP720983 DML720945:DML720983 DWH720945:DWH720983 EGD720945:EGD720983 EPZ720945:EPZ720983 EZV720945:EZV720983 FJR720945:FJR720983 FTN720945:FTN720983 GDJ720945:GDJ720983 GNF720945:GNF720983 GXB720945:GXB720983 HGX720945:HGX720983 HQT720945:HQT720983 IAP720945:IAP720983 IKL720945:IKL720983 IUH720945:IUH720983 JED720945:JED720983 JNZ720945:JNZ720983 JXV720945:JXV720983 KHR720945:KHR720983 KRN720945:KRN720983 LBJ720945:LBJ720983 LLF720945:LLF720983 LVB720945:LVB720983 MEX720945:MEX720983 MOT720945:MOT720983 MYP720945:MYP720983 NIL720945:NIL720983 NSH720945:NSH720983 OCD720945:OCD720983 OLZ720945:OLZ720983 OVV720945:OVV720983 PFR720945:PFR720983 PPN720945:PPN720983 PZJ720945:PZJ720983 QJF720945:QJF720983 QTB720945:QTB720983 RCX720945:RCX720983 RMT720945:RMT720983 RWP720945:RWP720983 SGL720945:SGL720983 SQH720945:SQH720983 TAD720945:TAD720983 TJZ720945:TJZ720983 TTV720945:TTV720983 UDR720945:UDR720983 UNN720945:UNN720983 UXJ720945:UXJ720983 VHF720945:VHF720983 VRB720945:VRB720983 WAX720945:WAX720983 WKT720945:WKT720983 WUP720945:WUP720983 ID786481:ID786519 RZ786481:RZ786519 ABV786481:ABV786519 ALR786481:ALR786519 AVN786481:AVN786519 BFJ786481:BFJ786519 BPF786481:BPF786519 BZB786481:BZB786519 CIX786481:CIX786519 CST786481:CST786519 DCP786481:DCP786519 DML786481:DML786519 DWH786481:DWH786519 EGD786481:EGD786519 EPZ786481:EPZ786519 EZV786481:EZV786519 FJR786481:FJR786519 FTN786481:FTN786519 GDJ786481:GDJ786519 GNF786481:GNF786519 GXB786481:GXB786519 HGX786481:HGX786519 HQT786481:HQT786519 IAP786481:IAP786519 IKL786481:IKL786519 IUH786481:IUH786519 JED786481:JED786519 JNZ786481:JNZ786519 JXV786481:JXV786519 KHR786481:KHR786519 KRN786481:KRN786519 LBJ786481:LBJ786519 LLF786481:LLF786519 LVB786481:LVB786519 MEX786481:MEX786519 MOT786481:MOT786519 MYP786481:MYP786519 NIL786481:NIL786519 NSH786481:NSH786519 OCD786481:OCD786519 OLZ786481:OLZ786519 OVV786481:OVV786519 PFR786481:PFR786519 PPN786481:PPN786519 PZJ786481:PZJ786519 QJF786481:QJF786519 QTB786481:QTB786519 RCX786481:RCX786519 RMT786481:RMT786519 RWP786481:RWP786519 SGL786481:SGL786519 SQH786481:SQH786519 TAD786481:TAD786519 TJZ786481:TJZ786519 TTV786481:TTV786519 UDR786481:UDR786519 UNN786481:UNN786519 UXJ786481:UXJ786519 VHF786481:VHF786519 VRB786481:VRB786519 WAX786481:WAX786519 WKT786481:WKT786519 WUP786481:WUP786519 ID852017:ID852055 RZ852017:RZ852055 ABV852017:ABV852055 ALR852017:ALR852055 AVN852017:AVN852055 BFJ852017:BFJ852055 BPF852017:BPF852055 BZB852017:BZB852055 CIX852017:CIX852055 CST852017:CST852055 DCP852017:DCP852055 DML852017:DML852055 DWH852017:DWH852055 EGD852017:EGD852055 EPZ852017:EPZ852055 EZV852017:EZV852055 FJR852017:FJR852055 FTN852017:FTN852055 GDJ852017:GDJ852055 GNF852017:GNF852055 GXB852017:GXB852055 HGX852017:HGX852055 HQT852017:HQT852055 IAP852017:IAP852055 IKL852017:IKL852055 IUH852017:IUH852055 JED852017:JED852055 JNZ852017:JNZ852055 JXV852017:JXV852055 KHR852017:KHR852055 KRN852017:KRN852055 LBJ852017:LBJ852055 LLF852017:LLF852055 LVB852017:LVB852055 MEX852017:MEX852055 MOT852017:MOT852055 MYP852017:MYP852055 NIL852017:NIL852055 NSH852017:NSH852055 OCD852017:OCD852055 OLZ852017:OLZ852055 OVV852017:OVV852055 PFR852017:PFR852055 PPN852017:PPN852055 PZJ852017:PZJ852055 QJF852017:QJF852055 QTB852017:QTB852055 RCX852017:RCX852055 RMT852017:RMT852055 RWP852017:RWP852055 SGL852017:SGL852055 SQH852017:SQH852055 TAD852017:TAD852055 TJZ852017:TJZ852055 TTV852017:TTV852055 UDR852017:UDR852055 UNN852017:UNN852055 UXJ852017:UXJ852055 VHF852017:VHF852055 VRB852017:VRB852055 WAX852017:WAX852055 WKT852017:WKT852055 WUP852017:WUP852055 ID917553:ID917591 RZ917553:RZ917591 ABV917553:ABV917591 ALR917553:ALR917591 AVN917553:AVN917591 BFJ917553:BFJ917591 BPF917553:BPF917591 BZB917553:BZB917591 CIX917553:CIX917591 CST917553:CST917591 DCP917553:DCP917591 DML917553:DML917591 DWH917553:DWH917591 EGD917553:EGD917591 EPZ917553:EPZ917591 EZV917553:EZV917591 FJR917553:FJR917591 FTN917553:FTN917591 GDJ917553:GDJ917591 GNF917553:GNF917591 GXB917553:GXB917591 HGX917553:HGX917591 HQT917553:HQT917591 IAP917553:IAP917591 IKL917553:IKL917591 IUH917553:IUH917591 JED917553:JED917591 JNZ917553:JNZ917591 JXV917553:JXV917591 KHR917553:KHR917591 KRN917553:KRN917591 LBJ917553:LBJ917591 LLF917553:LLF917591 LVB917553:LVB917591 MEX917553:MEX917591 MOT917553:MOT917591 MYP917553:MYP917591 NIL917553:NIL917591 NSH917553:NSH917591 OCD917553:OCD917591 OLZ917553:OLZ917591 OVV917553:OVV917591 PFR917553:PFR917591 PPN917553:PPN917591 PZJ917553:PZJ917591 QJF917553:QJF917591 QTB917553:QTB917591 RCX917553:RCX917591 RMT917553:RMT917591 RWP917553:RWP917591 SGL917553:SGL917591 SQH917553:SQH917591 TAD917553:TAD917591 TJZ917553:TJZ917591 TTV917553:TTV917591 UDR917553:UDR917591 UNN917553:UNN917591 UXJ917553:UXJ917591 VHF917553:VHF917591 VRB917553:VRB917591 WAX917553:WAX917591 WKT917553:WKT917591 WUP917553:WUP917591 ID983089:ID983127 RZ983089:RZ983127 ABV983089:ABV983127 ALR983089:ALR983127 AVN983089:AVN983127 BFJ983089:BFJ983127 BPF983089:BPF983127 BZB983089:BZB983127 CIX983089:CIX983127 CST983089:CST983127 DCP983089:DCP983127 DML983089:DML983127 DWH983089:DWH983127 EGD983089:EGD983127 EPZ983089:EPZ983127 EZV983089:EZV983127 FJR983089:FJR983127 FTN983089:FTN983127 GDJ983089:GDJ983127 GNF983089:GNF983127 GXB983089:GXB983127 HGX983089:HGX983127 HQT983089:HQT983127 IAP983089:IAP983127 IKL983089:IKL983127 IUH983089:IUH983127 JED983089:JED983127 JNZ983089:JNZ983127 JXV983089:JXV983127 KHR983089:KHR983127 KRN983089:KRN983127 LBJ983089:LBJ983127 LLF983089:LLF983127 LVB983089:LVB983127 MEX983089:MEX983127 MOT983089:MOT983127 MYP983089:MYP983127 NIL983089:NIL983127 NSH983089:NSH983127 OCD983089:OCD983127 OLZ983089:OLZ983127 OVV983089:OVV983127 PFR983089:PFR983127 PPN983089:PPN983127 PZJ983089:PZJ983127 QJF983089:QJF983127 QTB983089:QTB983127 RCX983089:RCX983127 RMT983089:RMT983127 RWP983089:RWP983127 SGL983089:SGL983127 SQH983089:SQH983127 TAD983089:TAD983127 TJZ983089:TJZ983127 TTV983089:TTV983127 UDR983089:UDR983127 UNN983089:UNN983127 UXJ983089:UXJ983127 VHF983089:VHF983127 VRB983089:VRB983127 WAX983089:WAX983127 WKT983089:WKT983127 WUP983089:WUP983127 ID89:ID90 RZ89:RZ90 ABV89:ABV90 ALR89:ALR90 AVN89:AVN90 BFJ89:BFJ90 BPF89:BPF90 BZB89:BZB90 CIX89:CIX90 CST89:CST90 DCP89:DCP90 DML89:DML90 DWH89:DWH90 EGD89:EGD90 EPZ89:EPZ90 EZV89:EZV90 FJR89:FJR90 FTN89:FTN90 GDJ89:GDJ90 GNF89:GNF90 GXB89:GXB90 HGX89:HGX90 HQT89:HQT90 IAP89:IAP90 IKL89:IKL90 IUH89:IUH90 JED89:JED90 JNZ89:JNZ90 JXV89:JXV90 KHR89:KHR90 KRN89:KRN90 LBJ89:LBJ90 LLF89:LLF90 LVB89:LVB90 MEX89:MEX90 MOT89:MOT90 MYP89:MYP90 NIL89:NIL90 NSH89:NSH90 OCD89:OCD90 OLZ89:OLZ90 OVV89:OVV90 PFR89:PFR90 PPN89:PPN90 PZJ89:PZJ90 QJF89:QJF90 QTB89:QTB90 RCX89:RCX90 RMT89:RMT90 RWP89:RWP90 SGL89:SGL90 SQH89:SQH90 TAD89:TAD90 TJZ89:TJZ90 TTV89:TTV90 UDR89:UDR90 UNN89:UNN90 UXJ89:UXJ90 VHF89:VHF90 VRB89:VRB90 WAX89:WAX90 WKT89:WKT90 WUP89:WUP90 ID65625:ID65626 RZ65625:RZ65626 ABV65625:ABV65626 ALR65625:ALR65626 AVN65625:AVN65626 BFJ65625:BFJ65626 BPF65625:BPF65626 BZB65625:BZB65626 CIX65625:CIX65626 CST65625:CST65626 DCP65625:DCP65626 DML65625:DML65626 DWH65625:DWH65626 EGD65625:EGD65626 EPZ65625:EPZ65626 EZV65625:EZV65626 FJR65625:FJR65626 FTN65625:FTN65626 GDJ65625:GDJ65626 GNF65625:GNF65626 GXB65625:GXB65626 HGX65625:HGX65626 HQT65625:HQT65626 IAP65625:IAP65626 IKL65625:IKL65626 IUH65625:IUH65626 JED65625:JED65626 JNZ65625:JNZ65626 JXV65625:JXV65626 KHR65625:KHR65626 KRN65625:KRN65626 LBJ65625:LBJ65626 LLF65625:LLF65626 LVB65625:LVB65626 MEX65625:MEX65626 MOT65625:MOT65626 MYP65625:MYP65626 NIL65625:NIL65626 NSH65625:NSH65626 OCD65625:OCD65626 OLZ65625:OLZ65626 OVV65625:OVV65626 PFR65625:PFR65626 PPN65625:PPN65626 PZJ65625:PZJ65626 QJF65625:QJF65626 QTB65625:QTB65626 RCX65625:RCX65626 RMT65625:RMT65626 RWP65625:RWP65626 SGL65625:SGL65626 SQH65625:SQH65626 TAD65625:TAD65626 TJZ65625:TJZ65626 TTV65625:TTV65626 UDR65625:UDR65626 UNN65625:UNN65626 UXJ65625:UXJ65626 VHF65625:VHF65626 VRB65625:VRB65626 WAX65625:WAX65626 WKT65625:WKT65626 WUP65625:WUP65626 ID131161:ID131162 RZ131161:RZ131162 ABV131161:ABV131162 ALR131161:ALR131162 AVN131161:AVN131162 BFJ131161:BFJ131162 BPF131161:BPF131162 BZB131161:BZB131162 CIX131161:CIX131162 CST131161:CST131162 DCP131161:DCP131162 DML131161:DML131162 DWH131161:DWH131162 EGD131161:EGD131162 EPZ131161:EPZ131162 EZV131161:EZV131162 FJR131161:FJR131162 FTN131161:FTN131162 GDJ131161:GDJ131162 GNF131161:GNF131162 GXB131161:GXB131162 HGX131161:HGX131162 HQT131161:HQT131162 IAP131161:IAP131162 IKL131161:IKL131162 IUH131161:IUH131162 JED131161:JED131162 JNZ131161:JNZ131162 JXV131161:JXV131162 KHR131161:KHR131162 KRN131161:KRN131162 LBJ131161:LBJ131162 LLF131161:LLF131162 LVB131161:LVB131162 MEX131161:MEX131162 MOT131161:MOT131162 MYP131161:MYP131162 NIL131161:NIL131162 NSH131161:NSH131162 OCD131161:OCD131162 OLZ131161:OLZ131162 OVV131161:OVV131162 PFR131161:PFR131162 PPN131161:PPN131162 PZJ131161:PZJ131162 QJF131161:QJF131162 QTB131161:QTB131162 RCX131161:RCX131162 RMT131161:RMT131162 RWP131161:RWP131162 SGL131161:SGL131162 SQH131161:SQH131162 TAD131161:TAD131162 TJZ131161:TJZ131162 TTV131161:TTV131162 UDR131161:UDR131162 UNN131161:UNN131162 UXJ131161:UXJ131162 VHF131161:VHF131162 VRB131161:VRB131162 WAX131161:WAX131162 WKT131161:WKT131162 WUP131161:WUP131162 ID196697:ID196698 RZ196697:RZ196698 ABV196697:ABV196698 ALR196697:ALR196698 AVN196697:AVN196698 BFJ196697:BFJ196698 BPF196697:BPF196698 BZB196697:BZB196698 CIX196697:CIX196698 CST196697:CST196698 DCP196697:DCP196698 DML196697:DML196698 DWH196697:DWH196698 EGD196697:EGD196698 EPZ196697:EPZ196698 EZV196697:EZV196698 FJR196697:FJR196698 FTN196697:FTN196698 GDJ196697:GDJ196698 GNF196697:GNF196698 GXB196697:GXB196698 HGX196697:HGX196698 HQT196697:HQT196698 IAP196697:IAP196698 IKL196697:IKL196698 IUH196697:IUH196698 JED196697:JED196698 JNZ196697:JNZ196698 JXV196697:JXV196698 KHR196697:KHR196698 KRN196697:KRN196698 LBJ196697:LBJ196698 LLF196697:LLF196698 LVB196697:LVB196698 MEX196697:MEX196698 MOT196697:MOT196698 MYP196697:MYP196698 NIL196697:NIL196698 NSH196697:NSH196698 OCD196697:OCD196698 OLZ196697:OLZ196698 OVV196697:OVV196698 PFR196697:PFR196698 PPN196697:PPN196698 PZJ196697:PZJ196698 QJF196697:QJF196698 QTB196697:QTB196698 RCX196697:RCX196698 RMT196697:RMT196698 RWP196697:RWP196698 SGL196697:SGL196698 SQH196697:SQH196698 TAD196697:TAD196698 TJZ196697:TJZ196698 TTV196697:TTV196698 UDR196697:UDR196698 UNN196697:UNN196698 UXJ196697:UXJ196698 VHF196697:VHF196698 VRB196697:VRB196698 WAX196697:WAX196698 WKT196697:WKT196698 WUP196697:WUP196698 ID262233:ID262234 RZ262233:RZ262234 ABV262233:ABV262234 ALR262233:ALR262234 AVN262233:AVN262234 BFJ262233:BFJ262234 BPF262233:BPF262234 BZB262233:BZB262234 CIX262233:CIX262234 CST262233:CST262234 DCP262233:DCP262234 DML262233:DML262234 DWH262233:DWH262234 EGD262233:EGD262234 EPZ262233:EPZ262234 EZV262233:EZV262234 FJR262233:FJR262234 FTN262233:FTN262234 GDJ262233:GDJ262234 GNF262233:GNF262234 GXB262233:GXB262234 HGX262233:HGX262234 HQT262233:HQT262234 IAP262233:IAP262234 IKL262233:IKL262234 IUH262233:IUH262234 JED262233:JED262234 JNZ262233:JNZ262234 JXV262233:JXV262234 KHR262233:KHR262234 KRN262233:KRN262234 LBJ262233:LBJ262234 LLF262233:LLF262234 LVB262233:LVB262234 MEX262233:MEX262234 MOT262233:MOT262234 MYP262233:MYP262234 NIL262233:NIL262234 NSH262233:NSH262234 OCD262233:OCD262234 OLZ262233:OLZ262234 OVV262233:OVV262234 PFR262233:PFR262234 PPN262233:PPN262234 PZJ262233:PZJ262234 QJF262233:QJF262234 QTB262233:QTB262234 RCX262233:RCX262234 RMT262233:RMT262234 RWP262233:RWP262234 SGL262233:SGL262234 SQH262233:SQH262234 TAD262233:TAD262234 TJZ262233:TJZ262234 TTV262233:TTV262234 UDR262233:UDR262234 UNN262233:UNN262234 UXJ262233:UXJ262234 VHF262233:VHF262234 VRB262233:VRB262234 WAX262233:WAX262234 WKT262233:WKT262234 WUP262233:WUP262234 ID327769:ID327770 RZ327769:RZ327770 ABV327769:ABV327770 ALR327769:ALR327770 AVN327769:AVN327770 BFJ327769:BFJ327770 BPF327769:BPF327770 BZB327769:BZB327770 CIX327769:CIX327770 CST327769:CST327770 DCP327769:DCP327770 DML327769:DML327770 DWH327769:DWH327770 EGD327769:EGD327770 EPZ327769:EPZ327770 EZV327769:EZV327770 FJR327769:FJR327770 FTN327769:FTN327770 GDJ327769:GDJ327770 GNF327769:GNF327770 GXB327769:GXB327770 HGX327769:HGX327770 HQT327769:HQT327770 IAP327769:IAP327770 IKL327769:IKL327770 IUH327769:IUH327770 JED327769:JED327770 JNZ327769:JNZ327770 JXV327769:JXV327770 KHR327769:KHR327770 KRN327769:KRN327770 LBJ327769:LBJ327770 LLF327769:LLF327770 LVB327769:LVB327770 MEX327769:MEX327770 MOT327769:MOT327770 MYP327769:MYP327770 NIL327769:NIL327770 NSH327769:NSH327770 OCD327769:OCD327770 OLZ327769:OLZ327770 OVV327769:OVV327770 PFR327769:PFR327770 PPN327769:PPN327770 PZJ327769:PZJ327770 QJF327769:QJF327770 QTB327769:QTB327770 RCX327769:RCX327770 RMT327769:RMT327770 RWP327769:RWP327770 SGL327769:SGL327770 SQH327769:SQH327770 TAD327769:TAD327770 TJZ327769:TJZ327770 TTV327769:TTV327770 UDR327769:UDR327770 UNN327769:UNN327770 UXJ327769:UXJ327770 VHF327769:VHF327770 VRB327769:VRB327770 WAX327769:WAX327770 WKT327769:WKT327770 WUP327769:WUP327770 ID393305:ID393306 RZ393305:RZ393306 ABV393305:ABV393306 ALR393305:ALR393306 AVN393305:AVN393306 BFJ393305:BFJ393306 BPF393305:BPF393306 BZB393305:BZB393306 CIX393305:CIX393306 CST393305:CST393306 DCP393305:DCP393306 DML393305:DML393306 DWH393305:DWH393306 EGD393305:EGD393306 EPZ393305:EPZ393306 EZV393305:EZV393306 FJR393305:FJR393306 FTN393305:FTN393306 GDJ393305:GDJ393306 GNF393305:GNF393306 GXB393305:GXB393306 HGX393305:HGX393306 HQT393305:HQT393306 IAP393305:IAP393306 IKL393305:IKL393306 IUH393305:IUH393306 JED393305:JED393306 JNZ393305:JNZ393306 JXV393305:JXV393306 KHR393305:KHR393306 KRN393305:KRN393306 LBJ393305:LBJ393306 LLF393305:LLF393306 LVB393305:LVB393306 MEX393305:MEX393306 MOT393305:MOT393306 MYP393305:MYP393306 NIL393305:NIL393306 NSH393305:NSH393306 OCD393305:OCD393306 OLZ393305:OLZ393306 OVV393305:OVV393306 PFR393305:PFR393306 PPN393305:PPN393306 PZJ393305:PZJ393306 QJF393305:QJF393306 QTB393305:QTB393306 RCX393305:RCX393306 RMT393305:RMT393306 RWP393305:RWP393306 SGL393305:SGL393306 SQH393305:SQH393306 TAD393305:TAD393306 TJZ393305:TJZ393306 TTV393305:TTV393306 UDR393305:UDR393306 UNN393305:UNN393306 UXJ393305:UXJ393306 VHF393305:VHF393306 VRB393305:VRB393306 WAX393305:WAX393306 WKT393305:WKT393306 WUP393305:WUP393306 ID458841:ID458842 RZ458841:RZ458842 ABV458841:ABV458842 ALR458841:ALR458842 AVN458841:AVN458842 BFJ458841:BFJ458842 BPF458841:BPF458842 BZB458841:BZB458842 CIX458841:CIX458842 CST458841:CST458842 DCP458841:DCP458842 DML458841:DML458842 DWH458841:DWH458842 EGD458841:EGD458842 EPZ458841:EPZ458842 EZV458841:EZV458842 FJR458841:FJR458842 FTN458841:FTN458842 GDJ458841:GDJ458842 GNF458841:GNF458842 GXB458841:GXB458842 HGX458841:HGX458842 HQT458841:HQT458842 IAP458841:IAP458842 IKL458841:IKL458842 IUH458841:IUH458842 JED458841:JED458842 JNZ458841:JNZ458842 JXV458841:JXV458842 KHR458841:KHR458842 KRN458841:KRN458842 LBJ458841:LBJ458842 LLF458841:LLF458842 LVB458841:LVB458842 MEX458841:MEX458842 MOT458841:MOT458842 MYP458841:MYP458842 NIL458841:NIL458842 NSH458841:NSH458842 OCD458841:OCD458842 OLZ458841:OLZ458842 OVV458841:OVV458842 PFR458841:PFR458842 PPN458841:PPN458842 PZJ458841:PZJ458842 QJF458841:QJF458842 QTB458841:QTB458842 RCX458841:RCX458842 RMT458841:RMT458842 RWP458841:RWP458842 SGL458841:SGL458842 SQH458841:SQH458842 TAD458841:TAD458842 TJZ458841:TJZ458842 TTV458841:TTV458842 UDR458841:UDR458842 UNN458841:UNN458842 UXJ458841:UXJ458842 VHF458841:VHF458842 VRB458841:VRB458842 WAX458841:WAX458842 WKT458841:WKT458842 WUP458841:WUP458842 ID524377:ID524378 RZ524377:RZ524378 ABV524377:ABV524378 ALR524377:ALR524378 AVN524377:AVN524378 BFJ524377:BFJ524378 BPF524377:BPF524378 BZB524377:BZB524378 CIX524377:CIX524378 CST524377:CST524378 DCP524377:DCP524378 DML524377:DML524378 DWH524377:DWH524378 EGD524377:EGD524378 EPZ524377:EPZ524378 EZV524377:EZV524378 FJR524377:FJR524378 FTN524377:FTN524378 GDJ524377:GDJ524378 GNF524377:GNF524378 GXB524377:GXB524378 HGX524377:HGX524378 HQT524377:HQT524378 IAP524377:IAP524378 IKL524377:IKL524378 IUH524377:IUH524378 JED524377:JED524378 JNZ524377:JNZ524378 JXV524377:JXV524378 KHR524377:KHR524378 KRN524377:KRN524378 LBJ524377:LBJ524378 LLF524377:LLF524378 LVB524377:LVB524378 MEX524377:MEX524378 MOT524377:MOT524378 MYP524377:MYP524378 NIL524377:NIL524378 NSH524377:NSH524378 OCD524377:OCD524378 OLZ524377:OLZ524378 OVV524377:OVV524378 PFR524377:PFR524378 PPN524377:PPN524378 PZJ524377:PZJ524378 QJF524377:QJF524378 QTB524377:QTB524378 RCX524377:RCX524378 RMT524377:RMT524378 RWP524377:RWP524378 SGL524377:SGL524378 SQH524377:SQH524378 TAD524377:TAD524378 TJZ524377:TJZ524378 TTV524377:TTV524378 UDR524377:UDR524378 UNN524377:UNN524378 UXJ524377:UXJ524378 VHF524377:VHF524378 VRB524377:VRB524378 WAX524377:WAX524378 WKT524377:WKT524378 WUP524377:WUP524378 ID589913:ID589914 RZ589913:RZ589914 ABV589913:ABV589914 ALR589913:ALR589914 AVN589913:AVN589914 BFJ589913:BFJ589914 BPF589913:BPF589914 BZB589913:BZB589914 CIX589913:CIX589914 CST589913:CST589914 DCP589913:DCP589914 DML589913:DML589914 DWH589913:DWH589914 EGD589913:EGD589914 EPZ589913:EPZ589914 EZV589913:EZV589914 FJR589913:FJR589914 FTN589913:FTN589914 GDJ589913:GDJ589914 GNF589913:GNF589914 GXB589913:GXB589914 HGX589913:HGX589914 HQT589913:HQT589914 IAP589913:IAP589914 IKL589913:IKL589914 IUH589913:IUH589914 JED589913:JED589914 JNZ589913:JNZ589914 JXV589913:JXV589914 KHR589913:KHR589914 KRN589913:KRN589914 LBJ589913:LBJ589914 LLF589913:LLF589914 LVB589913:LVB589914 MEX589913:MEX589914 MOT589913:MOT589914 MYP589913:MYP589914 NIL589913:NIL589914 NSH589913:NSH589914 OCD589913:OCD589914 OLZ589913:OLZ589914 OVV589913:OVV589914 PFR589913:PFR589914 PPN589913:PPN589914 PZJ589913:PZJ589914 QJF589913:QJF589914 QTB589913:QTB589914 RCX589913:RCX589914 RMT589913:RMT589914 RWP589913:RWP589914 SGL589913:SGL589914 SQH589913:SQH589914 TAD589913:TAD589914 TJZ589913:TJZ589914 TTV589913:TTV589914 UDR589913:UDR589914 UNN589913:UNN589914 UXJ589913:UXJ589914 VHF589913:VHF589914 VRB589913:VRB589914 WAX589913:WAX589914 WKT589913:WKT589914 WUP589913:WUP589914 ID655449:ID655450 RZ655449:RZ655450 ABV655449:ABV655450 ALR655449:ALR655450 AVN655449:AVN655450 BFJ655449:BFJ655450 BPF655449:BPF655450 BZB655449:BZB655450 CIX655449:CIX655450 CST655449:CST655450 DCP655449:DCP655450 DML655449:DML655450 DWH655449:DWH655450 EGD655449:EGD655450 EPZ655449:EPZ655450 EZV655449:EZV655450 FJR655449:FJR655450 FTN655449:FTN655450 GDJ655449:GDJ655450 GNF655449:GNF655450 GXB655449:GXB655450 HGX655449:HGX655450 HQT655449:HQT655450 IAP655449:IAP655450 IKL655449:IKL655450 IUH655449:IUH655450 JED655449:JED655450 JNZ655449:JNZ655450 JXV655449:JXV655450 KHR655449:KHR655450 KRN655449:KRN655450 LBJ655449:LBJ655450 LLF655449:LLF655450 LVB655449:LVB655450 MEX655449:MEX655450 MOT655449:MOT655450 MYP655449:MYP655450 NIL655449:NIL655450 NSH655449:NSH655450 OCD655449:OCD655450 OLZ655449:OLZ655450 OVV655449:OVV655450 PFR655449:PFR655450 PPN655449:PPN655450 PZJ655449:PZJ655450 QJF655449:QJF655450 QTB655449:QTB655450 RCX655449:RCX655450 RMT655449:RMT655450 RWP655449:RWP655450 SGL655449:SGL655450 SQH655449:SQH655450 TAD655449:TAD655450 TJZ655449:TJZ655450 TTV655449:TTV655450 UDR655449:UDR655450 UNN655449:UNN655450 UXJ655449:UXJ655450 VHF655449:VHF655450 VRB655449:VRB655450 WAX655449:WAX655450 WKT655449:WKT655450 WUP655449:WUP655450 ID720985:ID720986 RZ720985:RZ720986 ABV720985:ABV720986 ALR720985:ALR720986 AVN720985:AVN720986 BFJ720985:BFJ720986 BPF720985:BPF720986 BZB720985:BZB720986 CIX720985:CIX720986 CST720985:CST720986 DCP720985:DCP720986 DML720985:DML720986 DWH720985:DWH720986 EGD720985:EGD720986 EPZ720985:EPZ720986 EZV720985:EZV720986 FJR720985:FJR720986 FTN720985:FTN720986 GDJ720985:GDJ720986 GNF720985:GNF720986 GXB720985:GXB720986 HGX720985:HGX720986 HQT720985:HQT720986 IAP720985:IAP720986 IKL720985:IKL720986 IUH720985:IUH720986 JED720985:JED720986 JNZ720985:JNZ720986 JXV720985:JXV720986 KHR720985:KHR720986 KRN720985:KRN720986 LBJ720985:LBJ720986 LLF720985:LLF720986 LVB720985:LVB720986 MEX720985:MEX720986 MOT720985:MOT720986 MYP720985:MYP720986 NIL720985:NIL720986 NSH720985:NSH720986 OCD720985:OCD720986 OLZ720985:OLZ720986 OVV720985:OVV720986 PFR720985:PFR720986 PPN720985:PPN720986 PZJ720985:PZJ720986 QJF720985:QJF720986 QTB720985:QTB720986 RCX720985:RCX720986 RMT720985:RMT720986 RWP720985:RWP720986 SGL720985:SGL720986 SQH720985:SQH720986 TAD720985:TAD720986 TJZ720985:TJZ720986 TTV720985:TTV720986 UDR720985:UDR720986 UNN720985:UNN720986 UXJ720985:UXJ720986 VHF720985:VHF720986 VRB720985:VRB720986 WAX720985:WAX720986 WKT720985:WKT720986 WUP720985:WUP720986 ID786521:ID786522 RZ786521:RZ786522 ABV786521:ABV786522 ALR786521:ALR786522 AVN786521:AVN786522 BFJ786521:BFJ786522 BPF786521:BPF786522 BZB786521:BZB786522 CIX786521:CIX786522 CST786521:CST786522 DCP786521:DCP786522 DML786521:DML786522 DWH786521:DWH786522 EGD786521:EGD786522 EPZ786521:EPZ786522 EZV786521:EZV786522 FJR786521:FJR786522 FTN786521:FTN786522 GDJ786521:GDJ786522 GNF786521:GNF786522 GXB786521:GXB786522 HGX786521:HGX786522 HQT786521:HQT786522 IAP786521:IAP786522 IKL786521:IKL786522 IUH786521:IUH786522 JED786521:JED786522 JNZ786521:JNZ786522 JXV786521:JXV786522 KHR786521:KHR786522 KRN786521:KRN786522 LBJ786521:LBJ786522 LLF786521:LLF786522 LVB786521:LVB786522 MEX786521:MEX786522 MOT786521:MOT786522 MYP786521:MYP786522 NIL786521:NIL786522 NSH786521:NSH786522 OCD786521:OCD786522 OLZ786521:OLZ786522 OVV786521:OVV786522 PFR786521:PFR786522 PPN786521:PPN786522 PZJ786521:PZJ786522 QJF786521:QJF786522 QTB786521:QTB786522 RCX786521:RCX786522 RMT786521:RMT786522 RWP786521:RWP786522 SGL786521:SGL786522 SQH786521:SQH786522 TAD786521:TAD786522 TJZ786521:TJZ786522 TTV786521:TTV786522 UDR786521:UDR786522 UNN786521:UNN786522 UXJ786521:UXJ786522 VHF786521:VHF786522 VRB786521:VRB786522 WAX786521:WAX786522 WKT786521:WKT786522 WUP786521:WUP786522 ID852057:ID852058 RZ852057:RZ852058 ABV852057:ABV852058 ALR852057:ALR852058 AVN852057:AVN852058 BFJ852057:BFJ852058 BPF852057:BPF852058 BZB852057:BZB852058 CIX852057:CIX852058 CST852057:CST852058 DCP852057:DCP852058 DML852057:DML852058 DWH852057:DWH852058 EGD852057:EGD852058 EPZ852057:EPZ852058 EZV852057:EZV852058 FJR852057:FJR852058 FTN852057:FTN852058 GDJ852057:GDJ852058 GNF852057:GNF852058 GXB852057:GXB852058 HGX852057:HGX852058 HQT852057:HQT852058 IAP852057:IAP852058 IKL852057:IKL852058 IUH852057:IUH852058 JED852057:JED852058 JNZ852057:JNZ852058 JXV852057:JXV852058 KHR852057:KHR852058 KRN852057:KRN852058 LBJ852057:LBJ852058 LLF852057:LLF852058 LVB852057:LVB852058 MEX852057:MEX852058 MOT852057:MOT852058 MYP852057:MYP852058 NIL852057:NIL852058 NSH852057:NSH852058 OCD852057:OCD852058 OLZ852057:OLZ852058 OVV852057:OVV852058 PFR852057:PFR852058 PPN852057:PPN852058 PZJ852057:PZJ852058 QJF852057:QJF852058 QTB852057:QTB852058 RCX852057:RCX852058 RMT852057:RMT852058 RWP852057:RWP852058 SGL852057:SGL852058 SQH852057:SQH852058 TAD852057:TAD852058 TJZ852057:TJZ852058 TTV852057:TTV852058 UDR852057:UDR852058 UNN852057:UNN852058 UXJ852057:UXJ852058 VHF852057:VHF852058 VRB852057:VRB852058 WAX852057:WAX852058 WKT852057:WKT852058 WUP852057:WUP852058 ID917593:ID917594 RZ917593:RZ917594 ABV917593:ABV917594 ALR917593:ALR917594 AVN917593:AVN917594 BFJ917593:BFJ917594 BPF917593:BPF917594 BZB917593:BZB917594 CIX917593:CIX917594 CST917593:CST917594 DCP917593:DCP917594 DML917593:DML917594 DWH917593:DWH917594 EGD917593:EGD917594 EPZ917593:EPZ917594 EZV917593:EZV917594 FJR917593:FJR917594 FTN917593:FTN917594 GDJ917593:GDJ917594 GNF917593:GNF917594 GXB917593:GXB917594 HGX917593:HGX917594 HQT917593:HQT917594 IAP917593:IAP917594 IKL917593:IKL917594 IUH917593:IUH917594 JED917593:JED917594 JNZ917593:JNZ917594 JXV917593:JXV917594 KHR917593:KHR917594 KRN917593:KRN917594 LBJ917593:LBJ917594 LLF917593:LLF917594 LVB917593:LVB917594 MEX917593:MEX917594 MOT917593:MOT917594 MYP917593:MYP917594 NIL917593:NIL917594 NSH917593:NSH917594 OCD917593:OCD917594 OLZ917593:OLZ917594 OVV917593:OVV917594 PFR917593:PFR917594 PPN917593:PPN917594 PZJ917593:PZJ917594 QJF917593:QJF917594 QTB917593:QTB917594 RCX917593:RCX917594 RMT917593:RMT917594 RWP917593:RWP917594 SGL917593:SGL917594 SQH917593:SQH917594 TAD917593:TAD917594 TJZ917593:TJZ917594 TTV917593:TTV917594 UDR917593:UDR917594 UNN917593:UNN917594 UXJ917593:UXJ917594 VHF917593:VHF917594 VRB917593:VRB917594 WAX917593:WAX917594 WKT917593:WKT917594 WUP917593:WUP917594 ID983129:ID983130 RZ983129:RZ983130 ABV983129:ABV983130 ALR983129:ALR983130 AVN983129:AVN983130 BFJ983129:BFJ983130 BPF983129:BPF983130 BZB983129:BZB983130 CIX983129:CIX983130 CST983129:CST983130 DCP983129:DCP983130 DML983129:DML983130 DWH983129:DWH983130 EGD983129:EGD983130 EPZ983129:EPZ983130 EZV983129:EZV983130 FJR983129:FJR983130 FTN983129:FTN983130 GDJ983129:GDJ983130 GNF983129:GNF983130 GXB983129:GXB983130 HGX983129:HGX983130 HQT983129:HQT983130 IAP983129:IAP983130 IKL983129:IKL983130 IUH983129:IUH983130 JED983129:JED983130 JNZ983129:JNZ983130 JXV983129:JXV983130 KHR983129:KHR983130 KRN983129:KRN983130 LBJ983129:LBJ983130 LLF983129:LLF983130 LVB983129:LVB983130 MEX983129:MEX983130 MOT983129:MOT983130 MYP983129:MYP983130 NIL983129:NIL983130 NSH983129:NSH983130 OCD983129:OCD983130 OLZ983129:OLZ983130 OVV983129:OVV983130 PFR983129:PFR983130 PPN983129:PPN983130 PZJ983129:PZJ983130 QJF983129:QJF983130 QTB983129:QTB983130 RCX983129:RCX983130 RMT983129:RMT983130 RWP983129:RWP983130 SGL983129:SGL983130 SQH983129:SQH983130 TAD983129:TAD983130 TJZ983129:TJZ983130 TTV983129:TTV983130 UDR983129:UDR983130 UNN983129:UNN983130 UXJ983129:UXJ983130 VHF983129:VHF983130 VRB983129:VRB983130 WAX983129:WAX983130 WKT983129:WKT983130 WUP983129:WUP983130 RZ92:RZ95 ABV92:ABV95 ALR92:ALR95 AVN92:AVN95 BFJ92:BFJ95 BPF92:BPF95 BZB92:BZB95 CIX92:CIX95 CST92:CST95 DCP92:DCP95 DML92:DML95 DWH92:DWH95 EGD92:EGD95 EPZ92:EPZ95 EZV92:EZV95 FJR92:FJR95 FTN92:FTN95 GDJ92:GDJ95 GNF92:GNF95 GXB92:GXB95 HGX92:HGX95 HQT92:HQT95 IAP92:IAP95 IKL92:IKL95 IUH92:IUH95 JED92:JED95 JNZ92:JNZ95 JXV92:JXV95 KHR92:KHR95 KRN92:KRN95 LBJ92:LBJ95 LLF92:LLF95 LVB92:LVB95 MEX92:MEX95 MOT92:MOT95 MYP92:MYP95 NIL92:NIL95 NSH92:NSH95 OCD92:OCD95 OLZ92:OLZ95 OVV92:OVV95 PFR92:PFR95 PPN92:PPN95 PZJ92:PZJ95 QJF92:QJF95 QTB92:QTB95 RCX92:RCX95 RMT92:RMT95 RWP92:RWP95 SGL92:SGL95 SQH92:SQH95 TAD92:TAD95 TJZ92:TJZ95 TTV92:TTV95 UDR92:UDR95 UNN92:UNN95 UXJ92:UXJ95 VHF92:VHF95 VRB92:VRB95 WAX92:WAX95 WKT92:WKT95 WUP92:WUP95 ID65628:ID65630 RZ65628:RZ65630 ABV65628:ABV65630 ALR65628:ALR65630 AVN65628:AVN65630 BFJ65628:BFJ65630 BPF65628:BPF65630 BZB65628:BZB65630 CIX65628:CIX65630 CST65628:CST65630 DCP65628:DCP65630 DML65628:DML65630 DWH65628:DWH65630 EGD65628:EGD65630 EPZ65628:EPZ65630 EZV65628:EZV65630 FJR65628:FJR65630 FTN65628:FTN65630 GDJ65628:GDJ65630 GNF65628:GNF65630 GXB65628:GXB65630 HGX65628:HGX65630 HQT65628:HQT65630 IAP65628:IAP65630 IKL65628:IKL65630 IUH65628:IUH65630 JED65628:JED65630 JNZ65628:JNZ65630 JXV65628:JXV65630 KHR65628:KHR65630 KRN65628:KRN65630 LBJ65628:LBJ65630 LLF65628:LLF65630 LVB65628:LVB65630 MEX65628:MEX65630 MOT65628:MOT65630 MYP65628:MYP65630 NIL65628:NIL65630 NSH65628:NSH65630 OCD65628:OCD65630 OLZ65628:OLZ65630 OVV65628:OVV65630 PFR65628:PFR65630 PPN65628:PPN65630 PZJ65628:PZJ65630 QJF65628:QJF65630 QTB65628:QTB65630 RCX65628:RCX65630 RMT65628:RMT65630 RWP65628:RWP65630 SGL65628:SGL65630 SQH65628:SQH65630 TAD65628:TAD65630 TJZ65628:TJZ65630 TTV65628:TTV65630 UDR65628:UDR65630 UNN65628:UNN65630 UXJ65628:UXJ65630 VHF65628:VHF65630 VRB65628:VRB65630 WAX65628:WAX65630 WKT65628:WKT65630 WUP65628:WUP65630 ID131164:ID131166 RZ131164:RZ131166 ABV131164:ABV131166 ALR131164:ALR131166 AVN131164:AVN131166 BFJ131164:BFJ131166 BPF131164:BPF131166 BZB131164:BZB131166 CIX131164:CIX131166 CST131164:CST131166 DCP131164:DCP131166 DML131164:DML131166 DWH131164:DWH131166 EGD131164:EGD131166 EPZ131164:EPZ131166 EZV131164:EZV131166 FJR131164:FJR131166 FTN131164:FTN131166 GDJ131164:GDJ131166 GNF131164:GNF131166 GXB131164:GXB131166 HGX131164:HGX131166 HQT131164:HQT131166 IAP131164:IAP131166 IKL131164:IKL131166 IUH131164:IUH131166 JED131164:JED131166 JNZ131164:JNZ131166 JXV131164:JXV131166 KHR131164:KHR131166 KRN131164:KRN131166 LBJ131164:LBJ131166 LLF131164:LLF131166 LVB131164:LVB131166 MEX131164:MEX131166 MOT131164:MOT131166 MYP131164:MYP131166 NIL131164:NIL131166 NSH131164:NSH131166 OCD131164:OCD131166 OLZ131164:OLZ131166 OVV131164:OVV131166 PFR131164:PFR131166 PPN131164:PPN131166 PZJ131164:PZJ131166 QJF131164:QJF131166 QTB131164:QTB131166 RCX131164:RCX131166 RMT131164:RMT131166 RWP131164:RWP131166 SGL131164:SGL131166 SQH131164:SQH131166 TAD131164:TAD131166 TJZ131164:TJZ131166 TTV131164:TTV131166 UDR131164:UDR131166 UNN131164:UNN131166 UXJ131164:UXJ131166 VHF131164:VHF131166 VRB131164:VRB131166 WAX131164:WAX131166 WKT131164:WKT131166 WUP131164:WUP131166 ID196700:ID196702 RZ196700:RZ196702 ABV196700:ABV196702 ALR196700:ALR196702 AVN196700:AVN196702 BFJ196700:BFJ196702 BPF196700:BPF196702 BZB196700:BZB196702 CIX196700:CIX196702 CST196700:CST196702 DCP196700:DCP196702 DML196700:DML196702 DWH196700:DWH196702 EGD196700:EGD196702 EPZ196700:EPZ196702 EZV196700:EZV196702 FJR196700:FJR196702 FTN196700:FTN196702 GDJ196700:GDJ196702 GNF196700:GNF196702 GXB196700:GXB196702 HGX196700:HGX196702 HQT196700:HQT196702 IAP196700:IAP196702 IKL196700:IKL196702 IUH196700:IUH196702 JED196700:JED196702 JNZ196700:JNZ196702 JXV196700:JXV196702 KHR196700:KHR196702 KRN196700:KRN196702 LBJ196700:LBJ196702 LLF196700:LLF196702 LVB196700:LVB196702 MEX196700:MEX196702 MOT196700:MOT196702 MYP196700:MYP196702 NIL196700:NIL196702 NSH196700:NSH196702 OCD196700:OCD196702 OLZ196700:OLZ196702 OVV196700:OVV196702 PFR196700:PFR196702 PPN196700:PPN196702 PZJ196700:PZJ196702 QJF196700:QJF196702 QTB196700:QTB196702 RCX196700:RCX196702 RMT196700:RMT196702 RWP196700:RWP196702 SGL196700:SGL196702 SQH196700:SQH196702 TAD196700:TAD196702 TJZ196700:TJZ196702 TTV196700:TTV196702 UDR196700:UDR196702 UNN196700:UNN196702 UXJ196700:UXJ196702 VHF196700:VHF196702 VRB196700:VRB196702 WAX196700:WAX196702 WKT196700:WKT196702 WUP196700:WUP196702 ID262236:ID262238 RZ262236:RZ262238 ABV262236:ABV262238 ALR262236:ALR262238 AVN262236:AVN262238 BFJ262236:BFJ262238 BPF262236:BPF262238 BZB262236:BZB262238 CIX262236:CIX262238 CST262236:CST262238 DCP262236:DCP262238 DML262236:DML262238 DWH262236:DWH262238 EGD262236:EGD262238 EPZ262236:EPZ262238 EZV262236:EZV262238 FJR262236:FJR262238 FTN262236:FTN262238 GDJ262236:GDJ262238 GNF262236:GNF262238 GXB262236:GXB262238 HGX262236:HGX262238 HQT262236:HQT262238 IAP262236:IAP262238 IKL262236:IKL262238 IUH262236:IUH262238 JED262236:JED262238 JNZ262236:JNZ262238 JXV262236:JXV262238 KHR262236:KHR262238 KRN262236:KRN262238 LBJ262236:LBJ262238 LLF262236:LLF262238 LVB262236:LVB262238 MEX262236:MEX262238 MOT262236:MOT262238 MYP262236:MYP262238 NIL262236:NIL262238 NSH262236:NSH262238 OCD262236:OCD262238 OLZ262236:OLZ262238 OVV262236:OVV262238 PFR262236:PFR262238 PPN262236:PPN262238 PZJ262236:PZJ262238 QJF262236:QJF262238 QTB262236:QTB262238 RCX262236:RCX262238 RMT262236:RMT262238 RWP262236:RWP262238 SGL262236:SGL262238 SQH262236:SQH262238 TAD262236:TAD262238 TJZ262236:TJZ262238 TTV262236:TTV262238 UDR262236:UDR262238 UNN262236:UNN262238 UXJ262236:UXJ262238 VHF262236:VHF262238 VRB262236:VRB262238 WAX262236:WAX262238 WKT262236:WKT262238 WUP262236:WUP262238 ID327772:ID327774 RZ327772:RZ327774 ABV327772:ABV327774 ALR327772:ALR327774 AVN327772:AVN327774 BFJ327772:BFJ327774 BPF327772:BPF327774 BZB327772:BZB327774 CIX327772:CIX327774 CST327772:CST327774 DCP327772:DCP327774 DML327772:DML327774 DWH327772:DWH327774 EGD327772:EGD327774 EPZ327772:EPZ327774 EZV327772:EZV327774 FJR327772:FJR327774 FTN327772:FTN327774 GDJ327772:GDJ327774 GNF327772:GNF327774 GXB327772:GXB327774 HGX327772:HGX327774 HQT327772:HQT327774 IAP327772:IAP327774 IKL327772:IKL327774 IUH327772:IUH327774 JED327772:JED327774 JNZ327772:JNZ327774 JXV327772:JXV327774 KHR327772:KHR327774 KRN327772:KRN327774 LBJ327772:LBJ327774 LLF327772:LLF327774 LVB327772:LVB327774 MEX327772:MEX327774 MOT327772:MOT327774 MYP327772:MYP327774 NIL327772:NIL327774 NSH327772:NSH327774 OCD327772:OCD327774 OLZ327772:OLZ327774 OVV327772:OVV327774 PFR327772:PFR327774 PPN327772:PPN327774 PZJ327772:PZJ327774 QJF327772:QJF327774 QTB327772:QTB327774 RCX327772:RCX327774 RMT327772:RMT327774 RWP327772:RWP327774 SGL327772:SGL327774 SQH327772:SQH327774 TAD327772:TAD327774 TJZ327772:TJZ327774 TTV327772:TTV327774 UDR327772:UDR327774 UNN327772:UNN327774 UXJ327772:UXJ327774 VHF327772:VHF327774 VRB327772:VRB327774 WAX327772:WAX327774 WKT327772:WKT327774 WUP327772:WUP327774 ID393308:ID393310 RZ393308:RZ393310 ABV393308:ABV393310 ALR393308:ALR393310 AVN393308:AVN393310 BFJ393308:BFJ393310 BPF393308:BPF393310 BZB393308:BZB393310 CIX393308:CIX393310 CST393308:CST393310 DCP393308:DCP393310 DML393308:DML393310 DWH393308:DWH393310 EGD393308:EGD393310 EPZ393308:EPZ393310 EZV393308:EZV393310 FJR393308:FJR393310 FTN393308:FTN393310 GDJ393308:GDJ393310 GNF393308:GNF393310 GXB393308:GXB393310 HGX393308:HGX393310 HQT393308:HQT393310 IAP393308:IAP393310 IKL393308:IKL393310 IUH393308:IUH393310 JED393308:JED393310 JNZ393308:JNZ393310 JXV393308:JXV393310 KHR393308:KHR393310 KRN393308:KRN393310 LBJ393308:LBJ393310 LLF393308:LLF393310 LVB393308:LVB393310 MEX393308:MEX393310 MOT393308:MOT393310 MYP393308:MYP393310 NIL393308:NIL393310 NSH393308:NSH393310 OCD393308:OCD393310 OLZ393308:OLZ393310 OVV393308:OVV393310 PFR393308:PFR393310 PPN393308:PPN393310 PZJ393308:PZJ393310 QJF393308:QJF393310 QTB393308:QTB393310 RCX393308:RCX393310 RMT393308:RMT393310 RWP393308:RWP393310 SGL393308:SGL393310 SQH393308:SQH393310 TAD393308:TAD393310 TJZ393308:TJZ393310 TTV393308:TTV393310 UDR393308:UDR393310 UNN393308:UNN393310 UXJ393308:UXJ393310 VHF393308:VHF393310 VRB393308:VRB393310 WAX393308:WAX393310 WKT393308:WKT393310 WUP393308:WUP393310 ID458844:ID458846 RZ458844:RZ458846 ABV458844:ABV458846 ALR458844:ALR458846 AVN458844:AVN458846 BFJ458844:BFJ458846 BPF458844:BPF458846 BZB458844:BZB458846 CIX458844:CIX458846 CST458844:CST458846 DCP458844:DCP458846 DML458844:DML458846 DWH458844:DWH458846 EGD458844:EGD458846 EPZ458844:EPZ458846 EZV458844:EZV458846 FJR458844:FJR458846 FTN458844:FTN458846 GDJ458844:GDJ458846 GNF458844:GNF458846 GXB458844:GXB458846 HGX458844:HGX458846 HQT458844:HQT458846 IAP458844:IAP458846 IKL458844:IKL458846 IUH458844:IUH458846 JED458844:JED458846 JNZ458844:JNZ458846 JXV458844:JXV458846 KHR458844:KHR458846 KRN458844:KRN458846 LBJ458844:LBJ458846 LLF458844:LLF458846 LVB458844:LVB458846 MEX458844:MEX458846 MOT458844:MOT458846 MYP458844:MYP458846 NIL458844:NIL458846 NSH458844:NSH458846 OCD458844:OCD458846 OLZ458844:OLZ458846 OVV458844:OVV458846 PFR458844:PFR458846 PPN458844:PPN458846 PZJ458844:PZJ458846 QJF458844:QJF458846 QTB458844:QTB458846 RCX458844:RCX458846 RMT458844:RMT458846 RWP458844:RWP458846 SGL458844:SGL458846 SQH458844:SQH458846 TAD458844:TAD458846 TJZ458844:TJZ458846 TTV458844:TTV458846 UDR458844:UDR458846 UNN458844:UNN458846 UXJ458844:UXJ458846 VHF458844:VHF458846 VRB458844:VRB458846 WAX458844:WAX458846 WKT458844:WKT458846 WUP458844:WUP458846 ID524380:ID524382 RZ524380:RZ524382 ABV524380:ABV524382 ALR524380:ALR524382 AVN524380:AVN524382 BFJ524380:BFJ524382 BPF524380:BPF524382 BZB524380:BZB524382 CIX524380:CIX524382 CST524380:CST524382 DCP524380:DCP524382 DML524380:DML524382 DWH524380:DWH524382 EGD524380:EGD524382 EPZ524380:EPZ524382 EZV524380:EZV524382 FJR524380:FJR524382 FTN524380:FTN524382 GDJ524380:GDJ524382 GNF524380:GNF524382 GXB524380:GXB524382 HGX524380:HGX524382 HQT524380:HQT524382 IAP524380:IAP524382 IKL524380:IKL524382 IUH524380:IUH524382 JED524380:JED524382 JNZ524380:JNZ524382 JXV524380:JXV524382 KHR524380:KHR524382 KRN524380:KRN524382 LBJ524380:LBJ524382 LLF524380:LLF524382 LVB524380:LVB524382 MEX524380:MEX524382 MOT524380:MOT524382 MYP524380:MYP524382 NIL524380:NIL524382 NSH524380:NSH524382 OCD524380:OCD524382 OLZ524380:OLZ524382 OVV524380:OVV524382 PFR524380:PFR524382 PPN524380:PPN524382 PZJ524380:PZJ524382 QJF524380:QJF524382 QTB524380:QTB524382 RCX524380:RCX524382 RMT524380:RMT524382 RWP524380:RWP524382 SGL524380:SGL524382 SQH524380:SQH524382 TAD524380:TAD524382 TJZ524380:TJZ524382 TTV524380:TTV524382 UDR524380:UDR524382 UNN524380:UNN524382 UXJ524380:UXJ524382 VHF524380:VHF524382 VRB524380:VRB524382 WAX524380:WAX524382 WKT524380:WKT524382 WUP524380:WUP524382 ID589916:ID589918 RZ589916:RZ589918 ABV589916:ABV589918 ALR589916:ALR589918 AVN589916:AVN589918 BFJ589916:BFJ589918 BPF589916:BPF589918 BZB589916:BZB589918 CIX589916:CIX589918 CST589916:CST589918 DCP589916:DCP589918 DML589916:DML589918 DWH589916:DWH589918 EGD589916:EGD589918 EPZ589916:EPZ589918 EZV589916:EZV589918 FJR589916:FJR589918 FTN589916:FTN589918 GDJ589916:GDJ589918 GNF589916:GNF589918 GXB589916:GXB589918 HGX589916:HGX589918 HQT589916:HQT589918 IAP589916:IAP589918 IKL589916:IKL589918 IUH589916:IUH589918 JED589916:JED589918 JNZ589916:JNZ589918 JXV589916:JXV589918 KHR589916:KHR589918 KRN589916:KRN589918 LBJ589916:LBJ589918 LLF589916:LLF589918 LVB589916:LVB589918 MEX589916:MEX589918 MOT589916:MOT589918 MYP589916:MYP589918 NIL589916:NIL589918 NSH589916:NSH589918 OCD589916:OCD589918 OLZ589916:OLZ589918 OVV589916:OVV589918 PFR589916:PFR589918 PPN589916:PPN589918 PZJ589916:PZJ589918 QJF589916:QJF589918 QTB589916:QTB589918 RCX589916:RCX589918 RMT589916:RMT589918 RWP589916:RWP589918 SGL589916:SGL589918 SQH589916:SQH589918 TAD589916:TAD589918 TJZ589916:TJZ589918 TTV589916:TTV589918 UDR589916:UDR589918 UNN589916:UNN589918 UXJ589916:UXJ589918 VHF589916:VHF589918 VRB589916:VRB589918 WAX589916:WAX589918 WKT589916:WKT589918 WUP589916:WUP589918 ID655452:ID655454 RZ655452:RZ655454 ABV655452:ABV655454 ALR655452:ALR655454 AVN655452:AVN655454 BFJ655452:BFJ655454 BPF655452:BPF655454 BZB655452:BZB655454 CIX655452:CIX655454 CST655452:CST655454 DCP655452:DCP655454 DML655452:DML655454 DWH655452:DWH655454 EGD655452:EGD655454 EPZ655452:EPZ655454 EZV655452:EZV655454 FJR655452:FJR655454 FTN655452:FTN655454 GDJ655452:GDJ655454 GNF655452:GNF655454 GXB655452:GXB655454 HGX655452:HGX655454 HQT655452:HQT655454 IAP655452:IAP655454 IKL655452:IKL655454 IUH655452:IUH655454 JED655452:JED655454 JNZ655452:JNZ655454 JXV655452:JXV655454 KHR655452:KHR655454 KRN655452:KRN655454 LBJ655452:LBJ655454 LLF655452:LLF655454 LVB655452:LVB655454 MEX655452:MEX655454 MOT655452:MOT655454 MYP655452:MYP655454 NIL655452:NIL655454 NSH655452:NSH655454 OCD655452:OCD655454 OLZ655452:OLZ655454 OVV655452:OVV655454 PFR655452:PFR655454 PPN655452:PPN655454 PZJ655452:PZJ655454 QJF655452:QJF655454 QTB655452:QTB655454 RCX655452:RCX655454 RMT655452:RMT655454 RWP655452:RWP655454 SGL655452:SGL655454 SQH655452:SQH655454 TAD655452:TAD655454 TJZ655452:TJZ655454 TTV655452:TTV655454 UDR655452:UDR655454 UNN655452:UNN655454 UXJ655452:UXJ655454 VHF655452:VHF655454 VRB655452:VRB655454 WAX655452:WAX655454 WKT655452:WKT655454 WUP655452:WUP655454 ID720988:ID720990 RZ720988:RZ720990 ABV720988:ABV720990 ALR720988:ALR720990 AVN720988:AVN720990 BFJ720988:BFJ720990 BPF720988:BPF720990 BZB720988:BZB720990 CIX720988:CIX720990 CST720988:CST720990 DCP720988:DCP720990 DML720988:DML720990 DWH720988:DWH720990 EGD720988:EGD720990 EPZ720988:EPZ720990 EZV720988:EZV720990 FJR720988:FJR720990 FTN720988:FTN720990 GDJ720988:GDJ720990 GNF720988:GNF720990 GXB720988:GXB720990 HGX720988:HGX720990 HQT720988:HQT720990 IAP720988:IAP720990 IKL720988:IKL720990 IUH720988:IUH720990 JED720988:JED720990 JNZ720988:JNZ720990 JXV720988:JXV720990 KHR720988:KHR720990 KRN720988:KRN720990 LBJ720988:LBJ720990 LLF720988:LLF720990 LVB720988:LVB720990 MEX720988:MEX720990 MOT720988:MOT720990 MYP720988:MYP720990 NIL720988:NIL720990 NSH720988:NSH720990 OCD720988:OCD720990 OLZ720988:OLZ720990 OVV720988:OVV720990 PFR720988:PFR720990 PPN720988:PPN720990 PZJ720988:PZJ720990 QJF720988:QJF720990 QTB720988:QTB720990 RCX720988:RCX720990 RMT720988:RMT720990 RWP720988:RWP720990 SGL720988:SGL720990 SQH720988:SQH720990 TAD720988:TAD720990 TJZ720988:TJZ720990 TTV720988:TTV720990 UDR720988:UDR720990 UNN720988:UNN720990 UXJ720988:UXJ720990 VHF720988:VHF720990 VRB720988:VRB720990 WAX720988:WAX720990 WKT720988:WKT720990 WUP720988:WUP720990 ID786524:ID786526 RZ786524:RZ786526 ABV786524:ABV786526 ALR786524:ALR786526 AVN786524:AVN786526 BFJ786524:BFJ786526 BPF786524:BPF786526 BZB786524:BZB786526 CIX786524:CIX786526 CST786524:CST786526 DCP786524:DCP786526 DML786524:DML786526 DWH786524:DWH786526 EGD786524:EGD786526 EPZ786524:EPZ786526 EZV786524:EZV786526 FJR786524:FJR786526 FTN786524:FTN786526 GDJ786524:GDJ786526 GNF786524:GNF786526 GXB786524:GXB786526 HGX786524:HGX786526 HQT786524:HQT786526 IAP786524:IAP786526 IKL786524:IKL786526 IUH786524:IUH786526 JED786524:JED786526 JNZ786524:JNZ786526 JXV786524:JXV786526 KHR786524:KHR786526 KRN786524:KRN786526 LBJ786524:LBJ786526 LLF786524:LLF786526 LVB786524:LVB786526 MEX786524:MEX786526 MOT786524:MOT786526 MYP786524:MYP786526 NIL786524:NIL786526 NSH786524:NSH786526 OCD786524:OCD786526 OLZ786524:OLZ786526 OVV786524:OVV786526 PFR786524:PFR786526 PPN786524:PPN786526 PZJ786524:PZJ786526 QJF786524:QJF786526 QTB786524:QTB786526 RCX786524:RCX786526 RMT786524:RMT786526 RWP786524:RWP786526 SGL786524:SGL786526 SQH786524:SQH786526 TAD786524:TAD786526 TJZ786524:TJZ786526 TTV786524:TTV786526 UDR786524:UDR786526 UNN786524:UNN786526 UXJ786524:UXJ786526 VHF786524:VHF786526 VRB786524:VRB786526 WAX786524:WAX786526 WKT786524:WKT786526 WUP786524:WUP786526 ID852060:ID852062 RZ852060:RZ852062 ABV852060:ABV852062 ALR852060:ALR852062 AVN852060:AVN852062 BFJ852060:BFJ852062 BPF852060:BPF852062 BZB852060:BZB852062 CIX852060:CIX852062 CST852060:CST852062 DCP852060:DCP852062 DML852060:DML852062 DWH852060:DWH852062 EGD852060:EGD852062 EPZ852060:EPZ852062 EZV852060:EZV852062 FJR852060:FJR852062 FTN852060:FTN852062 GDJ852060:GDJ852062 GNF852060:GNF852062 GXB852060:GXB852062 HGX852060:HGX852062 HQT852060:HQT852062 IAP852060:IAP852062 IKL852060:IKL852062 IUH852060:IUH852062 JED852060:JED852062 JNZ852060:JNZ852062 JXV852060:JXV852062 KHR852060:KHR852062 KRN852060:KRN852062 LBJ852060:LBJ852062 LLF852060:LLF852062 LVB852060:LVB852062 MEX852060:MEX852062 MOT852060:MOT852062 MYP852060:MYP852062 NIL852060:NIL852062 NSH852060:NSH852062 OCD852060:OCD852062 OLZ852060:OLZ852062 OVV852060:OVV852062 PFR852060:PFR852062 PPN852060:PPN852062 PZJ852060:PZJ852062 QJF852060:QJF852062 QTB852060:QTB852062 RCX852060:RCX852062 RMT852060:RMT852062 RWP852060:RWP852062 SGL852060:SGL852062 SQH852060:SQH852062 TAD852060:TAD852062 TJZ852060:TJZ852062 TTV852060:TTV852062 UDR852060:UDR852062 UNN852060:UNN852062 UXJ852060:UXJ852062 VHF852060:VHF852062 VRB852060:VRB852062 WAX852060:WAX852062 WKT852060:WKT852062 WUP852060:WUP852062 ID917596:ID917598 RZ917596:RZ917598 ABV917596:ABV917598 ALR917596:ALR917598 AVN917596:AVN917598 BFJ917596:BFJ917598 BPF917596:BPF917598 BZB917596:BZB917598 CIX917596:CIX917598 CST917596:CST917598 DCP917596:DCP917598 DML917596:DML917598 DWH917596:DWH917598 EGD917596:EGD917598 EPZ917596:EPZ917598 EZV917596:EZV917598 FJR917596:FJR917598 FTN917596:FTN917598 GDJ917596:GDJ917598 GNF917596:GNF917598 GXB917596:GXB917598 HGX917596:HGX917598 HQT917596:HQT917598 IAP917596:IAP917598 IKL917596:IKL917598 IUH917596:IUH917598 JED917596:JED917598 JNZ917596:JNZ917598 JXV917596:JXV917598 KHR917596:KHR917598 KRN917596:KRN917598 LBJ917596:LBJ917598 LLF917596:LLF917598 LVB917596:LVB917598 MEX917596:MEX917598 MOT917596:MOT917598 MYP917596:MYP917598 NIL917596:NIL917598 NSH917596:NSH917598 OCD917596:OCD917598 OLZ917596:OLZ917598 OVV917596:OVV917598 PFR917596:PFR917598 PPN917596:PPN917598 PZJ917596:PZJ917598 QJF917596:QJF917598 QTB917596:QTB917598 RCX917596:RCX917598 RMT917596:RMT917598 RWP917596:RWP917598 SGL917596:SGL917598 SQH917596:SQH917598 TAD917596:TAD917598 TJZ917596:TJZ917598 TTV917596:TTV917598 UDR917596:UDR917598 UNN917596:UNN917598 UXJ917596:UXJ917598 VHF917596:VHF917598 VRB917596:VRB917598 WAX917596:WAX917598 WKT917596:WKT917598 WUP917596:WUP917598 ID983132:ID983134 RZ983132:RZ983134 ABV983132:ABV983134 ALR983132:ALR983134 AVN983132:AVN983134 BFJ983132:BFJ983134 BPF983132:BPF983134 BZB983132:BZB983134 CIX983132:CIX983134 CST983132:CST983134 DCP983132:DCP983134 DML983132:DML983134 DWH983132:DWH983134 EGD983132:EGD983134 EPZ983132:EPZ983134 EZV983132:EZV983134 FJR983132:FJR983134 FTN983132:FTN983134 GDJ983132:GDJ983134 GNF983132:GNF983134 GXB983132:GXB983134 HGX983132:HGX983134 HQT983132:HQT983134 IAP983132:IAP983134 IKL983132:IKL983134 IUH983132:IUH983134 JED983132:JED983134 JNZ983132:JNZ983134 JXV983132:JXV983134 KHR983132:KHR983134 KRN983132:KRN983134 LBJ983132:LBJ983134 LLF983132:LLF983134 LVB983132:LVB983134 MEX983132:MEX983134 MOT983132:MOT983134 MYP983132:MYP983134 NIL983132:NIL983134 NSH983132:NSH983134 OCD983132:OCD983134 OLZ983132:OLZ983134 OVV983132:OVV983134 PFR983132:PFR983134 PPN983132:PPN983134 PZJ983132:PZJ983134 QJF983132:QJF983134 QTB983132:QTB983134 RCX983132:RCX983134 RMT983132:RMT983134 RWP983132:RWP983134 SGL983132:SGL983134 SQH983132:SQH983134 TAD983132:TAD983134 TJZ983132:TJZ983134 TTV983132:TTV983134 UDR983132:UDR983134 UNN983132:UNN983134 UXJ983132:UXJ983134 VHF983132:VHF983134 VRB983132:VRB983134 WAX983132:WAX983134 WKT983132:WKT983134 WUP983132:WUP983134 ID92:ID95 ID6:ID87 WUP6:WUP87 WKT6:WKT87 WAX6:WAX87 VRB6:VRB87 VHF6:VHF87 UXJ6:UXJ87 UNN6:UNN87 UDR6:UDR87 TTV6:TTV87 TJZ6:TJZ87 TAD6:TAD87 SQH6:SQH87 SGL6:SGL87 RWP6:RWP87 RMT6:RMT87 RCX6:RCX87 QTB6:QTB87 QJF6:QJF87 PZJ6:PZJ87 PPN6:PPN87 PFR6:PFR87 OVV6:OVV87 OLZ6:OLZ87 OCD6:OCD87 NSH6:NSH87 NIL6:NIL87 MYP6:MYP87 MOT6:MOT87 MEX6:MEX87 LVB6:LVB87 LLF6:LLF87 LBJ6:LBJ87 KRN6:KRN87 KHR6:KHR87 JXV6:JXV87 JNZ6:JNZ87 JED6:JED87 IUH6:IUH87 IKL6:IKL87 IAP6:IAP87 HQT6:HQT87 HGX6:HGX87 GXB6:GXB87 GNF6:GNF87 GDJ6:GDJ87 FTN6:FTN87 FJR6:FJR87 EZV6:EZV87 EPZ6:EPZ87 EGD6:EGD87 DWH6:DWH87 DML6:DML87 DCP6:DCP87 CST6:CST87 CIX6:CIX87 BZB6:BZB87 BPF6:BPF87 BFJ6:BFJ87 AVN6:AVN87 ALR6:ALR87 ABV6:ABV87 RZ6:RZ87" xr:uid="{00000000-0002-0000-0A00-000001000000}">
      <formula1>"有,無"</formula1>
    </dataValidation>
    <dataValidation type="list" allowBlank="1" showInputMessage="1" showErrorMessage="1" sqref="E65585:E65591 IA45:IA81 RW45:RW81 ABS45:ABS81 ALO45:ALO81 AVK45:AVK81 BFG45:BFG81 BPC45:BPC81 BYY45:BYY81 CIU45:CIU81 CSQ45:CSQ81 DCM45:DCM81 DMI45:DMI81 DWE45:DWE81 EGA45:EGA81 EPW45:EPW81 EZS45:EZS81 FJO45:FJO81 FTK45:FTK81 GDG45:GDG81 GNC45:GNC81 GWY45:GWY81 HGU45:HGU81 HQQ45:HQQ81 IAM45:IAM81 IKI45:IKI81 IUE45:IUE81 JEA45:JEA81 JNW45:JNW81 JXS45:JXS81 KHO45:KHO81 KRK45:KRK81 LBG45:LBG81 LLC45:LLC81 LUY45:LUY81 MEU45:MEU81 MOQ45:MOQ81 MYM45:MYM81 NII45:NII81 NSE45:NSE81 OCA45:OCA81 OLW45:OLW81 OVS45:OVS81 PFO45:PFO81 PPK45:PPK81 PZG45:PZG81 QJC45:QJC81 QSY45:QSY81 RCU45:RCU81 RMQ45:RMQ81 RWM45:RWM81 SGI45:SGI81 SQE45:SQE81 TAA45:TAA81 TJW45:TJW81 TTS45:TTS81 UDO45:UDO81 UNK45:UNK81 UXG45:UXG81 VHC45:VHC81 VQY45:VQY81 WAU45:WAU81 WKQ45:WKQ81 WUM45:WUM81 WUM43 IA43 RW43 ABS43 ALO43 AVK43 BFG43 BPC43 BYY43 CIU43 CSQ43 DCM43 DMI43 DWE43 EGA43 EPW43 EZS43 FJO43 FTK43 GDG43 GNC43 GWY43 HGU43 HQQ43 IAM43 IKI43 IUE43 JEA43 JNW43 JXS43 KHO43 KRK43 LBG43 LLC43 LUY43 MEU43 MOQ43 MYM43 NII43 NSE43 OCA43 OLW43 OVS43 PFO43 PPK43 PZG43 QJC43 QSY43 RCU43 RMQ43 RWM43 SGI43 SQE43 TAA43 TJW43 TTS43 UDO43 UNK43 UXG43 VHC43 VQY43 WAU43 WKQ43 WUM983115:WUM983122 WKQ983115:WKQ983122 WAU983115:WAU983122 VQY983115:VQY983122 VHC983115:VHC983122 UXG983115:UXG983122 UNK983115:UNK983122 UDO983115:UDO983122 TTS983115:TTS983122 TJW983115:TJW983122 TAA983115:TAA983122 SQE983115:SQE983122 SGI983115:SGI983122 RWM983115:RWM983122 RMQ983115:RMQ983122 RCU983115:RCU983122 QSY983115:QSY983122 QJC983115:QJC983122 PZG983115:PZG983122 PPK983115:PPK983122 PFO983115:PFO983122 OVS983115:OVS983122 OLW983115:OLW983122 OCA983115:OCA983122 NSE983115:NSE983122 NII983115:NII983122 MYM983115:MYM983122 MOQ983115:MOQ983122 MEU983115:MEU983122 LUY983115:LUY983122 LLC983115:LLC983122 LBG983115:LBG983122 KRK983115:KRK983122 KHO983115:KHO983122 JXS983115:JXS983122 JNW983115:JNW983122 JEA983115:JEA983122 IUE983115:IUE983122 IKI983115:IKI983122 IAM983115:IAM983122 HQQ983115:HQQ983122 HGU983115:HGU983122 GWY983115:GWY983122 GNC983115:GNC983122 GDG983115:GDG983122 FTK983115:FTK983122 FJO983115:FJO983122 EZS983115:EZS983122 EPW983115:EPW983122 EGA983115:EGA983122 DWE983115:DWE983122 DMI983115:DMI983122 DCM983115:DCM983122 CSQ983115:CSQ983122 CIU983115:CIU983122 BYY983115:BYY983122 BPC983115:BPC983122 BFG983115:BFG983122 AVK983115:AVK983122 ALO983115:ALO983122 ABS983115:ABS983122 RW983115:RW983122 IA983115:IA983122 E983115:E983122 WUM917579:WUM917586 WKQ917579:WKQ917586 WAU917579:WAU917586 VQY917579:VQY917586 VHC917579:VHC917586 UXG917579:UXG917586 UNK917579:UNK917586 UDO917579:UDO917586 TTS917579:TTS917586 TJW917579:TJW917586 TAA917579:TAA917586 SQE917579:SQE917586 SGI917579:SGI917586 RWM917579:RWM917586 RMQ917579:RMQ917586 RCU917579:RCU917586 QSY917579:QSY917586 QJC917579:QJC917586 PZG917579:PZG917586 PPK917579:PPK917586 PFO917579:PFO917586 OVS917579:OVS917586 OLW917579:OLW917586 OCA917579:OCA917586 NSE917579:NSE917586 NII917579:NII917586 MYM917579:MYM917586 MOQ917579:MOQ917586 MEU917579:MEU917586 LUY917579:LUY917586 LLC917579:LLC917586 LBG917579:LBG917586 KRK917579:KRK917586 KHO917579:KHO917586 JXS917579:JXS917586 JNW917579:JNW917586 JEA917579:JEA917586 IUE917579:IUE917586 IKI917579:IKI917586 IAM917579:IAM917586 HQQ917579:HQQ917586 HGU917579:HGU917586 GWY917579:GWY917586 GNC917579:GNC917586 GDG917579:GDG917586 FTK917579:FTK917586 FJO917579:FJO917586 EZS917579:EZS917586 EPW917579:EPW917586 EGA917579:EGA917586 DWE917579:DWE917586 DMI917579:DMI917586 DCM917579:DCM917586 CSQ917579:CSQ917586 CIU917579:CIU917586 BYY917579:BYY917586 BPC917579:BPC917586 BFG917579:BFG917586 AVK917579:AVK917586 ALO917579:ALO917586 ABS917579:ABS917586 RW917579:RW917586 IA917579:IA917586 E917579:E917586 WUM852043:WUM852050 WKQ852043:WKQ852050 WAU852043:WAU852050 VQY852043:VQY852050 VHC852043:VHC852050 UXG852043:UXG852050 UNK852043:UNK852050 UDO852043:UDO852050 TTS852043:TTS852050 TJW852043:TJW852050 TAA852043:TAA852050 SQE852043:SQE852050 SGI852043:SGI852050 RWM852043:RWM852050 RMQ852043:RMQ852050 RCU852043:RCU852050 QSY852043:QSY852050 QJC852043:QJC852050 PZG852043:PZG852050 PPK852043:PPK852050 PFO852043:PFO852050 OVS852043:OVS852050 OLW852043:OLW852050 OCA852043:OCA852050 NSE852043:NSE852050 NII852043:NII852050 MYM852043:MYM852050 MOQ852043:MOQ852050 MEU852043:MEU852050 LUY852043:LUY852050 LLC852043:LLC852050 LBG852043:LBG852050 KRK852043:KRK852050 KHO852043:KHO852050 JXS852043:JXS852050 JNW852043:JNW852050 JEA852043:JEA852050 IUE852043:IUE852050 IKI852043:IKI852050 IAM852043:IAM852050 HQQ852043:HQQ852050 HGU852043:HGU852050 GWY852043:GWY852050 GNC852043:GNC852050 GDG852043:GDG852050 FTK852043:FTK852050 FJO852043:FJO852050 EZS852043:EZS852050 EPW852043:EPW852050 EGA852043:EGA852050 DWE852043:DWE852050 DMI852043:DMI852050 DCM852043:DCM852050 CSQ852043:CSQ852050 CIU852043:CIU852050 BYY852043:BYY852050 BPC852043:BPC852050 BFG852043:BFG852050 AVK852043:AVK852050 ALO852043:ALO852050 ABS852043:ABS852050 RW852043:RW852050 IA852043:IA852050 E852043:E852050 WUM786507:WUM786514 WKQ786507:WKQ786514 WAU786507:WAU786514 VQY786507:VQY786514 VHC786507:VHC786514 UXG786507:UXG786514 UNK786507:UNK786514 UDO786507:UDO786514 TTS786507:TTS786514 TJW786507:TJW786514 TAA786507:TAA786514 SQE786507:SQE786514 SGI786507:SGI786514 RWM786507:RWM786514 RMQ786507:RMQ786514 RCU786507:RCU786514 QSY786507:QSY786514 QJC786507:QJC786514 PZG786507:PZG786514 PPK786507:PPK786514 PFO786507:PFO786514 OVS786507:OVS786514 OLW786507:OLW786514 OCA786507:OCA786514 NSE786507:NSE786514 NII786507:NII786514 MYM786507:MYM786514 MOQ786507:MOQ786514 MEU786507:MEU786514 LUY786507:LUY786514 LLC786507:LLC786514 LBG786507:LBG786514 KRK786507:KRK786514 KHO786507:KHO786514 JXS786507:JXS786514 JNW786507:JNW786514 JEA786507:JEA786514 IUE786507:IUE786514 IKI786507:IKI786514 IAM786507:IAM786514 HQQ786507:HQQ786514 HGU786507:HGU786514 GWY786507:GWY786514 GNC786507:GNC786514 GDG786507:GDG786514 FTK786507:FTK786514 FJO786507:FJO786514 EZS786507:EZS786514 EPW786507:EPW786514 EGA786507:EGA786514 DWE786507:DWE786514 DMI786507:DMI786514 DCM786507:DCM786514 CSQ786507:CSQ786514 CIU786507:CIU786514 BYY786507:BYY786514 BPC786507:BPC786514 BFG786507:BFG786514 AVK786507:AVK786514 ALO786507:ALO786514 ABS786507:ABS786514 RW786507:RW786514 IA786507:IA786514 E786507:E786514 WUM720971:WUM720978 WKQ720971:WKQ720978 WAU720971:WAU720978 VQY720971:VQY720978 VHC720971:VHC720978 UXG720971:UXG720978 UNK720971:UNK720978 UDO720971:UDO720978 TTS720971:TTS720978 TJW720971:TJW720978 TAA720971:TAA720978 SQE720971:SQE720978 SGI720971:SGI720978 RWM720971:RWM720978 RMQ720971:RMQ720978 RCU720971:RCU720978 QSY720971:QSY720978 QJC720971:QJC720978 PZG720971:PZG720978 PPK720971:PPK720978 PFO720971:PFO720978 OVS720971:OVS720978 OLW720971:OLW720978 OCA720971:OCA720978 NSE720971:NSE720978 NII720971:NII720978 MYM720971:MYM720978 MOQ720971:MOQ720978 MEU720971:MEU720978 LUY720971:LUY720978 LLC720971:LLC720978 LBG720971:LBG720978 KRK720971:KRK720978 KHO720971:KHO720978 JXS720971:JXS720978 JNW720971:JNW720978 JEA720971:JEA720978 IUE720971:IUE720978 IKI720971:IKI720978 IAM720971:IAM720978 HQQ720971:HQQ720978 HGU720971:HGU720978 GWY720971:GWY720978 GNC720971:GNC720978 GDG720971:GDG720978 FTK720971:FTK720978 FJO720971:FJO720978 EZS720971:EZS720978 EPW720971:EPW720978 EGA720971:EGA720978 DWE720971:DWE720978 DMI720971:DMI720978 DCM720971:DCM720978 CSQ720971:CSQ720978 CIU720971:CIU720978 BYY720971:BYY720978 BPC720971:BPC720978 BFG720971:BFG720978 AVK720971:AVK720978 ALO720971:ALO720978 ABS720971:ABS720978 RW720971:RW720978 IA720971:IA720978 E720971:E720978 WUM655435:WUM655442 WKQ655435:WKQ655442 WAU655435:WAU655442 VQY655435:VQY655442 VHC655435:VHC655442 UXG655435:UXG655442 UNK655435:UNK655442 UDO655435:UDO655442 TTS655435:TTS655442 TJW655435:TJW655442 TAA655435:TAA655442 SQE655435:SQE655442 SGI655435:SGI655442 RWM655435:RWM655442 RMQ655435:RMQ655442 RCU655435:RCU655442 QSY655435:QSY655442 QJC655435:QJC655442 PZG655435:PZG655442 PPK655435:PPK655442 PFO655435:PFO655442 OVS655435:OVS655442 OLW655435:OLW655442 OCA655435:OCA655442 NSE655435:NSE655442 NII655435:NII655442 MYM655435:MYM655442 MOQ655435:MOQ655442 MEU655435:MEU655442 LUY655435:LUY655442 LLC655435:LLC655442 LBG655435:LBG655442 KRK655435:KRK655442 KHO655435:KHO655442 JXS655435:JXS655442 JNW655435:JNW655442 JEA655435:JEA655442 IUE655435:IUE655442 IKI655435:IKI655442 IAM655435:IAM655442 HQQ655435:HQQ655442 HGU655435:HGU655442 GWY655435:GWY655442 GNC655435:GNC655442 GDG655435:GDG655442 FTK655435:FTK655442 FJO655435:FJO655442 EZS655435:EZS655442 EPW655435:EPW655442 EGA655435:EGA655442 DWE655435:DWE655442 DMI655435:DMI655442 DCM655435:DCM655442 CSQ655435:CSQ655442 CIU655435:CIU655442 BYY655435:BYY655442 BPC655435:BPC655442 BFG655435:BFG655442 AVK655435:AVK655442 ALO655435:ALO655442 ABS655435:ABS655442 RW655435:RW655442 IA655435:IA655442 E655435:E655442 WUM589899:WUM589906 WKQ589899:WKQ589906 WAU589899:WAU589906 VQY589899:VQY589906 VHC589899:VHC589906 UXG589899:UXG589906 UNK589899:UNK589906 UDO589899:UDO589906 TTS589899:TTS589906 TJW589899:TJW589906 TAA589899:TAA589906 SQE589899:SQE589906 SGI589899:SGI589906 RWM589899:RWM589906 RMQ589899:RMQ589906 RCU589899:RCU589906 QSY589899:QSY589906 QJC589899:QJC589906 PZG589899:PZG589906 PPK589899:PPK589906 PFO589899:PFO589906 OVS589899:OVS589906 OLW589899:OLW589906 OCA589899:OCA589906 NSE589899:NSE589906 NII589899:NII589906 MYM589899:MYM589906 MOQ589899:MOQ589906 MEU589899:MEU589906 LUY589899:LUY589906 LLC589899:LLC589906 LBG589899:LBG589906 KRK589899:KRK589906 KHO589899:KHO589906 JXS589899:JXS589906 JNW589899:JNW589906 JEA589899:JEA589906 IUE589899:IUE589906 IKI589899:IKI589906 IAM589899:IAM589906 HQQ589899:HQQ589906 HGU589899:HGU589906 GWY589899:GWY589906 GNC589899:GNC589906 GDG589899:GDG589906 FTK589899:FTK589906 FJO589899:FJO589906 EZS589899:EZS589906 EPW589899:EPW589906 EGA589899:EGA589906 DWE589899:DWE589906 DMI589899:DMI589906 DCM589899:DCM589906 CSQ589899:CSQ589906 CIU589899:CIU589906 BYY589899:BYY589906 BPC589899:BPC589906 BFG589899:BFG589906 AVK589899:AVK589906 ALO589899:ALO589906 ABS589899:ABS589906 RW589899:RW589906 IA589899:IA589906 E589899:E589906 WUM524363:WUM524370 WKQ524363:WKQ524370 WAU524363:WAU524370 VQY524363:VQY524370 VHC524363:VHC524370 UXG524363:UXG524370 UNK524363:UNK524370 UDO524363:UDO524370 TTS524363:TTS524370 TJW524363:TJW524370 TAA524363:TAA524370 SQE524363:SQE524370 SGI524363:SGI524370 RWM524363:RWM524370 RMQ524363:RMQ524370 RCU524363:RCU524370 QSY524363:QSY524370 QJC524363:QJC524370 PZG524363:PZG524370 PPK524363:PPK524370 PFO524363:PFO524370 OVS524363:OVS524370 OLW524363:OLW524370 OCA524363:OCA524370 NSE524363:NSE524370 NII524363:NII524370 MYM524363:MYM524370 MOQ524363:MOQ524370 MEU524363:MEU524370 LUY524363:LUY524370 LLC524363:LLC524370 LBG524363:LBG524370 KRK524363:KRK524370 KHO524363:KHO524370 JXS524363:JXS524370 JNW524363:JNW524370 JEA524363:JEA524370 IUE524363:IUE524370 IKI524363:IKI524370 IAM524363:IAM524370 HQQ524363:HQQ524370 HGU524363:HGU524370 GWY524363:GWY524370 GNC524363:GNC524370 GDG524363:GDG524370 FTK524363:FTK524370 FJO524363:FJO524370 EZS524363:EZS524370 EPW524363:EPW524370 EGA524363:EGA524370 DWE524363:DWE524370 DMI524363:DMI524370 DCM524363:DCM524370 CSQ524363:CSQ524370 CIU524363:CIU524370 BYY524363:BYY524370 BPC524363:BPC524370 BFG524363:BFG524370 AVK524363:AVK524370 ALO524363:ALO524370 ABS524363:ABS524370 RW524363:RW524370 IA524363:IA524370 E524363:E524370 WUM458827:WUM458834 WKQ458827:WKQ458834 WAU458827:WAU458834 VQY458827:VQY458834 VHC458827:VHC458834 UXG458827:UXG458834 UNK458827:UNK458834 UDO458827:UDO458834 TTS458827:TTS458834 TJW458827:TJW458834 TAA458827:TAA458834 SQE458827:SQE458834 SGI458827:SGI458834 RWM458827:RWM458834 RMQ458827:RMQ458834 RCU458827:RCU458834 QSY458827:QSY458834 QJC458827:QJC458834 PZG458827:PZG458834 PPK458827:PPK458834 PFO458827:PFO458834 OVS458827:OVS458834 OLW458827:OLW458834 OCA458827:OCA458834 NSE458827:NSE458834 NII458827:NII458834 MYM458827:MYM458834 MOQ458827:MOQ458834 MEU458827:MEU458834 LUY458827:LUY458834 LLC458827:LLC458834 LBG458827:LBG458834 KRK458827:KRK458834 KHO458827:KHO458834 JXS458827:JXS458834 JNW458827:JNW458834 JEA458827:JEA458834 IUE458827:IUE458834 IKI458827:IKI458834 IAM458827:IAM458834 HQQ458827:HQQ458834 HGU458827:HGU458834 GWY458827:GWY458834 GNC458827:GNC458834 GDG458827:GDG458834 FTK458827:FTK458834 FJO458827:FJO458834 EZS458827:EZS458834 EPW458827:EPW458834 EGA458827:EGA458834 DWE458827:DWE458834 DMI458827:DMI458834 DCM458827:DCM458834 CSQ458827:CSQ458834 CIU458827:CIU458834 BYY458827:BYY458834 BPC458827:BPC458834 BFG458827:BFG458834 AVK458827:AVK458834 ALO458827:ALO458834 ABS458827:ABS458834 RW458827:RW458834 IA458827:IA458834 E458827:E458834 WUM393291:WUM393298 WKQ393291:WKQ393298 WAU393291:WAU393298 VQY393291:VQY393298 VHC393291:VHC393298 UXG393291:UXG393298 UNK393291:UNK393298 UDO393291:UDO393298 TTS393291:TTS393298 TJW393291:TJW393298 TAA393291:TAA393298 SQE393291:SQE393298 SGI393291:SGI393298 RWM393291:RWM393298 RMQ393291:RMQ393298 RCU393291:RCU393298 QSY393291:QSY393298 QJC393291:QJC393298 PZG393291:PZG393298 PPK393291:PPK393298 PFO393291:PFO393298 OVS393291:OVS393298 OLW393291:OLW393298 OCA393291:OCA393298 NSE393291:NSE393298 NII393291:NII393298 MYM393291:MYM393298 MOQ393291:MOQ393298 MEU393291:MEU393298 LUY393291:LUY393298 LLC393291:LLC393298 LBG393291:LBG393298 KRK393291:KRK393298 KHO393291:KHO393298 JXS393291:JXS393298 JNW393291:JNW393298 JEA393291:JEA393298 IUE393291:IUE393298 IKI393291:IKI393298 IAM393291:IAM393298 HQQ393291:HQQ393298 HGU393291:HGU393298 GWY393291:GWY393298 GNC393291:GNC393298 GDG393291:GDG393298 FTK393291:FTK393298 FJO393291:FJO393298 EZS393291:EZS393298 EPW393291:EPW393298 EGA393291:EGA393298 DWE393291:DWE393298 DMI393291:DMI393298 DCM393291:DCM393298 CSQ393291:CSQ393298 CIU393291:CIU393298 BYY393291:BYY393298 BPC393291:BPC393298 BFG393291:BFG393298 AVK393291:AVK393298 ALO393291:ALO393298 ABS393291:ABS393298 RW393291:RW393298 IA393291:IA393298 E393291:E393298 WUM327755:WUM327762 WKQ327755:WKQ327762 WAU327755:WAU327762 VQY327755:VQY327762 VHC327755:VHC327762 UXG327755:UXG327762 UNK327755:UNK327762 UDO327755:UDO327762 TTS327755:TTS327762 TJW327755:TJW327762 TAA327755:TAA327762 SQE327755:SQE327762 SGI327755:SGI327762 RWM327755:RWM327762 RMQ327755:RMQ327762 RCU327755:RCU327762 QSY327755:QSY327762 QJC327755:QJC327762 PZG327755:PZG327762 PPK327755:PPK327762 PFO327755:PFO327762 OVS327755:OVS327762 OLW327755:OLW327762 OCA327755:OCA327762 NSE327755:NSE327762 NII327755:NII327762 MYM327755:MYM327762 MOQ327755:MOQ327762 MEU327755:MEU327762 LUY327755:LUY327762 LLC327755:LLC327762 LBG327755:LBG327762 KRK327755:KRK327762 KHO327755:KHO327762 JXS327755:JXS327762 JNW327755:JNW327762 JEA327755:JEA327762 IUE327755:IUE327762 IKI327755:IKI327762 IAM327755:IAM327762 HQQ327755:HQQ327762 HGU327755:HGU327762 GWY327755:GWY327762 GNC327755:GNC327762 GDG327755:GDG327762 FTK327755:FTK327762 FJO327755:FJO327762 EZS327755:EZS327762 EPW327755:EPW327762 EGA327755:EGA327762 DWE327755:DWE327762 DMI327755:DMI327762 DCM327755:DCM327762 CSQ327755:CSQ327762 CIU327755:CIU327762 BYY327755:BYY327762 BPC327755:BPC327762 BFG327755:BFG327762 AVK327755:AVK327762 ALO327755:ALO327762 ABS327755:ABS327762 RW327755:RW327762 IA327755:IA327762 E327755:E327762 WUM262219:WUM262226 WKQ262219:WKQ262226 WAU262219:WAU262226 VQY262219:VQY262226 VHC262219:VHC262226 UXG262219:UXG262226 UNK262219:UNK262226 UDO262219:UDO262226 TTS262219:TTS262226 TJW262219:TJW262226 TAA262219:TAA262226 SQE262219:SQE262226 SGI262219:SGI262226 RWM262219:RWM262226 RMQ262219:RMQ262226 RCU262219:RCU262226 QSY262219:QSY262226 QJC262219:QJC262226 PZG262219:PZG262226 PPK262219:PPK262226 PFO262219:PFO262226 OVS262219:OVS262226 OLW262219:OLW262226 OCA262219:OCA262226 NSE262219:NSE262226 NII262219:NII262226 MYM262219:MYM262226 MOQ262219:MOQ262226 MEU262219:MEU262226 LUY262219:LUY262226 LLC262219:LLC262226 LBG262219:LBG262226 KRK262219:KRK262226 KHO262219:KHO262226 JXS262219:JXS262226 JNW262219:JNW262226 JEA262219:JEA262226 IUE262219:IUE262226 IKI262219:IKI262226 IAM262219:IAM262226 HQQ262219:HQQ262226 HGU262219:HGU262226 GWY262219:GWY262226 GNC262219:GNC262226 GDG262219:GDG262226 FTK262219:FTK262226 FJO262219:FJO262226 EZS262219:EZS262226 EPW262219:EPW262226 EGA262219:EGA262226 DWE262219:DWE262226 DMI262219:DMI262226 DCM262219:DCM262226 CSQ262219:CSQ262226 CIU262219:CIU262226 BYY262219:BYY262226 BPC262219:BPC262226 BFG262219:BFG262226 AVK262219:AVK262226 ALO262219:ALO262226 ABS262219:ABS262226 RW262219:RW262226 IA262219:IA262226 E262219:E262226 WUM196683:WUM196690 WKQ196683:WKQ196690 WAU196683:WAU196690 VQY196683:VQY196690 VHC196683:VHC196690 UXG196683:UXG196690 UNK196683:UNK196690 UDO196683:UDO196690 TTS196683:TTS196690 TJW196683:TJW196690 TAA196683:TAA196690 SQE196683:SQE196690 SGI196683:SGI196690 RWM196683:RWM196690 RMQ196683:RMQ196690 RCU196683:RCU196690 QSY196683:QSY196690 QJC196683:QJC196690 PZG196683:PZG196690 PPK196683:PPK196690 PFO196683:PFO196690 OVS196683:OVS196690 OLW196683:OLW196690 OCA196683:OCA196690 NSE196683:NSE196690 NII196683:NII196690 MYM196683:MYM196690 MOQ196683:MOQ196690 MEU196683:MEU196690 LUY196683:LUY196690 LLC196683:LLC196690 LBG196683:LBG196690 KRK196683:KRK196690 KHO196683:KHO196690 JXS196683:JXS196690 JNW196683:JNW196690 JEA196683:JEA196690 IUE196683:IUE196690 IKI196683:IKI196690 IAM196683:IAM196690 HQQ196683:HQQ196690 HGU196683:HGU196690 GWY196683:GWY196690 GNC196683:GNC196690 GDG196683:GDG196690 FTK196683:FTK196690 FJO196683:FJO196690 EZS196683:EZS196690 EPW196683:EPW196690 EGA196683:EGA196690 DWE196683:DWE196690 DMI196683:DMI196690 DCM196683:DCM196690 CSQ196683:CSQ196690 CIU196683:CIU196690 BYY196683:BYY196690 BPC196683:BPC196690 BFG196683:BFG196690 AVK196683:AVK196690 ALO196683:ALO196690 ABS196683:ABS196690 RW196683:RW196690 IA196683:IA196690 E196683:E196690 WUM131147:WUM131154 WKQ131147:WKQ131154 WAU131147:WAU131154 VQY131147:VQY131154 VHC131147:VHC131154 UXG131147:UXG131154 UNK131147:UNK131154 UDO131147:UDO131154 TTS131147:TTS131154 TJW131147:TJW131154 TAA131147:TAA131154 SQE131147:SQE131154 SGI131147:SGI131154 RWM131147:RWM131154 RMQ131147:RMQ131154 RCU131147:RCU131154 QSY131147:QSY131154 QJC131147:QJC131154 PZG131147:PZG131154 PPK131147:PPK131154 PFO131147:PFO131154 OVS131147:OVS131154 OLW131147:OLW131154 OCA131147:OCA131154 NSE131147:NSE131154 NII131147:NII131154 MYM131147:MYM131154 MOQ131147:MOQ131154 MEU131147:MEU131154 LUY131147:LUY131154 LLC131147:LLC131154 LBG131147:LBG131154 KRK131147:KRK131154 KHO131147:KHO131154 JXS131147:JXS131154 JNW131147:JNW131154 JEA131147:JEA131154 IUE131147:IUE131154 IKI131147:IKI131154 IAM131147:IAM131154 HQQ131147:HQQ131154 HGU131147:HGU131154 GWY131147:GWY131154 GNC131147:GNC131154 GDG131147:GDG131154 FTK131147:FTK131154 FJO131147:FJO131154 EZS131147:EZS131154 EPW131147:EPW131154 EGA131147:EGA131154 DWE131147:DWE131154 DMI131147:DMI131154 DCM131147:DCM131154 CSQ131147:CSQ131154 CIU131147:CIU131154 BYY131147:BYY131154 BPC131147:BPC131154 BFG131147:BFG131154 AVK131147:AVK131154 ALO131147:ALO131154 ABS131147:ABS131154 RW131147:RW131154 IA131147:IA131154 E131147:E131154 WUM65611:WUM65618 WKQ65611:WKQ65618 WAU65611:WAU65618 VQY65611:VQY65618 VHC65611:VHC65618 UXG65611:UXG65618 UNK65611:UNK65618 UDO65611:UDO65618 TTS65611:TTS65618 TJW65611:TJW65618 TAA65611:TAA65618 SQE65611:SQE65618 SGI65611:SGI65618 RWM65611:RWM65618 RMQ65611:RMQ65618 RCU65611:RCU65618 QSY65611:QSY65618 QJC65611:QJC65618 PZG65611:PZG65618 PPK65611:PPK65618 PFO65611:PFO65618 OVS65611:OVS65618 OLW65611:OLW65618 OCA65611:OCA65618 NSE65611:NSE65618 NII65611:NII65618 MYM65611:MYM65618 MOQ65611:MOQ65618 MEU65611:MEU65618 LUY65611:LUY65618 LLC65611:LLC65618 LBG65611:LBG65618 KRK65611:KRK65618 KHO65611:KHO65618 JXS65611:JXS65618 JNW65611:JNW65618 JEA65611:JEA65618 IUE65611:IUE65618 IKI65611:IKI65618 IAM65611:IAM65618 HQQ65611:HQQ65618 HGU65611:HGU65618 GWY65611:GWY65618 GNC65611:GNC65618 GDG65611:GDG65618 FTK65611:FTK65618 FJO65611:FJO65618 EZS65611:EZS65618 EPW65611:EPW65618 EGA65611:EGA65618 DWE65611:DWE65618 DMI65611:DMI65618 DCM65611:DCM65618 CSQ65611:CSQ65618 CIU65611:CIU65618 BYY65611:BYY65618 BPC65611:BPC65618 BFG65611:BFG65618 AVK65611:AVK65618 ALO65611:ALO65618 ABS65611:ABS65618 RW65611:RW65618 IA65611:IA65618 E65611:E65618 WUM983109:WUM983111 WKQ983109:WKQ983111 WAU983109:WAU983111 VQY983109:VQY983111 VHC983109:VHC983111 UXG983109:UXG983111 UNK983109:UNK983111 UDO983109:UDO983111 TTS983109:TTS983111 TJW983109:TJW983111 TAA983109:TAA983111 SQE983109:SQE983111 SGI983109:SGI983111 RWM983109:RWM983111 RMQ983109:RMQ983111 RCU983109:RCU983111 QSY983109:QSY983111 QJC983109:QJC983111 PZG983109:PZG983111 PPK983109:PPK983111 PFO983109:PFO983111 OVS983109:OVS983111 OLW983109:OLW983111 OCA983109:OCA983111 NSE983109:NSE983111 NII983109:NII983111 MYM983109:MYM983111 MOQ983109:MOQ983111 MEU983109:MEU983111 LUY983109:LUY983111 LLC983109:LLC983111 LBG983109:LBG983111 KRK983109:KRK983111 KHO983109:KHO983111 JXS983109:JXS983111 JNW983109:JNW983111 JEA983109:JEA983111 IUE983109:IUE983111 IKI983109:IKI983111 IAM983109:IAM983111 HQQ983109:HQQ983111 HGU983109:HGU983111 GWY983109:GWY983111 GNC983109:GNC983111 GDG983109:GDG983111 FTK983109:FTK983111 FJO983109:FJO983111 EZS983109:EZS983111 EPW983109:EPW983111 EGA983109:EGA983111 DWE983109:DWE983111 DMI983109:DMI983111 DCM983109:DCM983111 CSQ983109:CSQ983111 CIU983109:CIU983111 BYY983109:BYY983111 BPC983109:BPC983111 BFG983109:BFG983111 AVK983109:AVK983111 ALO983109:ALO983111 ABS983109:ABS983111 RW983109:RW983111 IA983109:IA983111 E983109:E983111 WUM917573:WUM917575 WKQ917573:WKQ917575 WAU917573:WAU917575 VQY917573:VQY917575 VHC917573:VHC917575 UXG917573:UXG917575 UNK917573:UNK917575 UDO917573:UDO917575 TTS917573:TTS917575 TJW917573:TJW917575 TAA917573:TAA917575 SQE917573:SQE917575 SGI917573:SGI917575 RWM917573:RWM917575 RMQ917573:RMQ917575 RCU917573:RCU917575 QSY917573:QSY917575 QJC917573:QJC917575 PZG917573:PZG917575 PPK917573:PPK917575 PFO917573:PFO917575 OVS917573:OVS917575 OLW917573:OLW917575 OCA917573:OCA917575 NSE917573:NSE917575 NII917573:NII917575 MYM917573:MYM917575 MOQ917573:MOQ917575 MEU917573:MEU917575 LUY917573:LUY917575 LLC917573:LLC917575 LBG917573:LBG917575 KRK917573:KRK917575 KHO917573:KHO917575 JXS917573:JXS917575 JNW917573:JNW917575 JEA917573:JEA917575 IUE917573:IUE917575 IKI917573:IKI917575 IAM917573:IAM917575 HQQ917573:HQQ917575 HGU917573:HGU917575 GWY917573:GWY917575 GNC917573:GNC917575 GDG917573:GDG917575 FTK917573:FTK917575 FJO917573:FJO917575 EZS917573:EZS917575 EPW917573:EPW917575 EGA917573:EGA917575 DWE917573:DWE917575 DMI917573:DMI917575 DCM917573:DCM917575 CSQ917573:CSQ917575 CIU917573:CIU917575 BYY917573:BYY917575 BPC917573:BPC917575 BFG917573:BFG917575 AVK917573:AVK917575 ALO917573:ALO917575 ABS917573:ABS917575 RW917573:RW917575 IA917573:IA917575 E917573:E917575 WUM852037:WUM852039 WKQ852037:WKQ852039 WAU852037:WAU852039 VQY852037:VQY852039 VHC852037:VHC852039 UXG852037:UXG852039 UNK852037:UNK852039 UDO852037:UDO852039 TTS852037:TTS852039 TJW852037:TJW852039 TAA852037:TAA852039 SQE852037:SQE852039 SGI852037:SGI852039 RWM852037:RWM852039 RMQ852037:RMQ852039 RCU852037:RCU852039 QSY852037:QSY852039 QJC852037:QJC852039 PZG852037:PZG852039 PPK852037:PPK852039 PFO852037:PFO852039 OVS852037:OVS852039 OLW852037:OLW852039 OCA852037:OCA852039 NSE852037:NSE852039 NII852037:NII852039 MYM852037:MYM852039 MOQ852037:MOQ852039 MEU852037:MEU852039 LUY852037:LUY852039 LLC852037:LLC852039 LBG852037:LBG852039 KRK852037:KRK852039 KHO852037:KHO852039 JXS852037:JXS852039 JNW852037:JNW852039 JEA852037:JEA852039 IUE852037:IUE852039 IKI852037:IKI852039 IAM852037:IAM852039 HQQ852037:HQQ852039 HGU852037:HGU852039 GWY852037:GWY852039 GNC852037:GNC852039 GDG852037:GDG852039 FTK852037:FTK852039 FJO852037:FJO852039 EZS852037:EZS852039 EPW852037:EPW852039 EGA852037:EGA852039 DWE852037:DWE852039 DMI852037:DMI852039 DCM852037:DCM852039 CSQ852037:CSQ852039 CIU852037:CIU852039 BYY852037:BYY852039 BPC852037:BPC852039 BFG852037:BFG852039 AVK852037:AVK852039 ALO852037:ALO852039 ABS852037:ABS852039 RW852037:RW852039 IA852037:IA852039 E852037:E852039 WUM786501:WUM786503 WKQ786501:WKQ786503 WAU786501:WAU786503 VQY786501:VQY786503 VHC786501:VHC786503 UXG786501:UXG786503 UNK786501:UNK786503 UDO786501:UDO786503 TTS786501:TTS786503 TJW786501:TJW786503 TAA786501:TAA786503 SQE786501:SQE786503 SGI786501:SGI786503 RWM786501:RWM786503 RMQ786501:RMQ786503 RCU786501:RCU786503 QSY786501:QSY786503 QJC786501:QJC786503 PZG786501:PZG786503 PPK786501:PPK786503 PFO786501:PFO786503 OVS786501:OVS786503 OLW786501:OLW786503 OCA786501:OCA786503 NSE786501:NSE786503 NII786501:NII786503 MYM786501:MYM786503 MOQ786501:MOQ786503 MEU786501:MEU786503 LUY786501:LUY786503 LLC786501:LLC786503 LBG786501:LBG786503 KRK786501:KRK786503 KHO786501:KHO786503 JXS786501:JXS786503 JNW786501:JNW786503 JEA786501:JEA786503 IUE786501:IUE786503 IKI786501:IKI786503 IAM786501:IAM786503 HQQ786501:HQQ786503 HGU786501:HGU786503 GWY786501:GWY786503 GNC786501:GNC786503 GDG786501:GDG786503 FTK786501:FTK786503 FJO786501:FJO786503 EZS786501:EZS786503 EPW786501:EPW786503 EGA786501:EGA786503 DWE786501:DWE786503 DMI786501:DMI786503 DCM786501:DCM786503 CSQ786501:CSQ786503 CIU786501:CIU786503 BYY786501:BYY786503 BPC786501:BPC786503 BFG786501:BFG786503 AVK786501:AVK786503 ALO786501:ALO786503 ABS786501:ABS786503 RW786501:RW786503 IA786501:IA786503 E786501:E786503 WUM720965:WUM720967 WKQ720965:WKQ720967 WAU720965:WAU720967 VQY720965:VQY720967 VHC720965:VHC720967 UXG720965:UXG720967 UNK720965:UNK720967 UDO720965:UDO720967 TTS720965:TTS720967 TJW720965:TJW720967 TAA720965:TAA720967 SQE720965:SQE720967 SGI720965:SGI720967 RWM720965:RWM720967 RMQ720965:RMQ720967 RCU720965:RCU720967 QSY720965:QSY720967 QJC720965:QJC720967 PZG720965:PZG720967 PPK720965:PPK720967 PFO720965:PFO720967 OVS720965:OVS720967 OLW720965:OLW720967 OCA720965:OCA720967 NSE720965:NSE720967 NII720965:NII720967 MYM720965:MYM720967 MOQ720965:MOQ720967 MEU720965:MEU720967 LUY720965:LUY720967 LLC720965:LLC720967 LBG720965:LBG720967 KRK720965:KRK720967 KHO720965:KHO720967 JXS720965:JXS720967 JNW720965:JNW720967 JEA720965:JEA720967 IUE720965:IUE720967 IKI720965:IKI720967 IAM720965:IAM720967 HQQ720965:HQQ720967 HGU720965:HGU720967 GWY720965:GWY720967 GNC720965:GNC720967 GDG720965:GDG720967 FTK720965:FTK720967 FJO720965:FJO720967 EZS720965:EZS720967 EPW720965:EPW720967 EGA720965:EGA720967 DWE720965:DWE720967 DMI720965:DMI720967 DCM720965:DCM720967 CSQ720965:CSQ720967 CIU720965:CIU720967 BYY720965:BYY720967 BPC720965:BPC720967 BFG720965:BFG720967 AVK720965:AVK720967 ALO720965:ALO720967 ABS720965:ABS720967 RW720965:RW720967 IA720965:IA720967 E720965:E720967 WUM655429:WUM655431 WKQ655429:WKQ655431 WAU655429:WAU655431 VQY655429:VQY655431 VHC655429:VHC655431 UXG655429:UXG655431 UNK655429:UNK655431 UDO655429:UDO655431 TTS655429:TTS655431 TJW655429:TJW655431 TAA655429:TAA655431 SQE655429:SQE655431 SGI655429:SGI655431 RWM655429:RWM655431 RMQ655429:RMQ655431 RCU655429:RCU655431 QSY655429:QSY655431 QJC655429:QJC655431 PZG655429:PZG655431 PPK655429:PPK655431 PFO655429:PFO655431 OVS655429:OVS655431 OLW655429:OLW655431 OCA655429:OCA655431 NSE655429:NSE655431 NII655429:NII655431 MYM655429:MYM655431 MOQ655429:MOQ655431 MEU655429:MEU655431 LUY655429:LUY655431 LLC655429:LLC655431 LBG655429:LBG655431 KRK655429:KRK655431 KHO655429:KHO655431 JXS655429:JXS655431 JNW655429:JNW655431 JEA655429:JEA655431 IUE655429:IUE655431 IKI655429:IKI655431 IAM655429:IAM655431 HQQ655429:HQQ655431 HGU655429:HGU655431 GWY655429:GWY655431 GNC655429:GNC655431 GDG655429:GDG655431 FTK655429:FTK655431 FJO655429:FJO655431 EZS655429:EZS655431 EPW655429:EPW655431 EGA655429:EGA655431 DWE655429:DWE655431 DMI655429:DMI655431 DCM655429:DCM655431 CSQ655429:CSQ655431 CIU655429:CIU655431 BYY655429:BYY655431 BPC655429:BPC655431 BFG655429:BFG655431 AVK655429:AVK655431 ALO655429:ALO655431 ABS655429:ABS655431 RW655429:RW655431 IA655429:IA655431 E655429:E655431 WUM589893:WUM589895 WKQ589893:WKQ589895 WAU589893:WAU589895 VQY589893:VQY589895 VHC589893:VHC589895 UXG589893:UXG589895 UNK589893:UNK589895 UDO589893:UDO589895 TTS589893:TTS589895 TJW589893:TJW589895 TAA589893:TAA589895 SQE589893:SQE589895 SGI589893:SGI589895 RWM589893:RWM589895 RMQ589893:RMQ589895 RCU589893:RCU589895 QSY589893:QSY589895 QJC589893:QJC589895 PZG589893:PZG589895 PPK589893:PPK589895 PFO589893:PFO589895 OVS589893:OVS589895 OLW589893:OLW589895 OCA589893:OCA589895 NSE589893:NSE589895 NII589893:NII589895 MYM589893:MYM589895 MOQ589893:MOQ589895 MEU589893:MEU589895 LUY589893:LUY589895 LLC589893:LLC589895 LBG589893:LBG589895 KRK589893:KRK589895 KHO589893:KHO589895 JXS589893:JXS589895 JNW589893:JNW589895 JEA589893:JEA589895 IUE589893:IUE589895 IKI589893:IKI589895 IAM589893:IAM589895 HQQ589893:HQQ589895 HGU589893:HGU589895 GWY589893:GWY589895 GNC589893:GNC589895 GDG589893:GDG589895 FTK589893:FTK589895 FJO589893:FJO589895 EZS589893:EZS589895 EPW589893:EPW589895 EGA589893:EGA589895 DWE589893:DWE589895 DMI589893:DMI589895 DCM589893:DCM589895 CSQ589893:CSQ589895 CIU589893:CIU589895 BYY589893:BYY589895 BPC589893:BPC589895 BFG589893:BFG589895 AVK589893:AVK589895 ALO589893:ALO589895 ABS589893:ABS589895 RW589893:RW589895 IA589893:IA589895 E589893:E589895 WUM524357:WUM524359 WKQ524357:WKQ524359 WAU524357:WAU524359 VQY524357:VQY524359 VHC524357:VHC524359 UXG524357:UXG524359 UNK524357:UNK524359 UDO524357:UDO524359 TTS524357:TTS524359 TJW524357:TJW524359 TAA524357:TAA524359 SQE524357:SQE524359 SGI524357:SGI524359 RWM524357:RWM524359 RMQ524357:RMQ524359 RCU524357:RCU524359 QSY524357:QSY524359 QJC524357:QJC524359 PZG524357:PZG524359 PPK524357:PPK524359 PFO524357:PFO524359 OVS524357:OVS524359 OLW524357:OLW524359 OCA524357:OCA524359 NSE524357:NSE524359 NII524357:NII524359 MYM524357:MYM524359 MOQ524357:MOQ524359 MEU524357:MEU524359 LUY524357:LUY524359 LLC524357:LLC524359 LBG524357:LBG524359 KRK524357:KRK524359 KHO524357:KHO524359 JXS524357:JXS524359 JNW524357:JNW524359 JEA524357:JEA524359 IUE524357:IUE524359 IKI524357:IKI524359 IAM524357:IAM524359 HQQ524357:HQQ524359 HGU524357:HGU524359 GWY524357:GWY524359 GNC524357:GNC524359 GDG524357:GDG524359 FTK524357:FTK524359 FJO524357:FJO524359 EZS524357:EZS524359 EPW524357:EPW524359 EGA524357:EGA524359 DWE524357:DWE524359 DMI524357:DMI524359 DCM524357:DCM524359 CSQ524357:CSQ524359 CIU524357:CIU524359 BYY524357:BYY524359 BPC524357:BPC524359 BFG524357:BFG524359 AVK524357:AVK524359 ALO524357:ALO524359 ABS524357:ABS524359 RW524357:RW524359 IA524357:IA524359 E524357:E524359 WUM458821:WUM458823 WKQ458821:WKQ458823 WAU458821:WAU458823 VQY458821:VQY458823 VHC458821:VHC458823 UXG458821:UXG458823 UNK458821:UNK458823 UDO458821:UDO458823 TTS458821:TTS458823 TJW458821:TJW458823 TAA458821:TAA458823 SQE458821:SQE458823 SGI458821:SGI458823 RWM458821:RWM458823 RMQ458821:RMQ458823 RCU458821:RCU458823 QSY458821:QSY458823 QJC458821:QJC458823 PZG458821:PZG458823 PPK458821:PPK458823 PFO458821:PFO458823 OVS458821:OVS458823 OLW458821:OLW458823 OCA458821:OCA458823 NSE458821:NSE458823 NII458821:NII458823 MYM458821:MYM458823 MOQ458821:MOQ458823 MEU458821:MEU458823 LUY458821:LUY458823 LLC458821:LLC458823 LBG458821:LBG458823 KRK458821:KRK458823 KHO458821:KHO458823 JXS458821:JXS458823 JNW458821:JNW458823 JEA458821:JEA458823 IUE458821:IUE458823 IKI458821:IKI458823 IAM458821:IAM458823 HQQ458821:HQQ458823 HGU458821:HGU458823 GWY458821:GWY458823 GNC458821:GNC458823 GDG458821:GDG458823 FTK458821:FTK458823 FJO458821:FJO458823 EZS458821:EZS458823 EPW458821:EPW458823 EGA458821:EGA458823 DWE458821:DWE458823 DMI458821:DMI458823 DCM458821:DCM458823 CSQ458821:CSQ458823 CIU458821:CIU458823 BYY458821:BYY458823 BPC458821:BPC458823 BFG458821:BFG458823 AVK458821:AVK458823 ALO458821:ALO458823 ABS458821:ABS458823 RW458821:RW458823 IA458821:IA458823 E458821:E458823 WUM393285:WUM393287 WKQ393285:WKQ393287 WAU393285:WAU393287 VQY393285:VQY393287 VHC393285:VHC393287 UXG393285:UXG393287 UNK393285:UNK393287 UDO393285:UDO393287 TTS393285:TTS393287 TJW393285:TJW393287 TAA393285:TAA393287 SQE393285:SQE393287 SGI393285:SGI393287 RWM393285:RWM393287 RMQ393285:RMQ393287 RCU393285:RCU393287 QSY393285:QSY393287 QJC393285:QJC393287 PZG393285:PZG393287 PPK393285:PPK393287 PFO393285:PFO393287 OVS393285:OVS393287 OLW393285:OLW393287 OCA393285:OCA393287 NSE393285:NSE393287 NII393285:NII393287 MYM393285:MYM393287 MOQ393285:MOQ393287 MEU393285:MEU393287 LUY393285:LUY393287 LLC393285:LLC393287 LBG393285:LBG393287 KRK393285:KRK393287 KHO393285:KHO393287 JXS393285:JXS393287 JNW393285:JNW393287 JEA393285:JEA393287 IUE393285:IUE393287 IKI393285:IKI393287 IAM393285:IAM393287 HQQ393285:HQQ393287 HGU393285:HGU393287 GWY393285:GWY393287 GNC393285:GNC393287 GDG393285:GDG393287 FTK393285:FTK393287 FJO393285:FJO393287 EZS393285:EZS393287 EPW393285:EPW393287 EGA393285:EGA393287 DWE393285:DWE393287 DMI393285:DMI393287 DCM393285:DCM393287 CSQ393285:CSQ393287 CIU393285:CIU393287 BYY393285:BYY393287 BPC393285:BPC393287 BFG393285:BFG393287 AVK393285:AVK393287 ALO393285:ALO393287 ABS393285:ABS393287 RW393285:RW393287 IA393285:IA393287 E393285:E393287 WUM327749:WUM327751 WKQ327749:WKQ327751 WAU327749:WAU327751 VQY327749:VQY327751 VHC327749:VHC327751 UXG327749:UXG327751 UNK327749:UNK327751 UDO327749:UDO327751 TTS327749:TTS327751 TJW327749:TJW327751 TAA327749:TAA327751 SQE327749:SQE327751 SGI327749:SGI327751 RWM327749:RWM327751 RMQ327749:RMQ327751 RCU327749:RCU327751 QSY327749:QSY327751 QJC327749:QJC327751 PZG327749:PZG327751 PPK327749:PPK327751 PFO327749:PFO327751 OVS327749:OVS327751 OLW327749:OLW327751 OCA327749:OCA327751 NSE327749:NSE327751 NII327749:NII327751 MYM327749:MYM327751 MOQ327749:MOQ327751 MEU327749:MEU327751 LUY327749:LUY327751 LLC327749:LLC327751 LBG327749:LBG327751 KRK327749:KRK327751 KHO327749:KHO327751 JXS327749:JXS327751 JNW327749:JNW327751 JEA327749:JEA327751 IUE327749:IUE327751 IKI327749:IKI327751 IAM327749:IAM327751 HQQ327749:HQQ327751 HGU327749:HGU327751 GWY327749:GWY327751 GNC327749:GNC327751 GDG327749:GDG327751 FTK327749:FTK327751 FJO327749:FJO327751 EZS327749:EZS327751 EPW327749:EPW327751 EGA327749:EGA327751 DWE327749:DWE327751 DMI327749:DMI327751 DCM327749:DCM327751 CSQ327749:CSQ327751 CIU327749:CIU327751 BYY327749:BYY327751 BPC327749:BPC327751 BFG327749:BFG327751 AVK327749:AVK327751 ALO327749:ALO327751 ABS327749:ABS327751 RW327749:RW327751 IA327749:IA327751 E327749:E327751 WUM262213:WUM262215 WKQ262213:WKQ262215 WAU262213:WAU262215 VQY262213:VQY262215 VHC262213:VHC262215 UXG262213:UXG262215 UNK262213:UNK262215 UDO262213:UDO262215 TTS262213:TTS262215 TJW262213:TJW262215 TAA262213:TAA262215 SQE262213:SQE262215 SGI262213:SGI262215 RWM262213:RWM262215 RMQ262213:RMQ262215 RCU262213:RCU262215 QSY262213:QSY262215 QJC262213:QJC262215 PZG262213:PZG262215 PPK262213:PPK262215 PFO262213:PFO262215 OVS262213:OVS262215 OLW262213:OLW262215 OCA262213:OCA262215 NSE262213:NSE262215 NII262213:NII262215 MYM262213:MYM262215 MOQ262213:MOQ262215 MEU262213:MEU262215 LUY262213:LUY262215 LLC262213:LLC262215 LBG262213:LBG262215 KRK262213:KRK262215 KHO262213:KHO262215 JXS262213:JXS262215 JNW262213:JNW262215 JEA262213:JEA262215 IUE262213:IUE262215 IKI262213:IKI262215 IAM262213:IAM262215 HQQ262213:HQQ262215 HGU262213:HGU262215 GWY262213:GWY262215 GNC262213:GNC262215 GDG262213:GDG262215 FTK262213:FTK262215 FJO262213:FJO262215 EZS262213:EZS262215 EPW262213:EPW262215 EGA262213:EGA262215 DWE262213:DWE262215 DMI262213:DMI262215 DCM262213:DCM262215 CSQ262213:CSQ262215 CIU262213:CIU262215 BYY262213:BYY262215 BPC262213:BPC262215 BFG262213:BFG262215 AVK262213:AVK262215 ALO262213:ALO262215 ABS262213:ABS262215 RW262213:RW262215 IA262213:IA262215 E262213:E262215 WUM196677:WUM196679 WKQ196677:WKQ196679 WAU196677:WAU196679 VQY196677:VQY196679 VHC196677:VHC196679 UXG196677:UXG196679 UNK196677:UNK196679 UDO196677:UDO196679 TTS196677:TTS196679 TJW196677:TJW196679 TAA196677:TAA196679 SQE196677:SQE196679 SGI196677:SGI196679 RWM196677:RWM196679 RMQ196677:RMQ196679 RCU196677:RCU196679 QSY196677:QSY196679 QJC196677:QJC196679 PZG196677:PZG196679 PPK196677:PPK196679 PFO196677:PFO196679 OVS196677:OVS196679 OLW196677:OLW196679 OCA196677:OCA196679 NSE196677:NSE196679 NII196677:NII196679 MYM196677:MYM196679 MOQ196677:MOQ196679 MEU196677:MEU196679 LUY196677:LUY196679 LLC196677:LLC196679 LBG196677:LBG196679 KRK196677:KRK196679 KHO196677:KHO196679 JXS196677:JXS196679 JNW196677:JNW196679 JEA196677:JEA196679 IUE196677:IUE196679 IKI196677:IKI196679 IAM196677:IAM196679 HQQ196677:HQQ196679 HGU196677:HGU196679 GWY196677:GWY196679 GNC196677:GNC196679 GDG196677:GDG196679 FTK196677:FTK196679 FJO196677:FJO196679 EZS196677:EZS196679 EPW196677:EPW196679 EGA196677:EGA196679 DWE196677:DWE196679 DMI196677:DMI196679 DCM196677:DCM196679 CSQ196677:CSQ196679 CIU196677:CIU196679 BYY196677:BYY196679 BPC196677:BPC196679 BFG196677:BFG196679 AVK196677:AVK196679 ALO196677:ALO196679 ABS196677:ABS196679 RW196677:RW196679 IA196677:IA196679 E196677:E196679 WUM131141:WUM131143 WKQ131141:WKQ131143 WAU131141:WAU131143 VQY131141:VQY131143 VHC131141:VHC131143 UXG131141:UXG131143 UNK131141:UNK131143 UDO131141:UDO131143 TTS131141:TTS131143 TJW131141:TJW131143 TAA131141:TAA131143 SQE131141:SQE131143 SGI131141:SGI131143 RWM131141:RWM131143 RMQ131141:RMQ131143 RCU131141:RCU131143 QSY131141:QSY131143 QJC131141:QJC131143 PZG131141:PZG131143 PPK131141:PPK131143 PFO131141:PFO131143 OVS131141:OVS131143 OLW131141:OLW131143 OCA131141:OCA131143 NSE131141:NSE131143 NII131141:NII131143 MYM131141:MYM131143 MOQ131141:MOQ131143 MEU131141:MEU131143 LUY131141:LUY131143 LLC131141:LLC131143 LBG131141:LBG131143 KRK131141:KRK131143 KHO131141:KHO131143 JXS131141:JXS131143 JNW131141:JNW131143 JEA131141:JEA131143 IUE131141:IUE131143 IKI131141:IKI131143 IAM131141:IAM131143 HQQ131141:HQQ131143 HGU131141:HGU131143 GWY131141:GWY131143 GNC131141:GNC131143 GDG131141:GDG131143 FTK131141:FTK131143 FJO131141:FJO131143 EZS131141:EZS131143 EPW131141:EPW131143 EGA131141:EGA131143 DWE131141:DWE131143 DMI131141:DMI131143 DCM131141:DCM131143 CSQ131141:CSQ131143 CIU131141:CIU131143 BYY131141:BYY131143 BPC131141:BPC131143 BFG131141:BFG131143 AVK131141:AVK131143 ALO131141:ALO131143 ABS131141:ABS131143 RW131141:RW131143 IA131141:IA131143 E131141:E131143 WUM65605:WUM65607 WKQ65605:WKQ65607 WAU65605:WAU65607 VQY65605:VQY65607 VHC65605:VHC65607 UXG65605:UXG65607 UNK65605:UNK65607 UDO65605:UDO65607 TTS65605:TTS65607 TJW65605:TJW65607 TAA65605:TAA65607 SQE65605:SQE65607 SGI65605:SGI65607 RWM65605:RWM65607 RMQ65605:RMQ65607 RCU65605:RCU65607 QSY65605:QSY65607 QJC65605:QJC65607 PZG65605:PZG65607 PPK65605:PPK65607 PFO65605:PFO65607 OVS65605:OVS65607 OLW65605:OLW65607 OCA65605:OCA65607 NSE65605:NSE65607 NII65605:NII65607 MYM65605:MYM65607 MOQ65605:MOQ65607 MEU65605:MEU65607 LUY65605:LUY65607 LLC65605:LLC65607 LBG65605:LBG65607 KRK65605:KRK65607 KHO65605:KHO65607 JXS65605:JXS65607 JNW65605:JNW65607 JEA65605:JEA65607 IUE65605:IUE65607 IKI65605:IKI65607 IAM65605:IAM65607 HQQ65605:HQQ65607 HGU65605:HGU65607 GWY65605:GWY65607 GNC65605:GNC65607 GDG65605:GDG65607 FTK65605:FTK65607 FJO65605:FJO65607 EZS65605:EZS65607 EPW65605:EPW65607 EGA65605:EGA65607 DWE65605:DWE65607 DMI65605:DMI65607 DCM65605:DCM65607 CSQ65605:CSQ65607 CIU65605:CIU65607 BYY65605:BYY65607 BPC65605:BPC65607 BFG65605:BFG65607 AVK65605:AVK65607 ALO65605:ALO65607 ABS65605:ABS65607 RW65605:RW65607 IA65605:IA65607 E65605:E65607 WUM983098:WUM983107 WKQ983098:WKQ983107 WAU983098:WAU983107 VQY983098:VQY983107 VHC983098:VHC983107 UXG983098:UXG983107 UNK983098:UNK983107 UDO983098:UDO983107 TTS983098:TTS983107 TJW983098:TJW983107 TAA983098:TAA983107 SQE983098:SQE983107 SGI983098:SGI983107 RWM983098:RWM983107 RMQ983098:RMQ983107 RCU983098:RCU983107 QSY983098:QSY983107 QJC983098:QJC983107 PZG983098:PZG983107 PPK983098:PPK983107 PFO983098:PFO983107 OVS983098:OVS983107 OLW983098:OLW983107 OCA983098:OCA983107 NSE983098:NSE983107 NII983098:NII983107 MYM983098:MYM983107 MOQ983098:MOQ983107 MEU983098:MEU983107 LUY983098:LUY983107 LLC983098:LLC983107 LBG983098:LBG983107 KRK983098:KRK983107 KHO983098:KHO983107 JXS983098:JXS983107 JNW983098:JNW983107 JEA983098:JEA983107 IUE983098:IUE983107 IKI983098:IKI983107 IAM983098:IAM983107 HQQ983098:HQQ983107 HGU983098:HGU983107 GWY983098:GWY983107 GNC983098:GNC983107 GDG983098:GDG983107 FTK983098:FTK983107 FJO983098:FJO983107 EZS983098:EZS983107 EPW983098:EPW983107 EGA983098:EGA983107 DWE983098:DWE983107 DMI983098:DMI983107 DCM983098:DCM983107 CSQ983098:CSQ983107 CIU983098:CIU983107 BYY983098:BYY983107 BPC983098:BPC983107 BFG983098:BFG983107 AVK983098:AVK983107 ALO983098:ALO983107 ABS983098:ABS983107 RW983098:RW983107 IA983098:IA983107 E983098:E983107 WUM917562:WUM917571 WKQ917562:WKQ917571 WAU917562:WAU917571 VQY917562:VQY917571 VHC917562:VHC917571 UXG917562:UXG917571 UNK917562:UNK917571 UDO917562:UDO917571 TTS917562:TTS917571 TJW917562:TJW917571 TAA917562:TAA917571 SQE917562:SQE917571 SGI917562:SGI917571 RWM917562:RWM917571 RMQ917562:RMQ917571 RCU917562:RCU917571 QSY917562:QSY917571 QJC917562:QJC917571 PZG917562:PZG917571 PPK917562:PPK917571 PFO917562:PFO917571 OVS917562:OVS917571 OLW917562:OLW917571 OCA917562:OCA917571 NSE917562:NSE917571 NII917562:NII917571 MYM917562:MYM917571 MOQ917562:MOQ917571 MEU917562:MEU917571 LUY917562:LUY917571 LLC917562:LLC917571 LBG917562:LBG917571 KRK917562:KRK917571 KHO917562:KHO917571 JXS917562:JXS917571 JNW917562:JNW917571 JEA917562:JEA917571 IUE917562:IUE917571 IKI917562:IKI917571 IAM917562:IAM917571 HQQ917562:HQQ917571 HGU917562:HGU917571 GWY917562:GWY917571 GNC917562:GNC917571 GDG917562:GDG917571 FTK917562:FTK917571 FJO917562:FJO917571 EZS917562:EZS917571 EPW917562:EPW917571 EGA917562:EGA917571 DWE917562:DWE917571 DMI917562:DMI917571 DCM917562:DCM917571 CSQ917562:CSQ917571 CIU917562:CIU917571 BYY917562:BYY917571 BPC917562:BPC917571 BFG917562:BFG917571 AVK917562:AVK917571 ALO917562:ALO917571 ABS917562:ABS917571 RW917562:RW917571 IA917562:IA917571 E917562:E917571 WUM852026:WUM852035 WKQ852026:WKQ852035 WAU852026:WAU852035 VQY852026:VQY852035 VHC852026:VHC852035 UXG852026:UXG852035 UNK852026:UNK852035 UDO852026:UDO852035 TTS852026:TTS852035 TJW852026:TJW852035 TAA852026:TAA852035 SQE852026:SQE852035 SGI852026:SGI852035 RWM852026:RWM852035 RMQ852026:RMQ852035 RCU852026:RCU852035 QSY852026:QSY852035 QJC852026:QJC852035 PZG852026:PZG852035 PPK852026:PPK852035 PFO852026:PFO852035 OVS852026:OVS852035 OLW852026:OLW852035 OCA852026:OCA852035 NSE852026:NSE852035 NII852026:NII852035 MYM852026:MYM852035 MOQ852026:MOQ852035 MEU852026:MEU852035 LUY852026:LUY852035 LLC852026:LLC852035 LBG852026:LBG852035 KRK852026:KRK852035 KHO852026:KHO852035 JXS852026:JXS852035 JNW852026:JNW852035 JEA852026:JEA852035 IUE852026:IUE852035 IKI852026:IKI852035 IAM852026:IAM852035 HQQ852026:HQQ852035 HGU852026:HGU852035 GWY852026:GWY852035 GNC852026:GNC852035 GDG852026:GDG852035 FTK852026:FTK852035 FJO852026:FJO852035 EZS852026:EZS852035 EPW852026:EPW852035 EGA852026:EGA852035 DWE852026:DWE852035 DMI852026:DMI852035 DCM852026:DCM852035 CSQ852026:CSQ852035 CIU852026:CIU852035 BYY852026:BYY852035 BPC852026:BPC852035 BFG852026:BFG852035 AVK852026:AVK852035 ALO852026:ALO852035 ABS852026:ABS852035 RW852026:RW852035 IA852026:IA852035 E852026:E852035 WUM786490:WUM786499 WKQ786490:WKQ786499 WAU786490:WAU786499 VQY786490:VQY786499 VHC786490:VHC786499 UXG786490:UXG786499 UNK786490:UNK786499 UDO786490:UDO786499 TTS786490:TTS786499 TJW786490:TJW786499 TAA786490:TAA786499 SQE786490:SQE786499 SGI786490:SGI786499 RWM786490:RWM786499 RMQ786490:RMQ786499 RCU786490:RCU786499 QSY786490:QSY786499 QJC786490:QJC786499 PZG786490:PZG786499 PPK786490:PPK786499 PFO786490:PFO786499 OVS786490:OVS786499 OLW786490:OLW786499 OCA786490:OCA786499 NSE786490:NSE786499 NII786490:NII786499 MYM786490:MYM786499 MOQ786490:MOQ786499 MEU786490:MEU786499 LUY786490:LUY786499 LLC786490:LLC786499 LBG786490:LBG786499 KRK786490:KRK786499 KHO786490:KHO786499 JXS786490:JXS786499 JNW786490:JNW786499 JEA786490:JEA786499 IUE786490:IUE786499 IKI786490:IKI786499 IAM786490:IAM786499 HQQ786490:HQQ786499 HGU786490:HGU786499 GWY786490:GWY786499 GNC786490:GNC786499 GDG786490:GDG786499 FTK786490:FTK786499 FJO786490:FJO786499 EZS786490:EZS786499 EPW786490:EPW786499 EGA786490:EGA786499 DWE786490:DWE786499 DMI786490:DMI786499 DCM786490:DCM786499 CSQ786490:CSQ786499 CIU786490:CIU786499 BYY786490:BYY786499 BPC786490:BPC786499 BFG786490:BFG786499 AVK786490:AVK786499 ALO786490:ALO786499 ABS786490:ABS786499 RW786490:RW786499 IA786490:IA786499 E786490:E786499 WUM720954:WUM720963 WKQ720954:WKQ720963 WAU720954:WAU720963 VQY720954:VQY720963 VHC720954:VHC720963 UXG720954:UXG720963 UNK720954:UNK720963 UDO720954:UDO720963 TTS720954:TTS720963 TJW720954:TJW720963 TAA720954:TAA720963 SQE720954:SQE720963 SGI720954:SGI720963 RWM720954:RWM720963 RMQ720954:RMQ720963 RCU720954:RCU720963 QSY720954:QSY720963 QJC720954:QJC720963 PZG720954:PZG720963 PPK720954:PPK720963 PFO720954:PFO720963 OVS720954:OVS720963 OLW720954:OLW720963 OCA720954:OCA720963 NSE720954:NSE720963 NII720954:NII720963 MYM720954:MYM720963 MOQ720954:MOQ720963 MEU720954:MEU720963 LUY720954:LUY720963 LLC720954:LLC720963 LBG720954:LBG720963 KRK720954:KRK720963 KHO720954:KHO720963 JXS720954:JXS720963 JNW720954:JNW720963 JEA720954:JEA720963 IUE720954:IUE720963 IKI720954:IKI720963 IAM720954:IAM720963 HQQ720954:HQQ720963 HGU720954:HGU720963 GWY720954:GWY720963 GNC720954:GNC720963 GDG720954:GDG720963 FTK720954:FTK720963 FJO720954:FJO720963 EZS720954:EZS720963 EPW720954:EPW720963 EGA720954:EGA720963 DWE720954:DWE720963 DMI720954:DMI720963 DCM720954:DCM720963 CSQ720954:CSQ720963 CIU720954:CIU720963 BYY720954:BYY720963 BPC720954:BPC720963 BFG720954:BFG720963 AVK720954:AVK720963 ALO720954:ALO720963 ABS720954:ABS720963 RW720954:RW720963 IA720954:IA720963 E720954:E720963 WUM655418:WUM655427 WKQ655418:WKQ655427 WAU655418:WAU655427 VQY655418:VQY655427 VHC655418:VHC655427 UXG655418:UXG655427 UNK655418:UNK655427 UDO655418:UDO655427 TTS655418:TTS655427 TJW655418:TJW655427 TAA655418:TAA655427 SQE655418:SQE655427 SGI655418:SGI655427 RWM655418:RWM655427 RMQ655418:RMQ655427 RCU655418:RCU655427 QSY655418:QSY655427 QJC655418:QJC655427 PZG655418:PZG655427 PPK655418:PPK655427 PFO655418:PFO655427 OVS655418:OVS655427 OLW655418:OLW655427 OCA655418:OCA655427 NSE655418:NSE655427 NII655418:NII655427 MYM655418:MYM655427 MOQ655418:MOQ655427 MEU655418:MEU655427 LUY655418:LUY655427 LLC655418:LLC655427 LBG655418:LBG655427 KRK655418:KRK655427 KHO655418:KHO655427 JXS655418:JXS655427 JNW655418:JNW655427 JEA655418:JEA655427 IUE655418:IUE655427 IKI655418:IKI655427 IAM655418:IAM655427 HQQ655418:HQQ655427 HGU655418:HGU655427 GWY655418:GWY655427 GNC655418:GNC655427 GDG655418:GDG655427 FTK655418:FTK655427 FJO655418:FJO655427 EZS655418:EZS655427 EPW655418:EPW655427 EGA655418:EGA655427 DWE655418:DWE655427 DMI655418:DMI655427 DCM655418:DCM655427 CSQ655418:CSQ655427 CIU655418:CIU655427 BYY655418:BYY655427 BPC655418:BPC655427 BFG655418:BFG655427 AVK655418:AVK655427 ALO655418:ALO655427 ABS655418:ABS655427 RW655418:RW655427 IA655418:IA655427 E655418:E655427 WUM589882:WUM589891 WKQ589882:WKQ589891 WAU589882:WAU589891 VQY589882:VQY589891 VHC589882:VHC589891 UXG589882:UXG589891 UNK589882:UNK589891 UDO589882:UDO589891 TTS589882:TTS589891 TJW589882:TJW589891 TAA589882:TAA589891 SQE589882:SQE589891 SGI589882:SGI589891 RWM589882:RWM589891 RMQ589882:RMQ589891 RCU589882:RCU589891 QSY589882:QSY589891 QJC589882:QJC589891 PZG589882:PZG589891 PPK589882:PPK589891 PFO589882:PFO589891 OVS589882:OVS589891 OLW589882:OLW589891 OCA589882:OCA589891 NSE589882:NSE589891 NII589882:NII589891 MYM589882:MYM589891 MOQ589882:MOQ589891 MEU589882:MEU589891 LUY589882:LUY589891 LLC589882:LLC589891 LBG589882:LBG589891 KRK589882:KRK589891 KHO589882:KHO589891 JXS589882:JXS589891 JNW589882:JNW589891 JEA589882:JEA589891 IUE589882:IUE589891 IKI589882:IKI589891 IAM589882:IAM589891 HQQ589882:HQQ589891 HGU589882:HGU589891 GWY589882:GWY589891 GNC589882:GNC589891 GDG589882:GDG589891 FTK589882:FTK589891 FJO589882:FJO589891 EZS589882:EZS589891 EPW589882:EPW589891 EGA589882:EGA589891 DWE589882:DWE589891 DMI589882:DMI589891 DCM589882:DCM589891 CSQ589882:CSQ589891 CIU589882:CIU589891 BYY589882:BYY589891 BPC589882:BPC589891 BFG589882:BFG589891 AVK589882:AVK589891 ALO589882:ALO589891 ABS589882:ABS589891 RW589882:RW589891 IA589882:IA589891 E589882:E589891 WUM524346:WUM524355 WKQ524346:WKQ524355 WAU524346:WAU524355 VQY524346:VQY524355 VHC524346:VHC524355 UXG524346:UXG524355 UNK524346:UNK524355 UDO524346:UDO524355 TTS524346:TTS524355 TJW524346:TJW524355 TAA524346:TAA524355 SQE524346:SQE524355 SGI524346:SGI524355 RWM524346:RWM524355 RMQ524346:RMQ524355 RCU524346:RCU524355 QSY524346:QSY524355 QJC524346:QJC524355 PZG524346:PZG524355 PPK524346:PPK524355 PFO524346:PFO524355 OVS524346:OVS524355 OLW524346:OLW524355 OCA524346:OCA524355 NSE524346:NSE524355 NII524346:NII524355 MYM524346:MYM524355 MOQ524346:MOQ524355 MEU524346:MEU524355 LUY524346:LUY524355 LLC524346:LLC524355 LBG524346:LBG524355 KRK524346:KRK524355 KHO524346:KHO524355 JXS524346:JXS524355 JNW524346:JNW524355 JEA524346:JEA524355 IUE524346:IUE524355 IKI524346:IKI524355 IAM524346:IAM524355 HQQ524346:HQQ524355 HGU524346:HGU524355 GWY524346:GWY524355 GNC524346:GNC524355 GDG524346:GDG524355 FTK524346:FTK524355 FJO524346:FJO524355 EZS524346:EZS524355 EPW524346:EPW524355 EGA524346:EGA524355 DWE524346:DWE524355 DMI524346:DMI524355 DCM524346:DCM524355 CSQ524346:CSQ524355 CIU524346:CIU524355 BYY524346:BYY524355 BPC524346:BPC524355 BFG524346:BFG524355 AVK524346:AVK524355 ALO524346:ALO524355 ABS524346:ABS524355 RW524346:RW524355 IA524346:IA524355 E524346:E524355 WUM458810:WUM458819 WKQ458810:WKQ458819 WAU458810:WAU458819 VQY458810:VQY458819 VHC458810:VHC458819 UXG458810:UXG458819 UNK458810:UNK458819 UDO458810:UDO458819 TTS458810:TTS458819 TJW458810:TJW458819 TAA458810:TAA458819 SQE458810:SQE458819 SGI458810:SGI458819 RWM458810:RWM458819 RMQ458810:RMQ458819 RCU458810:RCU458819 QSY458810:QSY458819 QJC458810:QJC458819 PZG458810:PZG458819 PPK458810:PPK458819 PFO458810:PFO458819 OVS458810:OVS458819 OLW458810:OLW458819 OCA458810:OCA458819 NSE458810:NSE458819 NII458810:NII458819 MYM458810:MYM458819 MOQ458810:MOQ458819 MEU458810:MEU458819 LUY458810:LUY458819 LLC458810:LLC458819 LBG458810:LBG458819 KRK458810:KRK458819 KHO458810:KHO458819 JXS458810:JXS458819 JNW458810:JNW458819 JEA458810:JEA458819 IUE458810:IUE458819 IKI458810:IKI458819 IAM458810:IAM458819 HQQ458810:HQQ458819 HGU458810:HGU458819 GWY458810:GWY458819 GNC458810:GNC458819 GDG458810:GDG458819 FTK458810:FTK458819 FJO458810:FJO458819 EZS458810:EZS458819 EPW458810:EPW458819 EGA458810:EGA458819 DWE458810:DWE458819 DMI458810:DMI458819 DCM458810:DCM458819 CSQ458810:CSQ458819 CIU458810:CIU458819 BYY458810:BYY458819 BPC458810:BPC458819 BFG458810:BFG458819 AVK458810:AVK458819 ALO458810:ALO458819 ABS458810:ABS458819 RW458810:RW458819 IA458810:IA458819 E458810:E458819 WUM393274:WUM393283 WKQ393274:WKQ393283 WAU393274:WAU393283 VQY393274:VQY393283 VHC393274:VHC393283 UXG393274:UXG393283 UNK393274:UNK393283 UDO393274:UDO393283 TTS393274:TTS393283 TJW393274:TJW393283 TAA393274:TAA393283 SQE393274:SQE393283 SGI393274:SGI393283 RWM393274:RWM393283 RMQ393274:RMQ393283 RCU393274:RCU393283 QSY393274:QSY393283 QJC393274:QJC393283 PZG393274:PZG393283 PPK393274:PPK393283 PFO393274:PFO393283 OVS393274:OVS393283 OLW393274:OLW393283 OCA393274:OCA393283 NSE393274:NSE393283 NII393274:NII393283 MYM393274:MYM393283 MOQ393274:MOQ393283 MEU393274:MEU393283 LUY393274:LUY393283 LLC393274:LLC393283 LBG393274:LBG393283 KRK393274:KRK393283 KHO393274:KHO393283 JXS393274:JXS393283 JNW393274:JNW393283 JEA393274:JEA393283 IUE393274:IUE393283 IKI393274:IKI393283 IAM393274:IAM393283 HQQ393274:HQQ393283 HGU393274:HGU393283 GWY393274:GWY393283 GNC393274:GNC393283 GDG393274:GDG393283 FTK393274:FTK393283 FJO393274:FJO393283 EZS393274:EZS393283 EPW393274:EPW393283 EGA393274:EGA393283 DWE393274:DWE393283 DMI393274:DMI393283 DCM393274:DCM393283 CSQ393274:CSQ393283 CIU393274:CIU393283 BYY393274:BYY393283 BPC393274:BPC393283 BFG393274:BFG393283 AVK393274:AVK393283 ALO393274:ALO393283 ABS393274:ABS393283 RW393274:RW393283 IA393274:IA393283 E393274:E393283 WUM327738:WUM327747 WKQ327738:WKQ327747 WAU327738:WAU327747 VQY327738:VQY327747 VHC327738:VHC327747 UXG327738:UXG327747 UNK327738:UNK327747 UDO327738:UDO327747 TTS327738:TTS327747 TJW327738:TJW327747 TAA327738:TAA327747 SQE327738:SQE327747 SGI327738:SGI327747 RWM327738:RWM327747 RMQ327738:RMQ327747 RCU327738:RCU327747 QSY327738:QSY327747 QJC327738:QJC327747 PZG327738:PZG327747 PPK327738:PPK327747 PFO327738:PFO327747 OVS327738:OVS327747 OLW327738:OLW327747 OCA327738:OCA327747 NSE327738:NSE327747 NII327738:NII327747 MYM327738:MYM327747 MOQ327738:MOQ327747 MEU327738:MEU327747 LUY327738:LUY327747 LLC327738:LLC327747 LBG327738:LBG327747 KRK327738:KRK327747 KHO327738:KHO327747 JXS327738:JXS327747 JNW327738:JNW327747 JEA327738:JEA327747 IUE327738:IUE327747 IKI327738:IKI327747 IAM327738:IAM327747 HQQ327738:HQQ327747 HGU327738:HGU327747 GWY327738:GWY327747 GNC327738:GNC327747 GDG327738:GDG327747 FTK327738:FTK327747 FJO327738:FJO327747 EZS327738:EZS327747 EPW327738:EPW327747 EGA327738:EGA327747 DWE327738:DWE327747 DMI327738:DMI327747 DCM327738:DCM327747 CSQ327738:CSQ327747 CIU327738:CIU327747 BYY327738:BYY327747 BPC327738:BPC327747 BFG327738:BFG327747 AVK327738:AVK327747 ALO327738:ALO327747 ABS327738:ABS327747 RW327738:RW327747 IA327738:IA327747 E327738:E327747 WUM262202:WUM262211 WKQ262202:WKQ262211 WAU262202:WAU262211 VQY262202:VQY262211 VHC262202:VHC262211 UXG262202:UXG262211 UNK262202:UNK262211 UDO262202:UDO262211 TTS262202:TTS262211 TJW262202:TJW262211 TAA262202:TAA262211 SQE262202:SQE262211 SGI262202:SGI262211 RWM262202:RWM262211 RMQ262202:RMQ262211 RCU262202:RCU262211 QSY262202:QSY262211 QJC262202:QJC262211 PZG262202:PZG262211 PPK262202:PPK262211 PFO262202:PFO262211 OVS262202:OVS262211 OLW262202:OLW262211 OCA262202:OCA262211 NSE262202:NSE262211 NII262202:NII262211 MYM262202:MYM262211 MOQ262202:MOQ262211 MEU262202:MEU262211 LUY262202:LUY262211 LLC262202:LLC262211 LBG262202:LBG262211 KRK262202:KRK262211 KHO262202:KHO262211 JXS262202:JXS262211 JNW262202:JNW262211 JEA262202:JEA262211 IUE262202:IUE262211 IKI262202:IKI262211 IAM262202:IAM262211 HQQ262202:HQQ262211 HGU262202:HGU262211 GWY262202:GWY262211 GNC262202:GNC262211 GDG262202:GDG262211 FTK262202:FTK262211 FJO262202:FJO262211 EZS262202:EZS262211 EPW262202:EPW262211 EGA262202:EGA262211 DWE262202:DWE262211 DMI262202:DMI262211 DCM262202:DCM262211 CSQ262202:CSQ262211 CIU262202:CIU262211 BYY262202:BYY262211 BPC262202:BPC262211 BFG262202:BFG262211 AVK262202:AVK262211 ALO262202:ALO262211 ABS262202:ABS262211 RW262202:RW262211 IA262202:IA262211 E262202:E262211 WUM196666:WUM196675 WKQ196666:WKQ196675 WAU196666:WAU196675 VQY196666:VQY196675 VHC196666:VHC196675 UXG196666:UXG196675 UNK196666:UNK196675 UDO196666:UDO196675 TTS196666:TTS196675 TJW196666:TJW196675 TAA196666:TAA196675 SQE196666:SQE196675 SGI196666:SGI196675 RWM196666:RWM196675 RMQ196666:RMQ196675 RCU196666:RCU196675 QSY196666:QSY196675 QJC196666:QJC196675 PZG196666:PZG196675 PPK196666:PPK196675 PFO196666:PFO196675 OVS196666:OVS196675 OLW196666:OLW196675 OCA196666:OCA196675 NSE196666:NSE196675 NII196666:NII196675 MYM196666:MYM196675 MOQ196666:MOQ196675 MEU196666:MEU196675 LUY196666:LUY196675 LLC196666:LLC196675 LBG196666:LBG196675 KRK196666:KRK196675 KHO196666:KHO196675 JXS196666:JXS196675 JNW196666:JNW196675 JEA196666:JEA196675 IUE196666:IUE196675 IKI196666:IKI196675 IAM196666:IAM196675 HQQ196666:HQQ196675 HGU196666:HGU196675 GWY196666:GWY196675 GNC196666:GNC196675 GDG196666:GDG196675 FTK196666:FTK196675 FJO196666:FJO196675 EZS196666:EZS196675 EPW196666:EPW196675 EGA196666:EGA196675 DWE196666:DWE196675 DMI196666:DMI196675 DCM196666:DCM196675 CSQ196666:CSQ196675 CIU196666:CIU196675 BYY196666:BYY196675 BPC196666:BPC196675 BFG196666:BFG196675 AVK196666:AVK196675 ALO196666:ALO196675 ABS196666:ABS196675 RW196666:RW196675 IA196666:IA196675 E196666:E196675 WUM131130:WUM131139 WKQ131130:WKQ131139 WAU131130:WAU131139 VQY131130:VQY131139 VHC131130:VHC131139 UXG131130:UXG131139 UNK131130:UNK131139 UDO131130:UDO131139 TTS131130:TTS131139 TJW131130:TJW131139 TAA131130:TAA131139 SQE131130:SQE131139 SGI131130:SGI131139 RWM131130:RWM131139 RMQ131130:RMQ131139 RCU131130:RCU131139 QSY131130:QSY131139 QJC131130:QJC131139 PZG131130:PZG131139 PPK131130:PPK131139 PFO131130:PFO131139 OVS131130:OVS131139 OLW131130:OLW131139 OCA131130:OCA131139 NSE131130:NSE131139 NII131130:NII131139 MYM131130:MYM131139 MOQ131130:MOQ131139 MEU131130:MEU131139 LUY131130:LUY131139 LLC131130:LLC131139 LBG131130:LBG131139 KRK131130:KRK131139 KHO131130:KHO131139 JXS131130:JXS131139 JNW131130:JNW131139 JEA131130:JEA131139 IUE131130:IUE131139 IKI131130:IKI131139 IAM131130:IAM131139 HQQ131130:HQQ131139 HGU131130:HGU131139 GWY131130:GWY131139 GNC131130:GNC131139 GDG131130:GDG131139 FTK131130:FTK131139 FJO131130:FJO131139 EZS131130:EZS131139 EPW131130:EPW131139 EGA131130:EGA131139 DWE131130:DWE131139 DMI131130:DMI131139 DCM131130:DCM131139 CSQ131130:CSQ131139 CIU131130:CIU131139 BYY131130:BYY131139 BPC131130:BPC131139 BFG131130:BFG131139 AVK131130:AVK131139 ALO131130:ALO131139 ABS131130:ABS131139 RW131130:RW131139 IA131130:IA131139 E131130:E131139 WUM65594:WUM65603 WKQ65594:WKQ65603 WAU65594:WAU65603 VQY65594:VQY65603 VHC65594:VHC65603 UXG65594:UXG65603 UNK65594:UNK65603 UDO65594:UDO65603 TTS65594:TTS65603 TJW65594:TJW65603 TAA65594:TAA65603 SQE65594:SQE65603 SGI65594:SGI65603 RWM65594:RWM65603 RMQ65594:RMQ65603 RCU65594:RCU65603 QSY65594:QSY65603 QJC65594:QJC65603 PZG65594:PZG65603 PPK65594:PPK65603 PFO65594:PFO65603 OVS65594:OVS65603 OLW65594:OLW65603 OCA65594:OCA65603 NSE65594:NSE65603 NII65594:NII65603 MYM65594:MYM65603 MOQ65594:MOQ65603 MEU65594:MEU65603 LUY65594:LUY65603 LLC65594:LLC65603 LBG65594:LBG65603 KRK65594:KRK65603 KHO65594:KHO65603 JXS65594:JXS65603 JNW65594:JNW65603 JEA65594:JEA65603 IUE65594:IUE65603 IKI65594:IKI65603 IAM65594:IAM65603 HQQ65594:HQQ65603 HGU65594:HGU65603 GWY65594:GWY65603 GNC65594:GNC65603 GDG65594:GDG65603 FTK65594:FTK65603 FJO65594:FJO65603 EZS65594:EZS65603 EPW65594:EPW65603 EGA65594:EGA65603 DWE65594:DWE65603 DMI65594:DMI65603 DCM65594:DCM65603 CSQ65594:CSQ65603 CIU65594:CIU65603 BYY65594:BYY65603 BPC65594:BPC65603 BFG65594:BFG65603 AVK65594:AVK65603 ALO65594:ALO65603 ABS65594:ABS65603 RW65594:RW65603 IA65594:IA65603 E65594:E65603 WUM983089:WUM983095 WKQ983089:WKQ983095 WAU983089:WAU983095 VQY983089:VQY983095 VHC983089:VHC983095 UXG983089:UXG983095 UNK983089:UNK983095 UDO983089:UDO983095 TTS983089:TTS983095 TJW983089:TJW983095 TAA983089:TAA983095 SQE983089:SQE983095 SGI983089:SGI983095 RWM983089:RWM983095 RMQ983089:RMQ983095 RCU983089:RCU983095 QSY983089:QSY983095 QJC983089:QJC983095 PZG983089:PZG983095 PPK983089:PPK983095 PFO983089:PFO983095 OVS983089:OVS983095 OLW983089:OLW983095 OCA983089:OCA983095 NSE983089:NSE983095 NII983089:NII983095 MYM983089:MYM983095 MOQ983089:MOQ983095 MEU983089:MEU983095 LUY983089:LUY983095 LLC983089:LLC983095 LBG983089:LBG983095 KRK983089:KRK983095 KHO983089:KHO983095 JXS983089:JXS983095 JNW983089:JNW983095 JEA983089:JEA983095 IUE983089:IUE983095 IKI983089:IKI983095 IAM983089:IAM983095 HQQ983089:HQQ983095 HGU983089:HGU983095 GWY983089:GWY983095 GNC983089:GNC983095 GDG983089:GDG983095 FTK983089:FTK983095 FJO983089:FJO983095 EZS983089:EZS983095 EPW983089:EPW983095 EGA983089:EGA983095 DWE983089:DWE983095 DMI983089:DMI983095 DCM983089:DCM983095 CSQ983089:CSQ983095 CIU983089:CIU983095 BYY983089:BYY983095 BPC983089:BPC983095 BFG983089:BFG983095 AVK983089:AVK983095 ALO983089:ALO983095 ABS983089:ABS983095 RW983089:RW983095 IA983089:IA983095 E983089:E983095 WUM917553:WUM917559 WKQ917553:WKQ917559 WAU917553:WAU917559 VQY917553:VQY917559 VHC917553:VHC917559 UXG917553:UXG917559 UNK917553:UNK917559 UDO917553:UDO917559 TTS917553:TTS917559 TJW917553:TJW917559 TAA917553:TAA917559 SQE917553:SQE917559 SGI917553:SGI917559 RWM917553:RWM917559 RMQ917553:RMQ917559 RCU917553:RCU917559 QSY917553:QSY917559 QJC917553:QJC917559 PZG917553:PZG917559 PPK917553:PPK917559 PFO917553:PFO917559 OVS917553:OVS917559 OLW917553:OLW917559 OCA917553:OCA917559 NSE917553:NSE917559 NII917553:NII917559 MYM917553:MYM917559 MOQ917553:MOQ917559 MEU917553:MEU917559 LUY917553:LUY917559 LLC917553:LLC917559 LBG917553:LBG917559 KRK917553:KRK917559 KHO917553:KHO917559 JXS917553:JXS917559 JNW917553:JNW917559 JEA917553:JEA917559 IUE917553:IUE917559 IKI917553:IKI917559 IAM917553:IAM917559 HQQ917553:HQQ917559 HGU917553:HGU917559 GWY917553:GWY917559 GNC917553:GNC917559 GDG917553:GDG917559 FTK917553:FTK917559 FJO917553:FJO917559 EZS917553:EZS917559 EPW917553:EPW917559 EGA917553:EGA917559 DWE917553:DWE917559 DMI917553:DMI917559 DCM917553:DCM917559 CSQ917553:CSQ917559 CIU917553:CIU917559 BYY917553:BYY917559 BPC917553:BPC917559 BFG917553:BFG917559 AVK917553:AVK917559 ALO917553:ALO917559 ABS917553:ABS917559 RW917553:RW917559 IA917553:IA917559 E917553:E917559 WUM852017:WUM852023 WKQ852017:WKQ852023 WAU852017:WAU852023 VQY852017:VQY852023 VHC852017:VHC852023 UXG852017:UXG852023 UNK852017:UNK852023 UDO852017:UDO852023 TTS852017:TTS852023 TJW852017:TJW852023 TAA852017:TAA852023 SQE852017:SQE852023 SGI852017:SGI852023 RWM852017:RWM852023 RMQ852017:RMQ852023 RCU852017:RCU852023 QSY852017:QSY852023 QJC852017:QJC852023 PZG852017:PZG852023 PPK852017:PPK852023 PFO852017:PFO852023 OVS852017:OVS852023 OLW852017:OLW852023 OCA852017:OCA852023 NSE852017:NSE852023 NII852017:NII852023 MYM852017:MYM852023 MOQ852017:MOQ852023 MEU852017:MEU852023 LUY852017:LUY852023 LLC852017:LLC852023 LBG852017:LBG852023 KRK852017:KRK852023 KHO852017:KHO852023 JXS852017:JXS852023 JNW852017:JNW852023 JEA852017:JEA852023 IUE852017:IUE852023 IKI852017:IKI852023 IAM852017:IAM852023 HQQ852017:HQQ852023 HGU852017:HGU852023 GWY852017:GWY852023 GNC852017:GNC852023 GDG852017:GDG852023 FTK852017:FTK852023 FJO852017:FJO852023 EZS852017:EZS852023 EPW852017:EPW852023 EGA852017:EGA852023 DWE852017:DWE852023 DMI852017:DMI852023 DCM852017:DCM852023 CSQ852017:CSQ852023 CIU852017:CIU852023 BYY852017:BYY852023 BPC852017:BPC852023 BFG852017:BFG852023 AVK852017:AVK852023 ALO852017:ALO852023 ABS852017:ABS852023 RW852017:RW852023 IA852017:IA852023 E852017:E852023 WUM786481:WUM786487 WKQ786481:WKQ786487 WAU786481:WAU786487 VQY786481:VQY786487 VHC786481:VHC786487 UXG786481:UXG786487 UNK786481:UNK786487 UDO786481:UDO786487 TTS786481:TTS786487 TJW786481:TJW786487 TAA786481:TAA786487 SQE786481:SQE786487 SGI786481:SGI786487 RWM786481:RWM786487 RMQ786481:RMQ786487 RCU786481:RCU786487 QSY786481:QSY786487 QJC786481:QJC786487 PZG786481:PZG786487 PPK786481:PPK786487 PFO786481:PFO786487 OVS786481:OVS786487 OLW786481:OLW786487 OCA786481:OCA786487 NSE786481:NSE786487 NII786481:NII786487 MYM786481:MYM786487 MOQ786481:MOQ786487 MEU786481:MEU786487 LUY786481:LUY786487 LLC786481:LLC786487 LBG786481:LBG786487 KRK786481:KRK786487 KHO786481:KHO786487 JXS786481:JXS786487 JNW786481:JNW786487 JEA786481:JEA786487 IUE786481:IUE786487 IKI786481:IKI786487 IAM786481:IAM786487 HQQ786481:HQQ786487 HGU786481:HGU786487 GWY786481:GWY786487 GNC786481:GNC786487 GDG786481:GDG786487 FTK786481:FTK786487 FJO786481:FJO786487 EZS786481:EZS786487 EPW786481:EPW786487 EGA786481:EGA786487 DWE786481:DWE786487 DMI786481:DMI786487 DCM786481:DCM786487 CSQ786481:CSQ786487 CIU786481:CIU786487 BYY786481:BYY786487 BPC786481:BPC786487 BFG786481:BFG786487 AVK786481:AVK786487 ALO786481:ALO786487 ABS786481:ABS786487 RW786481:RW786487 IA786481:IA786487 E786481:E786487 WUM720945:WUM720951 WKQ720945:WKQ720951 WAU720945:WAU720951 VQY720945:VQY720951 VHC720945:VHC720951 UXG720945:UXG720951 UNK720945:UNK720951 UDO720945:UDO720951 TTS720945:TTS720951 TJW720945:TJW720951 TAA720945:TAA720951 SQE720945:SQE720951 SGI720945:SGI720951 RWM720945:RWM720951 RMQ720945:RMQ720951 RCU720945:RCU720951 QSY720945:QSY720951 QJC720945:QJC720951 PZG720945:PZG720951 PPK720945:PPK720951 PFO720945:PFO720951 OVS720945:OVS720951 OLW720945:OLW720951 OCA720945:OCA720951 NSE720945:NSE720951 NII720945:NII720951 MYM720945:MYM720951 MOQ720945:MOQ720951 MEU720945:MEU720951 LUY720945:LUY720951 LLC720945:LLC720951 LBG720945:LBG720951 KRK720945:KRK720951 KHO720945:KHO720951 JXS720945:JXS720951 JNW720945:JNW720951 JEA720945:JEA720951 IUE720945:IUE720951 IKI720945:IKI720951 IAM720945:IAM720951 HQQ720945:HQQ720951 HGU720945:HGU720951 GWY720945:GWY720951 GNC720945:GNC720951 GDG720945:GDG720951 FTK720945:FTK720951 FJO720945:FJO720951 EZS720945:EZS720951 EPW720945:EPW720951 EGA720945:EGA720951 DWE720945:DWE720951 DMI720945:DMI720951 DCM720945:DCM720951 CSQ720945:CSQ720951 CIU720945:CIU720951 BYY720945:BYY720951 BPC720945:BPC720951 BFG720945:BFG720951 AVK720945:AVK720951 ALO720945:ALO720951 ABS720945:ABS720951 RW720945:RW720951 IA720945:IA720951 E720945:E720951 WUM655409:WUM655415 WKQ655409:WKQ655415 WAU655409:WAU655415 VQY655409:VQY655415 VHC655409:VHC655415 UXG655409:UXG655415 UNK655409:UNK655415 UDO655409:UDO655415 TTS655409:TTS655415 TJW655409:TJW655415 TAA655409:TAA655415 SQE655409:SQE655415 SGI655409:SGI655415 RWM655409:RWM655415 RMQ655409:RMQ655415 RCU655409:RCU655415 QSY655409:QSY655415 QJC655409:QJC655415 PZG655409:PZG655415 PPK655409:PPK655415 PFO655409:PFO655415 OVS655409:OVS655415 OLW655409:OLW655415 OCA655409:OCA655415 NSE655409:NSE655415 NII655409:NII655415 MYM655409:MYM655415 MOQ655409:MOQ655415 MEU655409:MEU655415 LUY655409:LUY655415 LLC655409:LLC655415 LBG655409:LBG655415 KRK655409:KRK655415 KHO655409:KHO655415 JXS655409:JXS655415 JNW655409:JNW655415 JEA655409:JEA655415 IUE655409:IUE655415 IKI655409:IKI655415 IAM655409:IAM655415 HQQ655409:HQQ655415 HGU655409:HGU655415 GWY655409:GWY655415 GNC655409:GNC655415 GDG655409:GDG655415 FTK655409:FTK655415 FJO655409:FJO655415 EZS655409:EZS655415 EPW655409:EPW655415 EGA655409:EGA655415 DWE655409:DWE655415 DMI655409:DMI655415 DCM655409:DCM655415 CSQ655409:CSQ655415 CIU655409:CIU655415 BYY655409:BYY655415 BPC655409:BPC655415 BFG655409:BFG655415 AVK655409:AVK655415 ALO655409:ALO655415 ABS655409:ABS655415 RW655409:RW655415 IA655409:IA655415 E655409:E655415 WUM589873:WUM589879 WKQ589873:WKQ589879 WAU589873:WAU589879 VQY589873:VQY589879 VHC589873:VHC589879 UXG589873:UXG589879 UNK589873:UNK589879 UDO589873:UDO589879 TTS589873:TTS589879 TJW589873:TJW589879 TAA589873:TAA589879 SQE589873:SQE589879 SGI589873:SGI589879 RWM589873:RWM589879 RMQ589873:RMQ589879 RCU589873:RCU589879 QSY589873:QSY589879 QJC589873:QJC589879 PZG589873:PZG589879 PPK589873:PPK589879 PFO589873:PFO589879 OVS589873:OVS589879 OLW589873:OLW589879 OCA589873:OCA589879 NSE589873:NSE589879 NII589873:NII589879 MYM589873:MYM589879 MOQ589873:MOQ589879 MEU589873:MEU589879 LUY589873:LUY589879 LLC589873:LLC589879 LBG589873:LBG589879 KRK589873:KRK589879 KHO589873:KHO589879 JXS589873:JXS589879 JNW589873:JNW589879 JEA589873:JEA589879 IUE589873:IUE589879 IKI589873:IKI589879 IAM589873:IAM589879 HQQ589873:HQQ589879 HGU589873:HGU589879 GWY589873:GWY589879 GNC589873:GNC589879 GDG589873:GDG589879 FTK589873:FTK589879 FJO589873:FJO589879 EZS589873:EZS589879 EPW589873:EPW589879 EGA589873:EGA589879 DWE589873:DWE589879 DMI589873:DMI589879 DCM589873:DCM589879 CSQ589873:CSQ589879 CIU589873:CIU589879 BYY589873:BYY589879 BPC589873:BPC589879 BFG589873:BFG589879 AVK589873:AVK589879 ALO589873:ALO589879 ABS589873:ABS589879 RW589873:RW589879 IA589873:IA589879 E589873:E589879 WUM524337:WUM524343 WKQ524337:WKQ524343 WAU524337:WAU524343 VQY524337:VQY524343 VHC524337:VHC524343 UXG524337:UXG524343 UNK524337:UNK524343 UDO524337:UDO524343 TTS524337:TTS524343 TJW524337:TJW524343 TAA524337:TAA524343 SQE524337:SQE524343 SGI524337:SGI524343 RWM524337:RWM524343 RMQ524337:RMQ524343 RCU524337:RCU524343 QSY524337:QSY524343 QJC524337:QJC524343 PZG524337:PZG524343 PPK524337:PPK524343 PFO524337:PFO524343 OVS524337:OVS524343 OLW524337:OLW524343 OCA524337:OCA524343 NSE524337:NSE524343 NII524337:NII524343 MYM524337:MYM524343 MOQ524337:MOQ524343 MEU524337:MEU524343 LUY524337:LUY524343 LLC524337:LLC524343 LBG524337:LBG524343 KRK524337:KRK524343 KHO524337:KHO524343 JXS524337:JXS524343 JNW524337:JNW524343 JEA524337:JEA524343 IUE524337:IUE524343 IKI524337:IKI524343 IAM524337:IAM524343 HQQ524337:HQQ524343 HGU524337:HGU524343 GWY524337:GWY524343 GNC524337:GNC524343 GDG524337:GDG524343 FTK524337:FTK524343 FJO524337:FJO524343 EZS524337:EZS524343 EPW524337:EPW524343 EGA524337:EGA524343 DWE524337:DWE524343 DMI524337:DMI524343 DCM524337:DCM524343 CSQ524337:CSQ524343 CIU524337:CIU524343 BYY524337:BYY524343 BPC524337:BPC524343 BFG524337:BFG524343 AVK524337:AVK524343 ALO524337:ALO524343 ABS524337:ABS524343 RW524337:RW524343 IA524337:IA524343 E524337:E524343 WUM458801:WUM458807 WKQ458801:WKQ458807 WAU458801:WAU458807 VQY458801:VQY458807 VHC458801:VHC458807 UXG458801:UXG458807 UNK458801:UNK458807 UDO458801:UDO458807 TTS458801:TTS458807 TJW458801:TJW458807 TAA458801:TAA458807 SQE458801:SQE458807 SGI458801:SGI458807 RWM458801:RWM458807 RMQ458801:RMQ458807 RCU458801:RCU458807 QSY458801:QSY458807 QJC458801:QJC458807 PZG458801:PZG458807 PPK458801:PPK458807 PFO458801:PFO458807 OVS458801:OVS458807 OLW458801:OLW458807 OCA458801:OCA458807 NSE458801:NSE458807 NII458801:NII458807 MYM458801:MYM458807 MOQ458801:MOQ458807 MEU458801:MEU458807 LUY458801:LUY458807 LLC458801:LLC458807 LBG458801:LBG458807 KRK458801:KRK458807 KHO458801:KHO458807 JXS458801:JXS458807 JNW458801:JNW458807 JEA458801:JEA458807 IUE458801:IUE458807 IKI458801:IKI458807 IAM458801:IAM458807 HQQ458801:HQQ458807 HGU458801:HGU458807 GWY458801:GWY458807 GNC458801:GNC458807 GDG458801:GDG458807 FTK458801:FTK458807 FJO458801:FJO458807 EZS458801:EZS458807 EPW458801:EPW458807 EGA458801:EGA458807 DWE458801:DWE458807 DMI458801:DMI458807 DCM458801:DCM458807 CSQ458801:CSQ458807 CIU458801:CIU458807 BYY458801:BYY458807 BPC458801:BPC458807 BFG458801:BFG458807 AVK458801:AVK458807 ALO458801:ALO458807 ABS458801:ABS458807 RW458801:RW458807 IA458801:IA458807 E458801:E458807 WUM393265:WUM393271 WKQ393265:WKQ393271 WAU393265:WAU393271 VQY393265:VQY393271 VHC393265:VHC393271 UXG393265:UXG393271 UNK393265:UNK393271 UDO393265:UDO393271 TTS393265:TTS393271 TJW393265:TJW393271 TAA393265:TAA393271 SQE393265:SQE393271 SGI393265:SGI393271 RWM393265:RWM393271 RMQ393265:RMQ393271 RCU393265:RCU393271 QSY393265:QSY393271 QJC393265:QJC393271 PZG393265:PZG393271 PPK393265:PPK393271 PFO393265:PFO393271 OVS393265:OVS393271 OLW393265:OLW393271 OCA393265:OCA393271 NSE393265:NSE393271 NII393265:NII393271 MYM393265:MYM393271 MOQ393265:MOQ393271 MEU393265:MEU393271 LUY393265:LUY393271 LLC393265:LLC393271 LBG393265:LBG393271 KRK393265:KRK393271 KHO393265:KHO393271 JXS393265:JXS393271 JNW393265:JNW393271 JEA393265:JEA393271 IUE393265:IUE393271 IKI393265:IKI393271 IAM393265:IAM393271 HQQ393265:HQQ393271 HGU393265:HGU393271 GWY393265:GWY393271 GNC393265:GNC393271 GDG393265:GDG393271 FTK393265:FTK393271 FJO393265:FJO393271 EZS393265:EZS393271 EPW393265:EPW393271 EGA393265:EGA393271 DWE393265:DWE393271 DMI393265:DMI393271 DCM393265:DCM393271 CSQ393265:CSQ393271 CIU393265:CIU393271 BYY393265:BYY393271 BPC393265:BPC393271 BFG393265:BFG393271 AVK393265:AVK393271 ALO393265:ALO393271 ABS393265:ABS393271 RW393265:RW393271 IA393265:IA393271 E393265:E393271 WUM327729:WUM327735 WKQ327729:WKQ327735 WAU327729:WAU327735 VQY327729:VQY327735 VHC327729:VHC327735 UXG327729:UXG327735 UNK327729:UNK327735 UDO327729:UDO327735 TTS327729:TTS327735 TJW327729:TJW327735 TAA327729:TAA327735 SQE327729:SQE327735 SGI327729:SGI327735 RWM327729:RWM327735 RMQ327729:RMQ327735 RCU327729:RCU327735 QSY327729:QSY327735 QJC327729:QJC327735 PZG327729:PZG327735 PPK327729:PPK327735 PFO327729:PFO327735 OVS327729:OVS327735 OLW327729:OLW327735 OCA327729:OCA327735 NSE327729:NSE327735 NII327729:NII327735 MYM327729:MYM327735 MOQ327729:MOQ327735 MEU327729:MEU327735 LUY327729:LUY327735 LLC327729:LLC327735 LBG327729:LBG327735 KRK327729:KRK327735 KHO327729:KHO327735 JXS327729:JXS327735 JNW327729:JNW327735 JEA327729:JEA327735 IUE327729:IUE327735 IKI327729:IKI327735 IAM327729:IAM327735 HQQ327729:HQQ327735 HGU327729:HGU327735 GWY327729:GWY327735 GNC327729:GNC327735 GDG327729:GDG327735 FTK327729:FTK327735 FJO327729:FJO327735 EZS327729:EZS327735 EPW327729:EPW327735 EGA327729:EGA327735 DWE327729:DWE327735 DMI327729:DMI327735 DCM327729:DCM327735 CSQ327729:CSQ327735 CIU327729:CIU327735 BYY327729:BYY327735 BPC327729:BPC327735 BFG327729:BFG327735 AVK327729:AVK327735 ALO327729:ALO327735 ABS327729:ABS327735 RW327729:RW327735 IA327729:IA327735 E327729:E327735 WUM262193:WUM262199 WKQ262193:WKQ262199 WAU262193:WAU262199 VQY262193:VQY262199 VHC262193:VHC262199 UXG262193:UXG262199 UNK262193:UNK262199 UDO262193:UDO262199 TTS262193:TTS262199 TJW262193:TJW262199 TAA262193:TAA262199 SQE262193:SQE262199 SGI262193:SGI262199 RWM262193:RWM262199 RMQ262193:RMQ262199 RCU262193:RCU262199 QSY262193:QSY262199 QJC262193:QJC262199 PZG262193:PZG262199 PPK262193:PPK262199 PFO262193:PFO262199 OVS262193:OVS262199 OLW262193:OLW262199 OCA262193:OCA262199 NSE262193:NSE262199 NII262193:NII262199 MYM262193:MYM262199 MOQ262193:MOQ262199 MEU262193:MEU262199 LUY262193:LUY262199 LLC262193:LLC262199 LBG262193:LBG262199 KRK262193:KRK262199 KHO262193:KHO262199 JXS262193:JXS262199 JNW262193:JNW262199 JEA262193:JEA262199 IUE262193:IUE262199 IKI262193:IKI262199 IAM262193:IAM262199 HQQ262193:HQQ262199 HGU262193:HGU262199 GWY262193:GWY262199 GNC262193:GNC262199 GDG262193:GDG262199 FTK262193:FTK262199 FJO262193:FJO262199 EZS262193:EZS262199 EPW262193:EPW262199 EGA262193:EGA262199 DWE262193:DWE262199 DMI262193:DMI262199 DCM262193:DCM262199 CSQ262193:CSQ262199 CIU262193:CIU262199 BYY262193:BYY262199 BPC262193:BPC262199 BFG262193:BFG262199 AVK262193:AVK262199 ALO262193:ALO262199 ABS262193:ABS262199 RW262193:RW262199 IA262193:IA262199 E262193:E262199 WUM196657:WUM196663 WKQ196657:WKQ196663 WAU196657:WAU196663 VQY196657:VQY196663 VHC196657:VHC196663 UXG196657:UXG196663 UNK196657:UNK196663 UDO196657:UDO196663 TTS196657:TTS196663 TJW196657:TJW196663 TAA196657:TAA196663 SQE196657:SQE196663 SGI196657:SGI196663 RWM196657:RWM196663 RMQ196657:RMQ196663 RCU196657:RCU196663 QSY196657:QSY196663 QJC196657:QJC196663 PZG196657:PZG196663 PPK196657:PPK196663 PFO196657:PFO196663 OVS196657:OVS196663 OLW196657:OLW196663 OCA196657:OCA196663 NSE196657:NSE196663 NII196657:NII196663 MYM196657:MYM196663 MOQ196657:MOQ196663 MEU196657:MEU196663 LUY196657:LUY196663 LLC196657:LLC196663 LBG196657:LBG196663 KRK196657:KRK196663 KHO196657:KHO196663 JXS196657:JXS196663 JNW196657:JNW196663 JEA196657:JEA196663 IUE196657:IUE196663 IKI196657:IKI196663 IAM196657:IAM196663 HQQ196657:HQQ196663 HGU196657:HGU196663 GWY196657:GWY196663 GNC196657:GNC196663 GDG196657:GDG196663 FTK196657:FTK196663 FJO196657:FJO196663 EZS196657:EZS196663 EPW196657:EPW196663 EGA196657:EGA196663 DWE196657:DWE196663 DMI196657:DMI196663 DCM196657:DCM196663 CSQ196657:CSQ196663 CIU196657:CIU196663 BYY196657:BYY196663 BPC196657:BPC196663 BFG196657:BFG196663 AVK196657:AVK196663 ALO196657:ALO196663 ABS196657:ABS196663 RW196657:RW196663 IA196657:IA196663 E196657:E196663 WUM131121:WUM131127 WKQ131121:WKQ131127 WAU131121:WAU131127 VQY131121:VQY131127 VHC131121:VHC131127 UXG131121:UXG131127 UNK131121:UNK131127 UDO131121:UDO131127 TTS131121:TTS131127 TJW131121:TJW131127 TAA131121:TAA131127 SQE131121:SQE131127 SGI131121:SGI131127 RWM131121:RWM131127 RMQ131121:RMQ131127 RCU131121:RCU131127 QSY131121:QSY131127 QJC131121:QJC131127 PZG131121:PZG131127 PPK131121:PPK131127 PFO131121:PFO131127 OVS131121:OVS131127 OLW131121:OLW131127 OCA131121:OCA131127 NSE131121:NSE131127 NII131121:NII131127 MYM131121:MYM131127 MOQ131121:MOQ131127 MEU131121:MEU131127 LUY131121:LUY131127 LLC131121:LLC131127 LBG131121:LBG131127 KRK131121:KRK131127 KHO131121:KHO131127 JXS131121:JXS131127 JNW131121:JNW131127 JEA131121:JEA131127 IUE131121:IUE131127 IKI131121:IKI131127 IAM131121:IAM131127 HQQ131121:HQQ131127 HGU131121:HGU131127 GWY131121:GWY131127 GNC131121:GNC131127 GDG131121:GDG131127 FTK131121:FTK131127 FJO131121:FJO131127 EZS131121:EZS131127 EPW131121:EPW131127 EGA131121:EGA131127 DWE131121:DWE131127 DMI131121:DMI131127 DCM131121:DCM131127 CSQ131121:CSQ131127 CIU131121:CIU131127 BYY131121:BYY131127 BPC131121:BPC131127 BFG131121:BFG131127 AVK131121:AVK131127 ALO131121:ALO131127 ABS131121:ABS131127 RW131121:RW131127 IA131121:IA131127 E131121:E131127 WUM65585:WUM65591 WKQ65585:WKQ65591 WAU65585:WAU65591 VQY65585:VQY65591 VHC65585:VHC65591 UXG65585:UXG65591 UNK65585:UNK65591 UDO65585:UDO65591 TTS65585:TTS65591 TJW65585:TJW65591 TAA65585:TAA65591 SQE65585:SQE65591 SGI65585:SGI65591 RWM65585:RWM65591 RMQ65585:RMQ65591 RCU65585:RCU65591 QSY65585:QSY65591 QJC65585:QJC65591 PZG65585:PZG65591 PPK65585:PPK65591 PFO65585:PFO65591 OVS65585:OVS65591 OLW65585:OLW65591 OCA65585:OCA65591 NSE65585:NSE65591 NII65585:NII65591 MYM65585:MYM65591 MOQ65585:MOQ65591 MEU65585:MEU65591 LUY65585:LUY65591 LLC65585:LLC65591 LBG65585:LBG65591 KRK65585:KRK65591 KHO65585:KHO65591 JXS65585:JXS65591 JNW65585:JNW65591 JEA65585:JEA65591 IUE65585:IUE65591 IKI65585:IKI65591 IAM65585:IAM65591 HQQ65585:HQQ65591 HGU65585:HGU65591 GWY65585:GWY65591 GNC65585:GNC65591 GDG65585:GDG65591 FTK65585:FTK65591 FJO65585:FJO65591 EZS65585:EZS65591 EPW65585:EPW65591 EGA65585:EGA65591 DWE65585:DWE65591 DMI65585:DMI65591 DCM65585:DCM65591 CSQ65585:CSQ65591 CIU65585:CIU65591 BYY65585:BYY65591 BPC65585:BPC65591 BFG65585:BFG65591 AVK65585:AVK65591 ALO65585:ALO65591 ABS65585:ABS65591 RW65585:RW65591 IA65585:IA65591 WUM6:WUM41 WKQ6:WKQ41 WAU6:WAU41 VQY6:VQY41 VHC6:VHC41 UXG6:UXG41 UNK6:UNK41 UDO6:UDO41 TTS6:TTS41 TJW6:TJW41 TAA6:TAA41 SQE6:SQE41 SGI6:SGI41 RWM6:RWM41 RMQ6:RMQ41 RCU6:RCU41 QSY6:QSY41 QJC6:QJC41 PZG6:PZG41 PPK6:PPK41 PFO6:PFO41 OVS6:OVS41 OLW6:OLW41 OCA6:OCA41 NSE6:NSE41 NII6:NII41 MYM6:MYM41 MOQ6:MOQ41 MEU6:MEU41 LUY6:LUY41 LLC6:LLC41 LBG6:LBG41 KRK6:KRK41 KHO6:KHO41 JXS6:JXS41 JNW6:JNW41 JEA6:JEA41 IUE6:IUE41 IKI6:IKI41 IAM6:IAM41 HQQ6:HQQ41 HGU6:HGU41 GWY6:GWY41 GNC6:GNC41 GDG6:GDG41 FTK6:FTK41 FJO6:FJO41 EZS6:EZS41 EPW6:EPW41 EGA6:EGA41 DWE6:DWE41 DMI6:DMI41 DCM6:DCM41 CSQ6:CSQ41 CIU6:CIU41 BYY6:BYY41 BPC6:BPC41 BFG6:BFG41 AVK6:AVK41 ALO6:ALO41 ABS6:ABS41 RW6:RW41 IA6:IA41" xr:uid="{00000000-0002-0000-0A00-000002000000}">
      <formula1>$O$9:$O$10</formula1>
    </dataValidation>
    <dataValidation type="list" allowBlank="1" showInputMessage="1" showErrorMessage="1" sqref="E65592:E65593 WUM983108 WKQ983108 WAU983108 VQY983108 VHC983108 UXG983108 UNK983108 UDO983108 TTS983108 TJW983108 TAA983108 SQE983108 SGI983108 RWM983108 RMQ983108 RCU983108 QSY983108 QJC983108 PZG983108 PPK983108 PFO983108 OVS983108 OLW983108 OCA983108 NSE983108 NII983108 MYM983108 MOQ983108 MEU983108 LUY983108 LLC983108 LBG983108 KRK983108 KHO983108 JXS983108 JNW983108 JEA983108 IUE983108 IKI983108 IAM983108 HQQ983108 HGU983108 GWY983108 GNC983108 GDG983108 FTK983108 FJO983108 EZS983108 EPW983108 EGA983108 DWE983108 DMI983108 DCM983108 CSQ983108 CIU983108 BYY983108 BPC983108 BFG983108 AVK983108 ALO983108 ABS983108 RW983108 IA983108 E983108 WUM917572 WKQ917572 WAU917572 VQY917572 VHC917572 UXG917572 UNK917572 UDO917572 TTS917572 TJW917572 TAA917572 SQE917572 SGI917572 RWM917572 RMQ917572 RCU917572 QSY917572 QJC917572 PZG917572 PPK917572 PFO917572 OVS917572 OLW917572 OCA917572 NSE917572 NII917572 MYM917572 MOQ917572 MEU917572 LUY917572 LLC917572 LBG917572 KRK917572 KHO917572 JXS917572 JNW917572 JEA917572 IUE917572 IKI917572 IAM917572 HQQ917572 HGU917572 GWY917572 GNC917572 GDG917572 FTK917572 FJO917572 EZS917572 EPW917572 EGA917572 DWE917572 DMI917572 DCM917572 CSQ917572 CIU917572 BYY917572 BPC917572 BFG917572 AVK917572 ALO917572 ABS917572 RW917572 IA917572 E917572 WUM852036 WKQ852036 WAU852036 VQY852036 VHC852036 UXG852036 UNK852036 UDO852036 TTS852036 TJW852036 TAA852036 SQE852036 SGI852036 RWM852036 RMQ852036 RCU852036 QSY852036 QJC852036 PZG852036 PPK852036 PFO852036 OVS852036 OLW852036 OCA852036 NSE852036 NII852036 MYM852036 MOQ852036 MEU852036 LUY852036 LLC852036 LBG852036 KRK852036 KHO852036 JXS852036 JNW852036 JEA852036 IUE852036 IKI852036 IAM852036 HQQ852036 HGU852036 GWY852036 GNC852036 GDG852036 FTK852036 FJO852036 EZS852036 EPW852036 EGA852036 DWE852036 DMI852036 DCM852036 CSQ852036 CIU852036 BYY852036 BPC852036 BFG852036 AVK852036 ALO852036 ABS852036 RW852036 IA852036 E852036 WUM786500 WKQ786500 WAU786500 VQY786500 VHC786500 UXG786500 UNK786500 UDO786500 TTS786500 TJW786500 TAA786500 SQE786500 SGI786500 RWM786500 RMQ786500 RCU786500 QSY786500 QJC786500 PZG786500 PPK786500 PFO786500 OVS786500 OLW786500 OCA786500 NSE786500 NII786500 MYM786500 MOQ786500 MEU786500 LUY786500 LLC786500 LBG786500 KRK786500 KHO786500 JXS786500 JNW786500 JEA786500 IUE786500 IKI786500 IAM786500 HQQ786500 HGU786500 GWY786500 GNC786500 GDG786500 FTK786500 FJO786500 EZS786500 EPW786500 EGA786500 DWE786500 DMI786500 DCM786500 CSQ786500 CIU786500 BYY786500 BPC786500 BFG786500 AVK786500 ALO786500 ABS786500 RW786500 IA786500 E786500 WUM720964 WKQ720964 WAU720964 VQY720964 VHC720964 UXG720964 UNK720964 UDO720964 TTS720964 TJW720964 TAA720964 SQE720964 SGI720964 RWM720964 RMQ720964 RCU720964 QSY720964 QJC720964 PZG720964 PPK720964 PFO720964 OVS720964 OLW720964 OCA720964 NSE720964 NII720964 MYM720964 MOQ720964 MEU720964 LUY720964 LLC720964 LBG720964 KRK720964 KHO720964 JXS720964 JNW720964 JEA720964 IUE720964 IKI720964 IAM720964 HQQ720964 HGU720964 GWY720964 GNC720964 GDG720964 FTK720964 FJO720964 EZS720964 EPW720964 EGA720964 DWE720964 DMI720964 DCM720964 CSQ720964 CIU720964 BYY720964 BPC720964 BFG720964 AVK720964 ALO720964 ABS720964 RW720964 IA720964 E720964 WUM655428 WKQ655428 WAU655428 VQY655428 VHC655428 UXG655428 UNK655428 UDO655428 TTS655428 TJW655428 TAA655428 SQE655428 SGI655428 RWM655428 RMQ655428 RCU655428 QSY655428 QJC655428 PZG655428 PPK655428 PFO655428 OVS655428 OLW655428 OCA655428 NSE655428 NII655428 MYM655428 MOQ655428 MEU655428 LUY655428 LLC655428 LBG655428 KRK655428 KHO655428 JXS655428 JNW655428 JEA655428 IUE655428 IKI655428 IAM655428 HQQ655428 HGU655428 GWY655428 GNC655428 GDG655428 FTK655428 FJO655428 EZS655428 EPW655428 EGA655428 DWE655428 DMI655428 DCM655428 CSQ655428 CIU655428 BYY655428 BPC655428 BFG655428 AVK655428 ALO655428 ABS655428 RW655428 IA655428 E655428 WUM589892 WKQ589892 WAU589892 VQY589892 VHC589892 UXG589892 UNK589892 UDO589892 TTS589892 TJW589892 TAA589892 SQE589892 SGI589892 RWM589892 RMQ589892 RCU589892 QSY589892 QJC589892 PZG589892 PPK589892 PFO589892 OVS589892 OLW589892 OCA589892 NSE589892 NII589892 MYM589892 MOQ589892 MEU589892 LUY589892 LLC589892 LBG589892 KRK589892 KHO589892 JXS589892 JNW589892 JEA589892 IUE589892 IKI589892 IAM589892 HQQ589892 HGU589892 GWY589892 GNC589892 GDG589892 FTK589892 FJO589892 EZS589892 EPW589892 EGA589892 DWE589892 DMI589892 DCM589892 CSQ589892 CIU589892 BYY589892 BPC589892 BFG589892 AVK589892 ALO589892 ABS589892 RW589892 IA589892 E589892 WUM524356 WKQ524356 WAU524356 VQY524356 VHC524356 UXG524356 UNK524356 UDO524356 TTS524356 TJW524356 TAA524356 SQE524356 SGI524356 RWM524356 RMQ524356 RCU524356 QSY524356 QJC524356 PZG524356 PPK524356 PFO524356 OVS524356 OLW524356 OCA524356 NSE524356 NII524356 MYM524356 MOQ524356 MEU524356 LUY524356 LLC524356 LBG524356 KRK524356 KHO524356 JXS524356 JNW524356 JEA524356 IUE524356 IKI524356 IAM524356 HQQ524356 HGU524356 GWY524356 GNC524356 GDG524356 FTK524356 FJO524356 EZS524356 EPW524356 EGA524356 DWE524356 DMI524356 DCM524356 CSQ524356 CIU524356 BYY524356 BPC524356 BFG524356 AVK524356 ALO524356 ABS524356 RW524356 IA524356 E524356 WUM458820 WKQ458820 WAU458820 VQY458820 VHC458820 UXG458820 UNK458820 UDO458820 TTS458820 TJW458820 TAA458820 SQE458820 SGI458820 RWM458820 RMQ458820 RCU458820 QSY458820 QJC458820 PZG458820 PPK458820 PFO458820 OVS458820 OLW458820 OCA458820 NSE458820 NII458820 MYM458820 MOQ458820 MEU458820 LUY458820 LLC458820 LBG458820 KRK458820 KHO458820 JXS458820 JNW458820 JEA458820 IUE458820 IKI458820 IAM458820 HQQ458820 HGU458820 GWY458820 GNC458820 GDG458820 FTK458820 FJO458820 EZS458820 EPW458820 EGA458820 DWE458820 DMI458820 DCM458820 CSQ458820 CIU458820 BYY458820 BPC458820 BFG458820 AVK458820 ALO458820 ABS458820 RW458820 IA458820 E458820 WUM393284 WKQ393284 WAU393284 VQY393284 VHC393284 UXG393284 UNK393284 UDO393284 TTS393284 TJW393284 TAA393284 SQE393284 SGI393284 RWM393284 RMQ393284 RCU393284 QSY393284 QJC393284 PZG393284 PPK393284 PFO393284 OVS393284 OLW393284 OCA393284 NSE393284 NII393284 MYM393284 MOQ393284 MEU393284 LUY393284 LLC393284 LBG393284 KRK393284 KHO393284 JXS393284 JNW393284 JEA393284 IUE393284 IKI393284 IAM393284 HQQ393284 HGU393284 GWY393284 GNC393284 GDG393284 FTK393284 FJO393284 EZS393284 EPW393284 EGA393284 DWE393284 DMI393284 DCM393284 CSQ393284 CIU393284 BYY393284 BPC393284 BFG393284 AVK393284 ALO393284 ABS393284 RW393284 IA393284 E393284 WUM327748 WKQ327748 WAU327748 VQY327748 VHC327748 UXG327748 UNK327748 UDO327748 TTS327748 TJW327748 TAA327748 SQE327748 SGI327748 RWM327748 RMQ327748 RCU327748 QSY327748 QJC327748 PZG327748 PPK327748 PFO327748 OVS327748 OLW327748 OCA327748 NSE327748 NII327748 MYM327748 MOQ327748 MEU327748 LUY327748 LLC327748 LBG327748 KRK327748 KHO327748 JXS327748 JNW327748 JEA327748 IUE327748 IKI327748 IAM327748 HQQ327748 HGU327748 GWY327748 GNC327748 GDG327748 FTK327748 FJO327748 EZS327748 EPW327748 EGA327748 DWE327748 DMI327748 DCM327748 CSQ327748 CIU327748 BYY327748 BPC327748 BFG327748 AVK327748 ALO327748 ABS327748 RW327748 IA327748 E327748 WUM262212 WKQ262212 WAU262212 VQY262212 VHC262212 UXG262212 UNK262212 UDO262212 TTS262212 TJW262212 TAA262212 SQE262212 SGI262212 RWM262212 RMQ262212 RCU262212 QSY262212 QJC262212 PZG262212 PPK262212 PFO262212 OVS262212 OLW262212 OCA262212 NSE262212 NII262212 MYM262212 MOQ262212 MEU262212 LUY262212 LLC262212 LBG262212 KRK262212 KHO262212 JXS262212 JNW262212 JEA262212 IUE262212 IKI262212 IAM262212 HQQ262212 HGU262212 GWY262212 GNC262212 GDG262212 FTK262212 FJO262212 EZS262212 EPW262212 EGA262212 DWE262212 DMI262212 DCM262212 CSQ262212 CIU262212 BYY262212 BPC262212 BFG262212 AVK262212 ALO262212 ABS262212 RW262212 IA262212 E262212 WUM196676 WKQ196676 WAU196676 VQY196676 VHC196676 UXG196676 UNK196676 UDO196676 TTS196676 TJW196676 TAA196676 SQE196676 SGI196676 RWM196676 RMQ196676 RCU196676 QSY196676 QJC196676 PZG196676 PPK196676 PFO196676 OVS196676 OLW196676 OCA196676 NSE196676 NII196676 MYM196676 MOQ196676 MEU196676 LUY196676 LLC196676 LBG196676 KRK196676 KHO196676 JXS196676 JNW196676 JEA196676 IUE196676 IKI196676 IAM196676 HQQ196676 HGU196676 GWY196676 GNC196676 GDG196676 FTK196676 FJO196676 EZS196676 EPW196676 EGA196676 DWE196676 DMI196676 DCM196676 CSQ196676 CIU196676 BYY196676 BPC196676 BFG196676 AVK196676 ALO196676 ABS196676 RW196676 IA196676 E196676 WUM131140 WKQ131140 WAU131140 VQY131140 VHC131140 UXG131140 UNK131140 UDO131140 TTS131140 TJW131140 TAA131140 SQE131140 SGI131140 RWM131140 RMQ131140 RCU131140 QSY131140 QJC131140 PZG131140 PPK131140 PFO131140 OVS131140 OLW131140 OCA131140 NSE131140 NII131140 MYM131140 MOQ131140 MEU131140 LUY131140 LLC131140 LBG131140 KRK131140 KHO131140 JXS131140 JNW131140 JEA131140 IUE131140 IKI131140 IAM131140 HQQ131140 HGU131140 GWY131140 GNC131140 GDG131140 FTK131140 FJO131140 EZS131140 EPW131140 EGA131140 DWE131140 DMI131140 DCM131140 CSQ131140 CIU131140 BYY131140 BPC131140 BFG131140 AVK131140 ALO131140 ABS131140 RW131140 IA131140 E131140 WUM65604 WKQ65604 WAU65604 VQY65604 VHC65604 UXG65604 UNK65604 UDO65604 TTS65604 TJW65604 TAA65604 SQE65604 SGI65604 RWM65604 RMQ65604 RCU65604 QSY65604 QJC65604 PZG65604 PPK65604 PFO65604 OVS65604 OLW65604 OCA65604 NSE65604 NII65604 MYM65604 MOQ65604 MEU65604 LUY65604 LLC65604 LBG65604 KRK65604 KHO65604 JXS65604 JNW65604 JEA65604 IUE65604 IKI65604 IAM65604 HQQ65604 HGU65604 GWY65604 GNC65604 GDG65604 FTK65604 FJO65604 EZS65604 EPW65604 EGA65604 DWE65604 DMI65604 DCM65604 CSQ65604 CIU65604 BYY65604 BPC65604 BFG65604 AVK65604 ALO65604 ABS65604 RW65604 IA65604 E65604 WUM42 WKQ42 WAU42 VQY42 VHC42 UXG42 UNK42 UDO42 TTS42 TJW42 TAA42 SQE42 SGI42 RWM42 RMQ42 RCU42 QSY42 QJC42 PZG42 PPK42 PFO42 OVS42 OLW42 OCA42 NSE42 NII42 MYM42 MOQ42 MEU42 LUY42 LLC42 LBG42 KRK42 KHO42 JXS42 JNW42 JEA42 IUE42 IKI42 IAM42 HQQ42 HGU42 GWY42 GNC42 GDG42 FTK42 FJO42 EZS42 EPW42 EGA42 DWE42 DMI42 DCM42 CSQ42 CIU42 BYY42 BPC42 BFG42 AVK42 ALO42 ABS42 RW42 IA42 WUM983096:WUM983097 WKQ983096:WKQ983097 WAU983096:WAU983097 VQY983096:VQY983097 VHC983096:VHC983097 UXG983096:UXG983097 UNK983096:UNK983097 UDO983096:UDO983097 TTS983096:TTS983097 TJW983096:TJW983097 TAA983096:TAA983097 SQE983096:SQE983097 SGI983096:SGI983097 RWM983096:RWM983097 RMQ983096:RMQ983097 RCU983096:RCU983097 QSY983096:QSY983097 QJC983096:QJC983097 PZG983096:PZG983097 PPK983096:PPK983097 PFO983096:PFO983097 OVS983096:OVS983097 OLW983096:OLW983097 OCA983096:OCA983097 NSE983096:NSE983097 NII983096:NII983097 MYM983096:MYM983097 MOQ983096:MOQ983097 MEU983096:MEU983097 LUY983096:LUY983097 LLC983096:LLC983097 LBG983096:LBG983097 KRK983096:KRK983097 KHO983096:KHO983097 JXS983096:JXS983097 JNW983096:JNW983097 JEA983096:JEA983097 IUE983096:IUE983097 IKI983096:IKI983097 IAM983096:IAM983097 HQQ983096:HQQ983097 HGU983096:HGU983097 GWY983096:GWY983097 GNC983096:GNC983097 GDG983096:GDG983097 FTK983096:FTK983097 FJO983096:FJO983097 EZS983096:EZS983097 EPW983096:EPW983097 EGA983096:EGA983097 DWE983096:DWE983097 DMI983096:DMI983097 DCM983096:DCM983097 CSQ983096:CSQ983097 CIU983096:CIU983097 BYY983096:BYY983097 BPC983096:BPC983097 BFG983096:BFG983097 AVK983096:AVK983097 ALO983096:ALO983097 ABS983096:ABS983097 RW983096:RW983097 IA983096:IA983097 E983096:E983097 WUM917560:WUM917561 WKQ917560:WKQ917561 WAU917560:WAU917561 VQY917560:VQY917561 VHC917560:VHC917561 UXG917560:UXG917561 UNK917560:UNK917561 UDO917560:UDO917561 TTS917560:TTS917561 TJW917560:TJW917561 TAA917560:TAA917561 SQE917560:SQE917561 SGI917560:SGI917561 RWM917560:RWM917561 RMQ917560:RMQ917561 RCU917560:RCU917561 QSY917560:QSY917561 QJC917560:QJC917561 PZG917560:PZG917561 PPK917560:PPK917561 PFO917560:PFO917561 OVS917560:OVS917561 OLW917560:OLW917561 OCA917560:OCA917561 NSE917560:NSE917561 NII917560:NII917561 MYM917560:MYM917561 MOQ917560:MOQ917561 MEU917560:MEU917561 LUY917560:LUY917561 LLC917560:LLC917561 LBG917560:LBG917561 KRK917560:KRK917561 KHO917560:KHO917561 JXS917560:JXS917561 JNW917560:JNW917561 JEA917560:JEA917561 IUE917560:IUE917561 IKI917560:IKI917561 IAM917560:IAM917561 HQQ917560:HQQ917561 HGU917560:HGU917561 GWY917560:GWY917561 GNC917560:GNC917561 GDG917560:GDG917561 FTK917560:FTK917561 FJO917560:FJO917561 EZS917560:EZS917561 EPW917560:EPW917561 EGA917560:EGA917561 DWE917560:DWE917561 DMI917560:DMI917561 DCM917560:DCM917561 CSQ917560:CSQ917561 CIU917560:CIU917561 BYY917560:BYY917561 BPC917560:BPC917561 BFG917560:BFG917561 AVK917560:AVK917561 ALO917560:ALO917561 ABS917560:ABS917561 RW917560:RW917561 IA917560:IA917561 E917560:E917561 WUM852024:WUM852025 WKQ852024:WKQ852025 WAU852024:WAU852025 VQY852024:VQY852025 VHC852024:VHC852025 UXG852024:UXG852025 UNK852024:UNK852025 UDO852024:UDO852025 TTS852024:TTS852025 TJW852024:TJW852025 TAA852024:TAA852025 SQE852024:SQE852025 SGI852024:SGI852025 RWM852024:RWM852025 RMQ852024:RMQ852025 RCU852024:RCU852025 QSY852024:QSY852025 QJC852024:QJC852025 PZG852024:PZG852025 PPK852024:PPK852025 PFO852024:PFO852025 OVS852024:OVS852025 OLW852024:OLW852025 OCA852024:OCA852025 NSE852024:NSE852025 NII852024:NII852025 MYM852024:MYM852025 MOQ852024:MOQ852025 MEU852024:MEU852025 LUY852024:LUY852025 LLC852024:LLC852025 LBG852024:LBG852025 KRK852024:KRK852025 KHO852024:KHO852025 JXS852024:JXS852025 JNW852024:JNW852025 JEA852024:JEA852025 IUE852024:IUE852025 IKI852024:IKI852025 IAM852024:IAM852025 HQQ852024:HQQ852025 HGU852024:HGU852025 GWY852024:GWY852025 GNC852024:GNC852025 GDG852024:GDG852025 FTK852024:FTK852025 FJO852024:FJO852025 EZS852024:EZS852025 EPW852024:EPW852025 EGA852024:EGA852025 DWE852024:DWE852025 DMI852024:DMI852025 DCM852024:DCM852025 CSQ852024:CSQ852025 CIU852024:CIU852025 BYY852024:BYY852025 BPC852024:BPC852025 BFG852024:BFG852025 AVK852024:AVK852025 ALO852024:ALO852025 ABS852024:ABS852025 RW852024:RW852025 IA852024:IA852025 E852024:E852025 WUM786488:WUM786489 WKQ786488:WKQ786489 WAU786488:WAU786489 VQY786488:VQY786489 VHC786488:VHC786489 UXG786488:UXG786489 UNK786488:UNK786489 UDO786488:UDO786489 TTS786488:TTS786489 TJW786488:TJW786489 TAA786488:TAA786489 SQE786488:SQE786489 SGI786488:SGI786489 RWM786488:RWM786489 RMQ786488:RMQ786489 RCU786488:RCU786489 QSY786488:QSY786489 QJC786488:QJC786489 PZG786488:PZG786489 PPK786488:PPK786489 PFO786488:PFO786489 OVS786488:OVS786489 OLW786488:OLW786489 OCA786488:OCA786489 NSE786488:NSE786489 NII786488:NII786489 MYM786488:MYM786489 MOQ786488:MOQ786489 MEU786488:MEU786489 LUY786488:LUY786489 LLC786488:LLC786489 LBG786488:LBG786489 KRK786488:KRK786489 KHO786488:KHO786489 JXS786488:JXS786489 JNW786488:JNW786489 JEA786488:JEA786489 IUE786488:IUE786489 IKI786488:IKI786489 IAM786488:IAM786489 HQQ786488:HQQ786489 HGU786488:HGU786489 GWY786488:GWY786489 GNC786488:GNC786489 GDG786488:GDG786489 FTK786488:FTK786489 FJO786488:FJO786489 EZS786488:EZS786489 EPW786488:EPW786489 EGA786488:EGA786489 DWE786488:DWE786489 DMI786488:DMI786489 DCM786488:DCM786489 CSQ786488:CSQ786489 CIU786488:CIU786489 BYY786488:BYY786489 BPC786488:BPC786489 BFG786488:BFG786489 AVK786488:AVK786489 ALO786488:ALO786489 ABS786488:ABS786489 RW786488:RW786489 IA786488:IA786489 E786488:E786489 WUM720952:WUM720953 WKQ720952:WKQ720953 WAU720952:WAU720953 VQY720952:VQY720953 VHC720952:VHC720953 UXG720952:UXG720953 UNK720952:UNK720953 UDO720952:UDO720953 TTS720952:TTS720953 TJW720952:TJW720953 TAA720952:TAA720953 SQE720952:SQE720953 SGI720952:SGI720953 RWM720952:RWM720953 RMQ720952:RMQ720953 RCU720952:RCU720953 QSY720952:QSY720953 QJC720952:QJC720953 PZG720952:PZG720953 PPK720952:PPK720953 PFO720952:PFO720953 OVS720952:OVS720953 OLW720952:OLW720953 OCA720952:OCA720953 NSE720952:NSE720953 NII720952:NII720953 MYM720952:MYM720953 MOQ720952:MOQ720953 MEU720952:MEU720953 LUY720952:LUY720953 LLC720952:LLC720953 LBG720952:LBG720953 KRK720952:KRK720953 KHO720952:KHO720953 JXS720952:JXS720953 JNW720952:JNW720953 JEA720952:JEA720953 IUE720952:IUE720953 IKI720952:IKI720953 IAM720952:IAM720953 HQQ720952:HQQ720953 HGU720952:HGU720953 GWY720952:GWY720953 GNC720952:GNC720953 GDG720952:GDG720953 FTK720952:FTK720953 FJO720952:FJO720953 EZS720952:EZS720953 EPW720952:EPW720953 EGA720952:EGA720953 DWE720952:DWE720953 DMI720952:DMI720953 DCM720952:DCM720953 CSQ720952:CSQ720953 CIU720952:CIU720953 BYY720952:BYY720953 BPC720952:BPC720953 BFG720952:BFG720953 AVK720952:AVK720953 ALO720952:ALO720953 ABS720952:ABS720953 RW720952:RW720953 IA720952:IA720953 E720952:E720953 WUM655416:WUM655417 WKQ655416:WKQ655417 WAU655416:WAU655417 VQY655416:VQY655417 VHC655416:VHC655417 UXG655416:UXG655417 UNK655416:UNK655417 UDO655416:UDO655417 TTS655416:TTS655417 TJW655416:TJW655417 TAA655416:TAA655417 SQE655416:SQE655417 SGI655416:SGI655417 RWM655416:RWM655417 RMQ655416:RMQ655417 RCU655416:RCU655417 QSY655416:QSY655417 QJC655416:QJC655417 PZG655416:PZG655417 PPK655416:PPK655417 PFO655416:PFO655417 OVS655416:OVS655417 OLW655416:OLW655417 OCA655416:OCA655417 NSE655416:NSE655417 NII655416:NII655417 MYM655416:MYM655417 MOQ655416:MOQ655417 MEU655416:MEU655417 LUY655416:LUY655417 LLC655416:LLC655417 LBG655416:LBG655417 KRK655416:KRK655417 KHO655416:KHO655417 JXS655416:JXS655417 JNW655416:JNW655417 JEA655416:JEA655417 IUE655416:IUE655417 IKI655416:IKI655417 IAM655416:IAM655417 HQQ655416:HQQ655417 HGU655416:HGU655417 GWY655416:GWY655417 GNC655416:GNC655417 GDG655416:GDG655417 FTK655416:FTK655417 FJO655416:FJO655417 EZS655416:EZS655417 EPW655416:EPW655417 EGA655416:EGA655417 DWE655416:DWE655417 DMI655416:DMI655417 DCM655416:DCM655417 CSQ655416:CSQ655417 CIU655416:CIU655417 BYY655416:BYY655417 BPC655416:BPC655417 BFG655416:BFG655417 AVK655416:AVK655417 ALO655416:ALO655417 ABS655416:ABS655417 RW655416:RW655417 IA655416:IA655417 E655416:E655417 WUM589880:WUM589881 WKQ589880:WKQ589881 WAU589880:WAU589881 VQY589880:VQY589881 VHC589880:VHC589881 UXG589880:UXG589881 UNK589880:UNK589881 UDO589880:UDO589881 TTS589880:TTS589881 TJW589880:TJW589881 TAA589880:TAA589881 SQE589880:SQE589881 SGI589880:SGI589881 RWM589880:RWM589881 RMQ589880:RMQ589881 RCU589880:RCU589881 QSY589880:QSY589881 QJC589880:QJC589881 PZG589880:PZG589881 PPK589880:PPK589881 PFO589880:PFO589881 OVS589880:OVS589881 OLW589880:OLW589881 OCA589880:OCA589881 NSE589880:NSE589881 NII589880:NII589881 MYM589880:MYM589881 MOQ589880:MOQ589881 MEU589880:MEU589881 LUY589880:LUY589881 LLC589880:LLC589881 LBG589880:LBG589881 KRK589880:KRK589881 KHO589880:KHO589881 JXS589880:JXS589881 JNW589880:JNW589881 JEA589880:JEA589881 IUE589880:IUE589881 IKI589880:IKI589881 IAM589880:IAM589881 HQQ589880:HQQ589881 HGU589880:HGU589881 GWY589880:GWY589881 GNC589880:GNC589881 GDG589880:GDG589881 FTK589880:FTK589881 FJO589880:FJO589881 EZS589880:EZS589881 EPW589880:EPW589881 EGA589880:EGA589881 DWE589880:DWE589881 DMI589880:DMI589881 DCM589880:DCM589881 CSQ589880:CSQ589881 CIU589880:CIU589881 BYY589880:BYY589881 BPC589880:BPC589881 BFG589880:BFG589881 AVK589880:AVK589881 ALO589880:ALO589881 ABS589880:ABS589881 RW589880:RW589881 IA589880:IA589881 E589880:E589881 WUM524344:WUM524345 WKQ524344:WKQ524345 WAU524344:WAU524345 VQY524344:VQY524345 VHC524344:VHC524345 UXG524344:UXG524345 UNK524344:UNK524345 UDO524344:UDO524345 TTS524344:TTS524345 TJW524344:TJW524345 TAA524344:TAA524345 SQE524344:SQE524345 SGI524344:SGI524345 RWM524344:RWM524345 RMQ524344:RMQ524345 RCU524344:RCU524345 QSY524344:QSY524345 QJC524344:QJC524345 PZG524344:PZG524345 PPK524344:PPK524345 PFO524344:PFO524345 OVS524344:OVS524345 OLW524344:OLW524345 OCA524344:OCA524345 NSE524344:NSE524345 NII524344:NII524345 MYM524344:MYM524345 MOQ524344:MOQ524345 MEU524344:MEU524345 LUY524344:LUY524345 LLC524344:LLC524345 LBG524344:LBG524345 KRK524344:KRK524345 KHO524344:KHO524345 JXS524344:JXS524345 JNW524344:JNW524345 JEA524344:JEA524345 IUE524344:IUE524345 IKI524344:IKI524345 IAM524344:IAM524345 HQQ524344:HQQ524345 HGU524344:HGU524345 GWY524344:GWY524345 GNC524344:GNC524345 GDG524344:GDG524345 FTK524344:FTK524345 FJO524344:FJO524345 EZS524344:EZS524345 EPW524344:EPW524345 EGA524344:EGA524345 DWE524344:DWE524345 DMI524344:DMI524345 DCM524344:DCM524345 CSQ524344:CSQ524345 CIU524344:CIU524345 BYY524344:BYY524345 BPC524344:BPC524345 BFG524344:BFG524345 AVK524344:AVK524345 ALO524344:ALO524345 ABS524344:ABS524345 RW524344:RW524345 IA524344:IA524345 E524344:E524345 WUM458808:WUM458809 WKQ458808:WKQ458809 WAU458808:WAU458809 VQY458808:VQY458809 VHC458808:VHC458809 UXG458808:UXG458809 UNK458808:UNK458809 UDO458808:UDO458809 TTS458808:TTS458809 TJW458808:TJW458809 TAA458808:TAA458809 SQE458808:SQE458809 SGI458808:SGI458809 RWM458808:RWM458809 RMQ458808:RMQ458809 RCU458808:RCU458809 QSY458808:QSY458809 QJC458808:QJC458809 PZG458808:PZG458809 PPK458808:PPK458809 PFO458808:PFO458809 OVS458808:OVS458809 OLW458808:OLW458809 OCA458808:OCA458809 NSE458808:NSE458809 NII458808:NII458809 MYM458808:MYM458809 MOQ458808:MOQ458809 MEU458808:MEU458809 LUY458808:LUY458809 LLC458808:LLC458809 LBG458808:LBG458809 KRK458808:KRK458809 KHO458808:KHO458809 JXS458808:JXS458809 JNW458808:JNW458809 JEA458808:JEA458809 IUE458808:IUE458809 IKI458808:IKI458809 IAM458808:IAM458809 HQQ458808:HQQ458809 HGU458808:HGU458809 GWY458808:GWY458809 GNC458808:GNC458809 GDG458808:GDG458809 FTK458808:FTK458809 FJO458808:FJO458809 EZS458808:EZS458809 EPW458808:EPW458809 EGA458808:EGA458809 DWE458808:DWE458809 DMI458808:DMI458809 DCM458808:DCM458809 CSQ458808:CSQ458809 CIU458808:CIU458809 BYY458808:BYY458809 BPC458808:BPC458809 BFG458808:BFG458809 AVK458808:AVK458809 ALO458808:ALO458809 ABS458808:ABS458809 RW458808:RW458809 IA458808:IA458809 E458808:E458809 WUM393272:WUM393273 WKQ393272:WKQ393273 WAU393272:WAU393273 VQY393272:VQY393273 VHC393272:VHC393273 UXG393272:UXG393273 UNK393272:UNK393273 UDO393272:UDO393273 TTS393272:TTS393273 TJW393272:TJW393273 TAA393272:TAA393273 SQE393272:SQE393273 SGI393272:SGI393273 RWM393272:RWM393273 RMQ393272:RMQ393273 RCU393272:RCU393273 QSY393272:QSY393273 QJC393272:QJC393273 PZG393272:PZG393273 PPK393272:PPK393273 PFO393272:PFO393273 OVS393272:OVS393273 OLW393272:OLW393273 OCA393272:OCA393273 NSE393272:NSE393273 NII393272:NII393273 MYM393272:MYM393273 MOQ393272:MOQ393273 MEU393272:MEU393273 LUY393272:LUY393273 LLC393272:LLC393273 LBG393272:LBG393273 KRK393272:KRK393273 KHO393272:KHO393273 JXS393272:JXS393273 JNW393272:JNW393273 JEA393272:JEA393273 IUE393272:IUE393273 IKI393272:IKI393273 IAM393272:IAM393273 HQQ393272:HQQ393273 HGU393272:HGU393273 GWY393272:GWY393273 GNC393272:GNC393273 GDG393272:GDG393273 FTK393272:FTK393273 FJO393272:FJO393273 EZS393272:EZS393273 EPW393272:EPW393273 EGA393272:EGA393273 DWE393272:DWE393273 DMI393272:DMI393273 DCM393272:DCM393273 CSQ393272:CSQ393273 CIU393272:CIU393273 BYY393272:BYY393273 BPC393272:BPC393273 BFG393272:BFG393273 AVK393272:AVK393273 ALO393272:ALO393273 ABS393272:ABS393273 RW393272:RW393273 IA393272:IA393273 E393272:E393273 WUM327736:WUM327737 WKQ327736:WKQ327737 WAU327736:WAU327737 VQY327736:VQY327737 VHC327736:VHC327737 UXG327736:UXG327737 UNK327736:UNK327737 UDO327736:UDO327737 TTS327736:TTS327737 TJW327736:TJW327737 TAA327736:TAA327737 SQE327736:SQE327737 SGI327736:SGI327737 RWM327736:RWM327737 RMQ327736:RMQ327737 RCU327736:RCU327737 QSY327736:QSY327737 QJC327736:QJC327737 PZG327736:PZG327737 PPK327736:PPK327737 PFO327736:PFO327737 OVS327736:OVS327737 OLW327736:OLW327737 OCA327736:OCA327737 NSE327736:NSE327737 NII327736:NII327737 MYM327736:MYM327737 MOQ327736:MOQ327737 MEU327736:MEU327737 LUY327736:LUY327737 LLC327736:LLC327737 LBG327736:LBG327737 KRK327736:KRK327737 KHO327736:KHO327737 JXS327736:JXS327737 JNW327736:JNW327737 JEA327736:JEA327737 IUE327736:IUE327737 IKI327736:IKI327737 IAM327736:IAM327737 HQQ327736:HQQ327737 HGU327736:HGU327737 GWY327736:GWY327737 GNC327736:GNC327737 GDG327736:GDG327737 FTK327736:FTK327737 FJO327736:FJO327737 EZS327736:EZS327737 EPW327736:EPW327737 EGA327736:EGA327737 DWE327736:DWE327737 DMI327736:DMI327737 DCM327736:DCM327737 CSQ327736:CSQ327737 CIU327736:CIU327737 BYY327736:BYY327737 BPC327736:BPC327737 BFG327736:BFG327737 AVK327736:AVK327737 ALO327736:ALO327737 ABS327736:ABS327737 RW327736:RW327737 IA327736:IA327737 E327736:E327737 WUM262200:WUM262201 WKQ262200:WKQ262201 WAU262200:WAU262201 VQY262200:VQY262201 VHC262200:VHC262201 UXG262200:UXG262201 UNK262200:UNK262201 UDO262200:UDO262201 TTS262200:TTS262201 TJW262200:TJW262201 TAA262200:TAA262201 SQE262200:SQE262201 SGI262200:SGI262201 RWM262200:RWM262201 RMQ262200:RMQ262201 RCU262200:RCU262201 QSY262200:QSY262201 QJC262200:QJC262201 PZG262200:PZG262201 PPK262200:PPK262201 PFO262200:PFO262201 OVS262200:OVS262201 OLW262200:OLW262201 OCA262200:OCA262201 NSE262200:NSE262201 NII262200:NII262201 MYM262200:MYM262201 MOQ262200:MOQ262201 MEU262200:MEU262201 LUY262200:LUY262201 LLC262200:LLC262201 LBG262200:LBG262201 KRK262200:KRK262201 KHO262200:KHO262201 JXS262200:JXS262201 JNW262200:JNW262201 JEA262200:JEA262201 IUE262200:IUE262201 IKI262200:IKI262201 IAM262200:IAM262201 HQQ262200:HQQ262201 HGU262200:HGU262201 GWY262200:GWY262201 GNC262200:GNC262201 GDG262200:GDG262201 FTK262200:FTK262201 FJO262200:FJO262201 EZS262200:EZS262201 EPW262200:EPW262201 EGA262200:EGA262201 DWE262200:DWE262201 DMI262200:DMI262201 DCM262200:DCM262201 CSQ262200:CSQ262201 CIU262200:CIU262201 BYY262200:BYY262201 BPC262200:BPC262201 BFG262200:BFG262201 AVK262200:AVK262201 ALO262200:ALO262201 ABS262200:ABS262201 RW262200:RW262201 IA262200:IA262201 E262200:E262201 WUM196664:WUM196665 WKQ196664:WKQ196665 WAU196664:WAU196665 VQY196664:VQY196665 VHC196664:VHC196665 UXG196664:UXG196665 UNK196664:UNK196665 UDO196664:UDO196665 TTS196664:TTS196665 TJW196664:TJW196665 TAA196664:TAA196665 SQE196664:SQE196665 SGI196664:SGI196665 RWM196664:RWM196665 RMQ196664:RMQ196665 RCU196664:RCU196665 QSY196664:QSY196665 QJC196664:QJC196665 PZG196664:PZG196665 PPK196664:PPK196665 PFO196664:PFO196665 OVS196664:OVS196665 OLW196664:OLW196665 OCA196664:OCA196665 NSE196664:NSE196665 NII196664:NII196665 MYM196664:MYM196665 MOQ196664:MOQ196665 MEU196664:MEU196665 LUY196664:LUY196665 LLC196664:LLC196665 LBG196664:LBG196665 KRK196664:KRK196665 KHO196664:KHO196665 JXS196664:JXS196665 JNW196664:JNW196665 JEA196664:JEA196665 IUE196664:IUE196665 IKI196664:IKI196665 IAM196664:IAM196665 HQQ196664:HQQ196665 HGU196664:HGU196665 GWY196664:GWY196665 GNC196664:GNC196665 GDG196664:GDG196665 FTK196664:FTK196665 FJO196664:FJO196665 EZS196664:EZS196665 EPW196664:EPW196665 EGA196664:EGA196665 DWE196664:DWE196665 DMI196664:DMI196665 DCM196664:DCM196665 CSQ196664:CSQ196665 CIU196664:CIU196665 BYY196664:BYY196665 BPC196664:BPC196665 BFG196664:BFG196665 AVK196664:AVK196665 ALO196664:ALO196665 ABS196664:ABS196665 RW196664:RW196665 IA196664:IA196665 E196664:E196665 WUM131128:WUM131129 WKQ131128:WKQ131129 WAU131128:WAU131129 VQY131128:VQY131129 VHC131128:VHC131129 UXG131128:UXG131129 UNK131128:UNK131129 UDO131128:UDO131129 TTS131128:TTS131129 TJW131128:TJW131129 TAA131128:TAA131129 SQE131128:SQE131129 SGI131128:SGI131129 RWM131128:RWM131129 RMQ131128:RMQ131129 RCU131128:RCU131129 QSY131128:QSY131129 QJC131128:QJC131129 PZG131128:PZG131129 PPK131128:PPK131129 PFO131128:PFO131129 OVS131128:OVS131129 OLW131128:OLW131129 OCA131128:OCA131129 NSE131128:NSE131129 NII131128:NII131129 MYM131128:MYM131129 MOQ131128:MOQ131129 MEU131128:MEU131129 LUY131128:LUY131129 LLC131128:LLC131129 LBG131128:LBG131129 KRK131128:KRK131129 KHO131128:KHO131129 JXS131128:JXS131129 JNW131128:JNW131129 JEA131128:JEA131129 IUE131128:IUE131129 IKI131128:IKI131129 IAM131128:IAM131129 HQQ131128:HQQ131129 HGU131128:HGU131129 GWY131128:GWY131129 GNC131128:GNC131129 GDG131128:GDG131129 FTK131128:FTK131129 FJO131128:FJO131129 EZS131128:EZS131129 EPW131128:EPW131129 EGA131128:EGA131129 DWE131128:DWE131129 DMI131128:DMI131129 DCM131128:DCM131129 CSQ131128:CSQ131129 CIU131128:CIU131129 BYY131128:BYY131129 BPC131128:BPC131129 BFG131128:BFG131129 AVK131128:AVK131129 ALO131128:ALO131129 ABS131128:ABS131129 RW131128:RW131129 IA131128:IA131129 E131128:E131129 WUM65592:WUM65593 WKQ65592:WKQ65593 WAU65592:WAU65593 VQY65592:VQY65593 VHC65592:VHC65593 UXG65592:UXG65593 UNK65592:UNK65593 UDO65592:UDO65593 TTS65592:TTS65593 TJW65592:TJW65593 TAA65592:TAA65593 SQE65592:SQE65593 SGI65592:SGI65593 RWM65592:RWM65593 RMQ65592:RMQ65593 RCU65592:RCU65593 QSY65592:QSY65593 QJC65592:QJC65593 PZG65592:PZG65593 PPK65592:PPK65593 PFO65592:PFO65593 OVS65592:OVS65593 OLW65592:OLW65593 OCA65592:OCA65593 NSE65592:NSE65593 NII65592:NII65593 MYM65592:MYM65593 MOQ65592:MOQ65593 MEU65592:MEU65593 LUY65592:LUY65593 LLC65592:LLC65593 LBG65592:LBG65593 KRK65592:KRK65593 KHO65592:KHO65593 JXS65592:JXS65593 JNW65592:JNW65593 JEA65592:JEA65593 IUE65592:IUE65593 IKI65592:IKI65593 IAM65592:IAM65593 HQQ65592:HQQ65593 HGU65592:HGU65593 GWY65592:GWY65593 GNC65592:GNC65593 GDG65592:GDG65593 FTK65592:FTK65593 FJO65592:FJO65593 EZS65592:EZS65593 EPW65592:EPW65593 EGA65592:EGA65593 DWE65592:DWE65593 DMI65592:DMI65593 DCM65592:DCM65593 CSQ65592:CSQ65593 CIU65592:CIU65593 BYY65592:BYY65593 BPC65592:BPC65593 BFG65592:BFG65593 AVK65592:AVK65593 ALO65592:ALO65593 ABS65592:ABS65593 RW65592:RW65593 IA65592:IA65593" xr:uid="{00000000-0002-0000-0A00-000003000000}">
      <formula1>$O$6:$O$8</formula1>
    </dataValidation>
    <dataValidation type="list" allowBlank="1" showInputMessage="1" showErrorMessage="1" sqref="RW44 ABS44 ALO44 AVK44 BFG44 BPC44 BYY44 CIU44 CSQ44 DCM44 DMI44 DWE44 EGA44 EPW44 EZS44 FJO44 FTK44 GDG44 GNC44 GWY44 HGU44 HQQ44 IAM44 IKI44 IUE44 JEA44 JNW44 JXS44 KHO44 KRK44 LBG44 LLC44 LUY44 MEU44 MOQ44 MYM44 NII44 NSE44 OCA44 OLW44 OVS44 PFO44 PPK44 PZG44 QJC44 QSY44 RCU44 RMQ44 RWM44 SGI44 SQE44 TAA44 TJW44 TTS44 UDO44 UNK44 UXG44 VHC44 VQY44 WAU44 WKQ44 WUM44 E65608:E65610 IA65608:IA65610 RW65608:RW65610 ABS65608:ABS65610 ALO65608:ALO65610 AVK65608:AVK65610 BFG65608:BFG65610 BPC65608:BPC65610 BYY65608:BYY65610 CIU65608:CIU65610 CSQ65608:CSQ65610 DCM65608:DCM65610 DMI65608:DMI65610 DWE65608:DWE65610 EGA65608:EGA65610 EPW65608:EPW65610 EZS65608:EZS65610 FJO65608:FJO65610 FTK65608:FTK65610 GDG65608:GDG65610 GNC65608:GNC65610 GWY65608:GWY65610 HGU65608:HGU65610 HQQ65608:HQQ65610 IAM65608:IAM65610 IKI65608:IKI65610 IUE65608:IUE65610 JEA65608:JEA65610 JNW65608:JNW65610 JXS65608:JXS65610 KHO65608:KHO65610 KRK65608:KRK65610 LBG65608:LBG65610 LLC65608:LLC65610 LUY65608:LUY65610 MEU65608:MEU65610 MOQ65608:MOQ65610 MYM65608:MYM65610 NII65608:NII65610 NSE65608:NSE65610 OCA65608:OCA65610 OLW65608:OLW65610 OVS65608:OVS65610 PFO65608:PFO65610 PPK65608:PPK65610 PZG65608:PZG65610 QJC65608:QJC65610 QSY65608:QSY65610 RCU65608:RCU65610 RMQ65608:RMQ65610 RWM65608:RWM65610 SGI65608:SGI65610 SQE65608:SQE65610 TAA65608:TAA65610 TJW65608:TJW65610 TTS65608:TTS65610 UDO65608:UDO65610 UNK65608:UNK65610 UXG65608:UXG65610 VHC65608:VHC65610 VQY65608:VQY65610 WAU65608:WAU65610 WKQ65608:WKQ65610 WUM65608:WUM65610 E131144:E131146 IA131144:IA131146 RW131144:RW131146 ABS131144:ABS131146 ALO131144:ALO131146 AVK131144:AVK131146 BFG131144:BFG131146 BPC131144:BPC131146 BYY131144:BYY131146 CIU131144:CIU131146 CSQ131144:CSQ131146 DCM131144:DCM131146 DMI131144:DMI131146 DWE131144:DWE131146 EGA131144:EGA131146 EPW131144:EPW131146 EZS131144:EZS131146 FJO131144:FJO131146 FTK131144:FTK131146 GDG131144:GDG131146 GNC131144:GNC131146 GWY131144:GWY131146 HGU131144:HGU131146 HQQ131144:HQQ131146 IAM131144:IAM131146 IKI131144:IKI131146 IUE131144:IUE131146 JEA131144:JEA131146 JNW131144:JNW131146 JXS131144:JXS131146 KHO131144:KHO131146 KRK131144:KRK131146 LBG131144:LBG131146 LLC131144:LLC131146 LUY131144:LUY131146 MEU131144:MEU131146 MOQ131144:MOQ131146 MYM131144:MYM131146 NII131144:NII131146 NSE131144:NSE131146 OCA131144:OCA131146 OLW131144:OLW131146 OVS131144:OVS131146 PFO131144:PFO131146 PPK131144:PPK131146 PZG131144:PZG131146 QJC131144:QJC131146 QSY131144:QSY131146 RCU131144:RCU131146 RMQ131144:RMQ131146 RWM131144:RWM131146 SGI131144:SGI131146 SQE131144:SQE131146 TAA131144:TAA131146 TJW131144:TJW131146 TTS131144:TTS131146 UDO131144:UDO131146 UNK131144:UNK131146 UXG131144:UXG131146 VHC131144:VHC131146 VQY131144:VQY131146 WAU131144:WAU131146 WKQ131144:WKQ131146 WUM131144:WUM131146 E196680:E196682 IA196680:IA196682 RW196680:RW196682 ABS196680:ABS196682 ALO196680:ALO196682 AVK196680:AVK196682 BFG196680:BFG196682 BPC196680:BPC196682 BYY196680:BYY196682 CIU196680:CIU196682 CSQ196680:CSQ196682 DCM196680:DCM196682 DMI196680:DMI196682 DWE196680:DWE196682 EGA196680:EGA196682 EPW196680:EPW196682 EZS196680:EZS196682 FJO196680:FJO196682 FTK196680:FTK196682 GDG196680:GDG196682 GNC196680:GNC196682 GWY196680:GWY196682 HGU196680:HGU196682 HQQ196680:HQQ196682 IAM196680:IAM196682 IKI196680:IKI196682 IUE196680:IUE196682 JEA196680:JEA196682 JNW196680:JNW196682 JXS196680:JXS196682 KHO196680:KHO196682 KRK196680:KRK196682 LBG196680:LBG196682 LLC196680:LLC196682 LUY196680:LUY196682 MEU196680:MEU196682 MOQ196680:MOQ196682 MYM196680:MYM196682 NII196680:NII196682 NSE196680:NSE196682 OCA196680:OCA196682 OLW196680:OLW196682 OVS196680:OVS196682 PFO196680:PFO196682 PPK196680:PPK196682 PZG196680:PZG196682 QJC196680:QJC196682 QSY196680:QSY196682 RCU196680:RCU196682 RMQ196680:RMQ196682 RWM196680:RWM196682 SGI196680:SGI196682 SQE196680:SQE196682 TAA196680:TAA196682 TJW196680:TJW196682 TTS196680:TTS196682 UDO196680:UDO196682 UNK196680:UNK196682 UXG196680:UXG196682 VHC196680:VHC196682 VQY196680:VQY196682 WAU196680:WAU196682 WKQ196680:WKQ196682 WUM196680:WUM196682 E262216:E262218 IA262216:IA262218 RW262216:RW262218 ABS262216:ABS262218 ALO262216:ALO262218 AVK262216:AVK262218 BFG262216:BFG262218 BPC262216:BPC262218 BYY262216:BYY262218 CIU262216:CIU262218 CSQ262216:CSQ262218 DCM262216:DCM262218 DMI262216:DMI262218 DWE262216:DWE262218 EGA262216:EGA262218 EPW262216:EPW262218 EZS262216:EZS262218 FJO262216:FJO262218 FTK262216:FTK262218 GDG262216:GDG262218 GNC262216:GNC262218 GWY262216:GWY262218 HGU262216:HGU262218 HQQ262216:HQQ262218 IAM262216:IAM262218 IKI262216:IKI262218 IUE262216:IUE262218 JEA262216:JEA262218 JNW262216:JNW262218 JXS262216:JXS262218 KHO262216:KHO262218 KRK262216:KRK262218 LBG262216:LBG262218 LLC262216:LLC262218 LUY262216:LUY262218 MEU262216:MEU262218 MOQ262216:MOQ262218 MYM262216:MYM262218 NII262216:NII262218 NSE262216:NSE262218 OCA262216:OCA262218 OLW262216:OLW262218 OVS262216:OVS262218 PFO262216:PFO262218 PPK262216:PPK262218 PZG262216:PZG262218 QJC262216:QJC262218 QSY262216:QSY262218 RCU262216:RCU262218 RMQ262216:RMQ262218 RWM262216:RWM262218 SGI262216:SGI262218 SQE262216:SQE262218 TAA262216:TAA262218 TJW262216:TJW262218 TTS262216:TTS262218 UDO262216:UDO262218 UNK262216:UNK262218 UXG262216:UXG262218 VHC262216:VHC262218 VQY262216:VQY262218 WAU262216:WAU262218 WKQ262216:WKQ262218 WUM262216:WUM262218 E327752:E327754 IA327752:IA327754 RW327752:RW327754 ABS327752:ABS327754 ALO327752:ALO327754 AVK327752:AVK327754 BFG327752:BFG327754 BPC327752:BPC327754 BYY327752:BYY327754 CIU327752:CIU327754 CSQ327752:CSQ327754 DCM327752:DCM327754 DMI327752:DMI327754 DWE327752:DWE327754 EGA327752:EGA327754 EPW327752:EPW327754 EZS327752:EZS327754 FJO327752:FJO327754 FTK327752:FTK327754 GDG327752:GDG327754 GNC327752:GNC327754 GWY327752:GWY327754 HGU327752:HGU327754 HQQ327752:HQQ327754 IAM327752:IAM327754 IKI327752:IKI327754 IUE327752:IUE327754 JEA327752:JEA327754 JNW327752:JNW327754 JXS327752:JXS327754 KHO327752:KHO327754 KRK327752:KRK327754 LBG327752:LBG327754 LLC327752:LLC327754 LUY327752:LUY327754 MEU327752:MEU327754 MOQ327752:MOQ327754 MYM327752:MYM327754 NII327752:NII327754 NSE327752:NSE327754 OCA327752:OCA327754 OLW327752:OLW327754 OVS327752:OVS327754 PFO327752:PFO327754 PPK327752:PPK327754 PZG327752:PZG327754 QJC327752:QJC327754 QSY327752:QSY327754 RCU327752:RCU327754 RMQ327752:RMQ327754 RWM327752:RWM327754 SGI327752:SGI327754 SQE327752:SQE327754 TAA327752:TAA327754 TJW327752:TJW327754 TTS327752:TTS327754 UDO327752:UDO327754 UNK327752:UNK327754 UXG327752:UXG327754 VHC327752:VHC327754 VQY327752:VQY327754 WAU327752:WAU327754 WKQ327752:WKQ327754 WUM327752:WUM327754 E393288:E393290 IA393288:IA393290 RW393288:RW393290 ABS393288:ABS393290 ALO393288:ALO393290 AVK393288:AVK393290 BFG393288:BFG393290 BPC393288:BPC393290 BYY393288:BYY393290 CIU393288:CIU393290 CSQ393288:CSQ393290 DCM393288:DCM393290 DMI393288:DMI393290 DWE393288:DWE393290 EGA393288:EGA393290 EPW393288:EPW393290 EZS393288:EZS393290 FJO393288:FJO393290 FTK393288:FTK393290 GDG393288:GDG393290 GNC393288:GNC393290 GWY393288:GWY393290 HGU393288:HGU393290 HQQ393288:HQQ393290 IAM393288:IAM393290 IKI393288:IKI393290 IUE393288:IUE393290 JEA393288:JEA393290 JNW393288:JNW393290 JXS393288:JXS393290 KHO393288:KHO393290 KRK393288:KRK393290 LBG393288:LBG393290 LLC393288:LLC393290 LUY393288:LUY393290 MEU393288:MEU393290 MOQ393288:MOQ393290 MYM393288:MYM393290 NII393288:NII393290 NSE393288:NSE393290 OCA393288:OCA393290 OLW393288:OLW393290 OVS393288:OVS393290 PFO393288:PFO393290 PPK393288:PPK393290 PZG393288:PZG393290 QJC393288:QJC393290 QSY393288:QSY393290 RCU393288:RCU393290 RMQ393288:RMQ393290 RWM393288:RWM393290 SGI393288:SGI393290 SQE393288:SQE393290 TAA393288:TAA393290 TJW393288:TJW393290 TTS393288:TTS393290 UDO393288:UDO393290 UNK393288:UNK393290 UXG393288:UXG393290 VHC393288:VHC393290 VQY393288:VQY393290 WAU393288:WAU393290 WKQ393288:WKQ393290 WUM393288:WUM393290 E458824:E458826 IA458824:IA458826 RW458824:RW458826 ABS458824:ABS458826 ALO458824:ALO458826 AVK458824:AVK458826 BFG458824:BFG458826 BPC458824:BPC458826 BYY458824:BYY458826 CIU458824:CIU458826 CSQ458824:CSQ458826 DCM458824:DCM458826 DMI458824:DMI458826 DWE458824:DWE458826 EGA458824:EGA458826 EPW458824:EPW458826 EZS458824:EZS458826 FJO458824:FJO458826 FTK458824:FTK458826 GDG458824:GDG458826 GNC458824:GNC458826 GWY458824:GWY458826 HGU458824:HGU458826 HQQ458824:HQQ458826 IAM458824:IAM458826 IKI458824:IKI458826 IUE458824:IUE458826 JEA458824:JEA458826 JNW458824:JNW458826 JXS458824:JXS458826 KHO458824:KHO458826 KRK458824:KRK458826 LBG458824:LBG458826 LLC458824:LLC458826 LUY458824:LUY458826 MEU458824:MEU458826 MOQ458824:MOQ458826 MYM458824:MYM458826 NII458824:NII458826 NSE458824:NSE458826 OCA458824:OCA458826 OLW458824:OLW458826 OVS458824:OVS458826 PFO458824:PFO458826 PPK458824:PPK458826 PZG458824:PZG458826 QJC458824:QJC458826 QSY458824:QSY458826 RCU458824:RCU458826 RMQ458824:RMQ458826 RWM458824:RWM458826 SGI458824:SGI458826 SQE458824:SQE458826 TAA458824:TAA458826 TJW458824:TJW458826 TTS458824:TTS458826 UDO458824:UDO458826 UNK458824:UNK458826 UXG458824:UXG458826 VHC458824:VHC458826 VQY458824:VQY458826 WAU458824:WAU458826 WKQ458824:WKQ458826 WUM458824:WUM458826 E524360:E524362 IA524360:IA524362 RW524360:RW524362 ABS524360:ABS524362 ALO524360:ALO524362 AVK524360:AVK524362 BFG524360:BFG524362 BPC524360:BPC524362 BYY524360:BYY524362 CIU524360:CIU524362 CSQ524360:CSQ524362 DCM524360:DCM524362 DMI524360:DMI524362 DWE524360:DWE524362 EGA524360:EGA524362 EPW524360:EPW524362 EZS524360:EZS524362 FJO524360:FJO524362 FTK524360:FTK524362 GDG524360:GDG524362 GNC524360:GNC524362 GWY524360:GWY524362 HGU524360:HGU524362 HQQ524360:HQQ524362 IAM524360:IAM524362 IKI524360:IKI524362 IUE524360:IUE524362 JEA524360:JEA524362 JNW524360:JNW524362 JXS524360:JXS524362 KHO524360:KHO524362 KRK524360:KRK524362 LBG524360:LBG524362 LLC524360:LLC524362 LUY524360:LUY524362 MEU524360:MEU524362 MOQ524360:MOQ524362 MYM524360:MYM524362 NII524360:NII524362 NSE524360:NSE524362 OCA524360:OCA524362 OLW524360:OLW524362 OVS524360:OVS524362 PFO524360:PFO524362 PPK524360:PPK524362 PZG524360:PZG524362 QJC524360:QJC524362 QSY524360:QSY524362 RCU524360:RCU524362 RMQ524360:RMQ524362 RWM524360:RWM524362 SGI524360:SGI524362 SQE524360:SQE524362 TAA524360:TAA524362 TJW524360:TJW524362 TTS524360:TTS524362 UDO524360:UDO524362 UNK524360:UNK524362 UXG524360:UXG524362 VHC524360:VHC524362 VQY524360:VQY524362 WAU524360:WAU524362 WKQ524360:WKQ524362 WUM524360:WUM524362 E589896:E589898 IA589896:IA589898 RW589896:RW589898 ABS589896:ABS589898 ALO589896:ALO589898 AVK589896:AVK589898 BFG589896:BFG589898 BPC589896:BPC589898 BYY589896:BYY589898 CIU589896:CIU589898 CSQ589896:CSQ589898 DCM589896:DCM589898 DMI589896:DMI589898 DWE589896:DWE589898 EGA589896:EGA589898 EPW589896:EPW589898 EZS589896:EZS589898 FJO589896:FJO589898 FTK589896:FTK589898 GDG589896:GDG589898 GNC589896:GNC589898 GWY589896:GWY589898 HGU589896:HGU589898 HQQ589896:HQQ589898 IAM589896:IAM589898 IKI589896:IKI589898 IUE589896:IUE589898 JEA589896:JEA589898 JNW589896:JNW589898 JXS589896:JXS589898 KHO589896:KHO589898 KRK589896:KRK589898 LBG589896:LBG589898 LLC589896:LLC589898 LUY589896:LUY589898 MEU589896:MEU589898 MOQ589896:MOQ589898 MYM589896:MYM589898 NII589896:NII589898 NSE589896:NSE589898 OCA589896:OCA589898 OLW589896:OLW589898 OVS589896:OVS589898 PFO589896:PFO589898 PPK589896:PPK589898 PZG589896:PZG589898 QJC589896:QJC589898 QSY589896:QSY589898 RCU589896:RCU589898 RMQ589896:RMQ589898 RWM589896:RWM589898 SGI589896:SGI589898 SQE589896:SQE589898 TAA589896:TAA589898 TJW589896:TJW589898 TTS589896:TTS589898 UDO589896:UDO589898 UNK589896:UNK589898 UXG589896:UXG589898 VHC589896:VHC589898 VQY589896:VQY589898 WAU589896:WAU589898 WKQ589896:WKQ589898 WUM589896:WUM589898 E655432:E655434 IA655432:IA655434 RW655432:RW655434 ABS655432:ABS655434 ALO655432:ALO655434 AVK655432:AVK655434 BFG655432:BFG655434 BPC655432:BPC655434 BYY655432:BYY655434 CIU655432:CIU655434 CSQ655432:CSQ655434 DCM655432:DCM655434 DMI655432:DMI655434 DWE655432:DWE655434 EGA655432:EGA655434 EPW655432:EPW655434 EZS655432:EZS655434 FJO655432:FJO655434 FTK655432:FTK655434 GDG655432:GDG655434 GNC655432:GNC655434 GWY655432:GWY655434 HGU655432:HGU655434 HQQ655432:HQQ655434 IAM655432:IAM655434 IKI655432:IKI655434 IUE655432:IUE655434 JEA655432:JEA655434 JNW655432:JNW655434 JXS655432:JXS655434 KHO655432:KHO655434 KRK655432:KRK655434 LBG655432:LBG655434 LLC655432:LLC655434 LUY655432:LUY655434 MEU655432:MEU655434 MOQ655432:MOQ655434 MYM655432:MYM655434 NII655432:NII655434 NSE655432:NSE655434 OCA655432:OCA655434 OLW655432:OLW655434 OVS655432:OVS655434 PFO655432:PFO655434 PPK655432:PPK655434 PZG655432:PZG655434 QJC655432:QJC655434 QSY655432:QSY655434 RCU655432:RCU655434 RMQ655432:RMQ655434 RWM655432:RWM655434 SGI655432:SGI655434 SQE655432:SQE655434 TAA655432:TAA655434 TJW655432:TJW655434 TTS655432:TTS655434 UDO655432:UDO655434 UNK655432:UNK655434 UXG655432:UXG655434 VHC655432:VHC655434 VQY655432:VQY655434 WAU655432:WAU655434 WKQ655432:WKQ655434 WUM655432:WUM655434 E720968:E720970 IA720968:IA720970 RW720968:RW720970 ABS720968:ABS720970 ALO720968:ALO720970 AVK720968:AVK720970 BFG720968:BFG720970 BPC720968:BPC720970 BYY720968:BYY720970 CIU720968:CIU720970 CSQ720968:CSQ720970 DCM720968:DCM720970 DMI720968:DMI720970 DWE720968:DWE720970 EGA720968:EGA720970 EPW720968:EPW720970 EZS720968:EZS720970 FJO720968:FJO720970 FTK720968:FTK720970 GDG720968:GDG720970 GNC720968:GNC720970 GWY720968:GWY720970 HGU720968:HGU720970 HQQ720968:HQQ720970 IAM720968:IAM720970 IKI720968:IKI720970 IUE720968:IUE720970 JEA720968:JEA720970 JNW720968:JNW720970 JXS720968:JXS720970 KHO720968:KHO720970 KRK720968:KRK720970 LBG720968:LBG720970 LLC720968:LLC720970 LUY720968:LUY720970 MEU720968:MEU720970 MOQ720968:MOQ720970 MYM720968:MYM720970 NII720968:NII720970 NSE720968:NSE720970 OCA720968:OCA720970 OLW720968:OLW720970 OVS720968:OVS720970 PFO720968:PFO720970 PPK720968:PPK720970 PZG720968:PZG720970 QJC720968:QJC720970 QSY720968:QSY720970 RCU720968:RCU720970 RMQ720968:RMQ720970 RWM720968:RWM720970 SGI720968:SGI720970 SQE720968:SQE720970 TAA720968:TAA720970 TJW720968:TJW720970 TTS720968:TTS720970 UDO720968:UDO720970 UNK720968:UNK720970 UXG720968:UXG720970 VHC720968:VHC720970 VQY720968:VQY720970 WAU720968:WAU720970 WKQ720968:WKQ720970 WUM720968:WUM720970 E786504:E786506 IA786504:IA786506 RW786504:RW786506 ABS786504:ABS786506 ALO786504:ALO786506 AVK786504:AVK786506 BFG786504:BFG786506 BPC786504:BPC786506 BYY786504:BYY786506 CIU786504:CIU786506 CSQ786504:CSQ786506 DCM786504:DCM786506 DMI786504:DMI786506 DWE786504:DWE786506 EGA786504:EGA786506 EPW786504:EPW786506 EZS786504:EZS786506 FJO786504:FJO786506 FTK786504:FTK786506 GDG786504:GDG786506 GNC786504:GNC786506 GWY786504:GWY786506 HGU786504:HGU786506 HQQ786504:HQQ786506 IAM786504:IAM786506 IKI786504:IKI786506 IUE786504:IUE786506 JEA786504:JEA786506 JNW786504:JNW786506 JXS786504:JXS786506 KHO786504:KHO786506 KRK786504:KRK786506 LBG786504:LBG786506 LLC786504:LLC786506 LUY786504:LUY786506 MEU786504:MEU786506 MOQ786504:MOQ786506 MYM786504:MYM786506 NII786504:NII786506 NSE786504:NSE786506 OCA786504:OCA786506 OLW786504:OLW786506 OVS786504:OVS786506 PFO786504:PFO786506 PPK786504:PPK786506 PZG786504:PZG786506 QJC786504:QJC786506 QSY786504:QSY786506 RCU786504:RCU786506 RMQ786504:RMQ786506 RWM786504:RWM786506 SGI786504:SGI786506 SQE786504:SQE786506 TAA786504:TAA786506 TJW786504:TJW786506 TTS786504:TTS786506 UDO786504:UDO786506 UNK786504:UNK786506 UXG786504:UXG786506 VHC786504:VHC786506 VQY786504:VQY786506 WAU786504:WAU786506 WKQ786504:WKQ786506 WUM786504:WUM786506 E852040:E852042 IA852040:IA852042 RW852040:RW852042 ABS852040:ABS852042 ALO852040:ALO852042 AVK852040:AVK852042 BFG852040:BFG852042 BPC852040:BPC852042 BYY852040:BYY852042 CIU852040:CIU852042 CSQ852040:CSQ852042 DCM852040:DCM852042 DMI852040:DMI852042 DWE852040:DWE852042 EGA852040:EGA852042 EPW852040:EPW852042 EZS852040:EZS852042 FJO852040:FJO852042 FTK852040:FTK852042 GDG852040:GDG852042 GNC852040:GNC852042 GWY852040:GWY852042 HGU852040:HGU852042 HQQ852040:HQQ852042 IAM852040:IAM852042 IKI852040:IKI852042 IUE852040:IUE852042 JEA852040:JEA852042 JNW852040:JNW852042 JXS852040:JXS852042 KHO852040:KHO852042 KRK852040:KRK852042 LBG852040:LBG852042 LLC852040:LLC852042 LUY852040:LUY852042 MEU852040:MEU852042 MOQ852040:MOQ852042 MYM852040:MYM852042 NII852040:NII852042 NSE852040:NSE852042 OCA852040:OCA852042 OLW852040:OLW852042 OVS852040:OVS852042 PFO852040:PFO852042 PPK852040:PPK852042 PZG852040:PZG852042 QJC852040:QJC852042 QSY852040:QSY852042 RCU852040:RCU852042 RMQ852040:RMQ852042 RWM852040:RWM852042 SGI852040:SGI852042 SQE852040:SQE852042 TAA852040:TAA852042 TJW852040:TJW852042 TTS852040:TTS852042 UDO852040:UDO852042 UNK852040:UNK852042 UXG852040:UXG852042 VHC852040:VHC852042 VQY852040:VQY852042 WAU852040:WAU852042 WKQ852040:WKQ852042 WUM852040:WUM852042 E917576:E917578 IA917576:IA917578 RW917576:RW917578 ABS917576:ABS917578 ALO917576:ALO917578 AVK917576:AVK917578 BFG917576:BFG917578 BPC917576:BPC917578 BYY917576:BYY917578 CIU917576:CIU917578 CSQ917576:CSQ917578 DCM917576:DCM917578 DMI917576:DMI917578 DWE917576:DWE917578 EGA917576:EGA917578 EPW917576:EPW917578 EZS917576:EZS917578 FJO917576:FJO917578 FTK917576:FTK917578 GDG917576:GDG917578 GNC917576:GNC917578 GWY917576:GWY917578 HGU917576:HGU917578 HQQ917576:HQQ917578 IAM917576:IAM917578 IKI917576:IKI917578 IUE917576:IUE917578 JEA917576:JEA917578 JNW917576:JNW917578 JXS917576:JXS917578 KHO917576:KHO917578 KRK917576:KRK917578 LBG917576:LBG917578 LLC917576:LLC917578 LUY917576:LUY917578 MEU917576:MEU917578 MOQ917576:MOQ917578 MYM917576:MYM917578 NII917576:NII917578 NSE917576:NSE917578 OCA917576:OCA917578 OLW917576:OLW917578 OVS917576:OVS917578 PFO917576:PFO917578 PPK917576:PPK917578 PZG917576:PZG917578 QJC917576:QJC917578 QSY917576:QSY917578 RCU917576:RCU917578 RMQ917576:RMQ917578 RWM917576:RWM917578 SGI917576:SGI917578 SQE917576:SQE917578 TAA917576:TAA917578 TJW917576:TJW917578 TTS917576:TTS917578 UDO917576:UDO917578 UNK917576:UNK917578 UXG917576:UXG917578 VHC917576:VHC917578 VQY917576:VQY917578 WAU917576:WAU917578 WKQ917576:WKQ917578 WUM917576:WUM917578 E983112:E983114 IA983112:IA983114 RW983112:RW983114 ABS983112:ABS983114 ALO983112:ALO983114 AVK983112:AVK983114 BFG983112:BFG983114 BPC983112:BPC983114 BYY983112:BYY983114 CIU983112:CIU983114 CSQ983112:CSQ983114 DCM983112:DCM983114 DMI983112:DMI983114 DWE983112:DWE983114 EGA983112:EGA983114 EPW983112:EPW983114 EZS983112:EZS983114 FJO983112:FJO983114 FTK983112:FTK983114 GDG983112:GDG983114 GNC983112:GNC983114 GWY983112:GWY983114 HGU983112:HGU983114 HQQ983112:HQQ983114 IAM983112:IAM983114 IKI983112:IKI983114 IUE983112:IUE983114 JEA983112:JEA983114 JNW983112:JNW983114 JXS983112:JXS983114 KHO983112:KHO983114 KRK983112:KRK983114 LBG983112:LBG983114 LLC983112:LLC983114 LUY983112:LUY983114 MEU983112:MEU983114 MOQ983112:MOQ983114 MYM983112:MYM983114 NII983112:NII983114 NSE983112:NSE983114 OCA983112:OCA983114 OLW983112:OLW983114 OVS983112:OVS983114 PFO983112:PFO983114 PPK983112:PPK983114 PZG983112:PZG983114 QJC983112:QJC983114 QSY983112:QSY983114 RCU983112:RCU983114 RMQ983112:RMQ983114 RWM983112:RWM983114 SGI983112:SGI983114 SQE983112:SQE983114 TAA983112:TAA983114 TJW983112:TJW983114 TTS983112:TTS983114 UDO983112:UDO983114 UNK983112:UNK983114 UXG983112:UXG983114 VHC983112:VHC983114 VQY983112:VQY983114 WAU983112:WAU983114 WKQ983112:WKQ983114 WUM983112:WUM983114 IA44" xr:uid="{00000000-0002-0000-0A00-000004000000}">
      <formula1>$O$12:$O$14</formula1>
    </dataValidation>
    <dataValidation type="list" allowBlank="1" showInputMessage="1" showErrorMessage="1" sqref="IA82:IA85 WUM983123:WUM983125 WKQ983123:WKQ983125 WAU983123:WAU983125 VQY983123:VQY983125 VHC983123:VHC983125 UXG983123:UXG983125 UNK983123:UNK983125 UDO983123:UDO983125 TTS983123:TTS983125 TJW983123:TJW983125 TAA983123:TAA983125 SQE983123:SQE983125 SGI983123:SGI983125 RWM983123:RWM983125 RMQ983123:RMQ983125 RCU983123:RCU983125 QSY983123:QSY983125 QJC983123:QJC983125 PZG983123:PZG983125 PPK983123:PPK983125 PFO983123:PFO983125 OVS983123:OVS983125 OLW983123:OLW983125 OCA983123:OCA983125 NSE983123:NSE983125 NII983123:NII983125 MYM983123:MYM983125 MOQ983123:MOQ983125 MEU983123:MEU983125 LUY983123:LUY983125 LLC983123:LLC983125 LBG983123:LBG983125 KRK983123:KRK983125 KHO983123:KHO983125 JXS983123:JXS983125 JNW983123:JNW983125 JEA983123:JEA983125 IUE983123:IUE983125 IKI983123:IKI983125 IAM983123:IAM983125 HQQ983123:HQQ983125 HGU983123:HGU983125 GWY983123:GWY983125 GNC983123:GNC983125 GDG983123:GDG983125 FTK983123:FTK983125 FJO983123:FJO983125 EZS983123:EZS983125 EPW983123:EPW983125 EGA983123:EGA983125 DWE983123:DWE983125 DMI983123:DMI983125 DCM983123:DCM983125 CSQ983123:CSQ983125 CIU983123:CIU983125 BYY983123:BYY983125 BPC983123:BPC983125 BFG983123:BFG983125 AVK983123:AVK983125 ALO983123:ALO983125 ABS983123:ABS983125 RW983123:RW983125 IA983123:IA983125 E983123:E983125 WUM917587:WUM917589 WKQ917587:WKQ917589 WAU917587:WAU917589 VQY917587:VQY917589 VHC917587:VHC917589 UXG917587:UXG917589 UNK917587:UNK917589 UDO917587:UDO917589 TTS917587:TTS917589 TJW917587:TJW917589 TAA917587:TAA917589 SQE917587:SQE917589 SGI917587:SGI917589 RWM917587:RWM917589 RMQ917587:RMQ917589 RCU917587:RCU917589 QSY917587:QSY917589 QJC917587:QJC917589 PZG917587:PZG917589 PPK917587:PPK917589 PFO917587:PFO917589 OVS917587:OVS917589 OLW917587:OLW917589 OCA917587:OCA917589 NSE917587:NSE917589 NII917587:NII917589 MYM917587:MYM917589 MOQ917587:MOQ917589 MEU917587:MEU917589 LUY917587:LUY917589 LLC917587:LLC917589 LBG917587:LBG917589 KRK917587:KRK917589 KHO917587:KHO917589 JXS917587:JXS917589 JNW917587:JNW917589 JEA917587:JEA917589 IUE917587:IUE917589 IKI917587:IKI917589 IAM917587:IAM917589 HQQ917587:HQQ917589 HGU917587:HGU917589 GWY917587:GWY917589 GNC917587:GNC917589 GDG917587:GDG917589 FTK917587:FTK917589 FJO917587:FJO917589 EZS917587:EZS917589 EPW917587:EPW917589 EGA917587:EGA917589 DWE917587:DWE917589 DMI917587:DMI917589 DCM917587:DCM917589 CSQ917587:CSQ917589 CIU917587:CIU917589 BYY917587:BYY917589 BPC917587:BPC917589 BFG917587:BFG917589 AVK917587:AVK917589 ALO917587:ALO917589 ABS917587:ABS917589 RW917587:RW917589 IA917587:IA917589 E917587:E917589 WUM852051:WUM852053 WKQ852051:WKQ852053 WAU852051:WAU852053 VQY852051:VQY852053 VHC852051:VHC852053 UXG852051:UXG852053 UNK852051:UNK852053 UDO852051:UDO852053 TTS852051:TTS852053 TJW852051:TJW852053 TAA852051:TAA852053 SQE852051:SQE852053 SGI852051:SGI852053 RWM852051:RWM852053 RMQ852051:RMQ852053 RCU852051:RCU852053 QSY852051:QSY852053 QJC852051:QJC852053 PZG852051:PZG852053 PPK852051:PPK852053 PFO852051:PFO852053 OVS852051:OVS852053 OLW852051:OLW852053 OCA852051:OCA852053 NSE852051:NSE852053 NII852051:NII852053 MYM852051:MYM852053 MOQ852051:MOQ852053 MEU852051:MEU852053 LUY852051:LUY852053 LLC852051:LLC852053 LBG852051:LBG852053 KRK852051:KRK852053 KHO852051:KHO852053 JXS852051:JXS852053 JNW852051:JNW852053 JEA852051:JEA852053 IUE852051:IUE852053 IKI852051:IKI852053 IAM852051:IAM852053 HQQ852051:HQQ852053 HGU852051:HGU852053 GWY852051:GWY852053 GNC852051:GNC852053 GDG852051:GDG852053 FTK852051:FTK852053 FJO852051:FJO852053 EZS852051:EZS852053 EPW852051:EPW852053 EGA852051:EGA852053 DWE852051:DWE852053 DMI852051:DMI852053 DCM852051:DCM852053 CSQ852051:CSQ852053 CIU852051:CIU852053 BYY852051:BYY852053 BPC852051:BPC852053 BFG852051:BFG852053 AVK852051:AVK852053 ALO852051:ALO852053 ABS852051:ABS852053 RW852051:RW852053 IA852051:IA852053 E852051:E852053 WUM786515:WUM786517 WKQ786515:WKQ786517 WAU786515:WAU786517 VQY786515:VQY786517 VHC786515:VHC786517 UXG786515:UXG786517 UNK786515:UNK786517 UDO786515:UDO786517 TTS786515:TTS786517 TJW786515:TJW786517 TAA786515:TAA786517 SQE786515:SQE786517 SGI786515:SGI786517 RWM786515:RWM786517 RMQ786515:RMQ786517 RCU786515:RCU786517 QSY786515:QSY786517 QJC786515:QJC786517 PZG786515:PZG786517 PPK786515:PPK786517 PFO786515:PFO786517 OVS786515:OVS786517 OLW786515:OLW786517 OCA786515:OCA786517 NSE786515:NSE786517 NII786515:NII786517 MYM786515:MYM786517 MOQ786515:MOQ786517 MEU786515:MEU786517 LUY786515:LUY786517 LLC786515:LLC786517 LBG786515:LBG786517 KRK786515:KRK786517 KHO786515:KHO786517 JXS786515:JXS786517 JNW786515:JNW786517 JEA786515:JEA786517 IUE786515:IUE786517 IKI786515:IKI786517 IAM786515:IAM786517 HQQ786515:HQQ786517 HGU786515:HGU786517 GWY786515:GWY786517 GNC786515:GNC786517 GDG786515:GDG786517 FTK786515:FTK786517 FJO786515:FJO786517 EZS786515:EZS786517 EPW786515:EPW786517 EGA786515:EGA786517 DWE786515:DWE786517 DMI786515:DMI786517 DCM786515:DCM786517 CSQ786515:CSQ786517 CIU786515:CIU786517 BYY786515:BYY786517 BPC786515:BPC786517 BFG786515:BFG786517 AVK786515:AVK786517 ALO786515:ALO786517 ABS786515:ABS786517 RW786515:RW786517 IA786515:IA786517 E786515:E786517 WUM720979:WUM720981 WKQ720979:WKQ720981 WAU720979:WAU720981 VQY720979:VQY720981 VHC720979:VHC720981 UXG720979:UXG720981 UNK720979:UNK720981 UDO720979:UDO720981 TTS720979:TTS720981 TJW720979:TJW720981 TAA720979:TAA720981 SQE720979:SQE720981 SGI720979:SGI720981 RWM720979:RWM720981 RMQ720979:RMQ720981 RCU720979:RCU720981 QSY720979:QSY720981 QJC720979:QJC720981 PZG720979:PZG720981 PPK720979:PPK720981 PFO720979:PFO720981 OVS720979:OVS720981 OLW720979:OLW720981 OCA720979:OCA720981 NSE720979:NSE720981 NII720979:NII720981 MYM720979:MYM720981 MOQ720979:MOQ720981 MEU720979:MEU720981 LUY720979:LUY720981 LLC720979:LLC720981 LBG720979:LBG720981 KRK720979:KRK720981 KHO720979:KHO720981 JXS720979:JXS720981 JNW720979:JNW720981 JEA720979:JEA720981 IUE720979:IUE720981 IKI720979:IKI720981 IAM720979:IAM720981 HQQ720979:HQQ720981 HGU720979:HGU720981 GWY720979:GWY720981 GNC720979:GNC720981 GDG720979:GDG720981 FTK720979:FTK720981 FJO720979:FJO720981 EZS720979:EZS720981 EPW720979:EPW720981 EGA720979:EGA720981 DWE720979:DWE720981 DMI720979:DMI720981 DCM720979:DCM720981 CSQ720979:CSQ720981 CIU720979:CIU720981 BYY720979:BYY720981 BPC720979:BPC720981 BFG720979:BFG720981 AVK720979:AVK720981 ALO720979:ALO720981 ABS720979:ABS720981 RW720979:RW720981 IA720979:IA720981 E720979:E720981 WUM655443:WUM655445 WKQ655443:WKQ655445 WAU655443:WAU655445 VQY655443:VQY655445 VHC655443:VHC655445 UXG655443:UXG655445 UNK655443:UNK655445 UDO655443:UDO655445 TTS655443:TTS655445 TJW655443:TJW655445 TAA655443:TAA655445 SQE655443:SQE655445 SGI655443:SGI655445 RWM655443:RWM655445 RMQ655443:RMQ655445 RCU655443:RCU655445 QSY655443:QSY655445 QJC655443:QJC655445 PZG655443:PZG655445 PPK655443:PPK655445 PFO655443:PFO655445 OVS655443:OVS655445 OLW655443:OLW655445 OCA655443:OCA655445 NSE655443:NSE655445 NII655443:NII655445 MYM655443:MYM655445 MOQ655443:MOQ655445 MEU655443:MEU655445 LUY655443:LUY655445 LLC655443:LLC655445 LBG655443:LBG655445 KRK655443:KRK655445 KHO655443:KHO655445 JXS655443:JXS655445 JNW655443:JNW655445 JEA655443:JEA655445 IUE655443:IUE655445 IKI655443:IKI655445 IAM655443:IAM655445 HQQ655443:HQQ655445 HGU655443:HGU655445 GWY655443:GWY655445 GNC655443:GNC655445 GDG655443:GDG655445 FTK655443:FTK655445 FJO655443:FJO655445 EZS655443:EZS655445 EPW655443:EPW655445 EGA655443:EGA655445 DWE655443:DWE655445 DMI655443:DMI655445 DCM655443:DCM655445 CSQ655443:CSQ655445 CIU655443:CIU655445 BYY655443:BYY655445 BPC655443:BPC655445 BFG655443:BFG655445 AVK655443:AVK655445 ALO655443:ALO655445 ABS655443:ABS655445 RW655443:RW655445 IA655443:IA655445 E655443:E655445 WUM589907:WUM589909 WKQ589907:WKQ589909 WAU589907:WAU589909 VQY589907:VQY589909 VHC589907:VHC589909 UXG589907:UXG589909 UNK589907:UNK589909 UDO589907:UDO589909 TTS589907:TTS589909 TJW589907:TJW589909 TAA589907:TAA589909 SQE589907:SQE589909 SGI589907:SGI589909 RWM589907:RWM589909 RMQ589907:RMQ589909 RCU589907:RCU589909 QSY589907:QSY589909 QJC589907:QJC589909 PZG589907:PZG589909 PPK589907:PPK589909 PFO589907:PFO589909 OVS589907:OVS589909 OLW589907:OLW589909 OCA589907:OCA589909 NSE589907:NSE589909 NII589907:NII589909 MYM589907:MYM589909 MOQ589907:MOQ589909 MEU589907:MEU589909 LUY589907:LUY589909 LLC589907:LLC589909 LBG589907:LBG589909 KRK589907:KRK589909 KHO589907:KHO589909 JXS589907:JXS589909 JNW589907:JNW589909 JEA589907:JEA589909 IUE589907:IUE589909 IKI589907:IKI589909 IAM589907:IAM589909 HQQ589907:HQQ589909 HGU589907:HGU589909 GWY589907:GWY589909 GNC589907:GNC589909 GDG589907:GDG589909 FTK589907:FTK589909 FJO589907:FJO589909 EZS589907:EZS589909 EPW589907:EPW589909 EGA589907:EGA589909 DWE589907:DWE589909 DMI589907:DMI589909 DCM589907:DCM589909 CSQ589907:CSQ589909 CIU589907:CIU589909 BYY589907:BYY589909 BPC589907:BPC589909 BFG589907:BFG589909 AVK589907:AVK589909 ALO589907:ALO589909 ABS589907:ABS589909 RW589907:RW589909 IA589907:IA589909 E589907:E589909 WUM524371:WUM524373 WKQ524371:WKQ524373 WAU524371:WAU524373 VQY524371:VQY524373 VHC524371:VHC524373 UXG524371:UXG524373 UNK524371:UNK524373 UDO524371:UDO524373 TTS524371:TTS524373 TJW524371:TJW524373 TAA524371:TAA524373 SQE524371:SQE524373 SGI524371:SGI524373 RWM524371:RWM524373 RMQ524371:RMQ524373 RCU524371:RCU524373 QSY524371:QSY524373 QJC524371:QJC524373 PZG524371:PZG524373 PPK524371:PPK524373 PFO524371:PFO524373 OVS524371:OVS524373 OLW524371:OLW524373 OCA524371:OCA524373 NSE524371:NSE524373 NII524371:NII524373 MYM524371:MYM524373 MOQ524371:MOQ524373 MEU524371:MEU524373 LUY524371:LUY524373 LLC524371:LLC524373 LBG524371:LBG524373 KRK524371:KRK524373 KHO524371:KHO524373 JXS524371:JXS524373 JNW524371:JNW524373 JEA524371:JEA524373 IUE524371:IUE524373 IKI524371:IKI524373 IAM524371:IAM524373 HQQ524371:HQQ524373 HGU524371:HGU524373 GWY524371:GWY524373 GNC524371:GNC524373 GDG524371:GDG524373 FTK524371:FTK524373 FJO524371:FJO524373 EZS524371:EZS524373 EPW524371:EPW524373 EGA524371:EGA524373 DWE524371:DWE524373 DMI524371:DMI524373 DCM524371:DCM524373 CSQ524371:CSQ524373 CIU524371:CIU524373 BYY524371:BYY524373 BPC524371:BPC524373 BFG524371:BFG524373 AVK524371:AVK524373 ALO524371:ALO524373 ABS524371:ABS524373 RW524371:RW524373 IA524371:IA524373 E524371:E524373 WUM458835:WUM458837 WKQ458835:WKQ458837 WAU458835:WAU458837 VQY458835:VQY458837 VHC458835:VHC458837 UXG458835:UXG458837 UNK458835:UNK458837 UDO458835:UDO458837 TTS458835:TTS458837 TJW458835:TJW458837 TAA458835:TAA458837 SQE458835:SQE458837 SGI458835:SGI458837 RWM458835:RWM458837 RMQ458835:RMQ458837 RCU458835:RCU458837 QSY458835:QSY458837 QJC458835:QJC458837 PZG458835:PZG458837 PPK458835:PPK458837 PFO458835:PFO458837 OVS458835:OVS458837 OLW458835:OLW458837 OCA458835:OCA458837 NSE458835:NSE458837 NII458835:NII458837 MYM458835:MYM458837 MOQ458835:MOQ458837 MEU458835:MEU458837 LUY458835:LUY458837 LLC458835:LLC458837 LBG458835:LBG458837 KRK458835:KRK458837 KHO458835:KHO458837 JXS458835:JXS458837 JNW458835:JNW458837 JEA458835:JEA458837 IUE458835:IUE458837 IKI458835:IKI458837 IAM458835:IAM458837 HQQ458835:HQQ458837 HGU458835:HGU458837 GWY458835:GWY458837 GNC458835:GNC458837 GDG458835:GDG458837 FTK458835:FTK458837 FJO458835:FJO458837 EZS458835:EZS458837 EPW458835:EPW458837 EGA458835:EGA458837 DWE458835:DWE458837 DMI458835:DMI458837 DCM458835:DCM458837 CSQ458835:CSQ458837 CIU458835:CIU458837 BYY458835:BYY458837 BPC458835:BPC458837 BFG458835:BFG458837 AVK458835:AVK458837 ALO458835:ALO458837 ABS458835:ABS458837 RW458835:RW458837 IA458835:IA458837 E458835:E458837 WUM393299:WUM393301 WKQ393299:WKQ393301 WAU393299:WAU393301 VQY393299:VQY393301 VHC393299:VHC393301 UXG393299:UXG393301 UNK393299:UNK393301 UDO393299:UDO393301 TTS393299:TTS393301 TJW393299:TJW393301 TAA393299:TAA393301 SQE393299:SQE393301 SGI393299:SGI393301 RWM393299:RWM393301 RMQ393299:RMQ393301 RCU393299:RCU393301 QSY393299:QSY393301 QJC393299:QJC393301 PZG393299:PZG393301 PPK393299:PPK393301 PFO393299:PFO393301 OVS393299:OVS393301 OLW393299:OLW393301 OCA393299:OCA393301 NSE393299:NSE393301 NII393299:NII393301 MYM393299:MYM393301 MOQ393299:MOQ393301 MEU393299:MEU393301 LUY393299:LUY393301 LLC393299:LLC393301 LBG393299:LBG393301 KRK393299:KRK393301 KHO393299:KHO393301 JXS393299:JXS393301 JNW393299:JNW393301 JEA393299:JEA393301 IUE393299:IUE393301 IKI393299:IKI393301 IAM393299:IAM393301 HQQ393299:HQQ393301 HGU393299:HGU393301 GWY393299:GWY393301 GNC393299:GNC393301 GDG393299:GDG393301 FTK393299:FTK393301 FJO393299:FJO393301 EZS393299:EZS393301 EPW393299:EPW393301 EGA393299:EGA393301 DWE393299:DWE393301 DMI393299:DMI393301 DCM393299:DCM393301 CSQ393299:CSQ393301 CIU393299:CIU393301 BYY393299:BYY393301 BPC393299:BPC393301 BFG393299:BFG393301 AVK393299:AVK393301 ALO393299:ALO393301 ABS393299:ABS393301 RW393299:RW393301 IA393299:IA393301 E393299:E393301 WUM327763:WUM327765 WKQ327763:WKQ327765 WAU327763:WAU327765 VQY327763:VQY327765 VHC327763:VHC327765 UXG327763:UXG327765 UNK327763:UNK327765 UDO327763:UDO327765 TTS327763:TTS327765 TJW327763:TJW327765 TAA327763:TAA327765 SQE327763:SQE327765 SGI327763:SGI327765 RWM327763:RWM327765 RMQ327763:RMQ327765 RCU327763:RCU327765 QSY327763:QSY327765 QJC327763:QJC327765 PZG327763:PZG327765 PPK327763:PPK327765 PFO327763:PFO327765 OVS327763:OVS327765 OLW327763:OLW327765 OCA327763:OCA327765 NSE327763:NSE327765 NII327763:NII327765 MYM327763:MYM327765 MOQ327763:MOQ327765 MEU327763:MEU327765 LUY327763:LUY327765 LLC327763:LLC327765 LBG327763:LBG327765 KRK327763:KRK327765 KHO327763:KHO327765 JXS327763:JXS327765 JNW327763:JNW327765 JEA327763:JEA327765 IUE327763:IUE327765 IKI327763:IKI327765 IAM327763:IAM327765 HQQ327763:HQQ327765 HGU327763:HGU327765 GWY327763:GWY327765 GNC327763:GNC327765 GDG327763:GDG327765 FTK327763:FTK327765 FJO327763:FJO327765 EZS327763:EZS327765 EPW327763:EPW327765 EGA327763:EGA327765 DWE327763:DWE327765 DMI327763:DMI327765 DCM327763:DCM327765 CSQ327763:CSQ327765 CIU327763:CIU327765 BYY327763:BYY327765 BPC327763:BPC327765 BFG327763:BFG327765 AVK327763:AVK327765 ALO327763:ALO327765 ABS327763:ABS327765 RW327763:RW327765 IA327763:IA327765 E327763:E327765 WUM262227:WUM262229 WKQ262227:WKQ262229 WAU262227:WAU262229 VQY262227:VQY262229 VHC262227:VHC262229 UXG262227:UXG262229 UNK262227:UNK262229 UDO262227:UDO262229 TTS262227:TTS262229 TJW262227:TJW262229 TAA262227:TAA262229 SQE262227:SQE262229 SGI262227:SGI262229 RWM262227:RWM262229 RMQ262227:RMQ262229 RCU262227:RCU262229 QSY262227:QSY262229 QJC262227:QJC262229 PZG262227:PZG262229 PPK262227:PPK262229 PFO262227:PFO262229 OVS262227:OVS262229 OLW262227:OLW262229 OCA262227:OCA262229 NSE262227:NSE262229 NII262227:NII262229 MYM262227:MYM262229 MOQ262227:MOQ262229 MEU262227:MEU262229 LUY262227:LUY262229 LLC262227:LLC262229 LBG262227:LBG262229 KRK262227:KRK262229 KHO262227:KHO262229 JXS262227:JXS262229 JNW262227:JNW262229 JEA262227:JEA262229 IUE262227:IUE262229 IKI262227:IKI262229 IAM262227:IAM262229 HQQ262227:HQQ262229 HGU262227:HGU262229 GWY262227:GWY262229 GNC262227:GNC262229 GDG262227:GDG262229 FTK262227:FTK262229 FJO262227:FJO262229 EZS262227:EZS262229 EPW262227:EPW262229 EGA262227:EGA262229 DWE262227:DWE262229 DMI262227:DMI262229 DCM262227:DCM262229 CSQ262227:CSQ262229 CIU262227:CIU262229 BYY262227:BYY262229 BPC262227:BPC262229 BFG262227:BFG262229 AVK262227:AVK262229 ALO262227:ALO262229 ABS262227:ABS262229 RW262227:RW262229 IA262227:IA262229 E262227:E262229 WUM196691:WUM196693 WKQ196691:WKQ196693 WAU196691:WAU196693 VQY196691:VQY196693 VHC196691:VHC196693 UXG196691:UXG196693 UNK196691:UNK196693 UDO196691:UDO196693 TTS196691:TTS196693 TJW196691:TJW196693 TAA196691:TAA196693 SQE196691:SQE196693 SGI196691:SGI196693 RWM196691:RWM196693 RMQ196691:RMQ196693 RCU196691:RCU196693 QSY196691:QSY196693 QJC196691:QJC196693 PZG196691:PZG196693 PPK196691:PPK196693 PFO196691:PFO196693 OVS196691:OVS196693 OLW196691:OLW196693 OCA196691:OCA196693 NSE196691:NSE196693 NII196691:NII196693 MYM196691:MYM196693 MOQ196691:MOQ196693 MEU196691:MEU196693 LUY196691:LUY196693 LLC196691:LLC196693 LBG196691:LBG196693 KRK196691:KRK196693 KHO196691:KHO196693 JXS196691:JXS196693 JNW196691:JNW196693 JEA196691:JEA196693 IUE196691:IUE196693 IKI196691:IKI196693 IAM196691:IAM196693 HQQ196691:HQQ196693 HGU196691:HGU196693 GWY196691:GWY196693 GNC196691:GNC196693 GDG196691:GDG196693 FTK196691:FTK196693 FJO196691:FJO196693 EZS196691:EZS196693 EPW196691:EPW196693 EGA196691:EGA196693 DWE196691:DWE196693 DMI196691:DMI196693 DCM196691:DCM196693 CSQ196691:CSQ196693 CIU196691:CIU196693 BYY196691:BYY196693 BPC196691:BPC196693 BFG196691:BFG196693 AVK196691:AVK196693 ALO196691:ALO196693 ABS196691:ABS196693 RW196691:RW196693 IA196691:IA196693 E196691:E196693 WUM131155:WUM131157 WKQ131155:WKQ131157 WAU131155:WAU131157 VQY131155:VQY131157 VHC131155:VHC131157 UXG131155:UXG131157 UNK131155:UNK131157 UDO131155:UDO131157 TTS131155:TTS131157 TJW131155:TJW131157 TAA131155:TAA131157 SQE131155:SQE131157 SGI131155:SGI131157 RWM131155:RWM131157 RMQ131155:RMQ131157 RCU131155:RCU131157 QSY131155:QSY131157 QJC131155:QJC131157 PZG131155:PZG131157 PPK131155:PPK131157 PFO131155:PFO131157 OVS131155:OVS131157 OLW131155:OLW131157 OCA131155:OCA131157 NSE131155:NSE131157 NII131155:NII131157 MYM131155:MYM131157 MOQ131155:MOQ131157 MEU131155:MEU131157 LUY131155:LUY131157 LLC131155:LLC131157 LBG131155:LBG131157 KRK131155:KRK131157 KHO131155:KHO131157 JXS131155:JXS131157 JNW131155:JNW131157 JEA131155:JEA131157 IUE131155:IUE131157 IKI131155:IKI131157 IAM131155:IAM131157 HQQ131155:HQQ131157 HGU131155:HGU131157 GWY131155:GWY131157 GNC131155:GNC131157 GDG131155:GDG131157 FTK131155:FTK131157 FJO131155:FJO131157 EZS131155:EZS131157 EPW131155:EPW131157 EGA131155:EGA131157 DWE131155:DWE131157 DMI131155:DMI131157 DCM131155:DCM131157 CSQ131155:CSQ131157 CIU131155:CIU131157 BYY131155:BYY131157 BPC131155:BPC131157 BFG131155:BFG131157 AVK131155:AVK131157 ALO131155:ALO131157 ABS131155:ABS131157 RW131155:RW131157 IA131155:IA131157 E131155:E131157 WUM65619:WUM65621 WKQ65619:WKQ65621 WAU65619:WAU65621 VQY65619:VQY65621 VHC65619:VHC65621 UXG65619:UXG65621 UNK65619:UNK65621 UDO65619:UDO65621 TTS65619:TTS65621 TJW65619:TJW65621 TAA65619:TAA65621 SQE65619:SQE65621 SGI65619:SGI65621 RWM65619:RWM65621 RMQ65619:RMQ65621 RCU65619:RCU65621 QSY65619:QSY65621 QJC65619:QJC65621 PZG65619:PZG65621 PPK65619:PPK65621 PFO65619:PFO65621 OVS65619:OVS65621 OLW65619:OLW65621 OCA65619:OCA65621 NSE65619:NSE65621 NII65619:NII65621 MYM65619:MYM65621 MOQ65619:MOQ65621 MEU65619:MEU65621 LUY65619:LUY65621 LLC65619:LLC65621 LBG65619:LBG65621 KRK65619:KRK65621 KHO65619:KHO65621 JXS65619:JXS65621 JNW65619:JNW65621 JEA65619:JEA65621 IUE65619:IUE65621 IKI65619:IKI65621 IAM65619:IAM65621 HQQ65619:HQQ65621 HGU65619:HGU65621 GWY65619:GWY65621 GNC65619:GNC65621 GDG65619:GDG65621 FTK65619:FTK65621 FJO65619:FJO65621 EZS65619:EZS65621 EPW65619:EPW65621 EGA65619:EGA65621 DWE65619:DWE65621 DMI65619:DMI65621 DCM65619:DCM65621 CSQ65619:CSQ65621 CIU65619:CIU65621 BYY65619:BYY65621 BPC65619:BPC65621 BFG65619:BFG65621 AVK65619:AVK65621 ALO65619:ALO65621 ABS65619:ABS65621 RW65619:RW65621 IA65619:IA65621 E65619:E65621 WUM82:WUM85 WKQ82:WKQ85 WAU82:WAU85 VQY82:VQY85 VHC82:VHC85 UXG82:UXG85 UNK82:UNK85 UDO82:UDO85 TTS82:TTS85 TJW82:TJW85 TAA82:TAA85 SQE82:SQE85 SGI82:SGI85 RWM82:RWM85 RMQ82:RMQ85 RCU82:RCU85 QSY82:QSY85 QJC82:QJC85 PZG82:PZG85 PPK82:PPK85 PFO82:PFO85 OVS82:OVS85 OLW82:OLW85 OCA82:OCA85 NSE82:NSE85 NII82:NII85 MYM82:MYM85 MOQ82:MOQ85 MEU82:MEU85 LUY82:LUY85 LLC82:LLC85 LBG82:LBG85 KRK82:KRK85 KHO82:KHO85 JXS82:JXS85 JNW82:JNW85 JEA82:JEA85 IUE82:IUE85 IKI82:IKI85 IAM82:IAM85 HQQ82:HQQ85 HGU82:HGU85 GWY82:GWY85 GNC82:GNC85 GDG82:GDG85 FTK82:FTK85 FJO82:FJO85 EZS82:EZS85 EPW82:EPW85 EGA82:EGA85 DWE82:DWE85 DMI82:DMI85 DCM82:DCM85 CSQ82:CSQ85 CIU82:CIU85 BYY82:BYY85 BPC82:BPC85 BFG82:BFG85 AVK82:AVK85 ALO82:ALO85 ABS82:ABS85 RW82:RW85" xr:uid="{00000000-0002-0000-0A00-000005000000}">
      <formula1>$O$6:$O$21</formula1>
    </dataValidation>
    <dataValidation type="list" allowBlank="1" showInputMessage="1" showErrorMessage="1" sqref="E6:E14 E24:E49 E55:E84" xr:uid="{00000000-0002-0000-0A00-000006000000}">
      <formula1>INDIRECT(N6)</formula1>
    </dataValidation>
    <dataValidation imeMode="disabled" allowBlank="1" showInputMessage="1" showErrorMessage="1" sqref="F6:F14 F24:F49 F55:F84 I82:I84 F86:F87 I89:I90 I92:I93 F92:F95 F89:F90" xr:uid="{00000000-0002-0000-0A00-000007000000}"/>
  </dataValidations>
  <pageMargins left="0.78740157480314965" right="0.59055118110236227" top="0.78740157480314965" bottom="0.59055118110236227" header="0.31496062992125984" footer="0.31496062992125984"/>
  <pageSetup paperSize="9" scale="5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L62"/>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4.125" defaultRowHeight="18"/>
  <cols>
    <col min="1" max="2" width="6.25" style="430" customWidth="1"/>
    <col min="3" max="3" width="19.125" style="430" customWidth="1"/>
    <col min="4" max="5" width="35.625" style="430" customWidth="1"/>
    <col min="6" max="6" width="14.625" style="430" customWidth="1"/>
    <col min="7" max="7" width="10.25" style="430" customWidth="1"/>
    <col min="8" max="8" width="20.25" style="430" customWidth="1"/>
    <col min="9" max="9" width="23.5" style="430" customWidth="1"/>
    <col min="10" max="11" width="9" style="430" customWidth="1"/>
    <col min="12" max="12" width="16.375" style="430" customWidth="1"/>
    <col min="13" max="245" width="9" style="430" customWidth="1"/>
    <col min="246" max="246" width="1.625" style="430" customWidth="1"/>
    <col min="247" max="247" width="1.875" style="430" customWidth="1"/>
    <col min="248" max="16384" width="4.125" style="430"/>
  </cols>
  <sheetData>
    <row r="1" spans="1:12" ht="18.75" customHeight="1">
      <c r="A1" s="3" t="s">
        <v>597</v>
      </c>
      <c r="B1" s="4"/>
      <c r="C1" s="4"/>
      <c r="D1" s="4"/>
      <c r="E1" s="4"/>
      <c r="F1" s="4"/>
      <c r="G1" s="4"/>
      <c r="H1" s="110" t="s">
        <v>0</v>
      </c>
      <c r="I1" s="179" t="str">
        <f>IF(事業所概要_算定体制!D13="","",事業所概要_算定体制!D13)</f>
        <v/>
      </c>
    </row>
    <row r="2" spans="1:12">
      <c r="A2" s="811" t="s">
        <v>2020</v>
      </c>
      <c r="B2" s="811"/>
      <c r="C2" s="811"/>
      <c r="D2" s="811"/>
      <c r="E2" s="811"/>
      <c r="F2" s="4"/>
      <c r="G2" s="4"/>
      <c r="H2" s="4"/>
      <c r="I2" s="165" t="str">
        <f>CONCATENATE(事業所概要_算定体制!$B$3,事業所概要_算定体制!$C$3,"年度")</f>
        <v>令和７年度</v>
      </c>
    </row>
    <row r="3" spans="1:12" ht="23.25" customHeight="1" thickBot="1">
      <c r="A3" s="4"/>
      <c r="B3" s="4"/>
      <c r="C3" s="4"/>
      <c r="D3" s="4"/>
      <c r="E3" s="4"/>
      <c r="F3" s="5"/>
      <c r="G3" s="4"/>
      <c r="H3" s="122"/>
      <c r="I3" s="6"/>
    </row>
    <row r="4" spans="1:12" ht="50.1" customHeight="1">
      <c r="A4" s="7"/>
      <c r="B4" s="721" t="s">
        <v>1</v>
      </c>
      <c r="C4" s="781"/>
      <c r="D4" s="781"/>
      <c r="E4" s="782"/>
      <c r="F4" s="786" t="s">
        <v>265</v>
      </c>
      <c r="G4" s="787"/>
      <c r="H4" s="123" t="s">
        <v>583</v>
      </c>
      <c r="I4" s="117" t="s">
        <v>3</v>
      </c>
    </row>
    <row r="5" spans="1:12" ht="33" customHeight="1" thickBot="1">
      <c r="A5" s="10"/>
      <c r="B5" s="783"/>
      <c r="C5" s="784"/>
      <c r="D5" s="784"/>
      <c r="E5" s="785"/>
      <c r="F5" s="11"/>
      <c r="G5" s="12"/>
      <c r="H5" s="120" t="s">
        <v>181</v>
      </c>
      <c r="I5" s="188" t="s">
        <v>177</v>
      </c>
      <c r="L5" s="434"/>
    </row>
    <row r="6" spans="1:12" ht="30.2" customHeight="1">
      <c r="A6" s="789" t="s">
        <v>267</v>
      </c>
      <c r="B6" s="792" t="s">
        <v>185</v>
      </c>
      <c r="C6" s="794" t="s">
        <v>9</v>
      </c>
      <c r="D6" s="625"/>
      <c r="E6" s="795"/>
      <c r="F6" s="311" t="str">
        <f>IF(COUNTIFS(燃料!$AE:$AE,ROW())=0,"",ROUND(SUMIFS(燃料!$Z:$Z,燃料!$AE:$AE,ROW()),0))</f>
        <v/>
      </c>
      <c r="G6" s="312" t="s">
        <v>8</v>
      </c>
      <c r="H6" s="313" t="str">
        <f>IF(COUNTIFS(燃料!$AE:$AE,ROW())=0,"",SUMIFS(燃料!$AB:$AB,燃料!$AE:$AE,ROW()))</f>
        <v/>
      </c>
      <c r="I6" s="314" t="str">
        <f>IF(COUNTIFS(燃料!$AE:$AE,ROW())=0,"",SUMIFS(燃料!$AD:$AD,燃料!$AE:$AE,ROW()))</f>
        <v/>
      </c>
    </row>
    <row r="7" spans="1:12" ht="30.2" customHeight="1">
      <c r="A7" s="790"/>
      <c r="B7" s="793"/>
      <c r="C7" s="612" t="s">
        <v>10</v>
      </c>
      <c r="D7" s="613"/>
      <c r="E7" s="788"/>
      <c r="F7" s="311" t="str">
        <f>IF(COUNTIFS(燃料!$AE:$AE,ROW())=0,"",ROUND(SUMIFS(燃料!$Z:$Z,燃料!$AE:$AE,ROW()),0))</f>
        <v/>
      </c>
      <c r="G7" s="315" t="s">
        <v>8</v>
      </c>
      <c r="H7" s="313" t="str">
        <f>IF(COUNTIFS(燃料!$AE:$AE,ROW())=0,"",SUMIFS(燃料!$AB:$AB,燃料!$AE:$AE,ROW()))</f>
        <v/>
      </c>
      <c r="I7" s="314" t="str">
        <f>IF(COUNTIFS(燃料!$AE:$AE,ROW())=0,"",SUMIFS(燃料!$AD:$AD,燃料!$AE:$AE,ROW()))</f>
        <v/>
      </c>
    </row>
    <row r="8" spans="1:12" ht="30.2" customHeight="1">
      <c r="A8" s="790"/>
      <c r="B8" s="793"/>
      <c r="C8" s="612" t="s">
        <v>11</v>
      </c>
      <c r="D8" s="613"/>
      <c r="E8" s="788"/>
      <c r="F8" s="311" t="str">
        <f>IF(COUNTIFS(燃料!$AE:$AE,ROW())=0,"",ROUND(SUMIFS(燃料!$Z:$Z,燃料!$AE:$AE,ROW()),0))</f>
        <v/>
      </c>
      <c r="G8" s="315" t="s">
        <v>8</v>
      </c>
      <c r="H8" s="313" t="str">
        <f>IF(COUNTIFS(燃料!$AE:$AE,ROW())=0,"",SUMIFS(燃料!$AB:$AB,燃料!$AE:$AE,ROW()))</f>
        <v/>
      </c>
      <c r="I8" s="314" t="str">
        <f>IF(COUNTIFS(燃料!$AE:$AE,ROW())=0,"",SUMIFS(燃料!$AD:$AD,燃料!$AE:$AE,ROW()))</f>
        <v/>
      </c>
    </row>
    <row r="9" spans="1:12" ht="30.2" customHeight="1">
      <c r="A9" s="790"/>
      <c r="B9" s="793"/>
      <c r="C9" s="612" t="s">
        <v>13</v>
      </c>
      <c r="D9" s="613"/>
      <c r="E9" s="788"/>
      <c r="F9" s="311" t="str">
        <f>IF(COUNTIFS(燃料!$AE:$AE,ROW())=0,"",ROUND(SUMIFS(燃料!$Z:$Z,燃料!$AE:$AE,ROW()),0))</f>
        <v/>
      </c>
      <c r="G9" s="315" t="s">
        <v>8</v>
      </c>
      <c r="H9" s="313" t="str">
        <f>IF(COUNTIFS(燃料!$AE:$AE,ROW())=0,"",SUMIFS(燃料!$AB:$AB,燃料!$AE:$AE,ROW()))</f>
        <v/>
      </c>
      <c r="I9" s="314" t="str">
        <f>IF(COUNTIFS(燃料!$AE:$AE,ROW())=0,"",SUMIFS(燃料!$AD:$AD,燃料!$AE:$AE,ROW()))</f>
        <v/>
      </c>
    </row>
    <row r="10" spans="1:12" ht="30.2" customHeight="1">
      <c r="A10" s="790"/>
      <c r="B10" s="793"/>
      <c r="C10" s="612" t="s">
        <v>14</v>
      </c>
      <c r="D10" s="613"/>
      <c r="E10" s="788"/>
      <c r="F10" s="311" t="str">
        <f>IF(COUNTIFS(燃料!$AE:$AE,ROW())=0,"",ROUND(SUMIFS(燃料!$Z:$Z,燃料!$AE:$AE,ROW()),0))</f>
        <v/>
      </c>
      <c r="G10" s="315" t="s">
        <v>8</v>
      </c>
      <c r="H10" s="313" t="str">
        <f>IF(COUNTIFS(燃料!$AE:$AE,ROW())=0,"",SUMIFS(燃料!$AB:$AB,燃料!$AE:$AE,ROW()))</f>
        <v/>
      </c>
      <c r="I10" s="314" t="str">
        <f>IF(COUNTIFS(燃料!$AE:$AE,ROW())=0,"",SUMIFS(燃料!$AD:$AD,燃料!$AE:$AE,ROW()))</f>
        <v/>
      </c>
    </row>
    <row r="11" spans="1:12" ht="30.2" customHeight="1">
      <c r="A11" s="790"/>
      <c r="B11" s="793"/>
      <c r="C11" s="612" t="s">
        <v>15</v>
      </c>
      <c r="D11" s="613"/>
      <c r="E11" s="788"/>
      <c r="F11" s="311" t="str">
        <f>IF(COUNTIFS(燃料!$AE:$AE,ROW())=0,"",ROUND(SUMIFS(燃料!$Z:$Z,燃料!$AE:$AE,ROW()),0))</f>
        <v/>
      </c>
      <c r="G11" s="315" t="s">
        <v>8</v>
      </c>
      <c r="H11" s="313" t="str">
        <f>IF(COUNTIFS(燃料!$AE:$AE,ROW())=0,"",SUMIFS(燃料!$AB:$AB,燃料!$AE:$AE,ROW()))</f>
        <v/>
      </c>
      <c r="I11" s="314" t="str">
        <f>IF(COUNTIFS(燃料!$AE:$AE,ROW())=0,"",SUMIFS(燃料!$AD:$AD,燃料!$AE:$AE,ROW()))</f>
        <v/>
      </c>
    </row>
    <row r="12" spans="1:12" ht="30.2" customHeight="1">
      <c r="A12" s="790"/>
      <c r="B12" s="793"/>
      <c r="C12" s="612" t="s">
        <v>16</v>
      </c>
      <c r="D12" s="613"/>
      <c r="E12" s="788"/>
      <c r="F12" s="311" t="str">
        <f>IF(COUNTIFS(燃料!$AE:$AE,ROW())=0,"",ROUND(SUMIFS(燃料!$Z:$Z,燃料!$AE:$AE,ROW()),0))</f>
        <v/>
      </c>
      <c r="G12" s="315" t="s">
        <v>8</v>
      </c>
      <c r="H12" s="313" t="str">
        <f>IF(COUNTIFS(燃料!$AE:$AE,ROW())=0,"",SUMIFS(燃料!$AB:$AB,燃料!$AE:$AE,ROW()))</f>
        <v/>
      </c>
      <c r="I12" s="314" t="str">
        <f>IF(COUNTIFS(燃料!$AE:$AE,ROW())=0,"",SUMIFS(燃料!$AD:$AD,燃料!$AE:$AE,ROW()))</f>
        <v/>
      </c>
    </row>
    <row r="13" spans="1:12" ht="30.2" customHeight="1">
      <c r="A13" s="790"/>
      <c r="B13" s="793"/>
      <c r="C13" s="612" t="s">
        <v>17</v>
      </c>
      <c r="D13" s="613"/>
      <c r="E13" s="788"/>
      <c r="F13" s="311" t="str">
        <f>IF(COUNTIFS(燃料!$AE:$AE,ROW())=0,"",ROUND(SUMIFS(燃料!$Z:$Z,燃料!$AE:$AE,ROW()),0))</f>
        <v/>
      </c>
      <c r="G13" s="315" t="s">
        <v>8</v>
      </c>
      <c r="H13" s="313" t="str">
        <f>IF(COUNTIFS(燃料!$AE:$AE,ROW())=0,"",SUMIFS(燃料!$AB:$AB,燃料!$AE:$AE,ROW()))</f>
        <v/>
      </c>
      <c r="I13" s="314" t="str">
        <f>IF(COUNTIFS(燃料!$AE:$AE,ROW())=0,"",SUMIFS(燃料!$AD:$AD,燃料!$AE:$AE,ROW()))</f>
        <v/>
      </c>
    </row>
    <row r="14" spans="1:12" ht="30.2" customHeight="1">
      <c r="A14" s="790"/>
      <c r="B14" s="793"/>
      <c r="C14" s="612" t="s">
        <v>18</v>
      </c>
      <c r="D14" s="613"/>
      <c r="E14" s="788"/>
      <c r="F14" s="311" t="str">
        <f>IF(COUNTIFS(燃料!$AE:$AE,ROW())=0,"",ROUND(SUMIFS(燃料!$Z:$Z,燃料!$AE:$AE,ROW()),0))</f>
        <v/>
      </c>
      <c r="G14" s="315" t="s">
        <v>19</v>
      </c>
      <c r="H14" s="313" t="str">
        <f>IF(COUNTIFS(燃料!$AE:$AE,ROW())=0,"",SUMIFS(燃料!$AB:$AB,燃料!$AE:$AE,ROW()))</f>
        <v/>
      </c>
      <c r="I14" s="314" t="str">
        <f>IF(COUNTIFS(燃料!$AE:$AE,ROW())=0,"",SUMIFS(燃料!$AD:$AD,燃料!$AE:$AE,ROW()))</f>
        <v/>
      </c>
    </row>
    <row r="15" spans="1:12" ht="30.2" customHeight="1">
      <c r="A15" s="790"/>
      <c r="B15" s="793"/>
      <c r="C15" s="612" t="s">
        <v>20</v>
      </c>
      <c r="D15" s="613"/>
      <c r="E15" s="788"/>
      <c r="F15" s="311" t="str">
        <f>IF(COUNTIFS(燃料!$AE:$AE,ROW())=0,"",ROUND(SUMIFS(燃料!$Z:$Z,燃料!$AE:$AE,ROW()),0))</f>
        <v/>
      </c>
      <c r="G15" s="315" t="s">
        <v>19</v>
      </c>
      <c r="H15" s="313" t="str">
        <f>IF(COUNTIFS(燃料!$AE:$AE,ROW())=0,"",SUMIFS(燃料!$AB:$AB,燃料!$AE:$AE,ROW()))</f>
        <v/>
      </c>
      <c r="I15" s="314" t="str">
        <f>IF(COUNTIFS(燃料!$AE:$AE,ROW())=0,"",SUMIFS(燃料!$AD:$AD,燃料!$AE:$AE,ROW()))</f>
        <v/>
      </c>
    </row>
    <row r="16" spans="1:12" ht="30.2" customHeight="1">
      <c r="A16" s="790"/>
      <c r="B16" s="793"/>
      <c r="C16" s="809" t="s">
        <v>21</v>
      </c>
      <c r="D16" s="612" t="s">
        <v>22</v>
      </c>
      <c r="E16" s="788"/>
      <c r="F16" s="311" t="str">
        <f>IF(COUNTIFS(燃料!$AE:$AE,ROW())=0,"",ROUND(SUMIFS(燃料!$Z:$Z,燃料!$AE:$AE,ROW()),0))</f>
        <v/>
      </c>
      <c r="G16" s="315" t="s">
        <v>19</v>
      </c>
      <c r="H16" s="313" t="str">
        <f>IF(COUNTIFS(燃料!$AE:$AE,ROW())=0,"",SUMIFS(燃料!$AB:$AB,燃料!$AE:$AE,ROW()))</f>
        <v/>
      </c>
      <c r="I16" s="314" t="str">
        <f>IF(COUNTIFS(燃料!$AE:$AE,ROW())=0,"",SUMIFS(燃料!$AD:$AD,燃料!$AE:$AE,ROW()))</f>
        <v/>
      </c>
    </row>
    <row r="17" spans="1:9" ht="30.2" customHeight="1">
      <c r="A17" s="790"/>
      <c r="B17" s="793"/>
      <c r="C17" s="810"/>
      <c r="D17" s="612" t="s">
        <v>23</v>
      </c>
      <c r="E17" s="788"/>
      <c r="F17" s="311" t="str">
        <f>IF(COUNTIFS(燃料!$AE:$AE,ROW())=0,"",ROUND(SUMIFS(燃料!$Z:$Z,燃料!$AE:$AE,ROW()),0))</f>
        <v/>
      </c>
      <c r="G17" s="315" t="s">
        <v>596</v>
      </c>
      <c r="H17" s="313" t="str">
        <f>IF(COUNTIFS(燃料!$AE:$AE,ROW())=0,"",SUMIFS(燃料!$AB:$AB,燃料!$AE:$AE,ROW()))</f>
        <v/>
      </c>
      <c r="I17" s="314" t="str">
        <f>IF(COUNTIFS(燃料!$AE:$AE,ROW())=0,"",SUMIFS(燃料!$AD:$AD,燃料!$AE:$AE,ROW()))</f>
        <v/>
      </c>
    </row>
    <row r="18" spans="1:9" ht="30.2" customHeight="1">
      <c r="A18" s="790"/>
      <c r="B18" s="793"/>
      <c r="C18" s="818" t="s">
        <v>24</v>
      </c>
      <c r="D18" s="612" t="s">
        <v>25</v>
      </c>
      <c r="E18" s="788"/>
      <c r="F18" s="311" t="str">
        <f>IF(COUNTIFS(燃料!$AE:$AE,ROW())=0,"",ROUND(SUMIFS(燃料!$Z:$Z,燃料!$AE:$AE,ROW()),0))</f>
        <v/>
      </c>
      <c r="G18" s="315" t="s">
        <v>19</v>
      </c>
      <c r="H18" s="313" t="str">
        <f>IF(COUNTIFS(燃料!$AE:$AE,ROW())=0,"",SUMIFS(燃料!$AB:$AB,燃料!$AE:$AE,ROW()))</f>
        <v/>
      </c>
      <c r="I18" s="314" t="str">
        <f>IF(COUNTIFS(燃料!$AE:$AE,ROW())=0,"",SUMIFS(燃料!$AD:$AD,燃料!$AE:$AE,ROW()))</f>
        <v/>
      </c>
    </row>
    <row r="19" spans="1:9" ht="30.2" customHeight="1">
      <c r="A19" s="790"/>
      <c r="B19" s="793"/>
      <c r="C19" s="810"/>
      <c r="D19" s="612" t="s">
        <v>26</v>
      </c>
      <c r="E19" s="788"/>
      <c r="F19" s="311" t="str">
        <f>IF(COUNTIFS(燃料!$AE:$AE,ROW())=0,"",ROUND(SUMIFS(燃料!$Z:$Z,燃料!$AE:$AE,ROW()),0))</f>
        <v/>
      </c>
      <c r="G19" s="315" t="s">
        <v>596</v>
      </c>
      <c r="H19" s="313" t="str">
        <f>IF(COUNTIFS(燃料!$AE:$AE,ROW())=0,"",SUMIFS(燃料!$AB:$AB,燃料!$AE:$AE,ROW()))</f>
        <v/>
      </c>
      <c r="I19" s="314" t="str">
        <f>IF(COUNTIFS(燃料!$AE:$AE,ROW())=0,"",SUMIFS(燃料!$AD:$AD,燃料!$AE:$AE,ROW()))</f>
        <v/>
      </c>
    </row>
    <row r="20" spans="1:9" ht="30.2" customHeight="1">
      <c r="A20" s="790"/>
      <c r="B20" s="793"/>
      <c r="C20" s="982" t="s">
        <v>68</v>
      </c>
      <c r="D20" s="612" t="s">
        <v>584</v>
      </c>
      <c r="E20" s="788"/>
      <c r="F20" s="311" t="str">
        <f>IF(COUNTIFS(燃料!$AE:$AE,ROW())=0,"",ROUND(SUMIFS(燃料!$Z:$Z,燃料!$AE:$AE,ROW()),0))</f>
        <v/>
      </c>
      <c r="G20" s="315" t="s">
        <v>19</v>
      </c>
      <c r="H20" s="313" t="str">
        <f>IF(COUNTIFS(燃料!$AE:$AE,ROW())=0,"",SUMIFS(燃料!$AB:$AB,燃料!$AE:$AE,ROW()))</f>
        <v/>
      </c>
      <c r="I20" s="314" t="str">
        <f>IF(COUNTIFS(燃料!$AE:$AE,ROW())=0,"",SUMIFS(燃料!$AD:$AD,燃料!$AE:$AE,ROW()))</f>
        <v/>
      </c>
    </row>
    <row r="21" spans="1:9" ht="30.2" customHeight="1">
      <c r="A21" s="790"/>
      <c r="B21" s="793"/>
      <c r="C21" s="983"/>
      <c r="D21" s="612" t="s">
        <v>585</v>
      </c>
      <c r="E21" s="788"/>
      <c r="F21" s="311" t="str">
        <f>IF(COUNTIFS(燃料!$AE:$AE,ROW())=0,"",ROUND(SUMIFS(燃料!$Z:$Z,燃料!$AE:$AE,ROW()),0))</f>
        <v/>
      </c>
      <c r="G21" s="315" t="s">
        <v>19</v>
      </c>
      <c r="H21" s="313" t="str">
        <f>IF(COUNTIFS(燃料!$AE:$AE,ROW())=0,"",SUMIFS(燃料!$AB:$AB,燃料!$AE:$AE,ROW()))</f>
        <v/>
      </c>
      <c r="I21" s="314" t="str">
        <f>IF(COUNTIFS(燃料!$AE:$AE,ROW())=0,"",SUMIFS(燃料!$AD:$AD,燃料!$AE:$AE,ROW()))</f>
        <v/>
      </c>
    </row>
    <row r="22" spans="1:9" ht="30.2" customHeight="1">
      <c r="A22" s="790"/>
      <c r="B22" s="793"/>
      <c r="C22" s="984"/>
      <c r="D22" s="612" t="s">
        <v>586</v>
      </c>
      <c r="E22" s="788"/>
      <c r="F22" s="311" t="str">
        <f>IF(COUNTIFS(燃料!$AE:$AE,ROW())=0,"",ROUND(SUMIFS(燃料!$Z:$Z,燃料!$AE:$AE,ROW()),0))</f>
        <v/>
      </c>
      <c r="G22" s="315" t="s">
        <v>19</v>
      </c>
      <c r="H22" s="313" t="str">
        <f>IF(COUNTIFS(燃料!$AE:$AE,ROW())=0,"",SUMIFS(燃料!$AB:$AB,燃料!$AE:$AE,ROW()))</f>
        <v/>
      </c>
      <c r="I22" s="314" t="str">
        <f>IF(COUNTIFS(燃料!$AE:$AE,ROW())=0,"",SUMIFS(燃料!$AD:$AD,燃料!$AE:$AE,ROW()))</f>
        <v/>
      </c>
    </row>
    <row r="23" spans="1:9" ht="30.2" customHeight="1">
      <c r="A23" s="790"/>
      <c r="B23" s="793"/>
      <c r="C23" s="612" t="s">
        <v>27</v>
      </c>
      <c r="D23" s="613"/>
      <c r="E23" s="788"/>
      <c r="F23" s="311" t="str">
        <f>IF(COUNTIFS(燃料!$AE:$AE,ROW())=0,"",ROUND(SUMIFS(燃料!$Z:$Z,燃料!$AE:$AE,ROW()),0))</f>
        <v/>
      </c>
      <c r="G23" s="316" t="s">
        <v>19</v>
      </c>
      <c r="H23" s="313" t="str">
        <f>IF(COUNTIFS(燃料!$AE:$AE,ROW())=0,"",SUMIFS(燃料!$AB:$AB,燃料!$AE:$AE,ROW()))</f>
        <v/>
      </c>
      <c r="I23" s="314" t="str">
        <f>IF(COUNTIFS(燃料!$AE:$AE,ROW())=0,"",SUMIFS(燃料!$AD:$AD,燃料!$AE:$AE,ROW()))</f>
        <v/>
      </c>
    </row>
    <row r="24" spans="1:9" ht="30.2" customHeight="1">
      <c r="A24" s="790"/>
      <c r="B24" s="793"/>
      <c r="C24" s="612" t="s">
        <v>28</v>
      </c>
      <c r="D24" s="613"/>
      <c r="E24" s="788"/>
      <c r="F24" s="311" t="str">
        <f>IF(COUNTIFS(燃料!$AE:$AE,ROW())=0,"",ROUND(SUMIFS(燃料!$Z:$Z,燃料!$AE:$AE,ROW()),0))</f>
        <v/>
      </c>
      <c r="G24" s="316" t="s">
        <v>19</v>
      </c>
      <c r="H24" s="313" t="str">
        <f>IF(COUNTIFS(燃料!$AE:$AE,ROW())=0,"",SUMIFS(燃料!$AB:$AB,燃料!$AE:$AE,ROW()))</f>
        <v/>
      </c>
      <c r="I24" s="314" t="str">
        <f>IF(COUNTIFS(燃料!$AE:$AE,ROW())=0,"",SUMIFS(燃料!$AD:$AD,燃料!$AE:$AE,ROW()))</f>
        <v/>
      </c>
    </row>
    <row r="25" spans="1:9" ht="30.2" customHeight="1">
      <c r="A25" s="790"/>
      <c r="B25" s="793"/>
      <c r="C25" s="612" t="s">
        <v>71</v>
      </c>
      <c r="D25" s="613"/>
      <c r="E25" s="788"/>
      <c r="F25" s="311" t="str">
        <f>IF(COUNTIFS(燃料!$AE:$AE,ROW())=0,"",ROUND(SUMIFS(燃料!$Z:$Z,燃料!$AE:$AE,ROW()),0))</f>
        <v/>
      </c>
      <c r="G25" s="315" t="s">
        <v>596</v>
      </c>
      <c r="H25" s="313" t="str">
        <f>IF(COUNTIFS(燃料!$AE:$AE,ROW())=0,"",SUMIFS(燃料!$AB:$AB,燃料!$AE:$AE,ROW()))</f>
        <v/>
      </c>
      <c r="I25" s="314" t="str">
        <f>IF(COUNTIFS(燃料!$AE:$AE,ROW())=0,"",SUMIFS(燃料!$AD:$AD,燃料!$AE:$AE,ROW()))</f>
        <v/>
      </c>
    </row>
    <row r="26" spans="1:9" ht="30.2" customHeight="1">
      <c r="A26" s="790"/>
      <c r="B26" s="793"/>
      <c r="C26" s="612" t="s">
        <v>587</v>
      </c>
      <c r="D26" s="613"/>
      <c r="E26" s="788"/>
      <c r="F26" s="311" t="str">
        <f>IF(COUNTIFS(燃料!$AE:$AE,ROW())=0,"",ROUND(SUMIFS(燃料!$Z:$Z,燃料!$AE:$AE,ROW()),0))</f>
        <v/>
      </c>
      <c r="G26" s="315" t="s">
        <v>596</v>
      </c>
      <c r="H26" s="313" t="str">
        <f>IF(COUNTIFS(燃料!$AE:$AE,ROW())=0,"",SUMIFS(燃料!$AB:$AB,燃料!$AE:$AE,ROW()))</f>
        <v/>
      </c>
      <c r="I26" s="314" t="str">
        <f>IF(COUNTIFS(燃料!$AE:$AE,ROW())=0,"",SUMIFS(燃料!$AD:$AD,燃料!$AE:$AE,ROW()))</f>
        <v/>
      </c>
    </row>
    <row r="27" spans="1:9" ht="30.2" customHeight="1">
      <c r="A27" s="790"/>
      <c r="B27" s="793"/>
      <c r="C27" s="612" t="s">
        <v>30</v>
      </c>
      <c r="D27" s="613"/>
      <c r="E27" s="788"/>
      <c r="F27" s="311" t="str">
        <f>IF(COUNTIFS(燃料!$AE:$AE,ROW())=0,"",ROUND(SUMIFS(燃料!$Z:$Z,燃料!$AE:$AE,ROW()),0))</f>
        <v/>
      </c>
      <c r="G27" s="315" t="s">
        <v>596</v>
      </c>
      <c r="H27" s="313" t="str">
        <f>IF(COUNTIFS(燃料!$AE:$AE,ROW())=0,"",SUMIFS(燃料!$AB:$AB,燃料!$AE:$AE,ROW()))</f>
        <v/>
      </c>
      <c r="I27" s="314" t="str">
        <f>IF(COUNTIFS(燃料!$AE:$AE,ROW())=0,"",SUMIFS(燃料!$AD:$AD,燃料!$AE:$AE,ROW()))</f>
        <v/>
      </c>
    </row>
    <row r="28" spans="1:9" ht="30.2" customHeight="1">
      <c r="A28" s="790"/>
      <c r="B28" s="793"/>
      <c r="C28" s="612" t="s">
        <v>50</v>
      </c>
      <c r="D28" s="613"/>
      <c r="E28" s="788"/>
      <c r="F28" s="311" t="str">
        <f>IF(COUNTIFS(燃料!$AE:$AE,ROW())=0,"",ROUND(SUMIFS(燃料!$Z:$Z,燃料!$AE:$AE,ROW()),0))</f>
        <v/>
      </c>
      <c r="G28" s="315" t="s">
        <v>8</v>
      </c>
      <c r="H28" s="313" t="str">
        <f>IF(COUNTIFS(燃料!$AE:$AE,ROW())=0,"",SUMIFS(燃料!$AB:$AB,燃料!$AE:$AE,ROW()))</f>
        <v/>
      </c>
      <c r="I28" s="314" t="str">
        <f>IF(COUNTIFS(燃料!$AE:$AE,ROW())=0,"",SUMIFS(燃料!$AD:$AD,燃料!$AE:$AE,ROW()))</f>
        <v/>
      </c>
    </row>
    <row r="29" spans="1:9" ht="30.2" customHeight="1">
      <c r="A29" s="790"/>
      <c r="B29" s="793"/>
      <c r="C29" s="979" t="s">
        <v>32</v>
      </c>
      <c r="D29" s="980"/>
      <c r="E29" s="981"/>
      <c r="F29" s="311" t="str">
        <f>IF(COUNTIFS(電気・熱_都市ガス!$AV:$AV,ROW())=0,"",ROUND(SUMIFS(電気・熱_都市ガス!$AR:$AR,電気・熱_都市ガス!$AV:$AV,ROW()),0))</f>
        <v/>
      </c>
      <c r="G29" s="315" t="s">
        <v>596</v>
      </c>
      <c r="H29" s="313" t="str">
        <f>IF(COUNTIFS(電気・熱_都市ガス!$AV:$AV,ROW())=0,"",SUMIFS(電気・熱_都市ガス!$AS:$AS,電気・熱_都市ガス!$AV:$AV,ROW()))</f>
        <v/>
      </c>
      <c r="I29" s="314" t="str">
        <f>IF(COUNTIFS(電気・熱_都市ガス!$AV:$AV,ROW())=0,"",SUMIFS(電気・熱_都市ガス!$AU:$AU,電気・熱_都市ガス!$AV:$AV,ROW()))</f>
        <v/>
      </c>
    </row>
    <row r="30" spans="1:9" ht="30.2" customHeight="1">
      <c r="A30" s="790"/>
      <c r="B30" s="793"/>
      <c r="C30" s="825" t="s">
        <v>31</v>
      </c>
      <c r="D30" s="826" t="str">
        <f>IF(事業所概要_算定体制!J25="","その他燃料①",事業所概要_算定体制!J25)</f>
        <v>その他燃料①</v>
      </c>
      <c r="E30" s="827"/>
      <c r="F30" s="311" t="str">
        <f>IF(COUNTIFS(燃料!$AE:$AE,ROW())=0,"",ROUND(SUMIFS(燃料!$Z:$Z,燃料!$AE:$AE,ROW()),0))</f>
        <v/>
      </c>
      <c r="G30" s="318" t="str">
        <f>IF(事業所概要_算定体制!L21="","",事業所概要_算定体制!L21)</f>
        <v/>
      </c>
      <c r="H30" s="313" t="str">
        <f>IF(COUNTIFS(燃料!$AE:$AE,ROW())=0,"",SUMIFS(燃料!$AB:$AB,燃料!$AE:$AE,ROW()))</f>
        <v/>
      </c>
      <c r="I30" s="314" t="str">
        <f>IF(COUNTIFS(燃料!$AE:$AE,ROW())=0,"",SUMIFS(燃料!$AD:$AD,燃料!$AE:$AE,ROW()))</f>
        <v/>
      </c>
    </row>
    <row r="31" spans="1:9" ht="30.2" customHeight="1">
      <c r="A31" s="790"/>
      <c r="B31" s="793"/>
      <c r="C31" s="825"/>
      <c r="D31" s="826" t="str">
        <f>IF(事業所概要_算定体制!J26="","その他燃料②",事業所概要_算定体制!J26)</f>
        <v>その他燃料②</v>
      </c>
      <c r="E31" s="827"/>
      <c r="F31" s="311" t="str">
        <f>IF(COUNTIFS(燃料!$AE:$AE,ROW())=0,"",ROUND(SUMIFS(燃料!$Z:$Z,燃料!$AE:$AE,ROW()),0))</f>
        <v/>
      </c>
      <c r="G31" s="318" t="str">
        <f>IF(事業所概要_算定体制!L22="","",事業所概要_算定体制!L22)</f>
        <v/>
      </c>
      <c r="H31" s="313" t="str">
        <f>IF(COUNTIFS(燃料!$AE:$AE,ROW())=0,"",SUMIFS(燃料!$AB:$AB,燃料!$AE:$AE,ROW()))</f>
        <v/>
      </c>
      <c r="I31" s="314" t="str">
        <f>IF(COUNTIFS(燃料!$AE:$AE,ROW())=0,"",SUMIFS(燃料!$AD:$AD,燃料!$AE:$AE,ROW()))</f>
        <v/>
      </c>
    </row>
    <row r="32" spans="1:9" ht="30.2" customHeight="1" thickBot="1">
      <c r="A32" s="790"/>
      <c r="B32" s="172"/>
      <c r="C32" s="828" t="s">
        <v>37</v>
      </c>
      <c r="D32" s="829"/>
      <c r="E32" s="830"/>
      <c r="F32" s="831"/>
      <c r="G32" s="832"/>
      <c r="H32" s="319" t="str">
        <f>IF(COUNT(H6:H31)=0,"",SUM(H6:H31))</f>
        <v/>
      </c>
      <c r="I32" s="321" t="str">
        <f>IF(COUNT(I6:I31)=0,"",SUM(I6:I31))</f>
        <v/>
      </c>
    </row>
    <row r="33" spans="1:9" ht="30.2" customHeight="1" thickTop="1">
      <c r="A33" s="790"/>
      <c r="B33" s="803" t="s">
        <v>276</v>
      </c>
      <c r="C33" s="806" t="s">
        <v>188</v>
      </c>
      <c r="D33" s="835" t="s">
        <v>33</v>
      </c>
      <c r="E33" s="836"/>
      <c r="F33" s="358" t="str">
        <f>IF(COUNTIFS(電気・熱_都市ガス!$AV:$AV,ROW())=0,"",ROUND(SUMIFS(電気・熱_都市ガス!$AR:$AR,電気・熱_都市ガス!$AV:$AV,ROW()),0))</f>
        <v/>
      </c>
      <c r="G33" s="323" t="s">
        <v>7</v>
      </c>
      <c r="H33" s="359"/>
      <c r="I33" s="325" t="str">
        <f>IF(COUNTIFS(電気・熱_都市ガス!$AV:$AV,ROW())=0,"",SUMIFS(電気・熱_都市ガス!$AU:$AU,電気・熱_都市ガス!$AV:$AV,ROW()))</f>
        <v/>
      </c>
    </row>
    <row r="34" spans="1:9" ht="30.2" customHeight="1">
      <c r="A34" s="790"/>
      <c r="B34" s="804"/>
      <c r="C34" s="807"/>
      <c r="D34" s="837" t="s">
        <v>34</v>
      </c>
      <c r="E34" s="838"/>
      <c r="F34" s="360" t="str">
        <f>IF(COUNTIFS(電気・熱_都市ガス!$AV:$AV,ROW())=0,"",ROUND(SUMIFS(電気・熱_都市ガス!$AR:$AR,電気・熱_都市ガス!$AV:$AV,ROW()),0))</f>
        <v/>
      </c>
      <c r="G34" s="315" t="s">
        <v>7</v>
      </c>
      <c r="H34" s="335"/>
      <c r="I34" s="314" t="str">
        <f>IF(COUNTIFS(電気・熱_都市ガス!$AV:$AV,ROW())=0,"",SUMIFS(電気・熱_都市ガス!$AU:$AU,電気・熱_都市ガス!$AV:$AV,ROW()))</f>
        <v/>
      </c>
    </row>
    <row r="35" spans="1:9" ht="30.2" customHeight="1">
      <c r="A35" s="790"/>
      <c r="B35" s="804"/>
      <c r="C35" s="807"/>
      <c r="D35" s="612" t="s">
        <v>35</v>
      </c>
      <c r="E35" s="788"/>
      <c r="F35" s="360" t="str">
        <f>IF(COUNTIFS(電気・熱_都市ガス!$AV:$AV,ROW())=0,"",ROUND(SUMIFS(電気・熱_都市ガス!$AR:$AR,電気・熱_都市ガス!$AV:$AV,ROW()),0))</f>
        <v/>
      </c>
      <c r="G35" s="315" t="s">
        <v>7</v>
      </c>
      <c r="H35" s="335"/>
      <c r="I35" s="314" t="str">
        <f>IF(COUNTIFS(電気・熱_都市ガス!$AV:$AV,ROW())=0,"",SUMIFS(電気・熱_都市ガス!$AU:$AU,電気・熱_都市ガス!$AV:$AV,ROW()))</f>
        <v/>
      </c>
    </row>
    <row r="36" spans="1:9" ht="30.2" customHeight="1">
      <c r="A36" s="790"/>
      <c r="B36" s="804"/>
      <c r="C36" s="808"/>
      <c r="D36" s="612" t="s">
        <v>36</v>
      </c>
      <c r="E36" s="788"/>
      <c r="F36" s="360" t="str">
        <f>IF(COUNTIFS(電気・熱_都市ガス!$AV:$AV,ROW())=0,"",ROUND(SUMIFS(電気・熱_都市ガス!$AR:$AR,電気・熱_都市ガス!$AV:$AV,ROW()),0))</f>
        <v/>
      </c>
      <c r="G36" s="315" t="s">
        <v>7</v>
      </c>
      <c r="H36" s="335"/>
      <c r="I36" s="314" t="str">
        <f>IF(COUNTIFS(電気・熱_都市ガス!$AV:$AV,ROW())=0,"",SUMIFS(電気・熱_都市ガス!$AU:$AU,電気・熱_都市ガス!$AV:$AV,ROW()))</f>
        <v/>
      </c>
    </row>
    <row r="37" spans="1:9" ht="30.2" customHeight="1">
      <c r="A37" s="790"/>
      <c r="B37" s="804"/>
      <c r="C37" s="839" t="s">
        <v>189</v>
      </c>
      <c r="D37" s="820" t="s">
        <v>58</v>
      </c>
      <c r="E37" s="14" t="s">
        <v>56</v>
      </c>
      <c r="F37" s="326" t="str">
        <f>IF(COUNTIFS(再エネ電気・熱!$AS:$AS,ROW())=0,"",ROUND(SUMIFS(再エネ電気・熱!$AH:$AH,再エネ電気・熱!$AS:$AS,ROW()),0))</f>
        <v/>
      </c>
      <c r="G37" s="315" t="s">
        <v>7</v>
      </c>
      <c r="H37" s="327"/>
      <c r="I37" s="314" t="str">
        <f>IF(COUNTIFS(再エネ電気・熱!$AS:$AS,ROW())=0,"",SUMIFS(再エネ電気・熱!$BF:$BF,再エネ電気・熱!$AS:$AS,ROW()))</f>
        <v/>
      </c>
    </row>
    <row r="38" spans="1:9" ht="30.2" customHeight="1">
      <c r="A38" s="790"/>
      <c r="B38" s="804"/>
      <c r="C38" s="840"/>
      <c r="D38" s="821"/>
      <c r="E38" s="14" t="s">
        <v>57</v>
      </c>
      <c r="F38" s="326" t="str">
        <f>IF(COUNTIFS(再エネ電気・熱!$AS:$AS,ROW())=0,"",ROUND(SUMIFS(再エネ電気・熱!$AH:$AH,再エネ電気・熱!$AS:$AS,ROW()),0))</f>
        <v/>
      </c>
      <c r="G38" s="315" t="s">
        <v>7</v>
      </c>
      <c r="H38" s="328"/>
      <c r="I38" s="314" t="str">
        <f>IF(COUNTIFS(再エネ電気・熱!$AS:$AS,ROW())=0,"",SUMIFS(再エネ電気・熱!$BF:$BF,再エネ電気・熱!$AS:$AS,ROW()))</f>
        <v/>
      </c>
    </row>
    <row r="39" spans="1:9" ht="30.2" customHeight="1">
      <c r="A39" s="790"/>
      <c r="B39" s="804"/>
      <c r="C39" s="840"/>
      <c r="D39" s="820" t="s">
        <v>65</v>
      </c>
      <c r="E39" s="14" t="s">
        <v>56</v>
      </c>
      <c r="F39" s="326" t="str">
        <f>IF(COUNTIFS(再エネ電気・熱!$AS:$AS,ROW())=0,"",ROUND(SUMIFS(再エネ電気・熱!$AH:$AH,再エネ電気・熱!$AS:$AS,ROW()),0))</f>
        <v/>
      </c>
      <c r="G39" s="315" t="s">
        <v>7</v>
      </c>
      <c r="H39" s="328"/>
      <c r="I39" s="314" t="str">
        <f>IF(COUNTIFS(再エネ電気・熱!$AS:$AS,ROW())=0,"",SUMIFS(再エネ電気・熱!$BF:$BF,再エネ電気・熱!$AS:$AS,ROW()))</f>
        <v/>
      </c>
    </row>
    <row r="40" spans="1:9" ht="30.2" customHeight="1">
      <c r="A40" s="790"/>
      <c r="B40" s="804"/>
      <c r="C40" s="840"/>
      <c r="D40" s="821"/>
      <c r="E40" s="14" t="s">
        <v>57</v>
      </c>
      <c r="F40" s="326" t="str">
        <f>IF(COUNTIFS(再エネ電気・熱!$AS:$AS,ROW())=0,"",ROUND(SUMIFS(再エネ電気・熱!$AH:$AH,再エネ電気・熱!$AS:$AS,ROW()),0))</f>
        <v/>
      </c>
      <c r="G40" s="315" t="s">
        <v>7</v>
      </c>
      <c r="H40" s="328"/>
      <c r="I40" s="314" t="str">
        <f>IF(COUNTIFS(再エネ電気・熱!$AS:$AS,ROW())=0,"",SUMIFS(再エネ電気・熱!$BF:$BF,再エネ電気・熱!$AS:$AS,ROW()))</f>
        <v/>
      </c>
    </row>
    <row r="41" spans="1:9" ht="45" customHeight="1">
      <c r="A41" s="790"/>
      <c r="B41" s="804"/>
      <c r="C41" s="841"/>
      <c r="D41" s="801" t="s">
        <v>186</v>
      </c>
      <c r="E41" s="802"/>
      <c r="F41" s="326" t="str">
        <f>IF(COUNTIFS(再エネ電気・熱!$AS:$AS,ROW())=0,"",ROUND(SUMIFS(再エネ電気・熱!$AH:$AH,再エネ電気・熱!$AS:$AS,ROW()),0))</f>
        <v/>
      </c>
      <c r="G41" s="315" t="s">
        <v>7</v>
      </c>
      <c r="H41" s="327"/>
      <c r="I41" s="314" t="str">
        <f>IF(COUNTIFS(再エネ電気・熱!$AS:$AS,ROW())=0,"",SUMIFS(再エネ電気・熱!$BF:$BF,再エネ電気・熱!$AS:$AS,ROW()))</f>
        <v/>
      </c>
    </row>
    <row r="42" spans="1:9" ht="35.1" customHeight="1" thickBot="1">
      <c r="A42" s="790"/>
      <c r="B42" s="805"/>
      <c r="C42" s="822" t="s">
        <v>37</v>
      </c>
      <c r="D42" s="823"/>
      <c r="E42" s="824"/>
      <c r="F42" s="833"/>
      <c r="G42" s="834"/>
      <c r="H42" s="361"/>
      <c r="I42" s="321" t="str">
        <f>IF(COUNT(I33:I41)=0,"",SUM(I33:I41))</f>
        <v/>
      </c>
    </row>
    <row r="43" spans="1:9" ht="35.25" customHeight="1" thickTop="1">
      <c r="A43" s="790"/>
      <c r="B43" s="797" t="s">
        <v>277</v>
      </c>
      <c r="C43" s="173" t="s">
        <v>192</v>
      </c>
      <c r="D43" s="799" t="s">
        <v>190</v>
      </c>
      <c r="E43" s="800"/>
      <c r="F43" s="311" t="str">
        <f>IF(COUNTIFS(電気・熱_都市ガス!$AV:$AV,ROW())=0,"",ROUND(SUMIFS(電気・熱_都市ガス!$AR:$AR,電気・熱_都市ガス!$AV:$AV,ROW()),0))</f>
        <v/>
      </c>
      <c r="G43" s="315" t="s">
        <v>38</v>
      </c>
      <c r="H43" s="356"/>
      <c r="I43" s="333" t="str">
        <f>IF(COUNTIFS(電気・熱_都市ガス!$AV:$AV,ROW())=0,"",SUMIFS(電気・熱_都市ガス!$AU:$AU,電気・熱_都市ガス!$AV:$AV,ROW()))</f>
        <v/>
      </c>
    </row>
    <row r="44" spans="1:9" ht="30" customHeight="1">
      <c r="A44" s="790"/>
      <c r="B44" s="797"/>
      <c r="C44" s="839" t="s">
        <v>189</v>
      </c>
      <c r="D44" s="820" t="s">
        <v>66</v>
      </c>
      <c r="E44" s="14" t="s">
        <v>56</v>
      </c>
      <c r="F44" s="317" t="str">
        <f>IF(COUNTIFS(再エネ電気・熱!$AS:$AS,ROW())=0,"",ROUND(SUMIFS(再エネ電気・熱!$AH:$AH,再エネ電気・熱!$AS:$AS,ROW()),0))</f>
        <v/>
      </c>
      <c r="G44" s="315" t="s">
        <v>38</v>
      </c>
      <c r="H44" s="327"/>
      <c r="I44" s="314" t="str">
        <f>IF(COUNTIFS(再エネ電気・熱!$AS:$AS,ROW())=0,"",SUMIFS(再エネ電気・熱!$BF:$BF,再エネ電気・熱!$AS:$AS,ROW()))</f>
        <v/>
      </c>
    </row>
    <row r="45" spans="1:9" ht="30.2" customHeight="1">
      <c r="A45" s="790"/>
      <c r="B45" s="797"/>
      <c r="C45" s="840"/>
      <c r="D45" s="821"/>
      <c r="E45" s="14" t="s">
        <v>57</v>
      </c>
      <c r="F45" s="311" t="str">
        <f>IF(COUNTIFS(再エネ電気・熱!$AS:$AS,ROW())=0,"",ROUND(SUMIFS(再エネ電気・熱!$AH:$AH,再エネ電気・熱!$AS:$AS,ROW()),0))</f>
        <v/>
      </c>
      <c r="G45" s="315" t="s">
        <v>38</v>
      </c>
      <c r="H45" s="328"/>
      <c r="I45" s="314" t="str">
        <f>IF(COUNTIFS(再エネ電気・熱!$AS:$AS,ROW())=0,"",SUMIFS(再エネ電気・熱!$BF:$BF,再エネ電気・熱!$AS:$AS,ROW()))</f>
        <v/>
      </c>
    </row>
    <row r="46" spans="1:9" ht="30.2" customHeight="1">
      <c r="A46" s="790"/>
      <c r="B46" s="797"/>
      <c r="C46" s="840"/>
      <c r="D46" s="820" t="s">
        <v>67</v>
      </c>
      <c r="E46" s="14" t="s">
        <v>56</v>
      </c>
      <c r="F46" s="311" t="str">
        <f>IF(COUNTIFS(再エネ電気・熱!$AS:$AS,ROW())=0,"",ROUND(SUMIFS(再エネ電気・熱!$AH:$AH,再エネ電気・熱!$AS:$AS,ROW()),0))</f>
        <v/>
      </c>
      <c r="G46" s="315" t="s">
        <v>38</v>
      </c>
      <c r="H46" s="328"/>
      <c r="I46" s="314" t="str">
        <f>IF(COUNTIFS(再エネ電気・熱!$AS:$AS,ROW())=0,"",SUMIFS(再エネ電気・熱!$BF:$BF,再エネ電気・熱!$AS:$AS,ROW()))</f>
        <v/>
      </c>
    </row>
    <row r="47" spans="1:9" ht="30.2" customHeight="1">
      <c r="A47" s="790"/>
      <c r="B47" s="797"/>
      <c r="C47" s="840"/>
      <c r="D47" s="821"/>
      <c r="E47" s="14" t="s">
        <v>57</v>
      </c>
      <c r="F47" s="311" t="str">
        <f>IF(COUNTIFS(再エネ電気・熱!$AS:$AS,ROW())=0,"",ROUND(SUMIFS(再エネ電気・熱!$AH:$AH,再エネ電気・熱!$AS:$AS,ROW()),0))</f>
        <v/>
      </c>
      <c r="G47" s="315" t="s">
        <v>38</v>
      </c>
      <c r="H47" s="328"/>
      <c r="I47" s="314" t="str">
        <f>IF(COUNTIFS(再エネ電気・熱!$AS:$AS,ROW())=0,"",SUMIFS(再エネ電気・熱!$BF:$BF,再エネ電気・熱!$AS:$AS,ROW()))</f>
        <v/>
      </c>
    </row>
    <row r="48" spans="1:9" ht="45" customHeight="1">
      <c r="A48" s="790"/>
      <c r="B48" s="797"/>
      <c r="C48" s="840"/>
      <c r="D48" s="801" t="s">
        <v>186</v>
      </c>
      <c r="E48" s="802"/>
      <c r="F48" s="311" t="str">
        <f>IF(COUNTIFS(再エネ電気・熱!$AS:$AS,ROW())=0,"",ROUND(SUMIFS(再エネ電気・熱!$AH:$AH,再エネ電気・熱!$AS:$AS,ROW()),0))</f>
        <v/>
      </c>
      <c r="G48" s="316" t="s">
        <v>38</v>
      </c>
      <c r="H48" s="329"/>
      <c r="I48" s="314" t="str">
        <f>IF(COUNTIFS(再エネ電気・熱!$AS:$AS,ROW())=0,"",SUMIFS(再エネ電気・熱!$BF:$BF,再エネ電気・熱!$AS:$AS,ROW()))</f>
        <v/>
      </c>
    </row>
    <row r="49" spans="1:9" ht="45" customHeight="1">
      <c r="A49" s="790"/>
      <c r="B49" s="797"/>
      <c r="C49" s="841"/>
      <c r="D49" s="801" t="s">
        <v>187</v>
      </c>
      <c r="E49" s="802"/>
      <c r="F49" s="311" t="str">
        <f>IF(COUNTIFS(再エネ電気・熱!$AS:$AS,ROW())=0,"",ROUND(SUMIFS(再エネ電気・熱!$AH:$AH,再エネ電気・熱!$AS:$AS,ROW()),0))</f>
        <v/>
      </c>
      <c r="G49" s="315" t="s">
        <v>38</v>
      </c>
      <c r="H49" s="329"/>
      <c r="I49" s="314" t="str">
        <f>IF(COUNTIFS(再エネ電気・熱!$AS:$AS,ROW())=0,"",SUMIFS(再エネ電気・熱!$BF:$BF,再エネ電気・熱!$AS:$AS,ROW()))</f>
        <v/>
      </c>
    </row>
    <row r="50" spans="1:9" ht="35.1" customHeight="1" thickBot="1">
      <c r="A50" s="791"/>
      <c r="B50" s="798"/>
      <c r="C50" s="812" t="s">
        <v>37</v>
      </c>
      <c r="D50" s="813"/>
      <c r="E50" s="814"/>
      <c r="F50" s="977"/>
      <c r="G50" s="978"/>
      <c r="H50" s="357"/>
      <c r="I50" s="321" t="str">
        <f>IF(COUNT(I43:I49)=0,"",SUM(I43:I49))</f>
        <v/>
      </c>
    </row>
    <row r="51" spans="1:9" ht="35.1" customHeight="1" thickTop="1">
      <c r="A51" s="15"/>
      <c r="B51" s="16"/>
      <c r="C51" s="17"/>
      <c r="D51" s="17"/>
      <c r="E51" s="17"/>
      <c r="F51" s="18"/>
      <c r="G51" s="18"/>
      <c r="H51" s="111"/>
      <c r="I51" s="111" t="s">
        <v>271</v>
      </c>
    </row>
    <row r="52" spans="1:9" ht="35.1" customHeight="1" thickBot="1">
      <c r="A52" s="4" t="s">
        <v>269</v>
      </c>
      <c r="B52" s="21"/>
      <c r="C52" s="22"/>
      <c r="D52" s="22"/>
      <c r="E52" s="22"/>
      <c r="F52" s="23"/>
      <c r="G52" s="23"/>
      <c r="H52" s="24"/>
      <c r="I52" s="24"/>
    </row>
    <row r="53" spans="1:9" ht="51.75" customHeight="1">
      <c r="A53" s="863" t="s">
        <v>268</v>
      </c>
      <c r="B53" s="721" t="s">
        <v>1</v>
      </c>
      <c r="C53" s="781"/>
      <c r="D53" s="781"/>
      <c r="E53" s="782"/>
      <c r="F53" s="786" t="s">
        <v>265</v>
      </c>
      <c r="G53" s="787"/>
      <c r="H53" s="8" t="s">
        <v>2</v>
      </c>
      <c r="I53" s="117" t="s">
        <v>3</v>
      </c>
    </row>
    <row r="54" spans="1:9" ht="21.75" thickBot="1">
      <c r="A54" s="864"/>
      <c r="B54" s="846"/>
      <c r="C54" s="911"/>
      <c r="D54" s="911"/>
      <c r="E54" s="849"/>
      <c r="F54" s="27"/>
      <c r="G54" s="28"/>
      <c r="H54" s="29" t="s">
        <v>7</v>
      </c>
      <c r="I54" s="31" t="s">
        <v>177</v>
      </c>
    </row>
    <row r="55" spans="1:9" ht="30.2" customHeight="1" thickTop="1">
      <c r="A55" s="864"/>
      <c r="B55" s="913" t="s">
        <v>39</v>
      </c>
      <c r="C55" s="754" t="s">
        <v>40</v>
      </c>
      <c r="D55" s="855"/>
      <c r="E55" s="856"/>
      <c r="F55" s="366" t="str">
        <f>IF(COUNTIFS(電気・熱_都市ガス!$AV:$AV,ROW())=0,"",-1*ROUND(SUMIFS(電気・熱_都市ガス!$AR:$AR,電気・熱_都市ガス!$AV:$AV,ROW()),0))</f>
        <v/>
      </c>
      <c r="G55" s="323" t="s">
        <v>7</v>
      </c>
      <c r="H55" s="356"/>
      <c r="I55" s="325" t="str">
        <f>IF(COUNTIFS(電気・熱_都市ガス!$AV:$AV,ROW())=0,"",SUMIFS(電気・熱_都市ガス!$AU:$AU,電気・熱_都市ガス!$AV:$AV,ROW()))</f>
        <v/>
      </c>
    </row>
    <row r="56" spans="1:9" ht="30.2" customHeight="1">
      <c r="A56" s="864"/>
      <c r="B56" s="914"/>
      <c r="C56" s="752" t="s">
        <v>41</v>
      </c>
      <c r="D56" s="859"/>
      <c r="E56" s="860"/>
      <c r="F56" s="317" t="str">
        <f>IF(COUNTIFS(電気・熱_都市ガス!$AV:$AV,ROW())=0,"",-1*ROUND(SUMIFS(電気・熱_都市ガス!$AR:$AR,電気・熱_都市ガス!$AV:$AV,ROW()),0))</f>
        <v/>
      </c>
      <c r="G56" s="315" t="s">
        <v>38</v>
      </c>
      <c r="H56" s="327"/>
      <c r="I56" s="333" t="str">
        <f>IF(COUNTIFS(電気・熱_都市ガス!$AV:$AV,ROW())=0,"",SUMIFS(電気・熱_都市ガス!$AU:$AU,電気・熱_都市ガス!$AV:$AV,ROW()))</f>
        <v/>
      </c>
    </row>
    <row r="57" spans="1:9" ht="31.5" customHeight="1" thickBot="1">
      <c r="A57" s="864"/>
      <c r="B57" s="974"/>
      <c r="C57" s="871" t="s">
        <v>37</v>
      </c>
      <c r="D57" s="872"/>
      <c r="E57" s="873"/>
      <c r="F57" s="975"/>
      <c r="G57" s="976"/>
      <c r="H57" s="367"/>
      <c r="I57" s="321" t="str">
        <f>IF(COUNT(I55:I56)=0,"",SUM(I55:I56))</f>
        <v/>
      </c>
    </row>
    <row r="58" spans="1:9" ht="39.950000000000003" customHeight="1" thickTop="1" thickBot="1">
      <c r="A58" s="865"/>
      <c r="B58" s="969" t="s">
        <v>42</v>
      </c>
      <c r="C58" s="970"/>
      <c r="D58" s="970"/>
      <c r="E58" s="971"/>
      <c r="F58" s="972"/>
      <c r="G58" s="973"/>
      <c r="H58" s="433"/>
      <c r="I58" s="355" t="str">
        <f>IF(COUNT(I32,I42,I50,I57)=0,"",IF(SUM(I32,I42,I50,I57)&lt;0,0,SUM(I32,I42,I50,I57)))</f>
        <v/>
      </c>
    </row>
    <row r="60" spans="1:9" ht="18.75" customHeight="1"/>
    <row r="62" spans="1:9" ht="24">
      <c r="I62" s="431"/>
    </row>
  </sheetData>
  <sheetProtection algorithmName="SHA-512" hashValue="cOsY0baumzS7YPdprxdPpBlkPGUzs+PjfXf9je2tHT5Vj7Ofb0Cdh96mJjx7d8NYk4P4ZnaZt5yI7oec4Ksp4Q==" saltValue="hX7p/zxMF3b8OktoJXTrGA==" spinCount="100000" sheet="1" objects="1" scenarios="1"/>
  <mergeCells count="68">
    <mergeCell ref="C10:E10"/>
    <mergeCell ref="C11:E11"/>
    <mergeCell ref="C12:E12"/>
    <mergeCell ref="C13:E13"/>
    <mergeCell ref="C14:E14"/>
    <mergeCell ref="C15:E15"/>
    <mergeCell ref="A2:E2"/>
    <mergeCell ref="B4:E5"/>
    <mergeCell ref="F4:G4"/>
    <mergeCell ref="A6:A50"/>
    <mergeCell ref="B6:B31"/>
    <mergeCell ref="C6:E6"/>
    <mergeCell ref="C7:E7"/>
    <mergeCell ref="C8:E8"/>
    <mergeCell ref="C9:E9"/>
    <mergeCell ref="C20:C22"/>
    <mergeCell ref="D20:E20"/>
    <mergeCell ref="D21:E21"/>
    <mergeCell ref="D22:E22"/>
    <mergeCell ref="C16:C17"/>
    <mergeCell ref="D16:E16"/>
    <mergeCell ref="D17:E17"/>
    <mergeCell ref="C18:C19"/>
    <mergeCell ref="D18:E18"/>
    <mergeCell ref="D19:E19"/>
    <mergeCell ref="C28:E28"/>
    <mergeCell ref="C29:E29"/>
    <mergeCell ref="C30:C31"/>
    <mergeCell ref="D30:E30"/>
    <mergeCell ref="D31:E31"/>
    <mergeCell ref="C23:E23"/>
    <mergeCell ref="C24:E24"/>
    <mergeCell ref="C25:E25"/>
    <mergeCell ref="C26:E26"/>
    <mergeCell ref="C27:E27"/>
    <mergeCell ref="C32:E32"/>
    <mergeCell ref="F32:G32"/>
    <mergeCell ref="B33:B42"/>
    <mergeCell ref="C33:C36"/>
    <mergeCell ref="D33:E33"/>
    <mergeCell ref="D34:E34"/>
    <mergeCell ref="D35:E35"/>
    <mergeCell ref="D36:E36"/>
    <mergeCell ref="C37:C41"/>
    <mergeCell ref="D37:D38"/>
    <mergeCell ref="D39:D40"/>
    <mergeCell ref="D41:E41"/>
    <mergeCell ref="C42:E42"/>
    <mergeCell ref="F42:G42"/>
    <mergeCell ref="F50:G50"/>
    <mergeCell ref="B43:B50"/>
    <mergeCell ref="D43:E43"/>
    <mergeCell ref="C44:C49"/>
    <mergeCell ref="D44:D45"/>
    <mergeCell ref="D46:D47"/>
    <mergeCell ref="D48:E48"/>
    <mergeCell ref="D49:E49"/>
    <mergeCell ref="C50:E50"/>
    <mergeCell ref="B58:E58"/>
    <mergeCell ref="F58:G58"/>
    <mergeCell ref="A53:A58"/>
    <mergeCell ref="B53:E54"/>
    <mergeCell ref="F53:G53"/>
    <mergeCell ref="B55:B57"/>
    <mergeCell ref="C55:E55"/>
    <mergeCell ref="C56:E56"/>
    <mergeCell ref="C57:E57"/>
    <mergeCell ref="F57:G57"/>
  </mergeCells>
  <phoneticPr fontId="5"/>
  <pageMargins left="0.78740157480314965" right="0.59055118110236227" top="0.78740157480314965" bottom="0.59055118110236227" header="0.31496062992125984" footer="0.31496062992125984"/>
  <pageSetup paperSize="9" scale="47" fitToHeight="0" orientation="portrait" r:id="rId1"/>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117</vt:i4>
      </vt:variant>
    </vt:vector>
  </HeadingPairs>
  <TitlesOfParts>
    <vt:vector size="135" baseType="lpstr">
      <vt:lpstr>事業所概要_算定体制</vt:lpstr>
      <vt:lpstr>燃料</vt:lpstr>
      <vt:lpstr>電気・熱_都市ガス</vt:lpstr>
      <vt:lpstr>再エネ電気・熱</vt:lpstr>
      <vt:lpstr>非化石燃料</vt:lpstr>
      <vt:lpstr>証書_森林吸収量</vt:lpstr>
      <vt:lpstr>エネルギーと目標設定ガス</vt:lpstr>
      <vt:lpstr>その他ガス</vt:lpstr>
      <vt:lpstr>参考</vt:lpstr>
      <vt:lpstr>非_燃料種類_選択リスト</vt:lpstr>
      <vt:lpstr>非_選択リスト</vt:lpstr>
      <vt:lpstr>非_まとめ表行番号</vt:lpstr>
      <vt:lpstr>非_係数</vt:lpstr>
      <vt:lpstr>非_単位</vt:lpstr>
      <vt:lpstr>非_単位補正換算</vt:lpstr>
      <vt:lpstr>非_電気事業者</vt:lpstr>
      <vt:lpstr>非_都市ガス事業者</vt:lpstr>
      <vt:lpstr>非_熱供給事業者</vt:lpstr>
      <vt:lpstr>A重油_単位</vt:lpstr>
      <vt:lpstr>Ｂ・Ｃ重油_単位</vt:lpstr>
      <vt:lpstr>FIT非化石証書_単位</vt:lpstr>
      <vt:lpstr>エネルギーと目標設定ガス!Print_Area</vt:lpstr>
      <vt:lpstr>その他ガス!Print_Area</vt:lpstr>
      <vt:lpstr>再エネ電気・熱!Print_Area</vt:lpstr>
      <vt:lpstr>参考!Print_Area</vt:lpstr>
      <vt:lpstr>事業所概要_算定体制!Print_Area</vt:lpstr>
      <vt:lpstr>証書_森林吸収量!Print_Area</vt:lpstr>
      <vt:lpstr>電気・熱_都市ガス!Print_Area</vt:lpstr>
      <vt:lpstr>燃料!Print_Area</vt:lpstr>
      <vt:lpstr>非化石燃料!Print_Area</vt:lpstr>
      <vt:lpstr>電気・熱_都市ガス!Print_Titles</vt:lpstr>
      <vt:lpstr>グリーン電力証書_単位</vt:lpstr>
      <vt:lpstr>グリーン熱証書_単位</vt:lpstr>
      <vt:lpstr>コークス炉ガス_単位</vt:lpstr>
      <vt:lpstr>コールタール_単位</vt:lpstr>
      <vt:lpstr>ジェット燃料油_単位</vt:lpstr>
      <vt:lpstr>その他の燃料①_単位</vt:lpstr>
      <vt:lpstr>その他の燃料②_単位</vt:lpstr>
      <vt:lpstr>その他可燃性天然ガス_単位</vt:lpstr>
      <vt:lpstr>ナフサ_単位</vt:lpstr>
      <vt:lpstr>バイオマス_種類_選択</vt:lpstr>
      <vt:lpstr>バイオマス燃料_持続可能性_選択</vt:lpstr>
      <vt:lpstr>一般送配電_種類</vt:lpstr>
      <vt:lpstr>一般送配電以外_種類</vt:lpstr>
      <vt:lpstr>一般炭_国産一般炭_単位</vt:lpstr>
      <vt:lpstr>一般炭_輸入一般炭_単位</vt:lpstr>
      <vt:lpstr>液化石油ガス_LPG_その他_単位</vt:lpstr>
      <vt:lpstr>液化石油ガス_LPG_ブタン_単位</vt:lpstr>
      <vt:lpstr>液化石油ガス_LPG_プロパン_単位</vt:lpstr>
      <vt:lpstr>液化石油ガス_LPG_プロパン・ブタン混合_単位</vt:lpstr>
      <vt:lpstr>液化天然ガス_ＬＮＧ_単位</vt:lpstr>
      <vt:lpstr>外部供給_種類</vt:lpstr>
      <vt:lpstr>外部供給以外_種類</vt:lpstr>
      <vt:lpstr>環境価値_バイオマス持続可能性無_選択</vt:lpstr>
      <vt:lpstr>環境価値_仮想電力購入契約_選択</vt:lpstr>
      <vt:lpstr>環境価値_選択</vt:lpstr>
      <vt:lpstr>監視点用燃料種類_選択</vt:lpstr>
      <vt:lpstr>揮発油_ガソリン_単位</vt:lpstr>
      <vt:lpstr>計量器_検定有無_選択</vt:lpstr>
      <vt:lpstr>軽油_単位</vt:lpstr>
      <vt:lpstr>原油_コンデンセート_ＮＧＬ_単位</vt:lpstr>
      <vt:lpstr>原油_コンデンセートを除く_単位</vt:lpstr>
      <vt:lpstr>原料炭_コークス炉用原料炭_単位</vt:lpstr>
      <vt:lpstr>原料炭_吹込用原料炭_単位</vt:lpstr>
      <vt:lpstr>原料炭_輸入原料炭_単位</vt:lpstr>
      <vt:lpstr>高炉ガス_発電用_単位</vt:lpstr>
      <vt:lpstr>高炉ガス_発電用以外_単位</vt:lpstr>
      <vt:lpstr>再エネ_係数根拠_仮想電力購入契約</vt:lpstr>
      <vt:lpstr>再エネ_係数根拠_環境価値無</vt:lpstr>
      <vt:lpstr>再エネ_係数根拠_環境価値有</vt:lpstr>
      <vt:lpstr>再エネ_係数根拠_持続可能性無</vt:lpstr>
      <vt:lpstr>再エネ_事業所外_電気_種類</vt:lpstr>
      <vt:lpstr>再エネ_事業所外_熱_種類</vt:lpstr>
      <vt:lpstr>再エネ_事業所内_電気_種類</vt:lpstr>
      <vt:lpstr>再エネ_事業所内_熱_種類</vt:lpstr>
      <vt:lpstr>再エネ_自家消費_対象外_種類</vt:lpstr>
      <vt:lpstr>再エネ_自家消費以外_対象外_種類</vt:lpstr>
      <vt:lpstr>再エネ_種類_選択</vt:lpstr>
      <vt:lpstr>再エネ_把握方法_選択_事業所外</vt:lpstr>
      <vt:lpstr>再エネ_把握方法_選択_事業所内</vt:lpstr>
      <vt:lpstr>再エネ電気熱_排出活動①</vt:lpstr>
      <vt:lpstr>再エネ電気熱_排出活動②</vt:lpstr>
      <vt:lpstr>再エネ電気熱_排出活動③</vt:lpstr>
      <vt:lpstr>使用量把握方法_選択</vt:lpstr>
      <vt:lpstr>事業所種別_選択</vt:lpstr>
      <vt:lpstr>自己電気熱_係数根拠_選択</vt:lpstr>
      <vt:lpstr>実績検証状況_選択</vt:lpstr>
      <vt:lpstr>床面積_把握方法_選択</vt:lpstr>
      <vt:lpstr>床面積_変更の有無_選択</vt:lpstr>
      <vt:lpstr>証書等_種類</vt:lpstr>
      <vt:lpstr>証書等_種類_森林吸収量のみ</vt:lpstr>
      <vt:lpstr>証書等_種類_電気なし</vt:lpstr>
      <vt:lpstr>証書等_種類_熱なし</vt:lpstr>
      <vt:lpstr>乗率_除外する排出量</vt:lpstr>
      <vt:lpstr>乗率_排出量</vt:lpstr>
      <vt:lpstr>石炭コークス_単位</vt:lpstr>
      <vt:lpstr>石油アスファルト_単位</vt:lpstr>
      <vt:lpstr>石油コークス_単位</vt:lpstr>
      <vt:lpstr>石油系炭化水素ガス_単位</vt:lpstr>
      <vt:lpstr>選択肢なし</vt:lpstr>
      <vt:lpstr>転炉ガス_単位</vt:lpstr>
      <vt:lpstr>電気_「オンサイト型PPA_自家発電_非燃料由来の非化石電気」以外からの買電_単位</vt:lpstr>
      <vt:lpstr>電気_オフサイト型PPA_単位</vt:lpstr>
      <vt:lpstr>電気_オンサイト型PPA_単位</vt:lpstr>
      <vt:lpstr>電気_メニュー_選択</vt:lpstr>
      <vt:lpstr>電気_仮想電力購入契約_単位</vt:lpstr>
      <vt:lpstr>電気_自ら生成した電気_単位</vt:lpstr>
      <vt:lpstr>電気_自家発電_単位</vt:lpstr>
      <vt:lpstr>電気_自己託送_非燃料由来の非化石電気_単位</vt:lpstr>
      <vt:lpstr>電気_自己託送_非燃料由来の非化石電気以外_単位</vt:lpstr>
      <vt:lpstr>電気_電気事業者からの買電_単位</vt:lpstr>
      <vt:lpstr>電気_非燃料由来の非化石電気_単位</vt:lpstr>
      <vt:lpstr>電気熱_係数根拠_選択</vt:lpstr>
      <vt:lpstr>電気熱ガス_契約メニュー有無_選択</vt:lpstr>
      <vt:lpstr>電気熱ガス_排出活動①</vt:lpstr>
      <vt:lpstr>電気熱ガス_排出活動②</vt:lpstr>
      <vt:lpstr>都市ガス_メーター種_選択</vt:lpstr>
      <vt:lpstr>都市ガス_メニュー_選択</vt:lpstr>
      <vt:lpstr>都市ガス_係数根拠_選択</vt:lpstr>
      <vt:lpstr>都市ガス_種類</vt:lpstr>
      <vt:lpstr>都市ガス_単位</vt:lpstr>
      <vt:lpstr>灯油_単位</vt:lpstr>
      <vt:lpstr>熱_メニュー_選択</vt:lpstr>
      <vt:lpstr>熱_温水_単位</vt:lpstr>
      <vt:lpstr>熱_産業用以外の蒸気_単位</vt:lpstr>
      <vt:lpstr>熱_産業用蒸気_単位</vt:lpstr>
      <vt:lpstr>熱_自ら生成した熱_単位</vt:lpstr>
      <vt:lpstr>熱_種類</vt:lpstr>
      <vt:lpstr>熱_冷水_単位</vt:lpstr>
      <vt:lpstr>燃料_排出活動①</vt:lpstr>
      <vt:lpstr>燃料_排出活動②</vt:lpstr>
      <vt:lpstr>燃料種選択</vt:lpstr>
      <vt:lpstr>非FIT非化石証書_再生可能エネルギー指定_単位</vt:lpstr>
      <vt:lpstr>無煙炭_輸入無煙炭_単位</vt:lpstr>
      <vt:lpstr>和暦年度_選択</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丸川純</cp:lastModifiedBy>
  <cp:lastPrinted>2025-12-16T04:10:45Z</cp:lastPrinted>
  <dcterms:created xsi:type="dcterms:W3CDTF">2025-08-26T04:19:21Z</dcterms:created>
  <dcterms:modified xsi:type="dcterms:W3CDTF">2026-03-13T05:13:55Z</dcterms:modified>
  <cp:category/>
</cp:coreProperties>
</file>